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liy Products at Greenweez" sheetId="1" r:id="rId5"/>
    <sheet state="visible" name="Sources &gt;&gt;" sheetId="2" r:id="rId6"/>
    <sheet state="visible" name="Sales" sheetId="3" r:id="rId7"/>
    <sheet state="visible" name="Refund_reason" sheetId="4" r:id="rId8"/>
    <sheet state="visible" name="Exploration&gt;&gt;" sheetId="5" r:id="rId9"/>
    <sheet state="visible" name="Explo_refund_reason" sheetId="6" r:id="rId10"/>
    <sheet state="visible" name="Deliverables&gt;&gt;" sheetId="7" r:id="rId11"/>
    <sheet state="visible" name="Global_quality_vision" sheetId="8" r:id="rId12"/>
    <sheet state="visible" name="RESULTS" sheetId="9" r:id="rId13"/>
    <sheet state="visible" name="Refund_finance" sheetId="10" r:id="rId14"/>
  </sheets>
  <definedNames/>
  <calcPr/>
  <pivotCaches>
    <pivotCache cacheId="0" r:id="rId15"/>
  </pivotCaches>
</workbook>
</file>

<file path=xl/sharedStrings.xml><?xml version="1.0" encoding="utf-8"?>
<sst xmlns="http://schemas.openxmlformats.org/spreadsheetml/2006/main" count="747" uniqueCount="39">
  <si>
    <t>year</t>
  </si>
  <si>
    <t>month</t>
  </si>
  <si>
    <t>day</t>
  </si>
  <si>
    <t>orders_id</t>
  </si>
  <si>
    <t>ref_turnover</t>
  </si>
  <si>
    <t>ref_ship</t>
  </si>
  <si>
    <t>ref_coupon</t>
  </si>
  <si>
    <t>ref_reason</t>
  </si>
  <si>
    <t>turnover_per_order</t>
  </si>
  <si>
    <t xml:space="preserve"> </t>
  </si>
  <si>
    <t>Damage</t>
  </si>
  <si>
    <t>Wrong product</t>
  </si>
  <si>
    <t>Return</t>
  </si>
  <si>
    <t>COUNT of orders_id</t>
  </si>
  <si>
    <t>🧪  PRODUCTION TEAM</t>
  </si>
  <si>
    <t>Mission of the team</t>
  </si>
  <si>
    <t>Ürün kalitesinden kaynaklanabilecek olası kayıpları belirlemek.</t>
  </si>
  <si>
    <t>Main KPIs</t>
  </si>
  <si>
    <t>KPI name</t>
  </si>
  <si>
    <t>Definition</t>
  </si>
  <si>
    <t>Why is it useful for the team?</t>
  </si>
  <si>
    <t>% reason of return(İade Nedeni Yüzdesi)</t>
  </si>
  <si>
    <t>Belirli bir nedenden kaynaklanan iadelerin yüzdesi</t>
  </si>
  <si>
    <t>Ekibin çabasını tek bir sorunun çözümüne odaklamasını sağlar</t>
  </si>
  <si>
    <t>% of return per product(Ürün Başına İade Yüzdesi)</t>
  </si>
  <si>
    <t>Ürün A için iade sayısı / Ürün A sipariş sayısı</t>
  </si>
  <si>
    <t>Ürünü iptal etme veya yeniden tasarlama kararı almak</t>
  </si>
  <si>
    <t>Main results of your analysis</t>
  </si>
  <si>
    <t>İadeler çoğunlukla fikir değişikliğinden kaynaklanıyor</t>
  </si>
  <si>
    <t>İade edilen siparişler arasında en yaygın neden gönüllü iade (%51), bunu hasar (%25) ve yanlış ürün (%23) takip ediyor.</t>
  </si>
  <si>
    <t>Hasardan kaynaklanan iadelerin finansal etkisi daha düşük</t>
  </si>
  <si>
    <t>Hasar, iadelerin %25’ini oluştursa da, geri kazanılan net ciro orijinal değerin %94’ü civarında kalıyor.</t>
  </si>
  <si>
    <t>İadeler, iade edilen siparişlerde %7 ciro kaybına yol açıyor</t>
  </si>
  <si>
    <t>Bu 686 iade üzerinden sadece %93’ü korunuyor (kupon ve kargo dahil).</t>
  </si>
  <si>
    <t>SUM of ref_turnover</t>
  </si>
  <si>
    <t>SUM of ref_ship</t>
  </si>
  <si>
    <t>SUM of ref_coupon</t>
  </si>
  <si>
    <t>Grand Total</t>
  </si>
  <si>
    <t>Weight of Refund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</si>
</sst>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[$£-809]#,##0.00"/>
  </numFmts>
  <fonts count="8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  <font>
      <b/>
      <sz val="20.0"/>
      <color theme="1"/>
      <name val="Nunito"/>
    </font>
    <font>
      <b/>
      <sz val="12.0"/>
      <color rgb="FFFFFFFF"/>
      <name val="Nunito"/>
    </font>
    <font>
      <b/>
      <color theme="1"/>
      <name val="Nunito"/>
    </font>
    <font>
      <color theme="1"/>
      <name val="Nunito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0" fillId="0" fontId="3" numFmtId="0" xfId="0" applyFont="1"/>
    <xf borderId="0" fillId="0" fontId="3" numFmtId="2" xfId="0" applyFont="1" applyNumberFormat="1"/>
    <xf borderId="0" fillId="0" fontId="3" numFmtId="164" xfId="0" applyFont="1" applyNumberFormat="1"/>
    <xf borderId="0" fillId="0" fontId="1" numFmtId="0" xfId="0" applyFont="1"/>
    <xf borderId="0" fillId="0" fontId="1" numFmtId="2" xfId="0" applyFont="1" applyNumberFormat="1"/>
    <xf borderId="0" fillId="0" fontId="1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3" fontId="5" numFmtId="0" xfId="0" applyAlignment="1" applyFill="1" applyFont="1">
      <alignment vertical="bottom"/>
    </xf>
    <xf borderId="0" fillId="3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9" fillId="0" fontId="6" numFmtId="0" xfId="0" applyAlignment="1" applyBorder="1" applyFont="1">
      <alignment horizontal="center" shrinkToFit="0" vertical="bottom" wrapText="1"/>
    </xf>
    <xf borderId="10" fillId="0" fontId="6" numFmtId="0" xfId="0" applyAlignment="1" applyBorder="1" applyFont="1">
      <alignment horizontal="center" shrinkToFit="0" vertical="bottom" wrapText="1"/>
    </xf>
    <xf borderId="11" fillId="0" fontId="2" numFmtId="0" xfId="0" applyBorder="1" applyFont="1"/>
    <xf borderId="12" fillId="0" fontId="2" numFmtId="0" xfId="0" applyBorder="1" applyFont="1"/>
    <xf borderId="9" fillId="0" fontId="7" numFmtId="0" xfId="0" applyAlignment="1" applyBorder="1" applyFont="1">
      <alignment shrinkToFit="0" wrapText="1"/>
    </xf>
    <xf borderId="11" fillId="0" fontId="3" numFmtId="0" xfId="0" applyBorder="1" applyFont="1"/>
    <xf borderId="10" fillId="0" fontId="7" numFmtId="0" xfId="0" applyAlignment="1" applyBorder="1" applyFont="1">
      <alignment shrinkToFit="0" wrapText="1"/>
    </xf>
    <xf borderId="9" fillId="0" fontId="3" numFmtId="0" xfId="0" applyBorder="1" applyFont="1"/>
    <xf borderId="10" fillId="0" fontId="3" numFmtId="0" xfId="0" applyBorder="1" applyFont="1"/>
    <xf borderId="12" fillId="0" fontId="3" numFmtId="0" xfId="0" applyBorder="1" applyFont="1"/>
    <xf borderId="2" fillId="0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0" fillId="0" fontId="7" numFmtId="0" xfId="0" applyFont="1"/>
    <xf borderId="0" fillId="0" fontId="1" numFmtId="165" xfId="0" applyFont="1" applyNumberForma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of orders_id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Global_quality_vision!$B$5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Global_quality_vision!$A$6:$A$8</c:f>
            </c:strRef>
          </c:cat>
          <c:val>
            <c:numRef>
              <c:f>Global_quality_vision!$B$6:$B$8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7239000" cy="482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342900</xdr:colOff>
      <xdr:row>2</xdr:row>
      <xdr:rowOff>0</xdr:rowOff>
    </xdr:from>
    <xdr:ext cx="3362325" cy="2085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0" sheet="Explo_refund_reason"/>
  </cacheSource>
  <cacheFields>
    <cacheField name="year" numFmtId="0">
      <sharedItems containsString="0" containsBlank="1" containsNumber="1" containsInteger="1">
        <n v="2021.0"/>
        <m/>
      </sharedItems>
    </cacheField>
    <cacheField name="month" numFmtId="0">
      <sharedItems containsString="0" containsBlank="1" containsNumber="1" containsInteger="1">
        <n v="10.0"/>
        <m/>
      </sharedItems>
    </cacheField>
    <cacheField name="day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m/>
      </sharedItems>
    </cacheField>
    <cacheField name="orders_id" numFmtId="0">
      <sharedItems containsString="0" containsBlank="1" containsNumber="1" containsInteger="1">
        <n v="1003644.0"/>
        <n v="1003989.0"/>
        <n v="1003585.0"/>
        <n v="1003362.0"/>
        <n v="1003322.0"/>
        <n v="1003992.0"/>
        <n v="1003540.0"/>
        <n v="1003712.0"/>
        <n v="1003802.0"/>
        <n v="1003568.0"/>
        <n v="1003822.0"/>
        <n v="1003395.0"/>
        <n v="1003641.0"/>
        <n v="1003698.0"/>
        <n v="1003880.0"/>
        <n v="1003851.0"/>
        <n v="1003501.0"/>
        <n v="1004010.0"/>
        <n v="1003808.0"/>
        <n v="1003454.0"/>
        <n v="1003446.0"/>
        <n v="1003723.0"/>
        <n v="1003634.0"/>
        <n v="1003584.0"/>
        <n v="1003298.0"/>
        <n v="1003500.0"/>
        <n v="1003730.0"/>
        <n v="1003312.0"/>
        <n v="1004011.0"/>
        <n v="1003598.0"/>
        <n v="1003593.0"/>
        <n v="1003406.0"/>
        <n v="1003629.0"/>
        <n v="1003326.0"/>
        <n v="1003967.0"/>
        <n v="1003650.0"/>
        <n v="1003389.0"/>
        <n v="1003330.0"/>
        <n v="1003780.0"/>
        <n v="1003787.0"/>
        <n v="1003803.0"/>
        <n v="1003761.0"/>
        <n v="1003981.0"/>
        <n v="1003997.0"/>
        <n v="1003484.0"/>
        <n v="1003645.0"/>
        <n v="1003642.0"/>
        <n v="1003718.0"/>
        <n v="1003685.0"/>
        <n v="1003753.0"/>
        <n v="1003684.0"/>
        <n v="1003627.0"/>
        <n v="1003375.0"/>
        <n v="1003764.0"/>
        <n v="1003689.0"/>
        <n v="1003518.0"/>
        <n v="1003944.0"/>
        <n v="1003826.0"/>
        <n v="1003660.0"/>
        <n v="1003818.0"/>
        <n v="1003925.0"/>
        <n v="1003861.0"/>
        <n v="1003288.0"/>
        <n v="1003948.0"/>
        <n v="1003443.0"/>
        <n v="1003654.0"/>
        <n v="1003702.0"/>
        <n v="1003287.0"/>
        <n v="1003384.0"/>
        <n v="1003603.0"/>
        <n v="1003296.0"/>
        <n v="1003360.0"/>
        <n v="1003433.0"/>
        <n v="1003463.0"/>
        <n v="1003565.0"/>
        <n v="1003404.0"/>
        <n v="1003895.0"/>
        <n v="1003613.0"/>
        <n v="1003347.0"/>
        <n v="1003458.0"/>
        <n v="1003290.0"/>
        <n v="1003570.0"/>
        <n v="1003418.0"/>
        <n v="1003846.0"/>
        <n v="1003932.0"/>
        <n v="1003784.0"/>
        <n v="1003426.0"/>
        <n v="1004000.0"/>
        <n v="1003823.0"/>
        <n v="1003357.0"/>
        <n v="1003591.0"/>
        <n v="1003459.0"/>
        <n v="1003825.0"/>
        <n v="1003302.0"/>
        <n v="1003343.0"/>
        <n v="1003726.0"/>
        <n v="1003328.0"/>
        <n v="1003798.0"/>
        <n v="1003448.0"/>
        <n v="1003429.0"/>
        <n v="1003400.0"/>
        <n v="1003845.0"/>
        <n v="1003376.0"/>
        <n v="1003342.0"/>
        <n v="1003713.0"/>
        <n v="1003986.0"/>
        <n v="1003844.0"/>
        <n v="1003371.0"/>
        <n v="1003849.0"/>
        <n v="1003606.0"/>
        <n v="1003680.0"/>
        <n v="1003928.0"/>
        <n v="1003536.0"/>
        <n v="1003567.0"/>
        <n v="1003839.0"/>
        <n v="1003857.0"/>
        <n v="1003359.0"/>
        <n v="1003905.0"/>
        <n v="1003858.0"/>
        <n v="1003929.0"/>
        <n v="1003491.0"/>
        <n v="1003987.0"/>
        <n v="1003455.0"/>
        <n v="1003478.0"/>
        <n v="1003906.0"/>
        <n v="1003479.0"/>
        <n v="1003365.0"/>
        <n v="1003377.0"/>
        <n v="1003617.0"/>
        <n v="1003941.0"/>
        <n v="1003460.0"/>
        <n v="1003637.0"/>
        <n v="1003466.0"/>
        <n v="1003708.0"/>
        <n v="1003885.0"/>
        <n v="1003581.0"/>
        <n v="1003672.0"/>
        <n v="1003414.0"/>
        <n v="1003386.0"/>
        <n v="1003792.0"/>
        <n v="1004023.0"/>
        <n v="1003333.0"/>
        <n v="1003911.0"/>
        <n v="1003431.0"/>
        <n v="1003563.0"/>
        <n v="1003355.0"/>
        <n v="1003461.0"/>
        <n v="1003522.0"/>
        <n v="1003706.0"/>
        <n v="1003659.0"/>
        <n v="1003955.0"/>
        <n v="1003523.0"/>
        <n v="1003474.0"/>
        <n v="1003690.0"/>
        <n v="1003542.0"/>
        <n v="1003978.0"/>
        <n v="1003813.0"/>
        <n v="1003653.0"/>
        <n v="1003551.0"/>
        <n v="1003619.0"/>
        <n v="1003804.0"/>
        <n v="1003482.0"/>
        <n v="1003515.0"/>
        <n v="1003363.0"/>
        <n v="1003751.0"/>
        <n v="1003577.0"/>
        <n v="1003628.0"/>
        <n v="1003762.0"/>
        <n v="1003985.0"/>
        <n v="1003676.0"/>
        <n v="1003670.0"/>
        <n v="1003856.0"/>
        <n v="1003417.0"/>
        <n v="1003691.0"/>
        <n v="1003382.0"/>
        <n v="1003589.0"/>
        <n v="1003868.0"/>
        <n v="1003438.0"/>
        <n v="1003538.0"/>
        <n v="1003476.0"/>
        <n v="1003661.0"/>
        <n v="1003863.0"/>
        <n v="1003877.0"/>
        <n v="1003450.0"/>
        <n v="1003741.0"/>
        <n v="1003769.0"/>
        <n v="1003423.0"/>
        <n v="1003779.0"/>
        <n v="1003614.0"/>
        <n v="1003971.0"/>
        <n v="1003934.0"/>
        <n v="1003470.0"/>
        <n v="1003767.0"/>
        <n v="1003876.0"/>
        <n v="1003995.0"/>
        <n v="1003735.0"/>
        <n v="1003869.0"/>
        <n v="1003535.0"/>
        <n v="1003412.0"/>
        <n v="1003878.0"/>
        <n v="1003311.0"/>
        <n v="1003421.0"/>
        <n v="1003502.0"/>
        <n v="1003301.0"/>
        <n v="1003451.0"/>
        <n v="1003687.0"/>
        <n v="1003394.0"/>
        <n v="1003541.0"/>
        <n v="1003324.0"/>
        <n v="1003731.0"/>
        <n v="1003548.0"/>
        <n v="1003656.0"/>
        <n v="1003828.0"/>
        <n v="1003434.0"/>
        <n v="1003667.0"/>
        <n v="1003353.0"/>
        <n v="1003370.0"/>
        <n v="1003560.0"/>
        <n v="1003306.0"/>
        <n v="1003553.0"/>
        <n v="1004019.0"/>
        <n v="1003402.0"/>
        <n v="1003403.0"/>
        <n v="1003775.0"/>
        <n v="1003704.0"/>
        <n v="1003467.0"/>
        <n v="1003430.0"/>
        <n v="1003349.0"/>
        <n v="1003946.0"/>
        <n v="1003738.0"/>
        <n v="1003897.0"/>
        <n v="1003666.0"/>
        <n v="1003325.0"/>
        <n v="1003962.0"/>
        <n v="1003351.0"/>
        <n v="1003700.0"/>
        <n v="1003475.0"/>
        <n v="1003834.0"/>
        <n v="1003552.0"/>
        <n v="1003334.0"/>
        <n v="1003293.0"/>
        <n v="1003308.0"/>
        <n v="1003883.0"/>
        <n v="1003890.0"/>
        <n v="1003316.0"/>
        <n v="1003558.0"/>
        <n v="1003449.0"/>
        <n v="1003574.0"/>
        <n v="1003899.0"/>
        <n v="1003286.0"/>
        <n v="1003586.0"/>
        <n v="1003668.0"/>
        <n v="1003746.0"/>
        <n v="1003481.0"/>
        <n v="1003504.0"/>
        <n v="1003527.0"/>
        <n v="1003800.0"/>
        <n v="1004013.0"/>
        <n v="1004018.0"/>
        <n v="1003320.0"/>
        <n v="1003374.0"/>
        <n v="1003930.0"/>
        <n v="1003920.0"/>
        <n v="1003295.0"/>
        <n v="1003348.0"/>
        <n v="1003578.0"/>
        <n v="1003942.0"/>
        <n v="1003728.0"/>
        <n v="1003819.0"/>
        <n v="1003497.0"/>
        <n v="1003327.0"/>
        <n v="1003759.0"/>
        <n v="1003304.0"/>
        <n v="1003439.0"/>
        <n v="1003626.0"/>
        <n v="1003413.0"/>
        <n v="1003770.0"/>
        <n v="1003994.0"/>
        <n v="1003368.0"/>
        <n v="1003472.0"/>
        <n v="1003422.0"/>
        <n v="1003697.0"/>
        <n v="1003321.0"/>
        <n v="1003329.0"/>
        <n v="1003477.0"/>
        <n v="1003485.0"/>
        <n v="1003972.0"/>
        <n v="1003597.0"/>
        <n v="1003625.0"/>
        <n v="1003608.0"/>
        <n v="1003621.0"/>
        <n v="1003688.0"/>
        <n v="1003630.0"/>
        <n v="1003866.0"/>
        <n v="1003937.0"/>
        <n v="1003462.0"/>
        <n v="1003356.0"/>
        <n v="1003965.0"/>
        <n v="1003595.0"/>
        <n v="1003756.0"/>
        <n v="1003397.0"/>
        <n v="1003520.0"/>
        <n v="1003884.0"/>
        <n v="1003752.0"/>
        <n v="1003830.0"/>
        <n v="1003984.0"/>
        <n v="1003508.0"/>
        <n v="1003976.0"/>
        <n v="1003457.0"/>
        <n v="1003285.0"/>
        <n v="1003840.0"/>
        <n v="1003635.0"/>
        <n v="1003640.0"/>
        <n v="1003755.0"/>
        <n v="1003682.0"/>
        <n v="1003838.0"/>
        <n v="1003309.0"/>
        <n v="1003379.0"/>
        <n v="1003512.0"/>
        <n v="1003549.0"/>
        <n v="1003793.0"/>
        <n v="1003305.0"/>
        <n v="1003772.0"/>
        <n v="1003879.0"/>
        <n v="1003496.0"/>
        <n v="1003580.0"/>
        <n v="1003339.0"/>
        <n v="1003590.0"/>
        <n v="1003909.0"/>
        <n v="1003471.0"/>
        <n v="1003727.0"/>
        <n v="1003469.0"/>
        <n v="1003927.0"/>
        <n v="1003865.0"/>
        <n v="1003554.0"/>
        <n v="1003809.0"/>
        <n v="1003744.0"/>
        <n v="1003910.0"/>
        <n v="1003658.0"/>
        <n v="1003736.0"/>
        <n v="1003882.0"/>
        <n v="1003711.0"/>
        <n v="1003832.0"/>
        <n v="1003850.0"/>
        <n v="1003765.0"/>
        <n v="1003693.0"/>
        <n v="1003859.0"/>
        <n v="1003592.0"/>
        <n v="1003361.0"/>
        <n v="1004006.0"/>
        <n v="1003483.0"/>
        <n v="1003525.0"/>
        <n v="1003579.0"/>
        <n v="1003345.0"/>
        <n v="1003399.0"/>
        <n v="1003709.0"/>
        <n v="1003998.0"/>
        <n v="1003453.0"/>
        <n v="1003652.0"/>
        <n v="1003488.0"/>
        <n v="1003852.0"/>
        <n v="1003794.0"/>
        <n v="1003915.0"/>
        <n v="1003344.0"/>
        <n v="1003816.0"/>
        <n v="1003398.0"/>
        <n v="1003896.0"/>
        <n v="1003999.0"/>
        <n v="1003582.0"/>
        <n v="1003938.0"/>
        <n v="1003872.0"/>
        <n v="1003837.0"/>
        <n v="1003908.0"/>
        <n v="1003760.0"/>
        <n v="1003973.0"/>
        <n v="1003969.0"/>
        <n v="1003366.0"/>
        <n v="1003875.0"/>
        <n v="1003724.0"/>
        <n v="1003815.0"/>
        <n v="1003864.0"/>
        <n v="1003990.0"/>
        <n v="1003757.0"/>
        <n v="1003294.0"/>
        <n v="1003495.0"/>
        <n v="1003499.0"/>
        <n v="1003646.0"/>
        <n v="1003602.0"/>
        <n v="1003954.0"/>
        <n v="1003993.0"/>
        <n v="1003699.0"/>
        <n v="1003776.0"/>
        <n v="1003657.0"/>
        <n v="1003983.0"/>
        <n v="1003436.0"/>
        <n v="1003572.0"/>
        <n v="1003550.0"/>
        <n v="1003812.0"/>
        <n v="1003604.0"/>
        <n v="1003444.0"/>
        <n v="1004007.0"/>
        <n v="1003963.0"/>
        <n v="1003534.0"/>
        <n v="1003338.0"/>
        <n v="1003926.0"/>
        <n v="1003571.0"/>
        <n v="1003774.0"/>
        <n v="1003665.0"/>
        <n v="1003873.0"/>
        <n v="1003506.0"/>
        <n v="1003931.0"/>
        <n v="1003902.0"/>
        <n v="1003960.0"/>
        <n v="1003980.0"/>
        <n v="1004002.0"/>
        <n v="1003975.0"/>
        <n v="1003789.0"/>
        <n v="1003425.0"/>
        <n v="1004012.0"/>
        <n v="1003750.0"/>
        <n v="1003795.0"/>
        <n v="1003610.0"/>
        <n v="1003391.0"/>
        <n v="1003373.0"/>
        <n v="1003961.0"/>
        <n v="1003703.0"/>
        <n v="1003530.0"/>
        <n v="1003284.0"/>
        <n v="1003318.0"/>
        <n v="1003970.0"/>
        <n v="1003289.0"/>
        <n v="1003921.0"/>
        <n v="1004008.0"/>
        <n v="1003922.0"/>
        <n v="1003547.0"/>
        <n v="1003766.0"/>
        <n v="1003559.0"/>
        <n v="1003768.0"/>
        <n v="1003651.0"/>
        <n v="1003820.0"/>
        <n v="1003988.0"/>
        <n v="1003607.0"/>
        <n v="1003874.0"/>
        <n v="1003564.0"/>
        <n v="1003692.0"/>
        <n v="1003410.0"/>
        <n v="1003300.0"/>
        <n v="1003914.0"/>
        <n v="1003842.0"/>
        <n v="1003486.0"/>
        <n v="1003435.0"/>
        <n v="1003817.0"/>
        <n v="1003791.0"/>
        <n v="1003489.0"/>
        <n v="1003531.0"/>
        <n v="1003919.0"/>
        <n v="1003618.0"/>
        <n v="1004004.0"/>
        <n v="1003419.0"/>
        <n v="1004003.0"/>
        <n v="1003557.0"/>
        <n v="1003291.0"/>
        <n v="1003950.0"/>
        <n v="1003888.0"/>
        <n v="1003638.0"/>
        <n v="1003440.0"/>
        <n v="1003596.0"/>
        <n v="1003903.0"/>
        <n v="1003814.0"/>
        <n v="1003441.0"/>
        <n v="1003354.0"/>
        <n v="1003734.0"/>
        <n v="1003924.0"/>
        <n v="1003979.0"/>
        <n v="1003456.0"/>
        <n v="1003945.0"/>
        <n v="1003797.0"/>
        <n v="1003392.0"/>
        <n v="1003633.0"/>
        <n v="1003452.0"/>
        <n v="1003695.0"/>
        <n v="1003539.0"/>
        <n v="1003889.0"/>
        <n v="1003317.0"/>
        <n v="1004014.0"/>
        <n v="1003892.0"/>
        <n v="1003887.0"/>
        <n v="1003367.0"/>
        <n v="1003378.0"/>
        <n v="1003647.0"/>
        <n v="1003387.0"/>
        <n v="1003555.0"/>
        <n v="1003526.0"/>
        <n v="1003663.0"/>
        <n v="1003953.0"/>
        <n v="1003383.0"/>
        <n v="1003566.0"/>
        <n v="1003599.0"/>
        <n v="1003543.0"/>
        <n v="1003336.0"/>
        <n v="1003799.0"/>
        <n v="1003829.0"/>
        <n v="1003801.0"/>
        <n v="1003332.0"/>
        <n v="1003854.0"/>
        <n v="1003299.0"/>
        <n v="1003503.0"/>
        <n v="1003964.0"/>
        <n v="1003881.0"/>
        <n v="1003514.0"/>
        <n v="1003609.0"/>
        <n v="1003473.0"/>
        <n v="1003532.0"/>
        <n v="1003346.0"/>
        <n v="1003420.0"/>
        <n v="1003717.0"/>
        <n v="1003428.0"/>
        <n v="1003649.0"/>
        <n v="1003319.0"/>
        <n v="1003313.0"/>
        <n v="1003314.0"/>
        <n v="1004016.0"/>
        <n v="1003622.0"/>
        <n v="1003958.0"/>
        <n v="1003517.0"/>
        <n v="1003524.0"/>
        <n v="1003505.0"/>
        <n v="1003388.0"/>
        <n v="1003732.0"/>
        <n v="1003545.0"/>
        <n v="1003364.0"/>
        <n v="1003576.0"/>
        <n v="1003323.0"/>
        <n v="1003537.0"/>
        <n v="1003624.0"/>
        <n v="1003544.0"/>
        <n v="1003350.0"/>
        <n v="1003616.0"/>
        <n v="1003977.0"/>
        <n v="1003468.0"/>
        <n v="1003748.0"/>
        <n v="1003411.0"/>
        <n v="1003790.0"/>
        <n v="1003283.0"/>
        <n v="1003358.0"/>
        <n v="1003401.0"/>
        <n v="1003786.0"/>
        <n v="1003923.0"/>
        <n v="1003678.0"/>
        <n v="1003891.0"/>
        <n v="1003655.0"/>
        <n v="1003372.0"/>
        <n v="1003632.0"/>
        <n v="1003758.0"/>
        <n v="1003715.0"/>
        <n v="1003335.0"/>
        <n v="1003782.0"/>
        <n v="1003533.0"/>
        <n v="1003696.0"/>
        <n v="1003611.0"/>
        <n v="1003297.0"/>
        <n v="1003939.0"/>
        <n v="1003683.0"/>
        <n v="1003783.0"/>
        <n v="1003867.0"/>
        <n v="1003310.0"/>
        <n v="1003904.0"/>
        <n v="1003763.0"/>
        <n v="1003303.0"/>
        <n v="1003487.0"/>
        <n v="1003824.0"/>
        <n v="1003788.0"/>
        <n v="1003901.0"/>
        <n v="1003900.0"/>
        <n v="1003494.0"/>
        <n v="1003686.0"/>
        <n v="1003636.0"/>
        <n v="1003749.0"/>
        <n v="1003720.0"/>
        <n v="1003785.0"/>
        <n v="1003677.0"/>
        <n v="1003340.0"/>
        <n v="1003701.0"/>
        <n v="1003511.0"/>
        <n v="1003573.0"/>
        <n v="1003831.0"/>
        <n v="1003959.0"/>
        <n v="1003674.0"/>
        <n v="1003947.0"/>
        <n v="1003562.0"/>
        <n v="1003513.0"/>
        <n v="1003605.0"/>
        <n v="1003917.0"/>
        <n v="1003853.0"/>
        <n v="1003796.0"/>
        <n v="1003575.0"/>
        <n v="1003498.0"/>
        <n v="1003936.0"/>
        <n v="1003569.0"/>
        <n v="1003442.0"/>
        <n v="1003594.0"/>
        <n v="1003966.0"/>
        <n v="1003719.0"/>
        <n v="1003725.0"/>
        <n v="1003519.0"/>
        <n v="1003415.0"/>
        <n v="1003437.0"/>
        <n v="1003390.0"/>
        <n v="1003918.0"/>
        <n v="1003292.0"/>
        <n v="1003743.0"/>
        <n v="1003913.0"/>
        <n v="1003385.0"/>
        <n v="1003447.0"/>
        <n v="1003773.0"/>
        <n v="1003601.0"/>
        <n v="1003588.0"/>
        <n v="1003521.0"/>
        <n v="1003836.0"/>
        <n v="1004020.0"/>
        <n v="1003407.0"/>
        <n v="1003416.0"/>
        <n v="1003424.0"/>
        <n v="1003432.0"/>
        <n v="1003480.0"/>
        <n v="1003490.0"/>
        <n v="1003492.0"/>
        <n v="1003507.0"/>
        <n v="1003510.0"/>
        <n v="1003528.0"/>
        <n v="1003546.0"/>
        <n v="1003561.0"/>
        <n v="1003583.0"/>
        <n v="1003615.0"/>
        <n v="1003620.0"/>
        <n v="1003623.0"/>
        <n v="1003648.0"/>
        <n v="1003662.0"/>
        <n v="1003664.0"/>
        <n v="1003669.0"/>
        <n v="1003673.0"/>
        <n v="1003679.0"/>
        <n v="1003681.0"/>
        <n v="1003694.0"/>
        <n v="1003710.0"/>
        <n v="1003714.0"/>
        <n v="1003722.0"/>
        <n v="1003733.0"/>
        <n v="1003737.0"/>
        <n v="1003739.0"/>
        <n v="1003740.0"/>
        <n v="1003747.0"/>
        <n v="1003754.0"/>
        <n v="1003777.0"/>
        <n v="1003781.0"/>
        <n v="1003805.0"/>
        <n v="1003807.0"/>
        <n v="1003810.0"/>
        <n v="1003811.0"/>
        <n v="1003821.0"/>
        <n v="1003827.0"/>
        <n v="1003833.0"/>
        <n v="1003841.0"/>
        <n v="1003847.0"/>
        <n v="1003855.0"/>
        <n v="1003870.0"/>
        <n v="1003871.0"/>
        <n v="1003893.0"/>
        <n v="1003894.0"/>
        <n v="1003898.0"/>
        <n v="1003912.0"/>
        <n v="1003935.0"/>
        <n v="1003949.0"/>
        <n v="1003951.0"/>
        <n v="1003952.0"/>
        <n v="1003968.0"/>
        <n v="1003982.0"/>
        <n v="1003991.0"/>
        <n v="1003996.0"/>
        <n v="1004001.0"/>
        <n v="1004005.0"/>
        <n v="1004009.0"/>
        <n v="1004015.0"/>
        <n v="1004017.0"/>
        <n v="1004021.0"/>
        <n v="1004022.0"/>
        <m/>
      </sharedItems>
    </cacheField>
    <cacheField name="ref_turnover" numFmtId="0">
      <sharedItems containsString="0" containsBlank="1" containsNumber="1">
        <n v="6.0"/>
        <n v="3.0"/>
        <n v="1.0"/>
        <n v="13.0"/>
        <n v="2.0"/>
        <n v="0.7595799120798356"/>
        <n v="9.0"/>
        <n v="0.43335126759828724"/>
        <n v="4.0"/>
        <n v="18.0"/>
        <n v="5.0"/>
        <n v="12.0"/>
        <n v="0.7571081116299295"/>
        <n v="11.0"/>
        <n v="10.0"/>
        <n v="7.0"/>
        <n v="8.0"/>
        <n v="0.2739746448184035"/>
        <n v="0.9921001389957108"/>
        <n v="17.0"/>
        <n v="0.11607868252724673"/>
        <n v="0.44557331025703306"/>
        <n v="0.7241937751960622"/>
        <n v="0.5273326786417548"/>
        <n v="0.06751311210253186"/>
        <n v="0.20990658130717954"/>
        <n v="0.8027852750014013"/>
        <n v="0.15438023042713223"/>
        <n v="0.3848026435531944"/>
        <n v="14.0"/>
        <n v="0.34762011296766715"/>
        <n v="0.7516991183302398"/>
        <n v="0.07463021206743825"/>
        <n v="0.3553481942915355"/>
        <n v="0.553065610367219"/>
        <n v="0.5602246257135752"/>
        <n v="0.9906947508126732"/>
        <n v="0.41891249411787845"/>
        <n v="0.3754180006316007"/>
        <n v="0.42889864981504233"/>
        <n v="0.8590133848862741"/>
        <n v="0.791385464979351"/>
        <n v="0.9909109803681703"/>
        <n v="0.7147263327122729"/>
        <n v="0.340939151429405"/>
        <n v="16.0"/>
        <n v="15.0"/>
        <n v="0.5469894970880074"/>
        <n v="0.7172113479667884"/>
        <n v="0.6764708825510813"/>
        <n v="0.43732425197267577"/>
        <n v="0.7262156568138505"/>
        <n v="0.10113960600499661"/>
        <n v="0.18740103382951157"/>
        <n v="0.39806592876747837"/>
        <n v="20.0"/>
        <n v="0.21354014762757223"/>
        <n v="0.4705142440133121"/>
        <n v="0.33776805225388906"/>
        <n v="19.0"/>
        <n v="0.7607697589508645"/>
        <n v="0.7119778754588065"/>
        <n v="0.5567175513801594"/>
        <n v="0.5104167275869016"/>
        <n v="0.291631331305816"/>
        <m/>
      </sharedItems>
    </cacheField>
    <cacheField name="ref_ship" numFmtId="0">
      <sharedItems containsString="0" containsBlank="1" containsNumber="1">
        <n v="0.0"/>
        <n v="5.75"/>
        <n v="6.64"/>
        <n v="4.63"/>
        <n v="8.09"/>
        <n v="3.25"/>
        <n v="5.57"/>
        <n v="0.95"/>
        <n v="13.01"/>
        <n v="0.86"/>
        <n v="3.36"/>
        <n v="6.36"/>
        <n v="3.7"/>
        <n v="3.65"/>
        <n v="3.58"/>
        <n v="0.94"/>
        <n v="3.55"/>
        <n v="0.93"/>
        <n v="8.25"/>
        <n v="9.38"/>
        <n v="0.92"/>
        <n v="7.42"/>
        <n v="7.36"/>
        <n v="6.54"/>
        <n v="0.83"/>
        <n v="6.08"/>
        <n v="3.35"/>
        <n v="3.63"/>
        <n v="0.87"/>
        <n v="3.49"/>
        <n v="0.88"/>
        <n v="0.85"/>
        <n v="5.43"/>
        <n v="7.0"/>
        <n v="3.56"/>
        <n v="6.25"/>
        <n v="0.91"/>
        <n v="9.15"/>
        <n v="0.89"/>
        <n v="3.34"/>
        <n v="6.49"/>
        <n v="18.48"/>
        <n v="5.92"/>
        <n v="3.32"/>
        <n v="4.64"/>
        <m/>
      </sharedItems>
    </cacheField>
    <cacheField name="ref_coupon" numFmtId="0">
      <sharedItems containsString="0" containsBlank="1" containsNumber="1">
        <n v="0.0"/>
        <n v="10.0"/>
        <n v="5.0"/>
        <n v="8.0"/>
        <n v="8.09"/>
        <n v="6.0"/>
        <n v="12.0"/>
        <n v="7.0"/>
        <n v="21.0"/>
        <n v="8.35"/>
        <n v="3.68"/>
        <n v="15.0"/>
        <n v="4.0"/>
        <m/>
      </sharedItems>
    </cacheField>
    <cacheField name="ref_reason" numFmtId="0">
      <sharedItems containsBlank="1">
        <s v="Damage"/>
        <s v="Wrong product"/>
        <s v="Return"/>
        <m/>
      </sharedItems>
    </cacheField>
    <cacheField name="turnover_per_order" numFmtId="0">
      <sharedItems containsString="0" containsBlank="1" containsNumber="1">
        <n v="53.54"/>
        <n v="247.62999999999997"/>
        <n v="41.48"/>
        <n v="183.52999999999997"/>
        <n v="200.75999999999996"/>
        <n v="16.41"/>
        <n v="55.63"/>
        <n v="111.65999999999998"/>
        <n v="140.18"/>
        <n v="107.53999999999999"/>
        <n v="58.64"/>
        <n v="111.61"/>
        <n v="132.75"/>
        <n v="72.60000000000001"/>
        <n v="45.4"/>
        <n v="47.55999999999999"/>
        <n v="118.60000000000001"/>
        <n v="295.24999999999994"/>
        <n v="118.62000000000002"/>
        <n v="36.58"/>
        <n v="7.32"/>
        <n v="81.56"/>
        <n v="71.35"/>
        <n v="100.41000000000001"/>
        <n v="57.67999999999999"/>
        <n v="57.31000000000001"/>
        <n v="92.65999999999998"/>
        <n v="97.5"/>
        <n v="365.77"/>
        <n v="41.81999999999999"/>
        <n v="95.99"/>
        <n v="84.70999999999998"/>
        <n v="48.88999999999999"/>
        <n v="107.55999999999999"/>
        <n v="35.69"/>
        <n v="147.73000000000002"/>
        <n v="259.24"/>
        <n v="67.96999999999998"/>
        <n v="50.5"/>
        <n v="31.119999999999997"/>
        <n v="61.31"/>
        <n v="55.800000000000004"/>
        <n v="198.36"/>
        <n v="25.01"/>
        <n v="89.71000000000001"/>
        <n v="52.489999999999995"/>
        <n v="192.61"/>
        <n v="122.70999999999998"/>
        <n v="25.71"/>
        <n v="35.88"/>
        <n v="102.37"/>
        <n v="52.56"/>
        <n v="17.35"/>
        <n v="55.76"/>
        <n v="63.3"/>
        <n v="22.35"/>
        <n v="92.83000000000001"/>
        <n v="47.03"/>
        <n v="67.12"/>
        <n v="77.61"/>
        <n v="104.85"/>
        <n v="105.16999999999999"/>
        <n v="90.60000000000001"/>
        <n v="55.17000000000001"/>
        <n v="72.66"/>
        <n v="409.12000000000006"/>
        <n v="59.44"/>
        <n v="115.49000000000001"/>
        <n v="139.92999999999998"/>
        <n v="55.089999999999996"/>
        <n v="103.45"/>
        <n v="79.87999999999998"/>
        <n v="126.22"/>
        <n v="68.19"/>
        <n v="124.12"/>
        <n v="61.790000000000006"/>
        <n v="48.13"/>
        <n v="59.35999999999999"/>
        <n v="171.41000000000003"/>
        <n v="302.38000000000005"/>
        <n v="137.11"/>
        <n v="204.25"/>
        <n v="127.7"/>
        <n v="70.59"/>
        <n v="103.38"/>
        <n v="89.25999999999999"/>
        <n v="89.07"/>
        <n v="76.94"/>
        <n v="91.34000000000002"/>
        <n v="48.28"/>
        <n v="39.19"/>
        <n v="131.76"/>
        <n v="51.300000000000004"/>
        <n v="89.58"/>
        <n v="47.1"/>
        <n v="73.63000000000001"/>
        <n v="63.67"/>
        <n v="49.96"/>
        <n v="7.37"/>
        <n v="52.58"/>
        <n v="44.44"/>
        <n v="55.1"/>
        <n v="75.93"/>
        <n v="137.63"/>
        <n v="75.47"/>
        <n v="255.85999999999999"/>
        <n v="43.150000000000006"/>
        <n v="51.3"/>
        <n v="57.309999999999995"/>
        <n v="135.38"/>
        <n v="51.760000000000005"/>
        <n v="49.410000000000004"/>
        <n v="67.76"/>
        <n v="112.75"/>
        <n v="55.89"/>
        <n v="91.5"/>
        <n v="29.639999999999997"/>
        <n v="136.5"/>
        <n v="93.49"/>
        <n v="55.42"/>
        <n v="70.76"/>
        <n v="106.07"/>
        <n v="76.18"/>
        <n v="123.12"/>
        <n v="63.2"/>
        <n v="29.41"/>
        <n v="66.33000000000001"/>
        <n v="120.66"/>
        <n v="67.37"/>
        <n v="89.85"/>
        <n v="94.87999999999998"/>
        <n v="3.8"/>
        <n v="73.86"/>
        <n v="129.37"/>
        <n v="121.76000000000002"/>
        <n v="62.669999999999995"/>
        <n v="66.98"/>
        <n v="62.65999999999999"/>
        <n v="76.42"/>
        <n v="180.12"/>
        <n v="145.21000000000004"/>
        <n v="68.45"/>
        <n v="36.72"/>
        <n v="57.400000000000006"/>
        <n v="59.81000000000001"/>
        <n v="99.16"/>
        <n v="52.63999999999999"/>
        <n v="36.26"/>
        <n v="148.93999999999997"/>
        <n v="101.71000000000001"/>
        <n v="85.7"/>
        <n v="22.47"/>
        <n v="61.12"/>
        <n v="40.61"/>
        <n v="188.22"/>
        <n v="24.18"/>
        <n v="64.0"/>
        <n v="54.97"/>
        <n v="73.52"/>
        <n v="38.25"/>
        <n v="68.05"/>
        <n v="41.120000000000005"/>
        <n v="113.22999999999999"/>
        <n v="69.64000000000001"/>
        <n v="55.08"/>
        <n v="46.64"/>
        <n v="81.07000000000001"/>
        <n v="47.089999999999996"/>
        <n v="29.75"/>
        <n v="104.39999999999999"/>
        <n v="35.81999999999999"/>
        <n v="56.28"/>
        <n v="79.56"/>
        <n v="13.74"/>
        <n v="62.92"/>
        <n v="59.36"/>
        <n v="148.7"/>
        <n v="34.16"/>
        <n v="60.410000000000004"/>
        <n v="47.74"/>
        <n v="45.19"/>
        <n v="66.44999999999999"/>
        <n v="57.339999999999996"/>
        <n v="130.49"/>
        <n v="44.730000000000004"/>
        <n v="92.19999999999999"/>
        <n v="60.52"/>
        <n v="17.48"/>
        <n v="19.52"/>
        <n v="31.9"/>
        <n v="42.37"/>
        <n v="117.55"/>
        <n v="37.0"/>
        <n v="36.66"/>
        <n v="120.89999999999999"/>
        <n v="59.17"/>
        <n v="83.61"/>
        <n v="53.03"/>
        <n v="31.76"/>
        <n v="127.53000000000002"/>
        <n v="8.72"/>
        <n v="100.59"/>
        <n v="47.720000000000006"/>
        <n v="23.94"/>
        <n v="65.48000000000002"/>
        <n v="39.64"/>
        <n v="105.24999999999999"/>
        <n v="84.05000000000001"/>
        <n v="34.45"/>
        <n v="181.46"/>
        <n v="32.74"/>
        <n v="53.089999999999996"/>
        <n v="137.25"/>
        <n v="85.85000000000001"/>
        <n v="171.45"/>
        <n v="13.149999999999999"/>
        <n v="60.21"/>
        <n v="51.51"/>
        <n v="53.419999999999995"/>
        <n v="54.43"/>
        <n v="55.339999999999996"/>
        <n v="26.35"/>
        <n v="51.22"/>
        <n v="99.53"/>
        <n v="74.75"/>
        <n v="111.63999999999997"/>
        <n v="82.4"/>
        <n v="77.83"/>
        <n v="59.88999999999999"/>
        <n v="53.61"/>
        <n v="57.17"/>
        <n v="31.93"/>
        <n v="73.19"/>
        <n v="45.53"/>
        <n v="23.830000000000002"/>
        <n v="113.38999999999999"/>
        <n v="152.67"/>
        <n v="109.9"/>
        <n v="49.129999999999995"/>
        <n v="56.44"/>
        <n v="85.56"/>
        <n v="23.27"/>
        <n v="126.49999999999997"/>
        <n v="61.730000000000004"/>
        <n v="34.42"/>
        <n v="72.37"/>
        <n v="108.01"/>
        <n v="8.24"/>
        <n v="36.82"/>
        <n v="53.86"/>
        <n v="32.239999999999995"/>
        <n v="48.45"/>
        <n v="32.96"/>
        <n v="99.63"/>
        <n v="119.49000000000001"/>
        <n v="32.76"/>
        <n v="142.16"/>
        <n v="20.52"/>
        <n v="29.119999999999997"/>
        <n v="5.86"/>
        <n v="49.47"/>
        <n v="23.86"/>
        <n v="54.76"/>
        <n v="15.78"/>
        <n v="62.86"/>
        <n v="96.58999999999999"/>
        <n v="163.71000000000004"/>
        <n v="70.62"/>
        <n v="57.019999999999996"/>
        <n v="71.6"/>
        <n v="128.05"/>
        <n v="122.38"/>
        <n v="77.75"/>
        <n v="96.34"/>
        <n v="72.44"/>
        <n v="57.87"/>
        <n v="84.82999999999998"/>
        <n v="54.720000000000006"/>
        <n v="87.76"/>
        <n v="135.92"/>
        <n v="146.92000000000002"/>
        <n v="110.29999999999998"/>
        <n v="74.56"/>
        <n v="123.81"/>
        <n v="98.03999999999999"/>
        <n v="14.03"/>
        <n v="95.41"/>
        <n v="73.39"/>
        <n v="22.57"/>
        <n v="37.650000000000006"/>
        <n v="16.39"/>
        <n v="26.79"/>
        <n v="131.47"/>
        <n v="15.93"/>
        <n v="105.6"/>
        <n v="80.60000000000001"/>
        <n v="144.10999999999999"/>
        <n v="63.09"/>
        <n v="19.33"/>
        <n v="50.22999999999999"/>
        <n v="140.97"/>
        <n v="90.94"/>
        <n v="46.480000000000004"/>
        <n v="82.19999999999999"/>
        <n v="29.16"/>
        <n v="58.269999999999996"/>
        <n v="75.86"/>
        <n v="134.61"/>
        <n v="11.66"/>
        <n v="93.68"/>
        <n v="40.83"/>
        <n v="68.08"/>
        <n v="41.64"/>
        <n v="83.37"/>
        <n v="81.21"/>
        <n v="247.87"/>
        <n v="65.03999999999999"/>
        <n v="41.349999999999994"/>
        <n v="75.54"/>
        <n v="98.47"/>
        <n v="38.46999999999999"/>
        <n v="88.07"/>
        <n v="94.08000000000001"/>
        <n v="58.760000000000005"/>
        <n v="95.84"/>
        <n v="149.78"/>
        <n v="60.010000000000005"/>
        <n v="55.51"/>
        <n v="129.35999999999999"/>
        <n v="39.1"/>
        <n v="64.55"/>
        <n v="42.73"/>
        <n v="105.78999999999999"/>
        <n v="163.04"/>
        <n v="48.370000000000005"/>
        <n v="18.29"/>
        <n v="134.81"/>
        <n v="44.65"/>
        <n v="22.16"/>
        <n v="31.59"/>
        <n v="39.08"/>
        <n v="54.35999999999999"/>
        <n v="32.07"/>
        <n v="89.04"/>
        <n v="35.84"/>
        <n v="35.44"/>
        <n v="74.72"/>
        <n v="19.16"/>
        <n v="59.07"/>
        <n v="92.84"/>
        <n v="47.08"/>
        <n v="42.67"/>
        <n v="61.78999999999999"/>
        <n v="18.2"/>
        <n v="55.32"/>
        <n v="36.32"/>
        <n v="86.22000000000001"/>
        <n v="67.19"/>
        <n v="54.54"/>
        <n v="64.61999999999999"/>
        <n v="37.37"/>
        <n v="56.33999999999999"/>
        <n v="172.26999999999998"/>
        <n v="37.95"/>
        <n v="88.34"/>
        <n v="211.73000000000002"/>
        <n v="19.2"/>
        <n v="55.489999999999995"/>
        <n v="75.36"/>
        <n v="49.209999999999994"/>
        <n v="107.88"/>
        <n v="22.83"/>
        <n v="44.970000000000006"/>
        <n v="30.89"/>
        <n v="42.21"/>
        <n v="66.83"/>
        <n v="100.94"/>
        <n v="379.44"/>
        <n v="16.09"/>
        <n v="86.81"/>
        <n v="63.57000000000001"/>
        <n v="33.989999999999995"/>
        <n v="156.54"/>
        <n v="54.0"/>
        <n v="55.84"/>
        <n v="97.83"/>
        <n v="43.69"/>
        <n v="108.4"/>
        <n v="54.25"/>
        <n v="52.980000000000004"/>
        <n v="75.82"/>
        <n v="49.94"/>
        <n v="34.97"/>
        <n v="47.81"/>
        <n v="112.4"/>
        <n v="77.44"/>
        <n v="100.19"/>
        <n v="13.34"/>
        <n v="39.769999999999996"/>
        <n v="44.97"/>
        <n v="35.47"/>
        <n v="53.95"/>
        <n v="39.14"/>
        <n v="43.129999999999995"/>
        <n v="45.949999999999996"/>
        <n v="92.86"/>
        <n v="124.41999999999999"/>
        <n v="37.24000000000001"/>
        <n v="39.72"/>
        <n v="69.61"/>
        <n v="37.120000000000005"/>
        <n v="38.06"/>
        <n v="68.93"/>
        <n v="144.09"/>
        <n v="26.91"/>
        <n v="113.58999999999999"/>
        <n v="73.98"/>
        <n v="73.91999999999999"/>
        <n v="44.56"/>
        <n v="50.98"/>
        <n v="47.589999999999996"/>
        <n v="46.15"/>
        <n v="33.45"/>
        <n v="56.059999999999995"/>
        <n v="234.5"/>
        <n v="55.69"/>
        <n v="84.64999999999998"/>
        <n v="34.7"/>
        <n v="56.13"/>
        <n v="59.88"/>
        <n v="10.750000000000002"/>
        <n v="36.75"/>
        <n v="9.23"/>
        <n v="111.4"/>
        <n v="41.019999999999996"/>
        <n v="165.53"/>
        <n v="89.7"/>
        <n v="96.48"/>
        <n v="37.17"/>
        <n v="145.57999999999998"/>
        <n v="51.72"/>
        <n v="95.85000000000001"/>
        <n v="43.75000000000001"/>
        <n v="41.89"/>
        <n v="126.11"/>
        <n v="149.05"/>
        <n v="10.99"/>
        <n v="20.17"/>
        <n v="52.61"/>
        <n v="33.480000000000004"/>
        <n v="35.879999999999995"/>
        <n v="21.82"/>
        <n v="17.34"/>
        <n v="48.02"/>
        <n v="10.35"/>
        <n v="154.95"/>
        <n v="42.83"/>
        <n v="41.2"/>
        <n v="57.96"/>
        <n v="53.019999999999996"/>
        <n v="62.22"/>
        <n v="53.22"/>
        <n v="71.67999999999999"/>
        <n v="14.29"/>
        <n v="135.73999999999998"/>
        <n v="59.3"/>
        <n v="55.36"/>
        <n v="99.10999999999999"/>
        <n v="117.60000000000001"/>
        <n v="68.17"/>
        <n v="39.879999999999995"/>
        <n v="33.19"/>
        <n v="138.12"/>
        <n v="40.89"/>
        <n v="139.29000000000002"/>
        <n v="54.88"/>
        <n v="91.14000000000001"/>
        <n v="106.15"/>
        <n v="132.14"/>
        <n v="27.86"/>
        <n v="62.830000000000005"/>
        <n v="92.67"/>
        <n v="139.31"/>
        <n v="43.72"/>
        <n v="63.13000000000001"/>
        <n v="60.45"/>
        <n v="56.73"/>
        <n v="84.87"/>
        <n v="183.49"/>
        <n v="27.04"/>
        <n v="32.37"/>
        <n v="85.57"/>
        <n v="32.21"/>
        <n v="34.99"/>
        <n v="61.150000000000006"/>
        <n v="101.33"/>
        <n v="80.97"/>
        <n v="114.95"/>
        <n v="96.06"/>
        <n v="157.57"/>
        <n v="44.129999999999995"/>
        <n v="37.12"/>
        <n v="68.6"/>
        <n v="36.84"/>
        <n v="89.34"/>
        <n v="70.33"/>
        <n v="98.23"/>
        <n v="100.48"/>
        <n v="77.86"/>
        <n v="20.88"/>
        <n v="73.67"/>
        <n v="146.42"/>
        <n v="64.81"/>
        <n v="40.35"/>
        <n v="72.35"/>
        <n v="49.12"/>
        <n v="28.98"/>
        <n v="37.82"/>
        <n v="56.86"/>
        <n v="71.25"/>
        <n v="132.78"/>
        <n v="5.67"/>
        <n v="59.56"/>
        <n v="35.39"/>
        <n v="53.690000000000005"/>
        <n v="34.26"/>
        <n v="71.99"/>
        <n v="125.57000000000001"/>
        <n v="27.92"/>
        <n v="82.81"/>
        <n v="49.11000000000001"/>
        <n v="196.63"/>
        <n v="20.14"/>
        <n v="40.45"/>
        <n v="76.08000000000001"/>
        <n v="66.58"/>
        <n v="12.67"/>
        <n v="157.37"/>
        <n v="37.85"/>
        <n v="86.59"/>
        <n v="31.939999999999998"/>
        <n v="67.32000000000001"/>
        <n v="37.94"/>
        <n v="12.54"/>
        <n v="86.07000000000001"/>
        <n v="10.68"/>
        <n v="15.75"/>
        <n v="43.23"/>
        <n v="12.24"/>
        <n v="55.57000000000001"/>
        <n v="61.60000000000001"/>
        <n v="26.7"/>
        <n v="14.21"/>
        <n v="7.01"/>
        <n v="47.68"/>
        <n v="118.80000000000003"/>
        <n v="93.7"/>
        <n v="66.20000000000002"/>
        <n v="165.04"/>
        <n v="65.12"/>
        <n v="20.269999999999996"/>
        <n v="5.69"/>
        <n v="59.5"/>
        <n v="32.0"/>
        <n v="29.78"/>
        <n v="24.27"/>
        <n v="31.690000000000005"/>
        <n v="81.29"/>
        <n v="40.27"/>
        <n v="13.280000000000001"/>
        <n v="21.42"/>
        <n v="55.870000000000005"/>
        <n v="74.57"/>
        <n v="59.769999999999996"/>
        <n v="16.96"/>
        <n v="15.64"/>
        <n v="96.67"/>
        <n v="22.830000000000002"/>
        <n v="50.81"/>
        <n v="88.4"/>
        <n v="72.3"/>
        <n v="78.65"/>
        <n v="4.83"/>
        <n v="63.96"/>
        <n v="76.06"/>
        <n v="93.88000000000001"/>
        <n v="48.85"/>
        <n v="63.360000000000014"/>
        <n v="34.46"/>
        <n v="13.55"/>
        <n v="40.49"/>
        <n v="38.45"/>
        <n v="195.73"/>
        <n v="27.07"/>
        <n v="17.17"/>
        <n v="25.83"/>
        <n v="9.74"/>
        <n v="136.13"/>
        <n v="101.03999999999999"/>
        <n v="98.49"/>
        <n v="135.07999999999998"/>
        <n v="67.96000000000001"/>
        <n v="93.21000000000001"/>
        <n v="26.86"/>
        <n v="77.06"/>
        <n v="102.85"/>
        <n v="45.85"/>
        <n v="62.48"/>
        <n v="43.86"/>
        <n v="3.18"/>
        <n v="10.97"/>
        <n v="13.41"/>
        <n v="83.95"/>
        <n v="4.25"/>
        <n v="61.519999999999996"/>
        <n v="86.83"/>
        <n v="21.15"/>
        <n v="43.42"/>
        <n v="59.94"/>
        <n v="59.21"/>
        <n v="77.22"/>
        <n v="54.82"/>
        <n v="40.67"/>
        <n v="39.76"/>
        <n v="19.68"/>
        <n v="10.77"/>
        <n v="9.85"/>
        <n v="73.14"/>
        <n v="38.66"/>
        <n v="38.63"/>
        <n v="58.06"/>
        <n v="6.54"/>
        <n v="75.41"/>
        <n v="16.75"/>
        <n v="79.84"/>
        <n v="28.8"/>
        <n v="29.89"/>
        <n v="17.94"/>
        <n v="3.77"/>
        <n v="19.28"/>
        <n v="65.35"/>
        <n v="102.38"/>
        <n v="99.28999999999999"/>
        <n v="10.92"/>
        <n v="65.78"/>
        <n v="37.2"/>
        <n v="15.67"/>
        <n v="84.43"/>
        <n v="38.62"/>
        <n v="14.13"/>
        <n v="46.31"/>
        <n v="58.25"/>
        <n v="12.55"/>
        <n v="104.03"/>
        <n v="23.02"/>
        <n v="103.31"/>
        <n v="127.34"/>
        <n v="37.06"/>
        <n v="32.89"/>
        <n v="31.99"/>
        <n v="98.24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Global_quality_vision" cacheId="0" dataCaption="" compact="0" compactData="0">
  <location ref="A1:A2" firstHeaderRow="0" firstDataRow="0" firstDataCol="0"/>
  <pivotFields>
    <pivotField name="year" compact="0" outline="0" multipleItemSelectionAllowed="1" showAll="0">
      <items>
        <item x="0"/>
        <item x="1"/>
        <item t="default"/>
      </items>
    </pivotField>
    <pivotField name="month" compact="0" outline="0" multipleItemSelectionAllowed="1" showAll="0">
      <items>
        <item x="0"/>
        <item x="1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orders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t="default"/>
      </items>
    </pivotField>
    <pivotField name="ref_turnov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ref_sh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f_coup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ref_reason" compact="0" outline="0" multipleItemSelectionAllowed="1" showAll="0">
      <items>
        <item x="0"/>
        <item x="1"/>
        <item x="2"/>
        <item x="3"/>
        <item t="default"/>
      </items>
    </pivotField>
    <pivotField name="turnover_per_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</pivotFields>
  <dataFields>
    <dataField name="COUNT of orders_id" fld="3" subtotal="countNums" baseField="0"/>
  </dataFields>
</pivotTableDefinition>
</file>

<file path=xl/pivotTables/pivotTable2.xml><?xml version="1.0" encoding="utf-8"?>
<pivotTableDefinition xmlns="http://schemas.openxmlformats.org/spreadsheetml/2006/main" name="Global_quality_vision 2" cacheId="0" dataCaption="" rowGrandTotals="0" compact="0" compactData="0">
  <location ref="A5:B8" firstHeaderRow="0" firstDataRow="1" firstDataCol="0"/>
  <pivotFields>
    <pivotField name="year" compact="0" outline="0" multipleItemSelectionAllowed="1" showAll="0">
      <items>
        <item x="0"/>
        <item x="1"/>
        <item t="default"/>
      </items>
    </pivotField>
    <pivotField name="month" compact="0" outline="0" multipleItemSelectionAllowed="1" showAll="0">
      <items>
        <item x="0"/>
        <item x="1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orders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t="default"/>
      </items>
    </pivotField>
    <pivotField name="ref_turnov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ref_sh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f_coup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ref_reason" axis="axisRow" compact="0" outline="0" multipleItemSelectionAllowed="1" showAll="0" sortType="ascending">
      <items>
        <item x="3"/>
        <item x="0"/>
        <item x="2"/>
        <item x="1"/>
        <item t="default"/>
      </items>
    </pivotField>
    <pivotField name="turnover_per_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</pivotFields>
  <rowFields>
    <field x="7"/>
  </rowFields>
  <dataFields>
    <dataField name="COUNT of orders_id" fld="3" subtotal="countNums" baseField="0"/>
  </dataFields>
</pivotTableDefinition>
</file>

<file path=xl/pivotTables/pivotTable3.xml><?xml version="1.0" encoding="utf-8"?>
<pivotTableDefinition xmlns="http://schemas.openxmlformats.org/spreadsheetml/2006/main" name="Refund_finance" cacheId="0" dataCaption="" compact="0" compactData="0">
  <location ref="A1:D5" firstHeaderRow="0" firstDataRow="2" firstDataCol="0"/>
  <pivotFields>
    <pivotField name="year" compact="0" outline="0" multipleItemSelectionAllowed="1" showAll="0">
      <items>
        <item x="0"/>
        <item x="1"/>
        <item t="default"/>
      </items>
    </pivotField>
    <pivotField name="month" compact="0" outline="0" multipleItemSelectionAllowed="1" showAll="0">
      <items>
        <item x="0"/>
        <item x="1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orders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t="default"/>
      </items>
    </pivotField>
    <pivotField name="ref_turnov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ref_ship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f_coup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ref_reason" axis="axisRow" compact="0" outline="0" multipleItemSelectionAllowed="1" showAll="0" sortType="ascending">
      <items>
        <item x="3"/>
        <item x="0"/>
        <item x="2"/>
        <item x="1"/>
        <item t="default"/>
      </items>
    </pivotField>
    <pivotField name="turnover_per_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</pivotFields>
  <rowFields>
    <field x="7"/>
  </rowFields>
  <colFields>
    <field x="-2"/>
  </colFields>
  <dataFields>
    <dataField name="SUM of ref_turnover" fld="4" baseField="0"/>
    <dataField name="SUM of ref_ship" fld="5" baseField="0"/>
    <dataField name="SUM of ref_coupon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>
      <c r="A2" s="4"/>
      <c r="Z2" s="5"/>
    </row>
    <row r="3">
      <c r="A3" s="4"/>
      <c r="Z3" s="5"/>
    </row>
    <row r="4">
      <c r="A4" s="4"/>
      <c r="Z4" s="5"/>
    </row>
    <row r="5">
      <c r="A5" s="4"/>
      <c r="Z5" s="5"/>
    </row>
    <row r="6">
      <c r="A6" s="4"/>
      <c r="Z6" s="5"/>
    </row>
    <row r="7">
      <c r="A7" s="4"/>
      <c r="Z7" s="5"/>
    </row>
    <row r="8">
      <c r="A8" s="4"/>
      <c r="Z8" s="5"/>
    </row>
    <row r="9">
      <c r="A9" s="4"/>
      <c r="Z9" s="5"/>
    </row>
    <row r="10">
      <c r="A10" s="4"/>
      <c r="Z10" s="5"/>
    </row>
    <row r="11">
      <c r="A11" s="4"/>
      <c r="Z11" s="5"/>
    </row>
    <row r="12">
      <c r="A12" s="4"/>
      <c r="Z12" s="5"/>
    </row>
    <row r="13">
      <c r="A13" s="4"/>
      <c r="Z13" s="5"/>
    </row>
    <row r="14">
      <c r="A14" s="4"/>
      <c r="Z14" s="5"/>
    </row>
    <row r="15">
      <c r="A15" s="4"/>
      <c r="Z15" s="5"/>
    </row>
    <row r="16">
      <c r="A16" s="4"/>
      <c r="Z16" s="5"/>
    </row>
    <row r="17">
      <c r="A17" s="4"/>
      <c r="Z17" s="5"/>
    </row>
    <row r="18">
      <c r="A18" s="4"/>
      <c r="Z18" s="5"/>
    </row>
    <row r="19">
      <c r="A19" s="4"/>
      <c r="Z19" s="5"/>
    </row>
    <row r="20">
      <c r="A20" s="4"/>
      <c r="Z20" s="5"/>
    </row>
    <row r="21">
      <c r="A21" s="4"/>
      <c r="Z21" s="5"/>
    </row>
    <row r="22">
      <c r="A22" s="4"/>
      <c r="Z22" s="5"/>
    </row>
    <row r="23">
      <c r="A23" s="4"/>
      <c r="Z23" s="5"/>
    </row>
    <row r="24">
      <c r="A24" s="4"/>
      <c r="Z24" s="5"/>
    </row>
    <row r="25">
      <c r="A25" s="4"/>
      <c r="Z25" s="5"/>
    </row>
    <row r="26">
      <c r="A26" s="4"/>
      <c r="Z26" s="5"/>
    </row>
    <row r="27">
      <c r="A27" s="4"/>
      <c r="Z27" s="5"/>
    </row>
    <row r="28">
      <c r="A28" s="4"/>
      <c r="Z28" s="5"/>
    </row>
    <row r="29">
      <c r="A29" s="4"/>
      <c r="Z29" s="5"/>
    </row>
    <row r="30">
      <c r="A30" s="4"/>
      <c r="Z30" s="5"/>
    </row>
    <row r="31">
      <c r="A31" s="4"/>
      <c r="Z31" s="5"/>
    </row>
    <row r="32">
      <c r="A32" s="4"/>
      <c r="Z32" s="5"/>
    </row>
    <row r="33">
      <c r="A33" s="4"/>
      <c r="Z33" s="5"/>
    </row>
    <row r="34">
      <c r="A34" s="4"/>
      <c r="Z34" s="5"/>
    </row>
    <row r="35">
      <c r="A35" s="4"/>
      <c r="Z35" s="5"/>
    </row>
    <row r="36">
      <c r="A36" s="4"/>
      <c r="Z36" s="5"/>
    </row>
    <row r="37">
      <c r="A37" s="4"/>
      <c r="Z37" s="5"/>
    </row>
    <row r="38">
      <c r="A38" s="4"/>
      <c r="Z38" s="5"/>
    </row>
    <row r="39">
      <c r="A39" s="4"/>
      <c r="Z39" s="5"/>
    </row>
    <row r="40">
      <c r="A40" s="4"/>
      <c r="Z40" s="5"/>
    </row>
    <row r="41">
      <c r="A41" s="4"/>
      <c r="Z41" s="5"/>
    </row>
    <row r="42">
      <c r="A42" s="4"/>
      <c r="Z42" s="5"/>
    </row>
    <row r="43">
      <c r="A43" s="4"/>
      <c r="Z43" s="5"/>
    </row>
    <row r="44">
      <c r="A44" s="4"/>
      <c r="Z44" s="5"/>
    </row>
    <row r="45">
      <c r="A45" s="4"/>
      <c r="Z45" s="5"/>
    </row>
    <row r="46">
      <c r="A46" s="4"/>
      <c r="Z46" s="5"/>
    </row>
    <row r="47">
      <c r="A47" s="4"/>
      <c r="Z47" s="5"/>
    </row>
    <row r="48">
      <c r="A48" s="4"/>
      <c r="Z48" s="5"/>
    </row>
    <row r="49">
      <c r="A49" s="4"/>
      <c r="Z49" s="5"/>
    </row>
    <row r="50">
      <c r="A50" s="4"/>
      <c r="Z50" s="5"/>
    </row>
    <row r="51">
      <c r="A51" s="4"/>
      <c r="Z51" s="5"/>
    </row>
    <row r="52">
      <c r="A52" s="4"/>
      <c r="Z52" s="5"/>
    </row>
    <row r="53">
      <c r="A53" s="4"/>
      <c r="Z53" s="5"/>
    </row>
    <row r="54">
      <c r="A54" s="4"/>
      <c r="Z54" s="5"/>
    </row>
    <row r="55">
      <c r="A55" s="4"/>
      <c r="Z55" s="5"/>
    </row>
    <row r="56">
      <c r="A56" s="4"/>
      <c r="Z56" s="5"/>
    </row>
    <row r="57">
      <c r="A57" s="4"/>
      <c r="Z57" s="5"/>
    </row>
    <row r="58">
      <c r="A58" s="4"/>
      <c r="Z58" s="5"/>
    </row>
    <row r="59">
      <c r="A59" s="4"/>
      <c r="Z59" s="5"/>
    </row>
    <row r="60">
      <c r="A60" s="4"/>
      <c r="Z60" s="5"/>
    </row>
    <row r="61">
      <c r="A61" s="4"/>
      <c r="Z61" s="5"/>
    </row>
    <row r="62">
      <c r="A62" s="4"/>
      <c r="Z62" s="5"/>
    </row>
    <row r="63">
      <c r="A63" s="4"/>
      <c r="Z63" s="5"/>
    </row>
    <row r="64">
      <c r="A64" s="4"/>
      <c r="Z64" s="5"/>
    </row>
    <row r="65">
      <c r="A65" s="4"/>
      <c r="Z65" s="5"/>
    </row>
    <row r="66">
      <c r="A66" s="4"/>
      <c r="Z66" s="5"/>
    </row>
    <row r="67">
      <c r="A67" s="4"/>
      <c r="Z67" s="5"/>
    </row>
    <row r="68">
      <c r="A68" s="4"/>
      <c r="Z68" s="5"/>
    </row>
    <row r="69">
      <c r="A69" s="4"/>
      <c r="Z69" s="5"/>
    </row>
    <row r="70">
      <c r="A70" s="4"/>
      <c r="Z70" s="5"/>
    </row>
    <row r="71">
      <c r="A71" s="4"/>
      <c r="Z71" s="5"/>
    </row>
    <row r="72">
      <c r="A72" s="4"/>
      <c r="Z72" s="5"/>
    </row>
    <row r="73">
      <c r="A73" s="4"/>
      <c r="Z73" s="5"/>
    </row>
    <row r="74">
      <c r="A74" s="4"/>
      <c r="Z74" s="5"/>
    </row>
    <row r="75">
      <c r="A75" s="4"/>
      <c r="Z75" s="5"/>
    </row>
    <row r="76">
      <c r="A76" s="4"/>
      <c r="Z76" s="5"/>
    </row>
    <row r="77">
      <c r="A77" s="4"/>
      <c r="Z77" s="5"/>
    </row>
    <row r="78">
      <c r="A78" s="4"/>
      <c r="Z78" s="5"/>
    </row>
    <row r="79">
      <c r="A79" s="4"/>
      <c r="Z79" s="5"/>
    </row>
    <row r="80">
      <c r="A80" s="4"/>
      <c r="Z80" s="5"/>
    </row>
    <row r="81">
      <c r="A81" s="4"/>
      <c r="Z81" s="5"/>
    </row>
    <row r="82">
      <c r="A82" s="4"/>
      <c r="Z82" s="5"/>
    </row>
    <row r="83">
      <c r="A83" s="4"/>
      <c r="Z83" s="5"/>
    </row>
    <row r="84">
      <c r="A84" s="4"/>
      <c r="Z84" s="5"/>
    </row>
    <row r="85">
      <c r="A85" s="4"/>
      <c r="Z85" s="5"/>
    </row>
    <row r="86">
      <c r="A86" s="4"/>
      <c r="Z86" s="5"/>
    </row>
    <row r="87">
      <c r="A87" s="4"/>
      <c r="Z87" s="5"/>
    </row>
    <row r="88">
      <c r="A88" s="4"/>
      <c r="Z88" s="5"/>
    </row>
    <row r="89">
      <c r="A89" s="4"/>
      <c r="Z89" s="5"/>
    </row>
    <row r="90">
      <c r="A90" s="4"/>
      <c r="Z90" s="5"/>
    </row>
    <row r="91">
      <c r="A91" s="4"/>
      <c r="Z91" s="5"/>
    </row>
    <row r="92">
      <c r="A92" s="4"/>
      <c r="Z92" s="5"/>
    </row>
    <row r="93">
      <c r="A93" s="4"/>
      <c r="Z93" s="5"/>
    </row>
    <row r="94">
      <c r="A94" s="4"/>
      <c r="Z94" s="5"/>
    </row>
    <row r="95">
      <c r="A95" s="4"/>
      <c r="Z95" s="5"/>
    </row>
    <row r="96">
      <c r="A96" s="4"/>
      <c r="Z96" s="5"/>
    </row>
    <row r="97">
      <c r="A97" s="4"/>
      <c r="Z97" s="5"/>
    </row>
    <row r="98">
      <c r="A98" s="4"/>
      <c r="Z98" s="5"/>
    </row>
    <row r="99">
      <c r="A99" s="4"/>
      <c r="Z99" s="5"/>
    </row>
    <row r="100">
      <c r="A100" s="4"/>
      <c r="Z100" s="5"/>
    </row>
    <row r="101">
      <c r="A101" s="4"/>
      <c r="Z101" s="5"/>
    </row>
    <row r="102">
      <c r="A102" s="4"/>
      <c r="Z102" s="5"/>
    </row>
    <row r="103">
      <c r="A103" s="4"/>
      <c r="Z103" s="5"/>
    </row>
    <row r="104">
      <c r="A104" s="4"/>
      <c r="Z104" s="5"/>
    </row>
    <row r="105">
      <c r="A105" s="4"/>
      <c r="Z105" s="5"/>
    </row>
    <row r="106">
      <c r="A106" s="4"/>
      <c r="Z106" s="5"/>
    </row>
    <row r="107">
      <c r="A107" s="4"/>
      <c r="Z107" s="5"/>
    </row>
    <row r="108">
      <c r="A108" s="4"/>
      <c r="Z108" s="5"/>
    </row>
    <row r="109">
      <c r="A109" s="4"/>
      <c r="Z109" s="5"/>
    </row>
    <row r="110">
      <c r="A110" s="4"/>
      <c r="Z110" s="5"/>
    </row>
    <row r="111">
      <c r="A111" s="4"/>
      <c r="Z111" s="5"/>
    </row>
    <row r="112">
      <c r="A112" s="4"/>
      <c r="Z112" s="5"/>
    </row>
    <row r="113">
      <c r="A113" s="4"/>
      <c r="Z113" s="5"/>
    </row>
    <row r="114">
      <c r="A114" s="4"/>
      <c r="Z114" s="5"/>
    </row>
    <row r="115">
      <c r="A115" s="4"/>
      <c r="Z115" s="5"/>
    </row>
    <row r="116">
      <c r="A116" s="4"/>
      <c r="Z116" s="5"/>
    </row>
    <row r="117">
      <c r="A117" s="4"/>
      <c r="Z117" s="5"/>
    </row>
    <row r="118">
      <c r="A118" s="4"/>
      <c r="Z118" s="5"/>
    </row>
    <row r="119">
      <c r="A119" s="4"/>
      <c r="Z119" s="5"/>
    </row>
    <row r="120">
      <c r="A120" s="4"/>
      <c r="Z120" s="5"/>
    </row>
    <row r="121">
      <c r="A121" s="4"/>
      <c r="Z121" s="5"/>
    </row>
    <row r="122">
      <c r="A122" s="4"/>
      <c r="Z122" s="5"/>
    </row>
    <row r="123">
      <c r="A123" s="4"/>
      <c r="Z123" s="5"/>
    </row>
    <row r="124">
      <c r="A124" s="4"/>
      <c r="Z124" s="5"/>
    </row>
    <row r="125">
      <c r="A125" s="4"/>
      <c r="Z125" s="5"/>
    </row>
    <row r="126">
      <c r="A126" s="4"/>
      <c r="Z126" s="5"/>
    </row>
    <row r="127">
      <c r="A127" s="4"/>
      <c r="Z127" s="5"/>
    </row>
    <row r="128">
      <c r="A128" s="4"/>
      <c r="Z128" s="5"/>
    </row>
    <row r="129">
      <c r="A129" s="4"/>
      <c r="Z129" s="5"/>
    </row>
    <row r="130">
      <c r="A130" s="4"/>
      <c r="Z130" s="5"/>
    </row>
    <row r="131">
      <c r="A131" s="4"/>
      <c r="Z131" s="5"/>
    </row>
    <row r="132">
      <c r="A132" s="4"/>
      <c r="Z132" s="5"/>
    </row>
    <row r="133">
      <c r="A133" s="4"/>
      <c r="Z133" s="5"/>
    </row>
    <row r="134">
      <c r="A134" s="4"/>
      <c r="Z134" s="5"/>
    </row>
    <row r="135">
      <c r="A135" s="4"/>
      <c r="Z135" s="5"/>
    </row>
    <row r="136">
      <c r="A136" s="4"/>
      <c r="Z136" s="5"/>
    </row>
    <row r="137">
      <c r="A137" s="4"/>
      <c r="Z137" s="5"/>
    </row>
    <row r="138">
      <c r="A138" s="4"/>
      <c r="Z138" s="5"/>
    </row>
    <row r="139">
      <c r="A139" s="4"/>
      <c r="Z139" s="5"/>
    </row>
    <row r="140">
      <c r="A140" s="4"/>
      <c r="Z140" s="5"/>
    </row>
    <row r="141">
      <c r="A141" s="4"/>
      <c r="Z141" s="5"/>
    </row>
    <row r="142">
      <c r="A142" s="4"/>
      <c r="Z142" s="5"/>
    </row>
    <row r="143">
      <c r="A143" s="4"/>
      <c r="Z143" s="5"/>
    </row>
    <row r="144">
      <c r="A144" s="4"/>
      <c r="Z144" s="5"/>
    </row>
    <row r="145">
      <c r="A145" s="4"/>
      <c r="Z145" s="5"/>
    </row>
    <row r="146">
      <c r="A146" s="4"/>
      <c r="Z146" s="5"/>
    </row>
    <row r="147">
      <c r="A147" s="4"/>
      <c r="Z147" s="5"/>
    </row>
    <row r="148">
      <c r="A148" s="4"/>
      <c r="Z148" s="5"/>
    </row>
    <row r="149">
      <c r="A149" s="4"/>
      <c r="Z149" s="5"/>
    </row>
    <row r="150">
      <c r="A150" s="4"/>
      <c r="Z150" s="5"/>
    </row>
    <row r="151">
      <c r="A151" s="4"/>
      <c r="Z151" s="5"/>
    </row>
    <row r="152">
      <c r="A152" s="4"/>
      <c r="Z152" s="5"/>
    </row>
    <row r="153">
      <c r="A153" s="4"/>
      <c r="Z153" s="5"/>
    </row>
    <row r="154">
      <c r="A154" s="4"/>
      <c r="Z154" s="5"/>
    </row>
    <row r="155">
      <c r="A155" s="4"/>
      <c r="Z155" s="5"/>
    </row>
    <row r="156">
      <c r="A156" s="4"/>
      <c r="Z156" s="5"/>
    </row>
    <row r="157">
      <c r="A157" s="4"/>
      <c r="Z157" s="5"/>
    </row>
    <row r="158">
      <c r="A158" s="4"/>
      <c r="Z158" s="5"/>
    </row>
    <row r="159">
      <c r="A159" s="4"/>
      <c r="Z159" s="5"/>
    </row>
    <row r="160">
      <c r="A160" s="4"/>
      <c r="Z160" s="5"/>
    </row>
    <row r="161">
      <c r="A161" s="4"/>
      <c r="Z161" s="5"/>
    </row>
    <row r="162">
      <c r="A162" s="4"/>
      <c r="Z162" s="5"/>
    </row>
    <row r="163">
      <c r="A163" s="4"/>
      <c r="Z163" s="5"/>
    </row>
    <row r="164">
      <c r="A164" s="4"/>
      <c r="Z164" s="5"/>
    </row>
    <row r="165">
      <c r="A165" s="4"/>
      <c r="Z165" s="5"/>
    </row>
    <row r="166">
      <c r="A166" s="4"/>
      <c r="Z166" s="5"/>
    </row>
    <row r="167">
      <c r="A167" s="4"/>
      <c r="Z167" s="5"/>
    </row>
    <row r="168">
      <c r="A168" s="4"/>
      <c r="Z168" s="5"/>
    </row>
    <row r="169">
      <c r="A169" s="4"/>
      <c r="Z169" s="5"/>
    </row>
    <row r="170">
      <c r="A170" s="4"/>
      <c r="Z170" s="5"/>
    </row>
    <row r="171">
      <c r="A171" s="4"/>
      <c r="Z171" s="5"/>
    </row>
    <row r="172">
      <c r="A172" s="4"/>
      <c r="Z172" s="5"/>
    </row>
    <row r="173">
      <c r="A173" s="4"/>
      <c r="Z173" s="5"/>
    </row>
    <row r="174">
      <c r="A174" s="4"/>
      <c r="Z174" s="5"/>
    </row>
    <row r="175">
      <c r="A175" s="4"/>
      <c r="Z175" s="5"/>
    </row>
    <row r="176">
      <c r="A176" s="4"/>
      <c r="Z176" s="5"/>
    </row>
    <row r="177">
      <c r="A177" s="4"/>
      <c r="Z177" s="5"/>
    </row>
    <row r="178">
      <c r="A178" s="4"/>
      <c r="Z178" s="5"/>
    </row>
    <row r="179">
      <c r="A179" s="4"/>
      <c r="Z179" s="5"/>
    </row>
    <row r="180">
      <c r="A180" s="4"/>
      <c r="Z180" s="5"/>
    </row>
    <row r="181">
      <c r="A181" s="4"/>
      <c r="Z181" s="5"/>
    </row>
    <row r="182">
      <c r="A182" s="4"/>
      <c r="Z182" s="5"/>
    </row>
    <row r="183">
      <c r="A183" s="4"/>
      <c r="Z183" s="5"/>
    </row>
    <row r="184">
      <c r="A184" s="4"/>
      <c r="Z184" s="5"/>
    </row>
    <row r="185">
      <c r="A185" s="4"/>
      <c r="Z185" s="5"/>
    </row>
    <row r="186">
      <c r="A186" s="4"/>
      <c r="Z186" s="5"/>
    </row>
    <row r="187">
      <c r="A187" s="4"/>
      <c r="Z187" s="5"/>
    </row>
    <row r="188">
      <c r="A188" s="4"/>
      <c r="Z188" s="5"/>
    </row>
    <row r="189">
      <c r="A189" s="4"/>
      <c r="Z189" s="5"/>
    </row>
    <row r="190">
      <c r="A190" s="4"/>
      <c r="Z190" s="5"/>
    </row>
    <row r="191">
      <c r="A191" s="4"/>
      <c r="Z191" s="5"/>
    </row>
    <row r="192">
      <c r="A192" s="4"/>
      <c r="Z192" s="5"/>
    </row>
    <row r="193">
      <c r="A193" s="4"/>
      <c r="Z193" s="5"/>
    </row>
    <row r="194">
      <c r="A194" s="4"/>
      <c r="Z194" s="5"/>
    </row>
    <row r="195">
      <c r="A195" s="4"/>
      <c r="Z195" s="5"/>
    </row>
    <row r="196">
      <c r="A196" s="4"/>
      <c r="Z196" s="5"/>
    </row>
    <row r="197">
      <c r="A197" s="4"/>
      <c r="Z197" s="5"/>
    </row>
    <row r="198">
      <c r="A198" s="4"/>
      <c r="Z198" s="5"/>
    </row>
    <row r="199">
      <c r="A199" s="4"/>
      <c r="Z199" s="5"/>
    </row>
    <row r="200">
      <c r="A200" s="4"/>
      <c r="Z200" s="5"/>
    </row>
    <row r="201">
      <c r="A201" s="4"/>
      <c r="Z201" s="5"/>
    </row>
    <row r="202">
      <c r="A202" s="4"/>
      <c r="Z202" s="5"/>
    </row>
    <row r="203">
      <c r="A203" s="4"/>
      <c r="Z203" s="5"/>
    </row>
    <row r="204">
      <c r="A204" s="4"/>
      <c r="Z204" s="5"/>
    </row>
    <row r="205">
      <c r="A205" s="4"/>
      <c r="Z205" s="5"/>
    </row>
    <row r="206">
      <c r="A206" s="4"/>
      <c r="Z206" s="5"/>
    </row>
    <row r="207">
      <c r="A207" s="4"/>
      <c r="Z207" s="5"/>
    </row>
    <row r="208">
      <c r="A208" s="4"/>
      <c r="Z208" s="5"/>
    </row>
    <row r="209">
      <c r="A209" s="4"/>
      <c r="Z209" s="5"/>
    </row>
    <row r="210">
      <c r="A210" s="4"/>
      <c r="Z210" s="5"/>
    </row>
    <row r="211">
      <c r="A211" s="4"/>
      <c r="Z211" s="5"/>
    </row>
    <row r="212">
      <c r="A212" s="4"/>
      <c r="Z212" s="5"/>
    </row>
    <row r="213">
      <c r="A213" s="4"/>
      <c r="Z213" s="5"/>
    </row>
    <row r="214">
      <c r="A214" s="4"/>
      <c r="Z214" s="5"/>
    </row>
    <row r="215">
      <c r="A215" s="4"/>
      <c r="Z215" s="5"/>
    </row>
    <row r="216">
      <c r="A216" s="4"/>
      <c r="Z216" s="5"/>
    </row>
    <row r="217">
      <c r="A217" s="4"/>
      <c r="Z217" s="5"/>
    </row>
    <row r="218">
      <c r="A218" s="4"/>
      <c r="Z218" s="5"/>
    </row>
    <row r="219">
      <c r="A219" s="4"/>
      <c r="Z219" s="5"/>
    </row>
    <row r="220">
      <c r="A220" s="4"/>
      <c r="Z220" s="5"/>
    </row>
    <row r="221">
      <c r="A221" s="4"/>
      <c r="Z221" s="5"/>
    </row>
    <row r="222">
      <c r="A222" s="4"/>
      <c r="Z222" s="5"/>
    </row>
    <row r="223">
      <c r="A223" s="4"/>
      <c r="Z223" s="5"/>
    </row>
    <row r="224">
      <c r="A224" s="4"/>
      <c r="Z224" s="5"/>
    </row>
    <row r="225">
      <c r="A225" s="4"/>
      <c r="Z225" s="5"/>
    </row>
    <row r="226">
      <c r="A226" s="4"/>
      <c r="Z226" s="5"/>
    </row>
    <row r="227">
      <c r="A227" s="4"/>
      <c r="Z227" s="5"/>
    </row>
    <row r="228">
      <c r="A228" s="4"/>
      <c r="Z228" s="5"/>
    </row>
    <row r="229">
      <c r="A229" s="4"/>
      <c r="Z229" s="5"/>
    </row>
    <row r="230">
      <c r="A230" s="4"/>
      <c r="Z230" s="5"/>
    </row>
    <row r="231">
      <c r="A231" s="4"/>
      <c r="Z231" s="5"/>
    </row>
    <row r="232">
      <c r="A232" s="4"/>
      <c r="Z232" s="5"/>
    </row>
    <row r="233">
      <c r="A233" s="4"/>
      <c r="Z233" s="5"/>
    </row>
    <row r="234">
      <c r="A234" s="4"/>
      <c r="Z234" s="5"/>
    </row>
    <row r="235">
      <c r="A235" s="4"/>
      <c r="Z235" s="5"/>
    </row>
    <row r="236">
      <c r="A236" s="4"/>
      <c r="Z236" s="5"/>
    </row>
    <row r="237">
      <c r="A237" s="4"/>
      <c r="Z237" s="5"/>
    </row>
    <row r="238">
      <c r="A238" s="4"/>
      <c r="Z238" s="5"/>
    </row>
    <row r="239">
      <c r="A239" s="4"/>
      <c r="Z239" s="5"/>
    </row>
    <row r="240">
      <c r="A240" s="4"/>
      <c r="Z240" s="5"/>
    </row>
    <row r="241">
      <c r="A241" s="4"/>
      <c r="Z241" s="5"/>
    </row>
    <row r="242">
      <c r="A242" s="4"/>
      <c r="Z242" s="5"/>
    </row>
    <row r="243">
      <c r="A243" s="4"/>
      <c r="Z243" s="5"/>
    </row>
    <row r="244">
      <c r="A244" s="4"/>
      <c r="Z244" s="5"/>
    </row>
    <row r="245">
      <c r="A245" s="4"/>
      <c r="Z245" s="5"/>
    </row>
    <row r="246">
      <c r="A246" s="4"/>
      <c r="Z246" s="5"/>
    </row>
    <row r="247">
      <c r="A247" s="4"/>
      <c r="Z247" s="5"/>
    </row>
    <row r="248">
      <c r="A248" s="4"/>
      <c r="Z248" s="5"/>
    </row>
    <row r="249">
      <c r="A249" s="4"/>
      <c r="Z249" s="5"/>
    </row>
    <row r="250">
      <c r="A250" s="4"/>
      <c r="Z250" s="5"/>
    </row>
    <row r="251">
      <c r="A251" s="4"/>
      <c r="Z251" s="5"/>
    </row>
    <row r="252">
      <c r="A252" s="4"/>
      <c r="Z252" s="5"/>
    </row>
    <row r="253">
      <c r="A253" s="4"/>
      <c r="Z253" s="5"/>
    </row>
    <row r="254">
      <c r="A254" s="4"/>
      <c r="Z254" s="5"/>
    </row>
    <row r="255">
      <c r="A255" s="4"/>
      <c r="Z255" s="5"/>
    </row>
    <row r="256">
      <c r="A256" s="4"/>
      <c r="Z256" s="5"/>
    </row>
    <row r="257">
      <c r="A257" s="4"/>
      <c r="Z257" s="5"/>
    </row>
    <row r="258">
      <c r="A258" s="4"/>
      <c r="Z258" s="5"/>
    </row>
    <row r="259">
      <c r="A259" s="4"/>
      <c r="Z259" s="5"/>
    </row>
    <row r="260">
      <c r="A260" s="4"/>
      <c r="Z260" s="5"/>
    </row>
    <row r="261">
      <c r="A261" s="4"/>
      <c r="Z261" s="5"/>
    </row>
    <row r="262">
      <c r="A262" s="4"/>
      <c r="Z262" s="5"/>
    </row>
    <row r="263">
      <c r="A263" s="4"/>
      <c r="Z263" s="5"/>
    </row>
    <row r="264">
      <c r="A264" s="4"/>
      <c r="Z264" s="5"/>
    </row>
    <row r="265">
      <c r="A265" s="4"/>
      <c r="Z265" s="5"/>
    </row>
    <row r="266">
      <c r="A266" s="4"/>
      <c r="Z266" s="5"/>
    </row>
    <row r="267">
      <c r="A267" s="4"/>
      <c r="Z267" s="5"/>
    </row>
    <row r="268">
      <c r="A268" s="4"/>
      <c r="Z268" s="5"/>
    </row>
    <row r="269">
      <c r="A269" s="4"/>
      <c r="Z269" s="5"/>
    </row>
    <row r="270">
      <c r="A270" s="4"/>
      <c r="Z270" s="5"/>
    </row>
    <row r="271">
      <c r="A271" s="4"/>
      <c r="Z271" s="5"/>
    </row>
    <row r="272">
      <c r="A272" s="4"/>
      <c r="Z272" s="5"/>
    </row>
    <row r="273">
      <c r="A273" s="4"/>
      <c r="Z273" s="5"/>
    </row>
    <row r="274">
      <c r="A274" s="4"/>
      <c r="Z274" s="5"/>
    </row>
    <row r="275">
      <c r="A275" s="4"/>
      <c r="Z275" s="5"/>
    </row>
    <row r="276">
      <c r="A276" s="4"/>
      <c r="Z276" s="5"/>
    </row>
    <row r="277">
      <c r="A277" s="4"/>
      <c r="Z277" s="5"/>
    </row>
    <row r="278">
      <c r="A278" s="4"/>
      <c r="Z278" s="5"/>
    </row>
    <row r="279">
      <c r="A279" s="4"/>
      <c r="Z279" s="5"/>
    </row>
    <row r="280">
      <c r="A280" s="4"/>
      <c r="Z280" s="5"/>
    </row>
    <row r="281">
      <c r="A281" s="4"/>
      <c r="Z281" s="5"/>
    </row>
    <row r="282">
      <c r="A282" s="4"/>
      <c r="Z282" s="5"/>
    </row>
    <row r="283">
      <c r="A283" s="4"/>
      <c r="Z283" s="5"/>
    </row>
    <row r="284">
      <c r="A284" s="4"/>
      <c r="Z284" s="5"/>
    </row>
    <row r="285">
      <c r="A285" s="4"/>
      <c r="Z285" s="5"/>
    </row>
    <row r="286">
      <c r="A286" s="4"/>
      <c r="Z286" s="5"/>
    </row>
    <row r="287">
      <c r="A287" s="4"/>
      <c r="Z287" s="5"/>
    </row>
    <row r="288">
      <c r="A288" s="4"/>
      <c r="Z288" s="5"/>
    </row>
    <row r="289">
      <c r="A289" s="4"/>
      <c r="Z289" s="5"/>
    </row>
    <row r="290">
      <c r="A290" s="4"/>
      <c r="Z290" s="5"/>
    </row>
    <row r="291">
      <c r="A291" s="4"/>
      <c r="Z291" s="5"/>
    </row>
    <row r="292">
      <c r="A292" s="4"/>
      <c r="Z292" s="5"/>
    </row>
    <row r="293">
      <c r="A293" s="4"/>
      <c r="Z293" s="5"/>
    </row>
    <row r="294">
      <c r="A294" s="4"/>
      <c r="Z294" s="5"/>
    </row>
    <row r="295">
      <c r="A295" s="4"/>
      <c r="Z295" s="5"/>
    </row>
    <row r="296">
      <c r="A296" s="4"/>
      <c r="Z296" s="5"/>
    </row>
    <row r="297">
      <c r="A297" s="4"/>
      <c r="Z297" s="5"/>
    </row>
    <row r="298">
      <c r="A298" s="4"/>
      <c r="Z298" s="5"/>
    </row>
    <row r="299">
      <c r="A299" s="4"/>
      <c r="Z299" s="5"/>
    </row>
    <row r="300">
      <c r="A300" s="4"/>
      <c r="Z300" s="5"/>
    </row>
    <row r="301">
      <c r="A301" s="4"/>
      <c r="Z301" s="5"/>
    </row>
    <row r="302">
      <c r="A302" s="4"/>
      <c r="Z302" s="5"/>
    </row>
    <row r="303">
      <c r="A303" s="4"/>
      <c r="Z303" s="5"/>
    </row>
    <row r="304">
      <c r="A304" s="4"/>
      <c r="Z304" s="5"/>
    </row>
    <row r="305">
      <c r="A305" s="4"/>
      <c r="Z305" s="5"/>
    </row>
    <row r="306">
      <c r="A306" s="4"/>
      <c r="Z306" s="5"/>
    </row>
    <row r="307">
      <c r="A307" s="4"/>
      <c r="Z307" s="5"/>
    </row>
    <row r="308">
      <c r="A308" s="4"/>
      <c r="Z308" s="5"/>
    </row>
    <row r="309">
      <c r="A309" s="4"/>
      <c r="Z309" s="5"/>
    </row>
    <row r="310">
      <c r="A310" s="4"/>
      <c r="Z310" s="5"/>
    </row>
    <row r="311">
      <c r="A311" s="4"/>
      <c r="Z311" s="5"/>
    </row>
    <row r="312">
      <c r="A312" s="4"/>
      <c r="Z312" s="5"/>
    </row>
    <row r="313">
      <c r="A313" s="4"/>
      <c r="Z313" s="5"/>
    </row>
    <row r="314">
      <c r="A314" s="4"/>
      <c r="Z314" s="5"/>
    </row>
    <row r="315">
      <c r="A315" s="4"/>
      <c r="Z315" s="5"/>
    </row>
    <row r="316">
      <c r="A316" s="4"/>
      <c r="Z316" s="5"/>
    </row>
    <row r="317">
      <c r="A317" s="4"/>
      <c r="Z317" s="5"/>
    </row>
    <row r="318">
      <c r="A318" s="4"/>
      <c r="Z318" s="5"/>
    </row>
    <row r="319">
      <c r="A319" s="4"/>
      <c r="Z319" s="5"/>
    </row>
    <row r="320">
      <c r="A320" s="4"/>
      <c r="Z320" s="5"/>
    </row>
    <row r="321">
      <c r="A321" s="4"/>
      <c r="Z321" s="5"/>
    </row>
    <row r="322">
      <c r="A322" s="4"/>
      <c r="Z322" s="5"/>
    </row>
    <row r="323">
      <c r="A323" s="4"/>
      <c r="Z323" s="5"/>
    </row>
    <row r="324">
      <c r="A324" s="4"/>
      <c r="Z324" s="5"/>
    </row>
    <row r="325">
      <c r="A325" s="4"/>
      <c r="Z325" s="5"/>
    </row>
    <row r="326">
      <c r="A326" s="4"/>
      <c r="Z326" s="5"/>
    </row>
    <row r="327">
      <c r="A327" s="4"/>
      <c r="Z327" s="5"/>
    </row>
    <row r="328">
      <c r="A328" s="4"/>
      <c r="Z328" s="5"/>
    </row>
    <row r="329">
      <c r="A329" s="4"/>
      <c r="Z329" s="5"/>
    </row>
    <row r="330">
      <c r="A330" s="4"/>
      <c r="Z330" s="5"/>
    </row>
    <row r="331">
      <c r="A331" s="4"/>
      <c r="Z331" s="5"/>
    </row>
    <row r="332">
      <c r="A332" s="4"/>
      <c r="Z332" s="5"/>
    </row>
    <row r="333">
      <c r="A333" s="4"/>
      <c r="Z333" s="5"/>
    </row>
    <row r="334">
      <c r="A334" s="4"/>
      <c r="Z334" s="5"/>
    </row>
    <row r="335">
      <c r="A335" s="4"/>
      <c r="Z335" s="5"/>
    </row>
    <row r="336">
      <c r="A336" s="4"/>
      <c r="Z336" s="5"/>
    </row>
    <row r="337">
      <c r="A337" s="4"/>
      <c r="Z337" s="5"/>
    </row>
    <row r="338">
      <c r="A338" s="4"/>
      <c r="Z338" s="5"/>
    </row>
    <row r="339">
      <c r="A339" s="4"/>
      <c r="Z339" s="5"/>
    </row>
    <row r="340">
      <c r="A340" s="4"/>
      <c r="Z340" s="5"/>
    </row>
    <row r="341">
      <c r="A341" s="4"/>
      <c r="Z341" s="5"/>
    </row>
    <row r="342">
      <c r="A342" s="4"/>
      <c r="Z342" s="5"/>
    </row>
    <row r="343">
      <c r="A343" s="4"/>
      <c r="Z343" s="5"/>
    </row>
    <row r="344">
      <c r="A344" s="4"/>
      <c r="Z344" s="5"/>
    </row>
    <row r="345">
      <c r="A345" s="4"/>
      <c r="Z345" s="5"/>
    </row>
    <row r="346">
      <c r="A346" s="4"/>
      <c r="Z346" s="5"/>
    </row>
    <row r="347">
      <c r="A347" s="4"/>
      <c r="Z347" s="5"/>
    </row>
    <row r="348">
      <c r="A348" s="4"/>
      <c r="Z348" s="5"/>
    </row>
    <row r="349">
      <c r="A349" s="4"/>
      <c r="Z349" s="5"/>
    </row>
    <row r="350">
      <c r="A350" s="4"/>
      <c r="Z350" s="5"/>
    </row>
    <row r="351">
      <c r="A351" s="4"/>
      <c r="Z351" s="5"/>
    </row>
    <row r="352">
      <c r="A352" s="4"/>
      <c r="Z352" s="5"/>
    </row>
    <row r="353">
      <c r="A353" s="4"/>
      <c r="Z353" s="5"/>
    </row>
    <row r="354">
      <c r="A354" s="4"/>
      <c r="Z354" s="5"/>
    </row>
    <row r="355">
      <c r="A355" s="4"/>
      <c r="Z355" s="5"/>
    </row>
    <row r="356">
      <c r="A356" s="4"/>
      <c r="Z356" s="5"/>
    </row>
    <row r="357">
      <c r="A357" s="4"/>
      <c r="Z357" s="5"/>
    </row>
    <row r="358">
      <c r="A358" s="4"/>
      <c r="Z358" s="5"/>
    </row>
    <row r="359">
      <c r="A359" s="4"/>
      <c r="Z359" s="5"/>
    </row>
    <row r="360">
      <c r="A360" s="4"/>
      <c r="Z360" s="5"/>
    </row>
    <row r="361">
      <c r="A361" s="4"/>
      <c r="Z361" s="5"/>
    </row>
    <row r="362">
      <c r="A362" s="4"/>
      <c r="Z362" s="5"/>
    </row>
    <row r="363">
      <c r="A363" s="4"/>
      <c r="Z363" s="5"/>
    </row>
    <row r="364">
      <c r="A364" s="4"/>
      <c r="Z364" s="5"/>
    </row>
    <row r="365">
      <c r="A365" s="4"/>
      <c r="Z365" s="5"/>
    </row>
    <row r="366">
      <c r="A366" s="4"/>
      <c r="Z366" s="5"/>
    </row>
    <row r="367">
      <c r="A367" s="4"/>
      <c r="Z367" s="5"/>
    </row>
    <row r="368">
      <c r="A368" s="4"/>
      <c r="Z368" s="5"/>
    </row>
    <row r="369">
      <c r="A369" s="4"/>
      <c r="Z369" s="5"/>
    </row>
    <row r="370">
      <c r="A370" s="4"/>
      <c r="Z370" s="5"/>
    </row>
    <row r="371">
      <c r="A371" s="4"/>
      <c r="Z371" s="5"/>
    </row>
    <row r="372">
      <c r="A372" s="4"/>
      <c r="Z372" s="5"/>
    </row>
    <row r="373">
      <c r="A373" s="4"/>
      <c r="Z373" s="5"/>
    </row>
    <row r="374">
      <c r="A374" s="4"/>
      <c r="Z374" s="5"/>
    </row>
    <row r="375">
      <c r="A375" s="4"/>
      <c r="Z375" s="5"/>
    </row>
    <row r="376">
      <c r="A376" s="4"/>
      <c r="Z376" s="5"/>
    </row>
    <row r="377">
      <c r="A377" s="4"/>
      <c r="Z377" s="5"/>
    </row>
    <row r="378">
      <c r="A378" s="4"/>
      <c r="Z378" s="5"/>
    </row>
    <row r="379">
      <c r="A379" s="4"/>
      <c r="Z379" s="5"/>
    </row>
    <row r="380">
      <c r="A380" s="4"/>
      <c r="Z380" s="5"/>
    </row>
    <row r="381">
      <c r="A381" s="4"/>
      <c r="Z381" s="5"/>
    </row>
    <row r="382">
      <c r="A382" s="4"/>
      <c r="Z382" s="5"/>
    </row>
    <row r="383">
      <c r="A383" s="4"/>
      <c r="Z383" s="5"/>
    </row>
    <row r="384">
      <c r="A384" s="4"/>
      <c r="Z384" s="5"/>
    </row>
    <row r="385">
      <c r="A385" s="4"/>
      <c r="Z385" s="5"/>
    </row>
    <row r="386">
      <c r="A386" s="4"/>
      <c r="Z386" s="5"/>
    </row>
    <row r="387">
      <c r="A387" s="4"/>
      <c r="Z387" s="5"/>
    </row>
    <row r="388">
      <c r="A388" s="4"/>
      <c r="Z388" s="5"/>
    </row>
    <row r="389">
      <c r="A389" s="4"/>
      <c r="Z389" s="5"/>
    </row>
    <row r="390">
      <c r="A390" s="4"/>
      <c r="Z390" s="5"/>
    </row>
    <row r="391">
      <c r="A391" s="4"/>
      <c r="Z391" s="5"/>
    </row>
    <row r="392">
      <c r="A392" s="4"/>
      <c r="Z392" s="5"/>
    </row>
    <row r="393">
      <c r="A393" s="4"/>
      <c r="Z393" s="5"/>
    </row>
    <row r="394">
      <c r="A394" s="4"/>
      <c r="Z394" s="5"/>
    </row>
    <row r="395">
      <c r="A395" s="4"/>
      <c r="Z395" s="5"/>
    </row>
    <row r="396">
      <c r="A396" s="4"/>
      <c r="Z396" s="5"/>
    </row>
    <row r="397">
      <c r="A397" s="4"/>
      <c r="Z397" s="5"/>
    </row>
    <row r="398">
      <c r="A398" s="4"/>
      <c r="Z398" s="5"/>
    </row>
    <row r="399">
      <c r="A399" s="4"/>
      <c r="Z399" s="5"/>
    </row>
    <row r="400">
      <c r="A400" s="4"/>
      <c r="Z400" s="5"/>
    </row>
    <row r="401">
      <c r="A401" s="4"/>
      <c r="Z401" s="5"/>
    </row>
    <row r="402">
      <c r="A402" s="4"/>
      <c r="Z402" s="5"/>
    </row>
    <row r="403">
      <c r="A403" s="4"/>
      <c r="Z403" s="5"/>
    </row>
    <row r="404">
      <c r="A404" s="4"/>
      <c r="Z404" s="5"/>
    </row>
    <row r="405">
      <c r="A405" s="4"/>
      <c r="Z405" s="5"/>
    </row>
    <row r="406">
      <c r="A406" s="4"/>
      <c r="Z406" s="5"/>
    </row>
    <row r="407">
      <c r="A407" s="4"/>
      <c r="Z407" s="5"/>
    </row>
    <row r="408">
      <c r="A408" s="4"/>
      <c r="Z408" s="5"/>
    </row>
    <row r="409">
      <c r="A409" s="4"/>
      <c r="Z409" s="5"/>
    </row>
    <row r="410">
      <c r="A410" s="4"/>
      <c r="Z410" s="5"/>
    </row>
    <row r="411">
      <c r="A411" s="4"/>
      <c r="Z411" s="5"/>
    </row>
    <row r="412">
      <c r="A412" s="4"/>
      <c r="Z412" s="5"/>
    </row>
    <row r="413">
      <c r="A413" s="4"/>
      <c r="Z413" s="5"/>
    </row>
    <row r="414">
      <c r="A414" s="4"/>
      <c r="Z414" s="5"/>
    </row>
    <row r="415">
      <c r="A415" s="4"/>
      <c r="Z415" s="5"/>
    </row>
    <row r="416">
      <c r="A416" s="4"/>
      <c r="Z416" s="5"/>
    </row>
    <row r="417">
      <c r="A417" s="4"/>
      <c r="Z417" s="5"/>
    </row>
    <row r="418">
      <c r="A418" s="4"/>
      <c r="Z418" s="5"/>
    </row>
    <row r="419">
      <c r="A419" s="4"/>
      <c r="Z419" s="5"/>
    </row>
    <row r="420">
      <c r="A420" s="4"/>
      <c r="Z420" s="5"/>
    </row>
    <row r="421">
      <c r="A421" s="4"/>
      <c r="Z421" s="5"/>
    </row>
    <row r="422">
      <c r="A422" s="4"/>
      <c r="Z422" s="5"/>
    </row>
    <row r="423">
      <c r="A423" s="4"/>
      <c r="Z423" s="5"/>
    </row>
    <row r="424">
      <c r="A424" s="4"/>
      <c r="Z424" s="5"/>
    </row>
    <row r="425">
      <c r="A425" s="4"/>
      <c r="Z425" s="5"/>
    </row>
    <row r="426">
      <c r="A426" s="4"/>
      <c r="Z426" s="5"/>
    </row>
    <row r="427">
      <c r="A427" s="4"/>
      <c r="Z427" s="5"/>
    </row>
    <row r="428">
      <c r="A428" s="4"/>
      <c r="Z428" s="5"/>
    </row>
    <row r="429">
      <c r="A429" s="4"/>
      <c r="Z429" s="5"/>
    </row>
    <row r="430">
      <c r="A430" s="4"/>
      <c r="Z430" s="5"/>
    </row>
    <row r="431">
      <c r="A431" s="4"/>
      <c r="Z431" s="5"/>
    </row>
    <row r="432">
      <c r="A432" s="4"/>
      <c r="Z432" s="5"/>
    </row>
    <row r="433">
      <c r="A433" s="4"/>
      <c r="Z433" s="5"/>
    </row>
    <row r="434">
      <c r="A434" s="4"/>
      <c r="Z434" s="5"/>
    </row>
    <row r="435">
      <c r="A435" s="4"/>
      <c r="Z435" s="5"/>
    </row>
    <row r="436">
      <c r="A436" s="4"/>
      <c r="Z436" s="5"/>
    </row>
    <row r="437">
      <c r="A437" s="4"/>
      <c r="Z437" s="5"/>
    </row>
    <row r="438">
      <c r="A438" s="4"/>
      <c r="Z438" s="5"/>
    </row>
    <row r="439">
      <c r="A439" s="4"/>
      <c r="Z439" s="5"/>
    </row>
    <row r="440">
      <c r="A440" s="4"/>
      <c r="Z440" s="5"/>
    </row>
    <row r="441">
      <c r="A441" s="4"/>
      <c r="Z441" s="5"/>
    </row>
    <row r="442">
      <c r="A442" s="4"/>
      <c r="Z442" s="5"/>
    </row>
    <row r="443">
      <c r="A443" s="4"/>
      <c r="Z443" s="5"/>
    </row>
    <row r="444">
      <c r="A444" s="4"/>
      <c r="Z444" s="5"/>
    </row>
    <row r="445">
      <c r="A445" s="4"/>
      <c r="Z445" s="5"/>
    </row>
    <row r="446">
      <c r="A446" s="4"/>
      <c r="Z446" s="5"/>
    </row>
    <row r="447">
      <c r="A447" s="4"/>
      <c r="Z447" s="5"/>
    </row>
    <row r="448">
      <c r="A448" s="4"/>
      <c r="Z448" s="5"/>
    </row>
    <row r="449">
      <c r="A449" s="4"/>
      <c r="Z449" s="5"/>
    </row>
    <row r="450">
      <c r="A450" s="4"/>
      <c r="Z450" s="5"/>
    </row>
    <row r="451">
      <c r="A451" s="4"/>
      <c r="Z451" s="5"/>
    </row>
    <row r="452">
      <c r="A452" s="4"/>
      <c r="Z452" s="5"/>
    </row>
    <row r="453">
      <c r="A453" s="4"/>
      <c r="Z453" s="5"/>
    </row>
    <row r="454">
      <c r="A454" s="4"/>
      <c r="Z454" s="5"/>
    </row>
    <row r="455">
      <c r="A455" s="4"/>
      <c r="Z455" s="5"/>
    </row>
    <row r="456">
      <c r="A456" s="4"/>
      <c r="Z456" s="5"/>
    </row>
    <row r="457">
      <c r="A457" s="4"/>
      <c r="Z457" s="5"/>
    </row>
    <row r="458">
      <c r="A458" s="4"/>
      <c r="Z458" s="5"/>
    </row>
    <row r="459">
      <c r="A459" s="4"/>
      <c r="Z459" s="5"/>
    </row>
    <row r="460">
      <c r="A460" s="4"/>
      <c r="Z460" s="5"/>
    </row>
    <row r="461">
      <c r="A461" s="4"/>
      <c r="Z461" s="5"/>
    </row>
    <row r="462">
      <c r="A462" s="4"/>
      <c r="Z462" s="5"/>
    </row>
    <row r="463">
      <c r="A463" s="4"/>
      <c r="Z463" s="5"/>
    </row>
    <row r="464">
      <c r="A464" s="4"/>
      <c r="Z464" s="5"/>
    </row>
    <row r="465">
      <c r="A465" s="4"/>
      <c r="Z465" s="5"/>
    </row>
    <row r="466">
      <c r="A466" s="4"/>
      <c r="Z466" s="5"/>
    </row>
    <row r="467">
      <c r="A467" s="4"/>
      <c r="Z467" s="5"/>
    </row>
    <row r="468">
      <c r="A468" s="4"/>
      <c r="Z468" s="5"/>
    </row>
    <row r="469">
      <c r="A469" s="4"/>
      <c r="Z469" s="5"/>
    </row>
    <row r="470">
      <c r="A470" s="4"/>
      <c r="Z470" s="5"/>
    </row>
    <row r="471">
      <c r="A471" s="4"/>
      <c r="Z471" s="5"/>
    </row>
    <row r="472">
      <c r="A472" s="4"/>
      <c r="Z472" s="5"/>
    </row>
    <row r="473">
      <c r="A473" s="4"/>
      <c r="Z473" s="5"/>
    </row>
    <row r="474">
      <c r="A474" s="4"/>
      <c r="Z474" s="5"/>
    </row>
    <row r="475">
      <c r="A475" s="4"/>
      <c r="Z475" s="5"/>
    </row>
    <row r="476">
      <c r="A476" s="4"/>
      <c r="Z476" s="5"/>
    </row>
    <row r="477">
      <c r="A477" s="4"/>
      <c r="Z477" s="5"/>
    </row>
    <row r="478">
      <c r="A478" s="4"/>
      <c r="Z478" s="5"/>
    </row>
    <row r="479">
      <c r="A479" s="4"/>
      <c r="Z479" s="5"/>
    </row>
    <row r="480">
      <c r="A480" s="4"/>
      <c r="Z480" s="5"/>
    </row>
    <row r="481">
      <c r="A481" s="4"/>
      <c r="Z481" s="5"/>
    </row>
    <row r="482">
      <c r="A482" s="4"/>
      <c r="Z482" s="5"/>
    </row>
    <row r="483">
      <c r="A483" s="4"/>
      <c r="Z483" s="5"/>
    </row>
    <row r="484">
      <c r="A484" s="4"/>
      <c r="Z484" s="5"/>
    </row>
    <row r="485">
      <c r="A485" s="4"/>
      <c r="Z485" s="5"/>
    </row>
    <row r="486">
      <c r="A486" s="4"/>
      <c r="Z486" s="5"/>
    </row>
    <row r="487">
      <c r="A487" s="4"/>
      <c r="Z487" s="5"/>
    </row>
    <row r="488">
      <c r="A488" s="4"/>
      <c r="Z488" s="5"/>
    </row>
    <row r="489">
      <c r="A489" s="4"/>
      <c r="Z489" s="5"/>
    </row>
    <row r="490">
      <c r="A490" s="4"/>
      <c r="Z490" s="5"/>
    </row>
    <row r="491">
      <c r="A491" s="4"/>
      <c r="Z491" s="5"/>
    </row>
    <row r="492">
      <c r="A492" s="4"/>
      <c r="Z492" s="5"/>
    </row>
    <row r="493">
      <c r="A493" s="4"/>
      <c r="Z493" s="5"/>
    </row>
    <row r="494">
      <c r="A494" s="4"/>
      <c r="Z494" s="5"/>
    </row>
    <row r="495">
      <c r="A495" s="4"/>
      <c r="Z495" s="5"/>
    </row>
    <row r="496">
      <c r="A496" s="4"/>
      <c r="Z496" s="5"/>
    </row>
    <row r="497">
      <c r="A497" s="4"/>
      <c r="Z497" s="5"/>
    </row>
    <row r="498">
      <c r="A498" s="4"/>
      <c r="Z498" s="5"/>
    </row>
    <row r="499">
      <c r="A499" s="4"/>
      <c r="Z499" s="5"/>
    </row>
    <row r="500">
      <c r="A500" s="4"/>
      <c r="Z500" s="5"/>
    </row>
    <row r="501">
      <c r="A501" s="4"/>
      <c r="Z501" s="5"/>
    </row>
    <row r="502">
      <c r="A502" s="4"/>
      <c r="Z502" s="5"/>
    </row>
    <row r="503">
      <c r="A503" s="4"/>
      <c r="Z503" s="5"/>
    </row>
    <row r="504">
      <c r="A504" s="4"/>
      <c r="Z504" s="5"/>
    </row>
    <row r="505">
      <c r="A505" s="4"/>
      <c r="Z505" s="5"/>
    </row>
    <row r="506">
      <c r="A506" s="4"/>
      <c r="Z506" s="5"/>
    </row>
    <row r="507">
      <c r="A507" s="4"/>
      <c r="Z507" s="5"/>
    </row>
    <row r="508">
      <c r="A508" s="4"/>
      <c r="Z508" s="5"/>
    </row>
    <row r="509">
      <c r="A509" s="4"/>
      <c r="Z509" s="5"/>
    </row>
    <row r="510">
      <c r="A510" s="4"/>
      <c r="Z510" s="5"/>
    </row>
    <row r="511">
      <c r="A511" s="4"/>
      <c r="Z511" s="5"/>
    </row>
    <row r="512">
      <c r="A512" s="4"/>
      <c r="Z512" s="5"/>
    </row>
    <row r="513">
      <c r="A513" s="4"/>
      <c r="Z513" s="5"/>
    </row>
    <row r="514">
      <c r="A514" s="4"/>
      <c r="Z514" s="5"/>
    </row>
    <row r="515">
      <c r="A515" s="4"/>
      <c r="Z515" s="5"/>
    </row>
    <row r="516">
      <c r="A516" s="4"/>
      <c r="Z516" s="5"/>
    </row>
    <row r="517">
      <c r="A517" s="4"/>
      <c r="Z517" s="5"/>
    </row>
    <row r="518">
      <c r="A518" s="4"/>
      <c r="Z518" s="5"/>
    </row>
    <row r="519">
      <c r="A519" s="4"/>
      <c r="Z519" s="5"/>
    </row>
    <row r="520">
      <c r="A520" s="4"/>
      <c r="Z520" s="5"/>
    </row>
    <row r="521">
      <c r="A521" s="4"/>
      <c r="Z521" s="5"/>
    </row>
    <row r="522">
      <c r="A522" s="4"/>
      <c r="Z522" s="5"/>
    </row>
    <row r="523">
      <c r="A523" s="4"/>
      <c r="Z523" s="5"/>
    </row>
    <row r="524">
      <c r="A524" s="4"/>
      <c r="Z524" s="5"/>
    </row>
    <row r="525">
      <c r="A525" s="4"/>
      <c r="Z525" s="5"/>
    </row>
    <row r="526">
      <c r="A526" s="4"/>
      <c r="Z526" s="5"/>
    </row>
    <row r="527">
      <c r="A527" s="4"/>
      <c r="Z527" s="5"/>
    </row>
    <row r="528">
      <c r="A528" s="4"/>
      <c r="Z528" s="5"/>
    </row>
    <row r="529">
      <c r="A529" s="4"/>
      <c r="Z529" s="5"/>
    </row>
    <row r="530">
      <c r="A530" s="4"/>
      <c r="Z530" s="5"/>
    </row>
    <row r="531">
      <c r="A531" s="4"/>
      <c r="Z531" s="5"/>
    </row>
    <row r="532">
      <c r="A532" s="4"/>
      <c r="Z532" s="5"/>
    </row>
    <row r="533">
      <c r="A533" s="4"/>
      <c r="Z533" s="5"/>
    </row>
    <row r="534">
      <c r="A534" s="4"/>
      <c r="Z534" s="5"/>
    </row>
    <row r="535">
      <c r="A535" s="4"/>
      <c r="Z535" s="5"/>
    </row>
    <row r="536">
      <c r="A536" s="4"/>
      <c r="Z536" s="5"/>
    </row>
    <row r="537">
      <c r="A537" s="4"/>
      <c r="Z537" s="5"/>
    </row>
    <row r="538">
      <c r="A538" s="4"/>
      <c r="Z538" s="5"/>
    </row>
    <row r="539">
      <c r="A539" s="4"/>
      <c r="Z539" s="5"/>
    </row>
    <row r="540">
      <c r="A540" s="4"/>
      <c r="Z540" s="5"/>
    </row>
    <row r="541">
      <c r="A541" s="4"/>
      <c r="Z541" s="5"/>
    </row>
    <row r="542">
      <c r="A542" s="4"/>
      <c r="Z542" s="5"/>
    </row>
    <row r="543">
      <c r="A543" s="4"/>
      <c r="Z543" s="5"/>
    </row>
    <row r="544">
      <c r="A544" s="4"/>
      <c r="Z544" s="5"/>
    </row>
    <row r="545">
      <c r="A545" s="4"/>
      <c r="Z545" s="5"/>
    </row>
    <row r="546">
      <c r="A546" s="4"/>
      <c r="Z546" s="5"/>
    </row>
    <row r="547">
      <c r="A547" s="4"/>
      <c r="Z547" s="5"/>
    </row>
    <row r="548">
      <c r="A548" s="4"/>
      <c r="Z548" s="5"/>
    </row>
    <row r="549">
      <c r="A549" s="4"/>
      <c r="Z549" s="5"/>
    </row>
    <row r="550">
      <c r="A550" s="4"/>
      <c r="Z550" s="5"/>
    </row>
    <row r="551">
      <c r="A551" s="4"/>
      <c r="Z551" s="5"/>
    </row>
    <row r="552">
      <c r="A552" s="4"/>
      <c r="Z552" s="5"/>
    </row>
    <row r="553">
      <c r="A553" s="4"/>
      <c r="Z553" s="5"/>
    </row>
    <row r="554">
      <c r="A554" s="4"/>
      <c r="Z554" s="5"/>
    </row>
    <row r="555">
      <c r="A555" s="4"/>
      <c r="Z555" s="5"/>
    </row>
    <row r="556">
      <c r="A556" s="4"/>
      <c r="Z556" s="5"/>
    </row>
    <row r="557">
      <c r="A557" s="4"/>
      <c r="Z557" s="5"/>
    </row>
    <row r="558">
      <c r="A558" s="4"/>
      <c r="Z558" s="5"/>
    </row>
    <row r="559">
      <c r="A559" s="4"/>
      <c r="Z559" s="5"/>
    </row>
    <row r="560">
      <c r="A560" s="4"/>
      <c r="Z560" s="5"/>
    </row>
    <row r="561">
      <c r="A561" s="4"/>
      <c r="Z561" s="5"/>
    </row>
    <row r="562">
      <c r="A562" s="4"/>
      <c r="Z562" s="5"/>
    </row>
    <row r="563">
      <c r="A563" s="4"/>
      <c r="Z563" s="5"/>
    </row>
    <row r="564">
      <c r="A564" s="4"/>
      <c r="Z564" s="5"/>
    </row>
    <row r="565">
      <c r="A565" s="4"/>
      <c r="Z565" s="5"/>
    </row>
    <row r="566">
      <c r="A566" s="4"/>
      <c r="Z566" s="5"/>
    </row>
    <row r="567">
      <c r="A567" s="4"/>
      <c r="Z567" s="5"/>
    </row>
    <row r="568">
      <c r="A568" s="4"/>
      <c r="Z568" s="5"/>
    </row>
    <row r="569">
      <c r="A569" s="4"/>
      <c r="Z569" s="5"/>
    </row>
    <row r="570">
      <c r="A570" s="4"/>
      <c r="Z570" s="5"/>
    </row>
    <row r="571">
      <c r="A571" s="4"/>
      <c r="Z571" s="5"/>
    </row>
    <row r="572">
      <c r="A572" s="4"/>
      <c r="Z572" s="5"/>
    </row>
    <row r="573">
      <c r="A573" s="4"/>
      <c r="Z573" s="5"/>
    </row>
    <row r="574">
      <c r="A574" s="4"/>
      <c r="Z574" s="5"/>
    </row>
    <row r="575">
      <c r="A575" s="4"/>
      <c r="Z575" s="5"/>
    </row>
    <row r="576">
      <c r="A576" s="4"/>
      <c r="Z576" s="5"/>
    </row>
    <row r="577">
      <c r="A577" s="4"/>
      <c r="Z577" s="5"/>
    </row>
    <row r="578">
      <c r="A578" s="4"/>
      <c r="Z578" s="5"/>
    </row>
    <row r="579">
      <c r="A579" s="4"/>
      <c r="Z579" s="5"/>
    </row>
    <row r="580">
      <c r="A580" s="4"/>
      <c r="Z580" s="5"/>
    </row>
    <row r="581">
      <c r="A581" s="4"/>
      <c r="Z581" s="5"/>
    </row>
    <row r="582">
      <c r="A582" s="4"/>
      <c r="Z582" s="5"/>
    </row>
    <row r="583">
      <c r="A583" s="4"/>
      <c r="Z583" s="5"/>
    </row>
    <row r="584">
      <c r="A584" s="4"/>
      <c r="Z584" s="5"/>
    </row>
    <row r="585">
      <c r="A585" s="4"/>
      <c r="Z585" s="5"/>
    </row>
    <row r="586">
      <c r="A586" s="4"/>
      <c r="Z586" s="5"/>
    </row>
    <row r="587">
      <c r="A587" s="4"/>
      <c r="Z587" s="5"/>
    </row>
    <row r="588">
      <c r="A588" s="4"/>
      <c r="Z588" s="5"/>
    </row>
    <row r="589">
      <c r="A589" s="4"/>
      <c r="Z589" s="5"/>
    </row>
    <row r="590">
      <c r="A590" s="4"/>
      <c r="Z590" s="5"/>
    </row>
    <row r="591">
      <c r="A591" s="4"/>
      <c r="Z591" s="5"/>
    </row>
    <row r="592">
      <c r="A592" s="4"/>
      <c r="Z592" s="5"/>
    </row>
    <row r="593">
      <c r="A593" s="4"/>
      <c r="Z593" s="5"/>
    </row>
    <row r="594">
      <c r="A594" s="4"/>
      <c r="Z594" s="5"/>
    </row>
    <row r="595">
      <c r="A595" s="4"/>
      <c r="Z595" s="5"/>
    </row>
    <row r="596">
      <c r="A596" s="4"/>
      <c r="Z596" s="5"/>
    </row>
    <row r="597">
      <c r="A597" s="4"/>
      <c r="Z597" s="5"/>
    </row>
    <row r="598">
      <c r="A598" s="4"/>
      <c r="Z598" s="5"/>
    </row>
    <row r="599">
      <c r="A599" s="4"/>
      <c r="Z599" s="5"/>
    </row>
    <row r="600">
      <c r="A600" s="4"/>
      <c r="Z600" s="5"/>
    </row>
    <row r="601">
      <c r="A601" s="4"/>
      <c r="Z601" s="5"/>
    </row>
    <row r="602">
      <c r="A602" s="4"/>
      <c r="Z602" s="5"/>
    </row>
    <row r="603">
      <c r="A603" s="4"/>
      <c r="Z603" s="5"/>
    </row>
    <row r="604">
      <c r="A604" s="4"/>
      <c r="Z604" s="5"/>
    </row>
    <row r="605">
      <c r="A605" s="4"/>
      <c r="Z605" s="5"/>
    </row>
    <row r="606">
      <c r="A606" s="4"/>
      <c r="Z606" s="5"/>
    </row>
    <row r="607">
      <c r="A607" s="4"/>
      <c r="Z607" s="5"/>
    </row>
    <row r="608">
      <c r="A608" s="4"/>
      <c r="Z608" s="5"/>
    </row>
    <row r="609">
      <c r="A609" s="4"/>
      <c r="Z609" s="5"/>
    </row>
    <row r="610">
      <c r="A610" s="4"/>
      <c r="Z610" s="5"/>
    </row>
    <row r="611">
      <c r="A611" s="4"/>
      <c r="Z611" s="5"/>
    </row>
    <row r="612">
      <c r="A612" s="4"/>
      <c r="Z612" s="5"/>
    </row>
    <row r="613">
      <c r="A613" s="4"/>
      <c r="Z613" s="5"/>
    </row>
    <row r="614">
      <c r="A614" s="4"/>
      <c r="Z614" s="5"/>
    </row>
    <row r="615">
      <c r="A615" s="4"/>
      <c r="Z615" s="5"/>
    </row>
    <row r="616">
      <c r="A616" s="4"/>
      <c r="Z616" s="5"/>
    </row>
    <row r="617">
      <c r="A617" s="4"/>
      <c r="Z617" s="5"/>
    </row>
    <row r="618">
      <c r="A618" s="4"/>
      <c r="Z618" s="5"/>
    </row>
    <row r="619">
      <c r="A619" s="4"/>
      <c r="Z619" s="5"/>
    </row>
    <row r="620">
      <c r="A620" s="4"/>
      <c r="Z620" s="5"/>
    </row>
    <row r="621">
      <c r="A621" s="4"/>
      <c r="Z621" s="5"/>
    </row>
    <row r="622">
      <c r="A622" s="4"/>
      <c r="Z622" s="5"/>
    </row>
    <row r="623">
      <c r="A623" s="4"/>
      <c r="Z623" s="5"/>
    </row>
    <row r="624">
      <c r="A624" s="4"/>
      <c r="Z624" s="5"/>
    </row>
    <row r="625">
      <c r="A625" s="4"/>
      <c r="Z625" s="5"/>
    </row>
    <row r="626">
      <c r="A626" s="4"/>
      <c r="Z626" s="5"/>
    </row>
    <row r="627">
      <c r="A627" s="4"/>
      <c r="Z627" s="5"/>
    </row>
    <row r="628">
      <c r="A628" s="4"/>
      <c r="Z628" s="5"/>
    </row>
    <row r="629">
      <c r="A629" s="4"/>
      <c r="Z629" s="5"/>
    </row>
    <row r="630">
      <c r="A630" s="4"/>
      <c r="Z630" s="5"/>
    </row>
    <row r="631">
      <c r="A631" s="4"/>
      <c r="Z631" s="5"/>
    </row>
    <row r="632">
      <c r="A632" s="4"/>
      <c r="Z632" s="5"/>
    </row>
    <row r="633">
      <c r="A633" s="4"/>
      <c r="Z633" s="5"/>
    </row>
    <row r="634">
      <c r="A634" s="4"/>
      <c r="Z634" s="5"/>
    </row>
    <row r="635">
      <c r="A635" s="4"/>
      <c r="Z635" s="5"/>
    </row>
    <row r="636">
      <c r="A636" s="4"/>
      <c r="Z636" s="5"/>
    </row>
    <row r="637">
      <c r="A637" s="4"/>
      <c r="Z637" s="5"/>
    </row>
    <row r="638">
      <c r="A638" s="4"/>
      <c r="Z638" s="5"/>
    </row>
    <row r="639">
      <c r="A639" s="4"/>
      <c r="Z639" s="5"/>
    </row>
    <row r="640">
      <c r="A640" s="4"/>
      <c r="Z640" s="5"/>
    </row>
    <row r="641">
      <c r="A641" s="4"/>
      <c r="Z641" s="5"/>
    </row>
    <row r="642">
      <c r="A642" s="4"/>
      <c r="Z642" s="5"/>
    </row>
    <row r="643">
      <c r="A643" s="4"/>
      <c r="Z643" s="5"/>
    </row>
    <row r="644">
      <c r="A644" s="4"/>
      <c r="Z644" s="5"/>
    </row>
    <row r="645">
      <c r="A645" s="4"/>
      <c r="Z645" s="5"/>
    </row>
    <row r="646">
      <c r="A646" s="4"/>
      <c r="Z646" s="5"/>
    </row>
    <row r="647">
      <c r="A647" s="4"/>
      <c r="Z647" s="5"/>
    </row>
    <row r="648">
      <c r="A648" s="4"/>
      <c r="Z648" s="5"/>
    </row>
    <row r="649">
      <c r="A649" s="4"/>
      <c r="Z649" s="5"/>
    </row>
    <row r="650">
      <c r="A650" s="4"/>
      <c r="Z650" s="5"/>
    </row>
    <row r="651">
      <c r="A651" s="4"/>
      <c r="Z651" s="5"/>
    </row>
    <row r="652">
      <c r="A652" s="4"/>
      <c r="Z652" s="5"/>
    </row>
    <row r="653">
      <c r="A653" s="4"/>
      <c r="Z653" s="5"/>
    </row>
    <row r="654">
      <c r="A654" s="4"/>
      <c r="Z654" s="5"/>
    </row>
    <row r="655">
      <c r="A655" s="4"/>
      <c r="Z655" s="5"/>
    </row>
    <row r="656">
      <c r="A656" s="4"/>
      <c r="Z656" s="5"/>
    </row>
    <row r="657">
      <c r="A657" s="4"/>
      <c r="Z657" s="5"/>
    </row>
    <row r="658">
      <c r="A658" s="4"/>
      <c r="Z658" s="5"/>
    </row>
    <row r="659">
      <c r="A659" s="4"/>
      <c r="Z659" s="5"/>
    </row>
    <row r="660">
      <c r="A660" s="4"/>
      <c r="Z660" s="5"/>
    </row>
    <row r="661">
      <c r="A661" s="4"/>
      <c r="Z661" s="5"/>
    </row>
    <row r="662">
      <c r="A662" s="4"/>
      <c r="Z662" s="5"/>
    </row>
    <row r="663">
      <c r="A663" s="4"/>
      <c r="Z663" s="5"/>
    </row>
    <row r="664">
      <c r="A664" s="4"/>
      <c r="Z664" s="5"/>
    </row>
    <row r="665">
      <c r="A665" s="4"/>
      <c r="Z665" s="5"/>
    </row>
    <row r="666">
      <c r="A666" s="4"/>
      <c r="Z666" s="5"/>
    </row>
    <row r="667">
      <c r="A667" s="4"/>
      <c r="Z667" s="5"/>
    </row>
    <row r="668">
      <c r="A668" s="4"/>
      <c r="Z668" s="5"/>
    </row>
    <row r="669">
      <c r="A669" s="4"/>
      <c r="Z669" s="5"/>
    </row>
    <row r="670">
      <c r="A670" s="4"/>
      <c r="Z670" s="5"/>
    </row>
    <row r="671">
      <c r="A671" s="4"/>
      <c r="Z671" s="5"/>
    </row>
    <row r="672">
      <c r="A672" s="4"/>
      <c r="Z672" s="5"/>
    </row>
    <row r="673">
      <c r="A673" s="4"/>
      <c r="Z673" s="5"/>
    </row>
    <row r="674">
      <c r="A674" s="4"/>
      <c r="Z674" s="5"/>
    </row>
    <row r="675">
      <c r="A675" s="4"/>
      <c r="Z675" s="5"/>
    </row>
    <row r="676">
      <c r="A676" s="4"/>
      <c r="Z676" s="5"/>
    </row>
    <row r="677">
      <c r="A677" s="4"/>
      <c r="Z677" s="5"/>
    </row>
    <row r="678">
      <c r="A678" s="4"/>
      <c r="Z678" s="5"/>
    </row>
    <row r="679">
      <c r="A679" s="4"/>
      <c r="Z679" s="5"/>
    </row>
    <row r="680">
      <c r="A680" s="4"/>
      <c r="Z680" s="5"/>
    </row>
    <row r="681">
      <c r="A681" s="4"/>
      <c r="Z681" s="5"/>
    </row>
    <row r="682">
      <c r="A682" s="4"/>
      <c r="Z682" s="5"/>
    </row>
    <row r="683">
      <c r="A683" s="4"/>
      <c r="Z683" s="5"/>
    </row>
    <row r="684">
      <c r="A684" s="4"/>
      <c r="Z684" s="5"/>
    </row>
    <row r="685">
      <c r="A685" s="4"/>
      <c r="Z685" s="5"/>
    </row>
    <row r="686">
      <c r="A686" s="4"/>
      <c r="Z686" s="5"/>
    </row>
    <row r="687">
      <c r="A687" s="4"/>
      <c r="Z687" s="5"/>
    </row>
    <row r="688">
      <c r="A688" s="4"/>
      <c r="Z688" s="5"/>
    </row>
    <row r="689">
      <c r="A689" s="4"/>
      <c r="Z689" s="5"/>
    </row>
    <row r="690">
      <c r="A690" s="4"/>
      <c r="Z690" s="5"/>
    </row>
    <row r="691">
      <c r="A691" s="4"/>
      <c r="Z691" s="5"/>
    </row>
    <row r="692">
      <c r="A692" s="4"/>
      <c r="Z692" s="5"/>
    </row>
    <row r="693">
      <c r="A693" s="4"/>
      <c r="Z693" s="5"/>
    </row>
    <row r="694">
      <c r="A694" s="4"/>
      <c r="Z694" s="5"/>
    </row>
    <row r="695">
      <c r="A695" s="4"/>
      <c r="Z695" s="5"/>
    </row>
    <row r="696">
      <c r="A696" s="4"/>
      <c r="Z696" s="5"/>
    </row>
    <row r="697">
      <c r="A697" s="4"/>
      <c r="Z697" s="5"/>
    </row>
    <row r="698">
      <c r="A698" s="4"/>
      <c r="Z698" s="5"/>
    </row>
    <row r="699">
      <c r="A699" s="4"/>
      <c r="Z699" s="5"/>
    </row>
    <row r="700">
      <c r="A700" s="4"/>
      <c r="Z700" s="5"/>
    </row>
    <row r="701">
      <c r="A701" s="4"/>
      <c r="Z701" s="5"/>
    </row>
    <row r="702">
      <c r="A702" s="4"/>
      <c r="Z702" s="5"/>
    </row>
    <row r="703">
      <c r="A703" s="4"/>
      <c r="Z703" s="5"/>
    </row>
    <row r="704">
      <c r="A704" s="4"/>
      <c r="Z704" s="5"/>
    </row>
    <row r="705">
      <c r="A705" s="4"/>
      <c r="Z705" s="5"/>
    </row>
    <row r="706">
      <c r="A706" s="4"/>
      <c r="Z706" s="5"/>
    </row>
    <row r="707">
      <c r="A707" s="4"/>
      <c r="Z707" s="5"/>
    </row>
    <row r="708">
      <c r="A708" s="4"/>
      <c r="Z708" s="5"/>
    </row>
    <row r="709">
      <c r="A709" s="4"/>
      <c r="Z709" s="5"/>
    </row>
    <row r="710">
      <c r="A710" s="4"/>
      <c r="Z710" s="5"/>
    </row>
    <row r="711">
      <c r="A711" s="4"/>
      <c r="Z711" s="5"/>
    </row>
    <row r="712">
      <c r="A712" s="4"/>
      <c r="Z712" s="5"/>
    </row>
    <row r="713">
      <c r="A713" s="4"/>
      <c r="Z713" s="5"/>
    </row>
    <row r="714">
      <c r="A714" s="4"/>
      <c r="Z714" s="5"/>
    </row>
    <row r="715">
      <c r="A715" s="4"/>
      <c r="Z715" s="5"/>
    </row>
    <row r="716">
      <c r="A716" s="4"/>
      <c r="Z716" s="5"/>
    </row>
    <row r="717">
      <c r="A717" s="4"/>
      <c r="Z717" s="5"/>
    </row>
    <row r="718">
      <c r="A718" s="4"/>
      <c r="Z718" s="5"/>
    </row>
    <row r="719">
      <c r="A719" s="4"/>
      <c r="Z719" s="5"/>
    </row>
    <row r="720">
      <c r="A720" s="4"/>
      <c r="Z720" s="5"/>
    </row>
    <row r="721">
      <c r="A721" s="4"/>
      <c r="Z721" s="5"/>
    </row>
    <row r="722">
      <c r="A722" s="4"/>
      <c r="Z722" s="5"/>
    </row>
    <row r="723">
      <c r="A723" s="4"/>
      <c r="Z723" s="5"/>
    </row>
    <row r="724">
      <c r="A724" s="4"/>
      <c r="Z724" s="5"/>
    </row>
    <row r="725">
      <c r="A725" s="4"/>
      <c r="Z725" s="5"/>
    </row>
    <row r="726">
      <c r="A726" s="4"/>
      <c r="Z726" s="5"/>
    </row>
    <row r="727">
      <c r="A727" s="4"/>
      <c r="Z727" s="5"/>
    </row>
    <row r="728">
      <c r="A728" s="4"/>
      <c r="Z728" s="5"/>
    </row>
    <row r="729">
      <c r="A729" s="4"/>
      <c r="Z729" s="5"/>
    </row>
    <row r="730">
      <c r="A730" s="4"/>
      <c r="Z730" s="5"/>
    </row>
    <row r="731">
      <c r="A731" s="4"/>
      <c r="Z731" s="5"/>
    </row>
    <row r="732">
      <c r="A732" s="4"/>
      <c r="Z732" s="5"/>
    </row>
    <row r="733">
      <c r="A733" s="4"/>
      <c r="Z733" s="5"/>
    </row>
    <row r="734">
      <c r="A734" s="4"/>
      <c r="Z734" s="5"/>
    </row>
    <row r="735">
      <c r="A735" s="4"/>
      <c r="Z735" s="5"/>
    </row>
    <row r="736">
      <c r="A736" s="4"/>
      <c r="Z736" s="5"/>
    </row>
    <row r="737">
      <c r="A737" s="4"/>
      <c r="Z737" s="5"/>
    </row>
    <row r="738">
      <c r="A738" s="4"/>
      <c r="Z738" s="5"/>
    </row>
    <row r="739">
      <c r="A739" s="4"/>
      <c r="Z739" s="5"/>
    </row>
    <row r="740">
      <c r="A740" s="4"/>
      <c r="Z740" s="5"/>
    </row>
    <row r="741">
      <c r="A741" s="4"/>
      <c r="Z741" s="5"/>
    </row>
    <row r="742">
      <c r="A742" s="4"/>
      <c r="Z742" s="5"/>
    </row>
    <row r="743">
      <c r="A743" s="4"/>
      <c r="Z743" s="5"/>
    </row>
    <row r="744">
      <c r="A744" s="4"/>
      <c r="Z744" s="5"/>
    </row>
    <row r="745">
      <c r="A745" s="4"/>
      <c r="Z745" s="5"/>
    </row>
    <row r="746">
      <c r="A746" s="4"/>
      <c r="Z746" s="5"/>
    </row>
    <row r="747">
      <c r="A747" s="4"/>
      <c r="Z747" s="5"/>
    </row>
    <row r="748">
      <c r="A748" s="4"/>
      <c r="Z748" s="5"/>
    </row>
    <row r="749">
      <c r="A749" s="4"/>
      <c r="Z749" s="5"/>
    </row>
    <row r="750">
      <c r="A750" s="4"/>
      <c r="Z750" s="5"/>
    </row>
    <row r="751">
      <c r="A751" s="4"/>
      <c r="Z751" s="5"/>
    </row>
    <row r="752">
      <c r="A752" s="4"/>
      <c r="Z752" s="5"/>
    </row>
    <row r="753">
      <c r="A753" s="4"/>
      <c r="Z753" s="5"/>
    </row>
    <row r="754">
      <c r="A754" s="4"/>
      <c r="Z754" s="5"/>
    </row>
    <row r="755">
      <c r="A755" s="4"/>
      <c r="Z755" s="5"/>
    </row>
    <row r="756">
      <c r="A756" s="4"/>
      <c r="Z756" s="5"/>
    </row>
    <row r="757">
      <c r="A757" s="4"/>
      <c r="Z757" s="5"/>
    </row>
    <row r="758">
      <c r="A758" s="4"/>
      <c r="Z758" s="5"/>
    </row>
    <row r="759">
      <c r="A759" s="4"/>
      <c r="Z759" s="5"/>
    </row>
    <row r="760">
      <c r="A760" s="4"/>
      <c r="Z760" s="5"/>
    </row>
    <row r="761">
      <c r="A761" s="4"/>
      <c r="Z761" s="5"/>
    </row>
    <row r="762">
      <c r="A762" s="4"/>
      <c r="Z762" s="5"/>
    </row>
    <row r="763">
      <c r="A763" s="4"/>
      <c r="Z763" s="5"/>
    </row>
    <row r="764">
      <c r="A764" s="4"/>
      <c r="Z764" s="5"/>
    </row>
    <row r="765">
      <c r="A765" s="4"/>
      <c r="Z765" s="5"/>
    </row>
    <row r="766">
      <c r="A766" s="4"/>
      <c r="Z766" s="5"/>
    </row>
    <row r="767">
      <c r="A767" s="4"/>
      <c r="Z767" s="5"/>
    </row>
    <row r="768">
      <c r="A768" s="4"/>
      <c r="Z768" s="5"/>
    </row>
    <row r="769">
      <c r="A769" s="4"/>
      <c r="Z769" s="5"/>
    </row>
    <row r="770">
      <c r="A770" s="4"/>
      <c r="Z770" s="5"/>
    </row>
    <row r="771">
      <c r="A771" s="4"/>
      <c r="Z771" s="5"/>
    </row>
    <row r="772">
      <c r="A772" s="4"/>
      <c r="Z772" s="5"/>
    </row>
    <row r="773">
      <c r="A773" s="4"/>
      <c r="Z773" s="5"/>
    </row>
    <row r="774">
      <c r="A774" s="4"/>
      <c r="Z774" s="5"/>
    </row>
    <row r="775">
      <c r="A775" s="4"/>
      <c r="Z775" s="5"/>
    </row>
    <row r="776">
      <c r="A776" s="4"/>
      <c r="Z776" s="5"/>
    </row>
    <row r="777">
      <c r="A777" s="4"/>
      <c r="Z777" s="5"/>
    </row>
    <row r="778">
      <c r="A778" s="4"/>
      <c r="Z778" s="5"/>
    </row>
    <row r="779">
      <c r="A779" s="4"/>
      <c r="Z779" s="5"/>
    </row>
    <row r="780">
      <c r="A780" s="4"/>
      <c r="Z780" s="5"/>
    </row>
    <row r="781">
      <c r="A781" s="4"/>
      <c r="Z781" s="5"/>
    </row>
    <row r="782">
      <c r="A782" s="4"/>
      <c r="Z782" s="5"/>
    </row>
    <row r="783">
      <c r="A783" s="4"/>
      <c r="Z783" s="5"/>
    </row>
    <row r="784">
      <c r="A784" s="4"/>
      <c r="Z784" s="5"/>
    </row>
    <row r="785">
      <c r="A785" s="4"/>
      <c r="Z785" s="5"/>
    </row>
    <row r="786">
      <c r="A786" s="4"/>
      <c r="Z786" s="5"/>
    </row>
    <row r="787">
      <c r="A787" s="4"/>
      <c r="Z787" s="5"/>
    </row>
    <row r="788">
      <c r="A788" s="4"/>
      <c r="Z788" s="5"/>
    </row>
    <row r="789">
      <c r="A789" s="4"/>
      <c r="Z789" s="5"/>
    </row>
    <row r="790">
      <c r="A790" s="4"/>
      <c r="Z790" s="5"/>
    </row>
    <row r="791">
      <c r="A791" s="4"/>
      <c r="Z791" s="5"/>
    </row>
    <row r="792">
      <c r="A792" s="4"/>
      <c r="Z792" s="5"/>
    </row>
    <row r="793">
      <c r="A793" s="4"/>
      <c r="Z793" s="5"/>
    </row>
    <row r="794">
      <c r="A794" s="4"/>
      <c r="Z794" s="5"/>
    </row>
    <row r="795">
      <c r="A795" s="4"/>
      <c r="Z795" s="5"/>
    </row>
    <row r="796">
      <c r="A796" s="4"/>
      <c r="Z796" s="5"/>
    </row>
    <row r="797">
      <c r="A797" s="4"/>
      <c r="Z797" s="5"/>
    </row>
    <row r="798">
      <c r="A798" s="4"/>
      <c r="Z798" s="5"/>
    </row>
    <row r="799">
      <c r="A799" s="4"/>
      <c r="Z799" s="5"/>
    </row>
    <row r="800">
      <c r="A800" s="4"/>
      <c r="Z800" s="5"/>
    </row>
    <row r="801">
      <c r="A801" s="4"/>
      <c r="Z801" s="5"/>
    </row>
    <row r="802">
      <c r="A802" s="4"/>
      <c r="Z802" s="5"/>
    </row>
    <row r="803">
      <c r="A803" s="4"/>
      <c r="Z803" s="5"/>
    </row>
    <row r="804">
      <c r="A804" s="4"/>
      <c r="Z804" s="5"/>
    </row>
    <row r="805">
      <c r="A805" s="4"/>
      <c r="Z805" s="5"/>
    </row>
    <row r="806">
      <c r="A806" s="4"/>
      <c r="Z806" s="5"/>
    </row>
    <row r="807">
      <c r="A807" s="4"/>
      <c r="Z807" s="5"/>
    </row>
    <row r="808">
      <c r="A808" s="4"/>
      <c r="Z808" s="5"/>
    </row>
    <row r="809">
      <c r="A809" s="4"/>
      <c r="Z809" s="5"/>
    </row>
    <row r="810">
      <c r="A810" s="4"/>
      <c r="Z810" s="5"/>
    </row>
    <row r="811">
      <c r="A811" s="4"/>
      <c r="Z811" s="5"/>
    </row>
    <row r="812">
      <c r="A812" s="4"/>
      <c r="Z812" s="5"/>
    </row>
    <row r="813">
      <c r="A813" s="4"/>
      <c r="Z813" s="5"/>
    </row>
    <row r="814">
      <c r="A814" s="4"/>
      <c r="Z814" s="5"/>
    </row>
    <row r="815">
      <c r="A815" s="4"/>
      <c r="Z815" s="5"/>
    </row>
    <row r="816">
      <c r="A816" s="4"/>
      <c r="Z816" s="5"/>
    </row>
    <row r="817">
      <c r="A817" s="4"/>
      <c r="Z817" s="5"/>
    </row>
    <row r="818">
      <c r="A818" s="4"/>
      <c r="Z818" s="5"/>
    </row>
    <row r="819">
      <c r="A819" s="4"/>
      <c r="Z819" s="5"/>
    </row>
    <row r="820">
      <c r="A820" s="4"/>
      <c r="Z820" s="5"/>
    </row>
    <row r="821">
      <c r="A821" s="4"/>
      <c r="Z821" s="5"/>
    </row>
    <row r="822">
      <c r="A822" s="4"/>
      <c r="Z822" s="5"/>
    </row>
    <row r="823">
      <c r="A823" s="4"/>
      <c r="Z823" s="5"/>
    </row>
    <row r="824">
      <c r="A824" s="4"/>
      <c r="Z824" s="5"/>
    </row>
    <row r="825">
      <c r="A825" s="4"/>
      <c r="Z825" s="5"/>
    </row>
    <row r="826">
      <c r="A826" s="4"/>
      <c r="Z826" s="5"/>
    </row>
    <row r="827">
      <c r="A827" s="4"/>
      <c r="Z827" s="5"/>
    </row>
    <row r="828">
      <c r="A828" s="4"/>
      <c r="Z828" s="5"/>
    </row>
    <row r="829">
      <c r="A829" s="4"/>
      <c r="Z829" s="5"/>
    </row>
    <row r="830">
      <c r="A830" s="4"/>
      <c r="Z830" s="5"/>
    </row>
    <row r="831">
      <c r="A831" s="4"/>
      <c r="Z831" s="5"/>
    </row>
    <row r="832">
      <c r="A832" s="4"/>
      <c r="Z832" s="5"/>
    </row>
    <row r="833">
      <c r="A833" s="4"/>
      <c r="Z833" s="5"/>
    </row>
    <row r="834">
      <c r="A834" s="4"/>
      <c r="Z834" s="5"/>
    </row>
    <row r="835">
      <c r="A835" s="4"/>
      <c r="Z835" s="5"/>
    </row>
    <row r="836">
      <c r="A836" s="4"/>
      <c r="Z836" s="5"/>
    </row>
    <row r="837">
      <c r="A837" s="4"/>
      <c r="Z837" s="5"/>
    </row>
    <row r="838">
      <c r="A838" s="4"/>
      <c r="Z838" s="5"/>
    </row>
    <row r="839">
      <c r="A839" s="4"/>
      <c r="Z839" s="5"/>
    </row>
    <row r="840">
      <c r="A840" s="4"/>
      <c r="Z840" s="5"/>
    </row>
    <row r="841">
      <c r="A841" s="4"/>
      <c r="Z841" s="5"/>
    </row>
    <row r="842">
      <c r="A842" s="4"/>
      <c r="Z842" s="5"/>
    </row>
    <row r="843">
      <c r="A843" s="4"/>
      <c r="Z843" s="5"/>
    </row>
    <row r="844">
      <c r="A844" s="4"/>
      <c r="Z844" s="5"/>
    </row>
    <row r="845">
      <c r="A845" s="4"/>
      <c r="Z845" s="5"/>
    </row>
    <row r="846">
      <c r="A846" s="4"/>
      <c r="Z846" s="5"/>
    </row>
    <row r="847">
      <c r="A847" s="4"/>
      <c r="Z847" s="5"/>
    </row>
    <row r="848">
      <c r="A848" s="4"/>
      <c r="Z848" s="5"/>
    </row>
    <row r="849">
      <c r="A849" s="4"/>
      <c r="Z849" s="5"/>
    </row>
    <row r="850">
      <c r="A850" s="4"/>
      <c r="Z850" s="5"/>
    </row>
    <row r="851">
      <c r="A851" s="4"/>
      <c r="Z851" s="5"/>
    </row>
    <row r="852">
      <c r="A852" s="4"/>
      <c r="Z852" s="5"/>
    </row>
    <row r="853">
      <c r="A853" s="4"/>
      <c r="Z853" s="5"/>
    </row>
    <row r="854">
      <c r="A854" s="4"/>
      <c r="Z854" s="5"/>
    </row>
    <row r="855">
      <c r="A855" s="4"/>
      <c r="Z855" s="5"/>
    </row>
    <row r="856">
      <c r="A856" s="4"/>
      <c r="Z856" s="5"/>
    </row>
    <row r="857">
      <c r="A857" s="4"/>
      <c r="Z857" s="5"/>
    </row>
    <row r="858">
      <c r="A858" s="4"/>
      <c r="Z858" s="5"/>
    </row>
    <row r="859">
      <c r="A859" s="4"/>
      <c r="Z859" s="5"/>
    </row>
    <row r="860">
      <c r="A860" s="4"/>
      <c r="Z860" s="5"/>
    </row>
    <row r="861">
      <c r="A861" s="4"/>
      <c r="Z861" s="5"/>
    </row>
    <row r="862">
      <c r="A862" s="4"/>
      <c r="Z862" s="5"/>
    </row>
    <row r="863">
      <c r="A863" s="4"/>
      <c r="Z863" s="5"/>
    </row>
    <row r="864">
      <c r="A864" s="4"/>
      <c r="Z864" s="5"/>
    </row>
    <row r="865">
      <c r="A865" s="4"/>
      <c r="Z865" s="5"/>
    </row>
    <row r="866">
      <c r="A866" s="4"/>
      <c r="Z866" s="5"/>
    </row>
    <row r="867">
      <c r="A867" s="4"/>
      <c r="Z867" s="5"/>
    </row>
    <row r="868">
      <c r="A868" s="4"/>
      <c r="Z868" s="5"/>
    </row>
    <row r="869">
      <c r="A869" s="4"/>
      <c r="Z869" s="5"/>
    </row>
    <row r="870">
      <c r="A870" s="4"/>
      <c r="Z870" s="5"/>
    </row>
    <row r="871">
      <c r="A871" s="4"/>
      <c r="Z871" s="5"/>
    </row>
    <row r="872">
      <c r="A872" s="4"/>
      <c r="Z872" s="5"/>
    </row>
    <row r="873">
      <c r="A873" s="4"/>
      <c r="Z873" s="5"/>
    </row>
    <row r="874">
      <c r="A874" s="4"/>
      <c r="Z874" s="5"/>
    </row>
    <row r="875">
      <c r="A875" s="4"/>
      <c r="Z875" s="5"/>
    </row>
    <row r="876">
      <c r="A876" s="4"/>
      <c r="Z876" s="5"/>
    </row>
    <row r="877">
      <c r="A877" s="4"/>
      <c r="Z877" s="5"/>
    </row>
    <row r="878">
      <c r="A878" s="4"/>
      <c r="Z878" s="5"/>
    </row>
    <row r="879">
      <c r="A879" s="4"/>
      <c r="Z879" s="5"/>
    </row>
    <row r="880">
      <c r="A880" s="4"/>
      <c r="Z880" s="5"/>
    </row>
    <row r="881">
      <c r="A881" s="4"/>
      <c r="Z881" s="5"/>
    </row>
    <row r="882">
      <c r="A882" s="4"/>
      <c r="Z882" s="5"/>
    </row>
    <row r="883">
      <c r="A883" s="4"/>
      <c r="Z883" s="5"/>
    </row>
    <row r="884">
      <c r="A884" s="4"/>
      <c r="Z884" s="5"/>
    </row>
    <row r="885">
      <c r="A885" s="4"/>
      <c r="Z885" s="5"/>
    </row>
    <row r="886">
      <c r="A886" s="4"/>
      <c r="Z886" s="5"/>
    </row>
    <row r="887">
      <c r="A887" s="4"/>
      <c r="Z887" s="5"/>
    </row>
    <row r="888">
      <c r="A888" s="4"/>
      <c r="Z888" s="5"/>
    </row>
    <row r="889">
      <c r="A889" s="4"/>
      <c r="Z889" s="5"/>
    </row>
    <row r="890">
      <c r="A890" s="4"/>
      <c r="Z890" s="5"/>
    </row>
    <row r="891">
      <c r="A891" s="4"/>
      <c r="Z891" s="5"/>
    </row>
    <row r="892">
      <c r="A892" s="4"/>
      <c r="Z892" s="5"/>
    </row>
    <row r="893">
      <c r="A893" s="4"/>
      <c r="Z893" s="5"/>
    </row>
    <row r="894">
      <c r="A894" s="4"/>
      <c r="Z894" s="5"/>
    </row>
    <row r="895">
      <c r="A895" s="4"/>
      <c r="Z895" s="5"/>
    </row>
    <row r="896">
      <c r="A896" s="4"/>
      <c r="Z896" s="5"/>
    </row>
    <row r="897">
      <c r="A897" s="4"/>
      <c r="Z897" s="5"/>
    </row>
    <row r="898">
      <c r="A898" s="4"/>
      <c r="Z898" s="5"/>
    </row>
    <row r="899">
      <c r="A899" s="4"/>
      <c r="Z899" s="5"/>
    </row>
    <row r="900">
      <c r="A900" s="4"/>
      <c r="Z900" s="5"/>
    </row>
    <row r="901">
      <c r="A901" s="4"/>
      <c r="Z901" s="5"/>
    </row>
    <row r="902">
      <c r="A902" s="4"/>
      <c r="Z902" s="5"/>
    </row>
    <row r="903">
      <c r="A903" s="4"/>
      <c r="Z903" s="5"/>
    </row>
    <row r="904">
      <c r="A904" s="4"/>
      <c r="Z904" s="5"/>
    </row>
    <row r="905">
      <c r="A905" s="4"/>
      <c r="Z905" s="5"/>
    </row>
    <row r="906">
      <c r="A906" s="4"/>
      <c r="Z906" s="5"/>
    </row>
    <row r="907">
      <c r="A907" s="4"/>
      <c r="Z907" s="5"/>
    </row>
    <row r="908">
      <c r="A908" s="4"/>
      <c r="Z908" s="5"/>
    </row>
    <row r="909">
      <c r="A909" s="4"/>
      <c r="Z909" s="5"/>
    </row>
    <row r="910">
      <c r="A910" s="4"/>
      <c r="Z910" s="5"/>
    </row>
    <row r="911">
      <c r="A911" s="4"/>
      <c r="Z911" s="5"/>
    </row>
    <row r="912">
      <c r="A912" s="4"/>
      <c r="Z912" s="5"/>
    </row>
    <row r="913">
      <c r="A913" s="4"/>
      <c r="Z913" s="5"/>
    </row>
    <row r="914">
      <c r="A914" s="4"/>
      <c r="Z914" s="5"/>
    </row>
    <row r="915">
      <c r="A915" s="4"/>
      <c r="Z915" s="5"/>
    </row>
    <row r="916">
      <c r="A916" s="4"/>
      <c r="Z916" s="5"/>
    </row>
    <row r="917">
      <c r="A917" s="4"/>
      <c r="Z917" s="5"/>
    </row>
    <row r="918">
      <c r="A918" s="4"/>
      <c r="Z918" s="5"/>
    </row>
    <row r="919">
      <c r="A919" s="4"/>
      <c r="Z919" s="5"/>
    </row>
    <row r="920">
      <c r="A920" s="4"/>
      <c r="Z920" s="5"/>
    </row>
    <row r="921">
      <c r="A921" s="4"/>
      <c r="Z921" s="5"/>
    </row>
    <row r="922">
      <c r="A922" s="4"/>
      <c r="Z922" s="5"/>
    </row>
    <row r="923">
      <c r="A923" s="4"/>
      <c r="Z923" s="5"/>
    </row>
    <row r="924">
      <c r="A924" s="4"/>
      <c r="Z924" s="5"/>
    </row>
    <row r="925">
      <c r="A925" s="4"/>
      <c r="Z925" s="5"/>
    </row>
    <row r="926">
      <c r="A926" s="4"/>
      <c r="Z926" s="5"/>
    </row>
    <row r="927">
      <c r="A927" s="4"/>
      <c r="Z927" s="5"/>
    </row>
    <row r="928">
      <c r="A928" s="4"/>
      <c r="Z928" s="5"/>
    </row>
    <row r="929">
      <c r="A929" s="4"/>
      <c r="Z929" s="5"/>
    </row>
    <row r="930">
      <c r="A930" s="4"/>
      <c r="Z930" s="5"/>
    </row>
    <row r="931">
      <c r="A931" s="4"/>
      <c r="Z931" s="5"/>
    </row>
    <row r="932">
      <c r="A932" s="4"/>
      <c r="Z932" s="5"/>
    </row>
    <row r="933">
      <c r="A933" s="4"/>
      <c r="Z933" s="5"/>
    </row>
    <row r="934">
      <c r="A934" s="4"/>
      <c r="Z934" s="5"/>
    </row>
    <row r="935">
      <c r="A935" s="4"/>
      <c r="Z935" s="5"/>
    </row>
    <row r="936">
      <c r="A936" s="4"/>
      <c r="Z936" s="5"/>
    </row>
    <row r="937">
      <c r="A937" s="4"/>
      <c r="Z937" s="5"/>
    </row>
    <row r="938">
      <c r="A938" s="4"/>
      <c r="Z938" s="5"/>
    </row>
    <row r="939">
      <c r="A939" s="4"/>
      <c r="Z939" s="5"/>
    </row>
    <row r="940">
      <c r="A940" s="4"/>
      <c r="Z940" s="5"/>
    </row>
    <row r="941">
      <c r="A941" s="4"/>
      <c r="Z941" s="5"/>
    </row>
    <row r="942">
      <c r="A942" s="4"/>
      <c r="Z942" s="5"/>
    </row>
    <row r="943">
      <c r="A943" s="4"/>
      <c r="Z943" s="5"/>
    </row>
    <row r="944">
      <c r="A944" s="4"/>
      <c r="Z944" s="5"/>
    </row>
    <row r="945">
      <c r="A945" s="4"/>
      <c r="Z945" s="5"/>
    </row>
    <row r="946">
      <c r="A946" s="4"/>
      <c r="Z946" s="5"/>
    </row>
    <row r="947">
      <c r="A947" s="4"/>
      <c r="Z947" s="5"/>
    </row>
    <row r="948">
      <c r="A948" s="4"/>
      <c r="Z948" s="5"/>
    </row>
    <row r="949">
      <c r="A949" s="4"/>
      <c r="Z949" s="5"/>
    </row>
    <row r="950">
      <c r="A950" s="4"/>
      <c r="Z950" s="5"/>
    </row>
    <row r="951">
      <c r="A951" s="4"/>
      <c r="Z951" s="5"/>
    </row>
    <row r="952">
      <c r="A952" s="4"/>
      <c r="Z952" s="5"/>
    </row>
    <row r="953">
      <c r="A953" s="4"/>
      <c r="Z953" s="5"/>
    </row>
    <row r="954">
      <c r="A954" s="4"/>
      <c r="Z954" s="5"/>
    </row>
    <row r="955">
      <c r="A955" s="4"/>
      <c r="Z955" s="5"/>
    </row>
    <row r="956">
      <c r="A956" s="4"/>
      <c r="Z956" s="5"/>
    </row>
    <row r="957">
      <c r="A957" s="4"/>
      <c r="Z957" s="5"/>
    </row>
    <row r="958">
      <c r="A958" s="4"/>
      <c r="Z958" s="5"/>
    </row>
    <row r="959">
      <c r="A959" s="4"/>
      <c r="Z959" s="5"/>
    </row>
    <row r="960">
      <c r="A960" s="4"/>
      <c r="Z960" s="5"/>
    </row>
    <row r="961">
      <c r="A961" s="4"/>
      <c r="Z961" s="5"/>
    </row>
    <row r="962">
      <c r="A962" s="4"/>
      <c r="Z962" s="5"/>
    </row>
    <row r="963">
      <c r="A963" s="4"/>
      <c r="Z963" s="5"/>
    </row>
    <row r="964">
      <c r="A964" s="4"/>
      <c r="Z964" s="5"/>
    </row>
    <row r="965">
      <c r="A965" s="4"/>
      <c r="Z965" s="5"/>
    </row>
    <row r="966">
      <c r="A966" s="4"/>
      <c r="Z966" s="5"/>
    </row>
    <row r="967">
      <c r="A967" s="4"/>
      <c r="Z967" s="5"/>
    </row>
    <row r="968">
      <c r="A968" s="4"/>
      <c r="Z968" s="5"/>
    </row>
    <row r="969">
      <c r="A969" s="4"/>
      <c r="Z969" s="5"/>
    </row>
    <row r="970">
      <c r="A970" s="4"/>
      <c r="Z970" s="5"/>
    </row>
    <row r="971">
      <c r="A971" s="4"/>
      <c r="Z971" s="5"/>
    </row>
    <row r="972">
      <c r="A972" s="4"/>
      <c r="Z972" s="5"/>
    </row>
    <row r="973">
      <c r="A973" s="4"/>
      <c r="Z973" s="5"/>
    </row>
    <row r="974">
      <c r="A974" s="4"/>
      <c r="Z974" s="5"/>
    </row>
    <row r="975">
      <c r="A975" s="4"/>
      <c r="Z975" s="5"/>
    </row>
    <row r="976">
      <c r="A976" s="4"/>
      <c r="Z976" s="5"/>
    </row>
    <row r="977">
      <c r="A977" s="4"/>
      <c r="Z977" s="5"/>
    </row>
    <row r="978">
      <c r="A978" s="4"/>
      <c r="Z978" s="5"/>
    </row>
    <row r="979">
      <c r="A979" s="4"/>
      <c r="Z979" s="5"/>
    </row>
    <row r="980">
      <c r="A980" s="4"/>
      <c r="Z980" s="5"/>
    </row>
    <row r="981">
      <c r="A981" s="4"/>
      <c r="Z981" s="5"/>
    </row>
    <row r="982">
      <c r="A982" s="4"/>
      <c r="Z982" s="5"/>
    </row>
    <row r="983">
      <c r="A983" s="4"/>
      <c r="Z983" s="5"/>
    </row>
    <row r="984">
      <c r="A984" s="4"/>
      <c r="Z984" s="5"/>
    </row>
    <row r="985">
      <c r="A985" s="4"/>
      <c r="Z985" s="5"/>
    </row>
    <row r="986">
      <c r="A986" s="4"/>
      <c r="Z986" s="5"/>
    </row>
    <row r="987">
      <c r="A987" s="4"/>
      <c r="Z987" s="5"/>
    </row>
    <row r="988">
      <c r="A988" s="4"/>
      <c r="Z988" s="5"/>
    </row>
    <row r="989">
      <c r="A989" s="4"/>
      <c r="Z989" s="5"/>
    </row>
    <row r="990">
      <c r="A990" s="4"/>
      <c r="Z990" s="5"/>
    </row>
    <row r="991">
      <c r="A991" s="4"/>
      <c r="Z991" s="5"/>
    </row>
    <row r="992">
      <c r="A992" s="4"/>
      <c r="Z992" s="5"/>
    </row>
    <row r="993">
      <c r="A993" s="4"/>
      <c r="Z993" s="5"/>
    </row>
    <row r="994">
      <c r="A994" s="4"/>
      <c r="Z994" s="5"/>
    </row>
    <row r="995">
      <c r="A995" s="4"/>
      <c r="Z995" s="5"/>
    </row>
    <row r="996">
      <c r="A996" s="4"/>
      <c r="Z996" s="5"/>
    </row>
    <row r="997">
      <c r="A997" s="4"/>
      <c r="Z997" s="5"/>
    </row>
    <row r="998">
      <c r="A998" s="4"/>
      <c r="Z998" s="5"/>
    </row>
    <row r="999">
      <c r="A999" s="4"/>
      <c r="Z999" s="5"/>
    </row>
    <row r="1000">
      <c r="A1000" s="6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8"/>
    </row>
  </sheetData>
  <mergeCells count="1">
    <mergeCell ref="A1:Z100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7" width="18.38"/>
  </cols>
  <sheetData>
    <row r="1" ht="15.75" customHeight="1">
      <c r="A1" s="9" t="str">
        <f>IFERROR(__xludf.DUMMYFUNCTION("IMPORTRANGE(""https://docs.google.com/spreadsheets/d/1LKNndPoZf492kzTNmSN_BQWFC4s4cYFRBWLWfm7jEr0/edit?gid=1108122911#gid=1108122911"",""Sales!A:Z"")"),"date_date")</f>
        <v>date_date</v>
      </c>
      <c r="B1" s="9" t="str">
        <f>IFERROR(__xludf.DUMMYFUNCTION("""COMPUTED_VALUE"""),"orders_id")</f>
        <v>orders_id</v>
      </c>
      <c r="C1" s="9" t="str">
        <f>IFERROR(__xludf.DUMMYFUNCTION("""COMPUTED_VALUE"""),"products_id")</f>
        <v>products_id</v>
      </c>
      <c r="D1" s="10" t="str">
        <f>IFERROR(__xludf.DUMMYFUNCTION("""COMPUTED_VALUE"""),"promo_name")</f>
        <v>promo_name</v>
      </c>
      <c r="E1" s="10" t="str">
        <f>IFERROR(__xludf.DUMMYFUNCTION("""COMPUTED_VALUE"""),"code")</f>
        <v>code</v>
      </c>
      <c r="F1" s="10" t="str">
        <f>IFERROR(__xludf.DUMMYFUNCTION("""COMPUTED_VALUE"""),"turnover_before_promo")</f>
        <v>turnover_before_promo</v>
      </c>
      <c r="G1" s="9" t="str">
        <f>IFERROR(__xludf.DUMMYFUNCTION("""COMPUTED_VALUE"""),"turnover")</f>
        <v>turnover</v>
      </c>
      <c r="H1" s="9" t="str">
        <f>IFERROR(__xludf.DUMMYFUNCTION("""COMPUTED_VALUE"""),"qty")</f>
        <v>qty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15.75" customHeight="1">
      <c r="A2" s="11">
        <f>IFERROR(__xludf.DUMMYFUNCTION("""COMPUTED_VALUE"""),44471.0)</f>
        <v>44471</v>
      </c>
      <c r="B2" s="9">
        <f>IFERROR(__xludf.DUMMYFUNCTION("""COMPUTED_VALUE"""),1003283.0)</f>
        <v>1003283</v>
      </c>
      <c r="C2" s="9">
        <f>IFERROR(__xludf.DUMMYFUNCTION("""COMPUTED_VALUE"""),111934.0)</f>
        <v>111934</v>
      </c>
      <c r="D2" s="9"/>
      <c r="E2" s="9"/>
      <c r="F2" s="9">
        <f>IFERROR(__xludf.DUMMYFUNCTION("""COMPUTED_VALUE"""),20.14)</f>
        <v>20.14</v>
      </c>
      <c r="G2" s="9">
        <f>IFERROR(__xludf.DUMMYFUNCTION("""COMPUTED_VALUE"""),20.14)</f>
        <v>20.14</v>
      </c>
      <c r="H2" s="9">
        <f>IFERROR(__xludf.DUMMYFUNCTION("""COMPUTED_VALUE"""),1.0)</f>
        <v>1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ht="15.75" customHeight="1">
      <c r="A3" s="11">
        <f>IFERROR(__xludf.DUMMYFUNCTION("""COMPUTED_VALUE"""),44471.0)</f>
        <v>44471</v>
      </c>
      <c r="B3" s="9">
        <f>IFERROR(__xludf.DUMMYFUNCTION("""COMPUTED_VALUE"""),1003284.0)</f>
        <v>1003284</v>
      </c>
      <c r="C3" s="9">
        <f>IFERROR(__xludf.DUMMYFUNCTION("""COMPUTED_VALUE"""),18100.0)</f>
        <v>18100</v>
      </c>
      <c r="D3" s="9"/>
      <c r="E3" s="9"/>
      <c r="F3" s="9">
        <f>IFERROR(__xludf.DUMMYFUNCTION("""COMPUTED_VALUE"""),8.22)</f>
        <v>8.22</v>
      </c>
      <c r="G3" s="9">
        <f>IFERROR(__xludf.DUMMYFUNCTION("""COMPUTED_VALUE"""),8.22)</f>
        <v>8.22</v>
      </c>
      <c r="H3" s="9">
        <f>IFERROR(__xludf.DUMMYFUNCTION("""COMPUTED_VALUE"""),1.0)</f>
        <v>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ht="15.75" customHeight="1">
      <c r="A4" s="11">
        <f>IFERROR(__xludf.DUMMYFUNCTION("""COMPUTED_VALUE"""),44471.0)</f>
        <v>44471</v>
      </c>
      <c r="B4" s="9">
        <f>IFERROR(__xludf.DUMMYFUNCTION("""COMPUTED_VALUE"""),1003284.0)</f>
        <v>1003284</v>
      </c>
      <c r="C4" s="9">
        <f>IFERROR(__xludf.DUMMYFUNCTION("""COMPUTED_VALUE"""),109184.0)</f>
        <v>109184</v>
      </c>
      <c r="D4" s="9"/>
      <c r="E4" s="9"/>
      <c r="F4" s="9">
        <f>IFERROR(__xludf.DUMMYFUNCTION("""COMPUTED_VALUE"""),39.37)</f>
        <v>39.37</v>
      </c>
      <c r="G4" s="9">
        <f>IFERROR(__xludf.DUMMYFUNCTION("""COMPUTED_VALUE"""),39.37)</f>
        <v>39.37</v>
      </c>
      <c r="H4" s="9">
        <f>IFERROR(__xludf.DUMMYFUNCTION("""COMPUTED_VALUE"""),5.0)</f>
        <v>5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ht="15.75" customHeight="1">
      <c r="A5" s="11">
        <f>IFERROR(__xludf.DUMMYFUNCTION("""COMPUTED_VALUE"""),44471.0)</f>
        <v>44471</v>
      </c>
      <c r="B5" s="9">
        <f>IFERROR(__xludf.DUMMYFUNCTION("""COMPUTED_VALUE"""),1003285.0)</f>
        <v>1003285</v>
      </c>
      <c r="C5" s="9">
        <f>IFERROR(__xludf.DUMMYFUNCTION("""COMPUTED_VALUE"""),114912.0)</f>
        <v>114912</v>
      </c>
      <c r="D5" s="10" t="str">
        <f>IFERROR(__xludf.DUMMYFUNCTION("""COMPUTED_VALUE"""),"Offre speciale")</f>
        <v>Offre speciale</v>
      </c>
      <c r="E5" s="10"/>
      <c r="F5" s="9">
        <f>IFERROR(__xludf.DUMMYFUNCTION("""COMPUTED_VALUE"""),7.26666666666666)</f>
        <v>7.266666667</v>
      </c>
      <c r="G5" s="9">
        <f>IFERROR(__xludf.DUMMYFUNCTION("""COMPUTED_VALUE"""),6.54)</f>
        <v>6.54</v>
      </c>
      <c r="H5" s="9">
        <f>IFERROR(__xludf.DUMMYFUNCTION("""COMPUTED_VALUE"""),1.0)</f>
        <v>1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ht="15.75" customHeight="1">
      <c r="A6" s="11">
        <f>IFERROR(__xludf.DUMMYFUNCTION("""COMPUTED_VALUE"""),44471.0)</f>
        <v>44471</v>
      </c>
      <c r="B6" s="9">
        <f>IFERROR(__xludf.DUMMYFUNCTION("""COMPUTED_VALUE"""),1003285.0)</f>
        <v>1003285</v>
      </c>
      <c r="C6" s="9">
        <f>IFERROR(__xludf.DUMMYFUNCTION("""COMPUTED_VALUE"""),44718.0)</f>
        <v>44718</v>
      </c>
      <c r="D6" s="10" t="str">
        <f>IFERROR(__xludf.DUMMYFUNCTION("""COMPUTED_VALUE"""),"Offre speciale")</f>
        <v>Offre speciale</v>
      </c>
      <c r="E6" s="10"/>
      <c r="F6" s="9">
        <f>IFERROR(__xludf.DUMMYFUNCTION("""COMPUTED_VALUE"""),1.89130434782608)</f>
        <v>1.891304348</v>
      </c>
      <c r="G6" s="9">
        <f>IFERROR(__xludf.DUMMYFUNCTION("""COMPUTED_VALUE"""),1.74)</f>
        <v>1.74</v>
      </c>
      <c r="H6" s="9">
        <f>IFERROR(__xludf.DUMMYFUNCTION("""COMPUTED_VALUE"""),1.0)</f>
        <v>1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ht="15.75" customHeight="1">
      <c r="A7" s="11">
        <f>IFERROR(__xludf.DUMMYFUNCTION("""COMPUTED_VALUE"""),44471.0)</f>
        <v>44471</v>
      </c>
      <c r="B7" s="9">
        <f>IFERROR(__xludf.DUMMYFUNCTION("""COMPUTED_VALUE"""),1003285.0)</f>
        <v>1003285</v>
      </c>
      <c r="C7" s="9">
        <f>IFERROR(__xludf.DUMMYFUNCTION("""COMPUTED_VALUE"""),120255.0)</f>
        <v>120255</v>
      </c>
      <c r="D7" s="9"/>
      <c r="E7" s="9"/>
      <c r="F7" s="9">
        <f>IFERROR(__xludf.DUMMYFUNCTION("""COMPUTED_VALUE"""),2.58)</f>
        <v>2.58</v>
      </c>
      <c r="G7" s="9">
        <f>IFERROR(__xludf.DUMMYFUNCTION("""COMPUTED_VALUE"""),2.58)</f>
        <v>2.58</v>
      </c>
      <c r="H7" s="9">
        <f>IFERROR(__xludf.DUMMYFUNCTION("""COMPUTED_VALUE"""),1.0)</f>
        <v>1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ht="15.75" customHeight="1">
      <c r="A8" s="11">
        <f>IFERROR(__xludf.DUMMYFUNCTION("""COMPUTED_VALUE"""),44471.0)</f>
        <v>44471</v>
      </c>
      <c r="B8" s="9">
        <f>IFERROR(__xludf.DUMMYFUNCTION("""COMPUTED_VALUE"""),1003285.0)</f>
        <v>1003285</v>
      </c>
      <c r="C8" s="9">
        <f>IFERROR(__xludf.DUMMYFUNCTION("""COMPUTED_VALUE"""),70588.0)</f>
        <v>70588</v>
      </c>
      <c r="D8" s="9"/>
      <c r="E8" s="9"/>
      <c r="F8" s="9">
        <f>IFERROR(__xludf.DUMMYFUNCTION("""COMPUTED_VALUE"""),0.96)</f>
        <v>0.96</v>
      </c>
      <c r="G8" s="9">
        <f>IFERROR(__xludf.DUMMYFUNCTION("""COMPUTED_VALUE"""),0.96)</f>
        <v>0.96</v>
      </c>
      <c r="H8" s="9">
        <f>IFERROR(__xludf.DUMMYFUNCTION("""COMPUTED_VALUE"""),1.0)</f>
        <v>1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ht="15.75" customHeight="1">
      <c r="A9" s="11">
        <f>IFERROR(__xludf.DUMMYFUNCTION("""COMPUTED_VALUE"""),44471.0)</f>
        <v>44471</v>
      </c>
      <c r="B9" s="9">
        <f>IFERROR(__xludf.DUMMYFUNCTION("""COMPUTED_VALUE"""),1003285.0)</f>
        <v>1003285</v>
      </c>
      <c r="C9" s="9">
        <f>IFERROR(__xludf.DUMMYFUNCTION("""COMPUTED_VALUE"""),120563.0)</f>
        <v>120563</v>
      </c>
      <c r="D9" s="9"/>
      <c r="E9" s="9"/>
      <c r="F9" s="9">
        <f>IFERROR(__xludf.DUMMYFUNCTION("""COMPUTED_VALUE"""),17.34)</f>
        <v>17.34</v>
      </c>
      <c r="G9" s="9">
        <f>IFERROR(__xludf.DUMMYFUNCTION("""COMPUTED_VALUE"""),17.34)</f>
        <v>17.34</v>
      </c>
      <c r="H9" s="9">
        <f>IFERROR(__xludf.DUMMYFUNCTION("""COMPUTED_VALUE"""),1.0)</f>
        <v>1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ht="15.75" customHeight="1">
      <c r="A10" s="11">
        <f>IFERROR(__xludf.DUMMYFUNCTION("""COMPUTED_VALUE"""),44471.0)</f>
        <v>44471</v>
      </c>
      <c r="B10" s="9">
        <f>IFERROR(__xludf.DUMMYFUNCTION("""COMPUTED_VALUE"""),1003286.0)</f>
        <v>1003286</v>
      </c>
      <c r="C10" s="9">
        <f>IFERROR(__xludf.DUMMYFUNCTION("""COMPUTED_VALUE"""),5902.0)</f>
        <v>5902</v>
      </c>
      <c r="D10" s="9"/>
      <c r="E10" s="10" t="str">
        <f>IFERROR(__xludf.DUMMYFUNCTION("""COMPUTED_VALUE"""),"PREMIERE")</f>
        <v>PREMIERE</v>
      </c>
      <c r="F10" s="10">
        <f>IFERROR(__xludf.DUMMYFUNCTION("""COMPUTED_VALUE"""),21.06)</f>
        <v>21.06</v>
      </c>
      <c r="G10" s="9">
        <f>IFERROR(__xludf.DUMMYFUNCTION("""COMPUTED_VALUE"""),21.06)</f>
        <v>21.06</v>
      </c>
      <c r="H10" s="9">
        <f>IFERROR(__xludf.DUMMYFUNCTION("""COMPUTED_VALUE"""),3.0)</f>
        <v>3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ht="15.75" customHeight="1">
      <c r="A11" s="11">
        <f>IFERROR(__xludf.DUMMYFUNCTION("""COMPUTED_VALUE"""),44471.0)</f>
        <v>44471</v>
      </c>
      <c r="B11" s="9">
        <f>IFERROR(__xludf.DUMMYFUNCTION("""COMPUTED_VALUE"""),1003286.0)</f>
        <v>1003286</v>
      </c>
      <c r="C11" s="9">
        <f>IFERROR(__xludf.DUMMYFUNCTION("""COMPUTED_VALUE"""),110337.0)</f>
        <v>110337</v>
      </c>
      <c r="D11" s="10" t="str">
        <f>IFERROR(__xludf.DUMMYFUNCTION("""COMPUTED_VALUE"""),"Love &amp; Green Couches et Culottes sept 2021")</f>
        <v>Love &amp; Green Couches et Culottes sept 2021</v>
      </c>
      <c r="E11" s="10" t="str">
        <f>IFERROR(__xludf.DUMMYFUNCTION("""COMPUTED_VALUE"""),"PREMIERE")</f>
        <v>PREMIERE</v>
      </c>
      <c r="F11" s="10">
        <f>IFERROR(__xludf.DUMMYFUNCTION("""COMPUTED_VALUE"""),124.214285714285)</f>
        <v>124.2142857</v>
      </c>
      <c r="G11" s="9">
        <f>IFERROR(__xludf.DUMMYFUNCTION("""COMPUTED_VALUE"""),86.95)</f>
        <v>86.95</v>
      </c>
      <c r="H11" s="9">
        <f>IFERROR(__xludf.DUMMYFUNCTION("""COMPUTED_VALUE"""),12.0)</f>
        <v>12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ht="15.75" customHeight="1">
      <c r="A12" s="11">
        <f>IFERROR(__xludf.DUMMYFUNCTION("""COMPUTED_VALUE"""),44471.0)</f>
        <v>44471</v>
      </c>
      <c r="B12" s="9">
        <f>IFERROR(__xludf.DUMMYFUNCTION("""COMPUTED_VALUE"""),1003287.0)</f>
        <v>1003287</v>
      </c>
      <c r="C12" s="9">
        <f>IFERROR(__xludf.DUMMYFUNCTION("""COMPUTED_VALUE"""),79819.0)</f>
        <v>79819</v>
      </c>
      <c r="D12" s="9"/>
      <c r="E12" s="9"/>
      <c r="F12" s="9">
        <f>IFERROR(__xludf.DUMMYFUNCTION("""COMPUTED_VALUE"""),5.77)</f>
        <v>5.77</v>
      </c>
      <c r="G12" s="9">
        <f>IFERROR(__xludf.DUMMYFUNCTION("""COMPUTED_VALUE"""),5.77)</f>
        <v>5.77</v>
      </c>
      <c r="H12" s="9">
        <f>IFERROR(__xludf.DUMMYFUNCTION("""COMPUTED_VALUE"""),1.0)</f>
        <v>1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ht="15.75" customHeight="1">
      <c r="A13" s="11">
        <f>IFERROR(__xludf.DUMMYFUNCTION("""COMPUTED_VALUE"""),44471.0)</f>
        <v>44471</v>
      </c>
      <c r="B13" s="9">
        <f>IFERROR(__xludf.DUMMYFUNCTION("""COMPUTED_VALUE"""),1003287.0)</f>
        <v>1003287</v>
      </c>
      <c r="C13" s="9">
        <f>IFERROR(__xludf.DUMMYFUNCTION("""COMPUTED_VALUE"""),117464.0)</f>
        <v>117464</v>
      </c>
      <c r="D13" s="9"/>
      <c r="E13" s="9"/>
      <c r="F13" s="9">
        <f>IFERROR(__xludf.DUMMYFUNCTION("""COMPUTED_VALUE"""),9.66)</f>
        <v>9.66</v>
      </c>
      <c r="G13" s="9">
        <f>IFERROR(__xludf.DUMMYFUNCTION("""COMPUTED_VALUE"""),9.66)</f>
        <v>9.66</v>
      </c>
      <c r="H13" s="9">
        <f>IFERROR(__xludf.DUMMYFUNCTION("""COMPUTED_VALUE"""),1.0)</f>
        <v>1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ht="15.75" customHeight="1">
      <c r="A14" s="11">
        <f>IFERROR(__xludf.DUMMYFUNCTION("""COMPUTED_VALUE"""),44471.0)</f>
        <v>44471</v>
      </c>
      <c r="B14" s="9">
        <f>IFERROR(__xludf.DUMMYFUNCTION("""COMPUTED_VALUE"""),1003287.0)</f>
        <v>1003287</v>
      </c>
      <c r="C14" s="9">
        <f>IFERROR(__xludf.DUMMYFUNCTION("""COMPUTED_VALUE"""),121868.0)</f>
        <v>121868</v>
      </c>
      <c r="D14" s="9"/>
      <c r="E14" s="9"/>
      <c r="F14" s="9">
        <f>IFERROR(__xludf.DUMMYFUNCTION("""COMPUTED_VALUE"""),6.37)</f>
        <v>6.37</v>
      </c>
      <c r="G14" s="9">
        <f>IFERROR(__xludf.DUMMYFUNCTION("""COMPUTED_VALUE"""),6.37)</f>
        <v>6.37</v>
      </c>
      <c r="H14" s="9">
        <f>IFERROR(__xludf.DUMMYFUNCTION("""COMPUTED_VALUE"""),1.0)</f>
        <v>1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ht="15.75" customHeight="1">
      <c r="A15" s="11">
        <f>IFERROR(__xludf.DUMMYFUNCTION("""COMPUTED_VALUE"""),44471.0)</f>
        <v>44471</v>
      </c>
      <c r="B15" s="9">
        <f>IFERROR(__xludf.DUMMYFUNCTION("""COMPUTED_VALUE"""),1003287.0)</f>
        <v>1003287</v>
      </c>
      <c r="C15" s="9">
        <f>IFERROR(__xludf.DUMMYFUNCTION("""COMPUTED_VALUE"""),100038.0)</f>
        <v>100038</v>
      </c>
      <c r="D15" s="9"/>
      <c r="E15" s="9"/>
      <c r="F15" s="9">
        <f>IFERROR(__xludf.DUMMYFUNCTION("""COMPUTED_VALUE"""),11.4)</f>
        <v>11.4</v>
      </c>
      <c r="G15" s="9">
        <f>IFERROR(__xludf.DUMMYFUNCTION("""COMPUTED_VALUE"""),11.4)</f>
        <v>11.4</v>
      </c>
      <c r="H15" s="9">
        <f>IFERROR(__xludf.DUMMYFUNCTION("""COMPUTED_VALUE"""),1.0)</f>
        <v>1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ht="15.75" customHeight="1">
      <c r="A16" s="11">
        <f>IFERROR(__xludf.DUMMYFUNCTION("""COMPUTED_VALUE"""),44471.0)</f>
        <v>44471</v>
      </c>
      <c r="B16" s="9">
        <f>IFERROR(__xludf.DUMMYFUNCTION("""COMPUTED_VALUE"""),1003287.0)</f>
        <v>1003287</v>
      </c>
      <c r="C16" s="9">
        <f>IFERROR(__xludf.DUMMYFUNCTION("""COMPUTED_VALUE"""),119249.0)</f>
        <v>119249</v>
      </c>
      <c r="D16" s="9"/>
      <c r="E16" s="9"/>
      <c r="F16" s="9">
        <f>IFERROR(__xludf.DUMMYFUNCTION("""COMPUTED_VALUE"""),4.74)</f>
        <v>4.74</v>
      </c>
      <c r="G16" s="9">
        <f>IFERROR(__xludf.DUMMYFUNCTION("""COMPUTED_VALUE"""),4.74)</f>
        <v>4.74</v>
      </c>
      <c r="H16" s="9">
        <f>IFERROR(__xludf.DUMMYFUNCTION("""COMPUTED_VALUE"""),1.0)</f>
        <v>1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ht="15.75" customHeight="1">
      <c r="A17" s="11">
        <f>IFERROR(__xludf.DUMMYFUNCTION("""COMPUTED_VALUE"""),44471.0)</f>
        <v>44471</v>
      </c>
      <c r="B17" s="9">
        <f>IFERROR(__xludf.DUMMYFUNCTION("""COMPUTED_VALUE"""),1003287.0)</f>
        <v>1003287</v>
      </c>
      <c r="C17" s="9">
        <f>IFERROR(__xludf.DUMMYFUNCTION("""COMPUTED_VALUE"""),119257.0)</f>
        <v>119257</v>
      </c>
      <c r="D17" s="9"/>
      <c r="E17" s="9"/>
      <c r="F17" s="9">
        <f>IFERROR(__xludf.DUMMYFUNCTION("""COMPUTED_VALUE"""),3.27)</f>
        <v>3.27</v>
      </c>
      <c r="G17" s="9">
        <f>IFERROR(__xludf.DUMMYFUNCTION("""COMPUTED_VALUE"""),3.27)</f>
        <v>3.27</v>
      </c>
      <c r="H17" s="9">
        <f>IFERROR(__xludf.DUMMYFUNCTION("""COMPUTED_VALUE"""),2.0)</f>
        <v>2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ht="15.75" customHeight="1">
      <c r="A18" s="11">
        <f>IFERROR(__xludf.DUMMYFUNCTION("""COMPUTED_VALUE"""),44471.0)</f>
        <v>44471</v>
      </c>
      <c r="B18" s="9">
        <f>IFERROR(__xludf.DUMMYFUNCTION("""COMPUTED_VALUE"""),1003287.0)</f>
        <v>1003287</v>
      </c>
      <c r="C18" s="9">
        <f>IFERROR(__xludf.DUMMYFUNCTION("""COMPUTED_VALUE"""),115757.0)</f>
        <v>115757</v>
      </c>
      <c r="D18" s="10" t="str">
        <f>IFERROR(__xludf.DUMMYFUNCTION("""COMPUTED_VALUE"""),"Vive le bio")</f>
        <v>Vive le bio</v>
      </c>
      <c r="E18" s="10"/>
      <c r="F18" s="9">
        <f>IFERROR(__xludf.DUMMYFUNCTION("""COMPUTED_VALUE"""),2.61111111111111)</f>
        <v>2.611111111</v>
      </c>
      <c r="G18" s="9">
        <f>IFERROR(__xludf.DUMMYFUNCTION("""COMPUTED_VALUE"""),2.35)</f>
        <v>2.35</v>
      </c>
      <c r="H18" s="9">
        <f>IFERROR(__xludf.DUMMYFUNCTION("""COMPUTED_VALUE"""),2.0)</f>
        <v>2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ht="15.75" customHeight="1">
      <c r="A19" s="11">
        <f>IFERROR(__xludf.DUMMYFUNCTION("""COMPUTED_VALUE"""),44471.0)</f>
        <v>44471</v>
      </c>
      <c r="B19" s="9">
        <f>IFERROR(__xludf.DUMMYFUNCTION("""COMPUTED_VALUE"""),1003287.0)</f>
        <v>1003287</v>
      </c>
      <c r="C19" s="9">
        <f>IFERROR(__xludf.DUMMYFUNCTION("""COMPUTED_VALUE"""),73245.0)</f>
        <v>73245</v>
      </c>
      <c r="D19" s="9"/>
      <c r="E19" s="9"/>
      <c r="F19" s="9">
        <f>IFERROR(__xludf.DUMMYFUNCTION("""COMPUTED_VALUE"""),2.91)</f>
        <v>2.91</v>
      </c>
      <c r="G19" s="9">
        <f>IFERROR(__xludf.DUMMYFUNCTION("""COMPUTED_VALUE"""),2.91)</f>
        <v>2.91</v>
      </c>
      <c r="H19" s="9">
        <f>IFERROR(__xludf.DUMMYFUNCTION("""COMPUTED_VALUE"""),2.0)</f>
        <v>2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ht="15.75" customHeight="1">
      <c r="A20" s="11">
        <f>IFERROR(__xludf.DUMMYFUNCTION("""COMPUTED_VALUE"""),44471.0)</f>
        <v>44471</v>
      </c>
      <c r="B20" s="9">
        <f>IFERROR(__xludf.DUMMYFUNCTION("""COMPUTED_VALUE"""),1003287.0)</f>
        <v>1003287</v>
      </c>
      <c r="C20" s="9">
        <f>IFERROR(__xludf.DUMMYFUNCTION("""COMPUTED_VALUE"""),115776.0)</f>
        <v>115776</v>
      </c>
      <c r="D20" s="9"/>
      <c r="E20" s="9"/>
      <c r="F20" s="9">
        <f>IFERROR(__xludf.DUMMYFUNCTION("""COMPUTED_VALUE"""),15.64)</f>
        <v>15.64</v>
      </c>
      <c r="G20" s="9">
        <f>IFERROR(__xludf.DUMMYFUNCTION("""COMPUTED_VALUE"""),15.64)</f>
        <v>15.64</v>
      </c>
      <c r="H20" s="9">
        <f>IFERROR(__xludf.DUMMYFUNCTION("""COMPUTED_VALUE"""),2.0)</f>
        <v>2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ht="15.75" customHeight="1">
      <c r="A21" s="11">
        <f>IFERROR(__xludf.DUMMYFUNCTION("""COMPUTED_VALUE"""),44471.0)</f>
        <v>44471</v>
      </c>
      <c r="B21" s="9">
        <f>IFERROR(__xludf.DUMMYFUNCTION("""COMPUTED_VALUE"""),1003287.0)</f>
        <v>1003287</v>
      </c>
      <c r="C21" s="9">
        <f>IFERROR(__xludf.DUMMYFUNCTION("""COMPUTED_VALUE"""),115755.0)</f>
        <v>115755</v>
      </c>
      <c r="D21" s="9"/>
      <c r="E21" s="9"/>
      <c r="F21" s="9">
        <f>IFERROR(__xludf.DUMMYFUNCTION("""COMPUTED_VALUE"""),1.92)</f>
        <v>1.92</v>
      </c>
      <c r="G21" s="9">
        <f>IFERROR(__xludf.DUMMYFUNCTION("""COMPUTED_VALUE"""),1.92)</f>
        <v>1.92</v>
      </c>
      <c r="H21" s="9">
        <f>IFERROR(__xludf.DUMMYFUNCTION("""COMPUTED_VALUE"""),2.0)</f>
        <v>2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ht="15.75" customHeight="1">
      <c r="A22" s="11">
        <f>IFERROR(__xludf.DUMMYFUNCTION("""COMPUTED_VALUE"""),44471.0)</f>
        <v>44471</v>
      </c>
      <c r="B22" s="9">
        <f>IFERROR(__xludf.DUMMYFUNCTION("""COMPUTED_VALUE"""),1003287.0)</f>
        <v>1003287</v>
      </c>
      <c r="C22" s="9">
        <f>IFERROR(__xludf.DUMMYFUNCTION("""COMPUTED_VALUE"""),71420.0)</f>
        <v>71420</v>
      </c>
      <c r="D22" s="9"/>
      <c r="E22" s="9"/>
      <c r="F22" s="9">
        <f>IFERROR(__xludf.DUMMYFUNCTION("""COMPUTED_VALUE"""),6.96)</f>
        <v>6.96</v>
      </c>
      <c r="G22" s="9">
        <f>IFERROR(__xludf.DUMMYFUNCTION("""COMPUTED_VALUE"""),6.96)</f>
        <v>6.96</v>
      </c>
      <c r="H22" s="9">
        <f>IFERROR(__xludf.DUMMYFUNCTION("""COMPUTED_VALUE"""),2.0)</f>
        <v>2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ht="15.75" customHeight="1">
      <c r="A23" s="11">
        <f>IFERROR(__xludf.DUMMYFUNCTION("""COMPUTED_VALUE"""),44471.0)</f>
        <v>44471</v>
      </c>
      <c r="B23" s="9">
        <f>IFERROR(__xludf.DUMMYFUNCTION("""COMPUTED_VALUE"""),1003287.0)</f>
        <v>1003287</v>
      </c>
      <c r="C23" s="9">
        <f>IFERROR(__xludf.DUMMYFUNCTION("""COMPUTED_VALUE"""),87287.0)</f>
        <v>87287</v>
      </c>
      <c r="D23" s="9"/>
      <c r="E23" s="9"/>
      <c r="F23" s="9">
        <f>IFERROR(__xludf.DUMMYFUNCTION("""COMPUTED_VALUE"""),4.47)</f>
        <v>4.47</v>
      </c>
      <c r="G23" s="9">
        <f>IFERROR(__xludf.DUMMYFUNCTION("""COMPUTED_VALUE"""),4.47)</f>
        <v>4.47</v>
      </c>
      <c r="H23" s="9">
        <f>IFERROR(__xludf.DUMMYFUNCTION("""COMPUTED_VALUE"""),2.0)</f>
        <v>2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ht="15.75" customHeight="1">
      <c r="A24" s="11">
        <f>IFERROR(__xludf.DUMMYFUNCTION("""COMPUTED_VALUE"""),44471.0)</f>
        <v>44471</v>
      </c>
      <c r="B24" s="9">
        <f>IFERROR(__xludf.DUMMYFUNCTION("""COMPUTED_VALUE"""),1003287.0)</f>
        <v>1003287</v>
      </c>
      <c r="C24" s="9">
        <f>IFERROR(__xludf.DUMMYFUNCTION("""COMPUTED_VALUE"""),77366.0)</f>
        <v>77366</v>
      </c>
      <c r="D24" s="9"/>
      <c r="E24" s="9"/>
      <c r="F24" s="9">
        <f>IFERROR(__xludf.DUMMYFUNCTION("""COMPUTED_VALUE"""),4.98)</f>
        <v>4.98</v>
      </c>
      <c r="G24" s="9">
        <f>IFERROR(__xludf.DUMMYFUNCTION("""COMPUTED_VALUE"""),4.98)</f>
        <v>4.98</v>
      </c>
      <c r="H24" s="9">
        <f>IFERROR(__xludf.DUMMYFUNCTION("""COMPUTED_VALUE"""),2.0)</f>
        <v>2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ht="15.75" customHeight="1">
      <c r="A25" s="11">
        <f>IFERROR(__xludf.DUMMYFUNCTION("""COMPUTED_VALUE"""),44471.0)</f>
        <v>44471</v>
      </c>
      <c r="B25" s="9">
        <f>IFERROR(__xludf.DUMMYFUNCTION("""COMPUTED_VALUE"""),1003287.0)</f>
        <v>1003287</v>
      </c>
      <c r="C25" s="9">
        <f>IFERROR(__xludf.DUMMYFUNCTION("""COMPUTED_VALUE"""),87281.0)</f>
        <v>87281</v>
      </c>
      <c r="D25" s="9"/>
      <c r="E25" s="9"/>
      <c r="F25" s="9">
        <f>IFERROR(__xludf.DUMMYFUNCTION("""COMPUTED_VALUE"""),6.24)</f>
        <v>6.24</v>
      </c>
      <c r="G25" s="9">
        <f>IFERROR(__xludf.DUMMYFUNCTION("""COMPUTED_VALUE"""),6.24)</f>
        <v>6.24</v>
      </c>
      <c r="H25" s="9">
        <f>IFERROR(__xludf.DUMMYFUNCTION("""COMPUTED_VALUE"""),2.0)</f>
        <v>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ht="15.75" customHeight="1">
      <c r="A26" s="11">
        <f>IFERROR(__xludf.DUMMYFUNCTION("""COMPUTED_VALUE"""),44471.0)</f>
        <v>44471</v>
      </c>
      <c r="B26" s="9">
        <f>IFERROR(__xludf.DUMMYFUNCTION("""COMPUTED_VALUE"""),1003287.0)</f>
        <v>1003287</v>
      </c>
      <c r="C26" s="9">
        <f>IFERROR(__xludf.DUMMYFUNCTION("""COMPUTED_VALUE"""),73260.0)</f>
        <v>73260</v>
      </c>
      <c r="D26" s="9"/>
      <c r="E26" s="9"/>
      <c r="F26" s="9">
        <f>IFERROR(__xludf.DUMMYFUNCTION("""COMPUTED_VALUE"""),5.52)</f>
        <v>5.52</v>
      </c>
      <c r="G26" s="9">
        <f>IFERROR(__xludf.DUMMYFUNCTION("""COMPUTED_VALUE"""),5.52)</f>
        <v>5.52</v>
      </c>
      <c r="H26" s="9">
        <f>IFERROR(__xludf.DUMMYFUNCTION("""COMPUTED_VALUE"""),3.0)</f>
        <v>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ht="15.75" customHeight="1">
      <c r="A27" s="11">
        <f>IFERROR(__xludf.DUMMYFUNCTION("""COMPUTED_VALUE"""),44471.0)</f>
        <v>44471</v>
      </c>
      <c r="B27" s="9">
        <f>IFERROR(__xludf.DUMMYFUNCTION("""COMPUTED_VALUE"""),1003287.0)</f>
        <v>1003287</v>
      </c>
      <c r="C27" s="9">
        <f>IFERROR(__xludf.DUMMYFUNCTION("""COMPUTED_VALUE"""),118150.0)</f>
        <v>118150</v>
      </c>
      <c r="D27" s="9"/>
      <c r="E27" s="9"/>
      <c r="F27" s="9">
        <f>IFERROR(__xludf.DUMMYFUNCTION("""COMPUTED_VALUE"""),5.07)</f>
        <v>5.07</v>
      </c>
      <c r="G27" s="9">
        <f>IFERROR(__xludf.DUMMYFUNCTION("""COMPUTED_VALUE"""),5.07)</f>
        <v>5.07</v>
      </c>
      <c r="H27" s="9">
        <f>IFERROR(__xludf.DUMMYFUNCTION("""COMPUTED_VALUE"""),3.0)</f>
        <v>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ht="15.75" customHeight="1">
      <c r="A28" s="11">
        <f>IFERROR(__xludf.DUMMYFUNCTION("""COMPUTED_VALUE"""),44471.0)</f>
        <v>44471</v>
      </c>
      <c r="B28" s="9">
        <f>IFERROR(__xludf.DUMMYFUNCTION("""COMPUTED_VALUE"""),1003287.0)</f>
        <v>1003287</v>
      </c>
      <c r="C28" s="9">
        <f>IFERROR(__xludf.DUMMYFUNCTION("""COMPUTED_VALUE"""),45885.0)</f>
        <v>45885</v>
      </c>
      <c r="D28" s="9"/>
      <c r="E28" s="9"/>
      <c r="F28" s="9">
        <f>IFERROR(__xludf.DUMMYFUNCTION("""COMPUTED_VALUE"""),8.66)</f>
        <v>8.66</v>
      </c>
      <c r="G28" s="9">
        <f>IFERROR(__xludf.DUMMYFUNCTION("""COMPUTED_VALUE"""),8.66)</f>
        <v>8.66</v>
      </c>
      <c r="H28" s="9">
        <f>IFERROR(__xludf.DUMMYFUNCTION("""COMPUTED_VALUE"""),3.0)</f>
        <v>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ht="15.75" customHeight="1">
      <c r="A29" s="11">
        <f>IFERROR(__xludf.DUMMYFUNCTION("""COMPUTED_VALUE"""),44471.0)</f>
        <v>44471</v>
      </c>
      <c r="B29" s="9">
        <f>IFERROR(__xludf.DUMMYFUNCTION("""COMPUTED_VALUE"""),1003287.0)</f>
        <v>1003287</v>
      </c>
      <c r="C29" s="9">
        <f>IFERROR(__xludf.DUMMYFUNCTION("""COMPUTED_VALUE"""),73244.0)</f>
        <v>73244</v>
      </c>
      <c r="D29" s="9"/>
      <c r="E29" s="9"/>
      <c r="F29" s="9">
        <f>IFERROR(__xludf.DUMMYFUNCTION("""COMPUTED_VALUE"""),4.37)</f>
        <v>4.37</v>
      </c>
      <c r="G29" s="9">
        <f>IFERROR(__xludf.DUMMYFUNCTION("""COMPUTED_VALUE"""),4.37)</f>
        <v>4.37</v>
      </c>
      <c r="H29" s="9">
        <f>IFERROR(__xludf.DUMMYFUNCTION("""COMPUTED_VALUE"""),3.0)</f>
        <v>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ht="15.75" customHeight="1">
      <c r="A30" s="11">
        <f>IFERROR(__xludf.DUMMYFUNCTION("""COMPUTED_VALUE"""),44471.0)</f>
        <v>44471</v>
      </c>
      <c r="B30" s="9">
        <f>IFERROR(__xludf.DUMMYFUNCTION("""COMPUTED_VALUE"""),1003287.0)</f>
        <v>1003287</v>
      </c>
      <c r="C30" s="9">
        <f>IFERROR(__xludf.DUMMYFUNCTION("""COMPUTED_VALUE"""),112246.0)</f>
        <v>112246</v>
      </c>
      <c r="D30" s="9"/>
      <c r="E30" s="9"/>
      <c r="F30" s="9">
        <f>IFERROR(__xludf.DUMMYFUNCTION("""COMPUTED_VALUE"""),5.19)</f>
        <v>5.19</v>
      </c>
      <c r="G30" s="9">
        <f>IFERROR(__xludf.DUMMYFUNCTION("""COMPUTED_VALUE"""),5.19)</f>
        <v>5.19</v>
      </c>
      <c r="H30" s="9">
        <f>IFERROR(__xludf.DUMMYFUNCTION("""COMPUTED_VALUE"""),3.0)</f>
        <v>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ht="15.75" customHeight="1">
      <c r="A31" s="11">
        <f>IFERROR(__xludf.DUMMYFUNCTION("""COMPUTED_VALUE"""),44471.0)</f>
        <v>44471</v>
      </c>
      <c r="B31" s="9">
        <f>IFERROR(__xludf.DUMMYFUNCTION("""COMPUTED_VALUE"""),1003288.0)</f>
        <v>1003288</v>
      </c>
      <c r="C31" s="9">
        <f>IFERROR(__xludf.DUMMYFUNCTION("""COMPUTED_VALUE"""),69195.0)</f>
        <v>69195</v>
      </c>
      <c r="D31" s="9"/>
      <c r="E31" s="10" t="str">
        <f>IFERROR(__xludf.DUMMYFUNCTION("""COMPUTED_VALUE"""),"GREENRELAIS")</f>
        <v>GREENRELAIS</v>
      </c>
      <c r="F31" s="10">
        <f>IFERROR(__xludf.DUMMYFUNCTION("""COMPUTED_VALUE"""),3.64)</f>
        <v>3.64</v>
      </c>
      <c r="G31" s="9">
        <f>IFERROR(__xludf.DUMMYFUNCTION("""COMPUTED_VALUE"""),3.64)</f>
        <v>3.64</v>
      </c>
      <c r="H31" s="9">
        <f>IFERROR(__xludf.DUMMYFUNCTION("""COMPUTED_VALUE"""),1.0)</f>
        <v>1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ht="15.75" customHeight="1">
      <c r="A32" s="11">
        <f>IFERROR(__xludf.DUMMYFUNCTION("""COMPUTED_VALUE"""),44471.0)</f>
        <v>44471</v>
      </c>
      <c r="B32" s="9">
        <f>IFERROR(__xludf.DUMMYFUNCTION("""COMPUTED_VALUE"""),1003288.0)</f>
        <v>1003288</v>
      </c>
      <c r="C32" s="9">
        <f>IFERROR(__xludf.DUMMYFUNCTION("""COMPUTED_VALUE"""),120393.0)</f>
        <v>120393</v>
      </c>
      <c r="D32" s="9"/>
      <c r="E32" s="10" t="str">
        <f>IFERROR(__xludf.DUMMYFUNCTION("""COMPUTED_VALUE"""),"GREENRELAIS")</f>
        <v>GREENRELAIS</v>
      </c>
      <c r="F32" s="10">
        <f>IFERROR(__xludf.DUMMYFUNCTION("""COMPUTED_VALUE"""),1.89)</f>
        <v>1.89</v>
      </c>
      <c r="G32" s="9">
        <f>IFERROR(__xludf.DUMMYFUNCTION("""COMPUTED_VALUE"""),1.89)</f>
        <v>1.89</v>
      </c>
      <c r="H32" s="9">
        <f>IFERROR(__xludf.DUMMYFUNCTION("""COMPUTED_VALUE"""),1.0)</f>
        <v>1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ht="15.75" customHeight="1">
      <c r="A33" s="11">
        <f>IFERROR(__xludf.DUMMYFUNCTION("""COMPUTED_VALUE"""),44471.0)</f>
        <v>44471</v>
      </c>
      <c r="B33" s="9">
        <f>IFERROR(__xludf.DUMMYFUNCTION("""COMPUTED_VALUE"""),1003288.0)</f>
        <v>1003288</v>
      </c>
      <c r="C33" s="9">
        <f>IFERROR(__xludf.DUMMYFUNCTION("""COMPUTED_VALUE"""),121576.0)</f>
        <v>121576</v>
      </c>
      <c r="D33" s="9"/>
      <c r="E33" s="10" t="str">
        <f>IFERROR(__xludf.DUMMYFUNCTION("""COMPUTED_VALUE"""),"GREENRELAIS")</f>
        <v>GREENRELAIS</v>
      </c>
      <c r="F33" s="10">
        <f>IFERROR(__xludf.DUMMYFUNCTION("""COMPUTED_VALUE"""),7.34)</f>
        <v>7.34</v>
      </c>
      <c r="G33" s="9">
        <f>IFERROR(__xludf.DUMMYFUNCTION("""COMPUTED_VALUE"""),7.34)</f>
        <v>7.34</v>
      </c>
      <c r="H33" s="9">
        <f>IFERROR(__xludf.DUMMYFUNCTION("""COMPUTED_VALUE"""),1.0)</f>
        <v>1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ht="15.75" customHeight="1">
      <c r="A34" s="11">
        <f>IFERROR(__xludf.DUMMYFUNCTION("""COMPUTED_VALUE"""),44471.0)</f>
        <v>44471</v>
      </c>
      <c r="B34" s="9">
        <f>IFERROR(__xludf.DUMMYFUNCTION("""COMPUTED_VALUE"""),1003288.0)</f>
        <v>1003288</v>
      </c>
      <c r="C34" s="9">
        <f>IFERROR(__xludf.DUMMYFUNCTION("""COMPUTED_VALUE"""),112462.0)</f>
        <v>112462</v>
      </c>
      <c r="D34" s="10" t="str">
        <f>IFERROR(__xludf.DUMMYFUNCTION("""COMPUTED_VALUE"""),"Offre speciale")</f>
        <v>Offre speciale</v>
      </c>
      <c r="E34" s="10" t="str">
        <f>IFERROR(__xludf.DUMMYFUNCTION("""COMPUTED_VALUE"""),"GREENRELAIS")</f>
        <v>GREENRELAIS</v>
      </c>
      <c r="F34" s="10">
        <f>IFERROR(__xludf.DUMMYFUNCTION("""COMPUTED_VALUE"""),1.83529411764705)</f>
        <v>1.835294118</v>
      </c>
      <c r="G34" s="9">
        <f>IFERROR(__xludf.DUMMYFUNCTION("""COMPUTED_VALUE"""),1.56)</f>
        <v>1.56</v>
      </c>
      <c r="H34" s="9">
        <f>IFERROR(__xludf.DUMMYFUNCTION("""COMPUTED_VALUE"""),1.0)</f>
        <v>1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ht="15.75" customHeight="1">
      <c r="A35" s="11">
        <f>IFERROR(__xludf.DUMMYFUNCTION("""COMPUTED_VALUE"""),44471.0)</f>
        <v>44471</v>
      </c>
      <c r="B35" s="9">
        <f>IFERROR(__xludf.DUMMYFUNCTION("""COMPUTED_VALUE"""),1003288.0)</f>
        <v>1003288</v>
      </c>
      <c r="C35" s="9">
        <f>IFERROR(__xludf.DUMMYFUNCTION("""COMPUTED_VALUE"""),121708.0)</f>
        <v>121708</v>
      </c>
      <c r="D35" s="9"/>
      <c r="E35" s="10" t="str">
        <f>IFERROR(__xludf.DUMMYFUNCTION("""COMPUTED_VALUE"""),"GREENRELAIS")</f>
        <v>GREENRELAIS</v>
      </c>
      <c r="F35" s="10">
        <f>IFERROR(__xludf.DUMMYFUNCTION("""COMPUTED_VALUE"""),13.2)</f>
        <v>13.2</v>
      </c>
      <c r="G35" s="9">
        <f>IFERROR(__xludf.DUMMYFUNCTION("""COMPUTED_VALUE"""),13.2)</f>
        <v>13.2</v>
      </c>
      <c r="H35" s="9">
        <f>IFERROR(__xludf.DUMMYFUNCTION("""COMPUTED_VALUE"""),1.0)</f>
        <v>1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ht="15.75" customHeight="1">
      <c r="A36" s="11">
        <f>IFERROR(__xludf.DUMMYFUNCTION("""COMPUTED_VALUE"""),44471.0)</f>
        <v>44471</v>
      </c>
      <c r="B36" s="9">
        <f>IFERROR(__xludf.DUMMYFUNCTION("""COMPUTED_VALUE"""),1003288.0)</f>
        <v>1003288</v>
      </c>
      <c r="C36" s="9">
        <f>IFERROR(__xludf.DUMMYFUNCTION("""COMPUTED_VALUE"""),77475.0)</f>
        <v>77475</v>
      </c>
      <c r="D36" s="10" t="str">
        <f>IFERROR(__xludf.DUMMYFUNCTION("""COMPUTED_VALUE"""),"Vive le bio")</f>
        <v>Vive le bio</v>
      </c>
      <c r="E36" s="10" t="str">
        <f>IFERROR(__xludf.DUMMYFUNCTION("""COMPUTED_VALUE"""),"GREENRELAIS")</f>
        <v>GREENRELAIS</v>
      </c>
      <c r="F36" s="10">
        <f>IFERROR(__xludf.DUMMYFUNCTION("""COMPUTED_VALUE"""),1.25555555555555)</f>
        <v>1.255555556</v>
      </c>
      <c r="G36" s="9">
        <f>IFERROR(__xludf.DUMMYFUNCTION("""COMPUTED_VALUE"""),1.13)</f>
        <v>1.13</v>
      </c>
      <c r="H36" s="9">
        <f>IFERROR(__xludf.DUMMYFUNCTION("""COMPUTED_VALUE"""),1.0)</f>
        <v>1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ht="15.75" customHeight="1">
      <c r="A37" s="11">
        <f>IFERROR(__xludf.DUMMYFUNCTION("""COMPUTED_VALUE"""),44471.0)</f>
        <v>44471</v>
      </c>
      <c r="B37" s="9">
        <f>IFERROR(__xludf.DUMMYFUNCTION("""COMPUTED_VALUE"""),1003288.0)</f>
        <v>1003288</v>
      </c>
      <c r="C37" s="9">
        <f>IFERROR(__xludf.DUMMYFUNCTION("""COMPUTED_VALUE"""),77326.0)</f>
        <v>77326</v>
      </c>
      <c r="D37" s="9"/>
      <c r="E37" s="10" t="str">
        <f>IFERROR(__xludf.DUMMYFUNCTION("""COMPUTED_VALUE"""),"GREENRELAIS")</f>
        <v>GREENRELAIS</v>
      </c>
      <c r="F37" s="10">
        <f>IFERROR(__xludf.DUMMYFUNCTION("""COMPUTED_VALUE"""),2.85)</f>
        <v>2.85</v>
      </c>
      <c r="G37" s="9">
        <f>IFERROR(__xludf.DUMMYFUNCTION("""COMPUTED_VALUE"""),2.85)</f>
        <v>2.85</v>
      </c>
      <c r="H37" s="9">
        <f>IFERROR(__xludf.DUMMYFUNCTION("""COMPUTED_VALUE"""),1.0)</f>
        <v>1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ht="15.75" customHeight="1">
      <c r="A38" s="11">
        <f>IFERROR(__xludf.DUMMYFUNCTION("""COMPUTED_VALUE"""),44471.0)</f>
        <v>44471</v>
      </c>
      <c r="B38" s="9">
        <f>IFERROR(__xludf.DUMMYFUNCTION("""COMPUTED_VALUE"""),1003288.0)</f>
        <v>1003288</v>
      </c>
      <c r="C38" s="9">
        <f>IFERROR(__xludf.DUMMYFUNCTION("""COMPUTED_VALUE"""),111946.0)</f>
        <v>111946</v>
      </c>
      <c r="D38" s="9"/>
      <c r="E38" s="10" t="str">
        <f>IFERROR(__xludf.DUMMYFUNCTION("""COMPUTED_VALUE"""),"GREENRELAIS")</f>
        <v>GREENRELAIS</v>
      </c>
      <c r="F38" s="10">
        <f>IFERROR(__xludf.DUMMYFUNCTION("""COMPUTED_VALUE"""),3.48)</f>
        <v>3.48</v>
      </c>
      <c r="G38" s="9">
        <f>IFERROR(__xludf.DUMMYFUNCTION("""COMPUTED_VALUE"""),3.48)</f>
        <v>3.48</v>
      </c>
      <c r="H38" s="9">
        <f>IFERROR(__xludf.DUMMYFUNCTION("""COMPUTED_VALUE"""),1.0)</f>
        <v>1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ht="15.75" customHeight="1">
      <c r="A39" s="11">
        <f>IFERROR(__xludf.DUMMYFUNCTION("""COMPUTED_VALUE"""),44471.0)</f>
        <v>44471</v>
      </c>
      <c r="B39" s="9">
        <f>IFERROR(__xludf.DUMMYFUNCTION("""COMPUTED_VALUE"""),1003288.0)</f>
        <v>1003288</v>
      </c>
      <c r="C39" s="9">
        <f>IFERROR(__xludf.DUMMYFUNCTION("""COMPUTED_VALUE"""),87160.0)</f>
        <v>87160</v>
      </c>
      <c r="D39" s="9"/>
      <c r="E39" s="10" t="str">
        <f>IFERROR(__xludf.DUMMYFUNCTION("""COMPUTED_VALUE"""),"GREENRELAIS")</f>
        <v>GREENRELAIS</v>
      </c>
      <c r="F39" s="10">
        <f>IFERROR(__xludf.DUMMYFUNCTION("""COMPUTED_VALUE"""),4.69)</f>
        <v>4.69</v>
      </c>
      <c r="G39" s="9">
        <f>IFERROR(__xludf.DUMMYFUNCTION("""COMPUTED_VALUE"""),4.69)</f>
        <v>4.69</v>
      </c>
      <c r="H39" s="9">
        <f>IFERROR(__xludf.DUMMYFUNCTION("""COMPUTED_VALUE"""),2.0)</f>
        <v>2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ht="15.75" customHeight="1">
      <c r="A40" s="11">
        <f>IFERROR(__xludf.DUMMYFUNCTION("""COMPUTED_VALUE"""),44471.0)</f>
        <v>44471</v>
      </c>
      <c r="B40" s="9">
        <f>IFERROR(__xludf.DUMMYFUNCTION("""COMPUTED_VALUE"""),1003288.0)</f>
        <v>1003288</v>
      </c>
      <c r="C40" s="9">
        <f>IFERROR(__xludf.DUMMYFUNCTION("""COMPUTED_VALUE"""),129479.0)</f>
        <v>129479</v>
      </c>
      <c r="D40" s="9"/>
      <c r="E40" s="10" t="str">
        <f>IFERROR(__xludf.DUMMYFUNCTION("""COMPUTED_VALUE"""),"GREENRELAIS")</f>
        <v>GREENRELAIS</v>
      </c>
      <c r="F40" s="10">
        <f>IFERROR(__xludf.DUMMYFUNCTION("""COMPUTED_VALUE"""),7.98)</f>
        <v>7.98</v>
      </c>
      <c r="G40" s="9">
        <f>IFERROR(__xludf.DUMMYFUNCTION("""COMPUTED_VALUE"""),7.98)</f>
        <v>7.98</v>
      </c>
      <c r="H40" s="9">
        <f>IFERROR(__xludf.DUMMYFUNCTION("""COMPUTED_VALUE"""),3.0)</f>
        <v>3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ht="15.75" customHeight="1">
      <c r="A41" s="11">
        <f>IFERROR(__xludf.DUMMYFUNCTION("""COMPUTED_VALUE"""),44471.0)</f>
        <v>44471</v>
      </c>
      <c r="B41" s="9">
        <f>IFERROR(__xludf.DUMMYFUNCTION("""COMPUTED_VALUE"""),1003288.0)</f>
        <v>1003288</v>
      </c>
      <c r="C41" s="9">
        <f>IFERROR(__xludf.DUMMYFUNCTION("""COMPUTED_VALUE"""),159220.0)</f>
        <v>159220</v>
      </c>
      <c r="D41" s="9"/>
      <c r="E41" s="10" t="str">
        <f>IFERROR(__xludf.DUMMYFUNCTION("""COMPUTED_VALUE"""),"GREENRELAIS")</f>
        <v>GREENRELAIS</v>
      </c>
      <c r="F41" s="10">
        <f>IFERROR(__xludf.DUMMYFUNCTION("""COMPUTED_VALUE"""),4.25)</f>
        <v>4.25</v>
      </c>
      <c r="G41" s="9">
        <f>IFERROR(__xludf.DUMMYFUNCTION("""COMPUTED_VALUE"""),4.25)</f>
        <v>4.25</v>
      </c>
      <c r="H41" s="9">
        <f>IFERROR(__xludf.DUMMYFUNCTION("""COMPUTED_VALUE"""),4.0)</f>
        <v>4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ht="15.75" customHeight="1">
      <c r="A42" s="11">
        <f>IFERROR(__xludf.DUMMYFUNCTION("""COMPUTED_VALUE"""),44471.0)</f>
        <v>44471</v>
      </c>
      <c r="B42" s="9">
        <f>IFERROR(__xludf.DUMMYFUNCTION("""COMPUTED_VALUE"""),1003288.0)</f>
        <v>1003288</v>
      </c>
      <c r="C42" s="9">
        <f>IFERROR(__xludf.DUMMYFUNCTION("""COMPUTED_VALUE"""),90294.0)</f>
        <v>90294</v>
      </c>
      <c r="D42" s="9"/>
      <c r="E42" s="10" t="str">
        <f>IFERROR(__xludf.DUMMYFUNCTION("""COMPUTED_VALUE"""),"GREENRELAIS")</f>
        <v>GREENRELAIS</v>
      </c>
      <c r="F42" s="10">
        <f>IFERROR(__xludf.DUMMYFUNCTION("""COMPUTED_VALUE"""),38.59)</f>
        <v>38.59</v>
      </c>
      <c r="G42" s="9">
        <f>IFERROR(__xludf.DUMMYFUNCTION("""COMPUTED_VALUE"""),38.59)</f>
        <v>38.59</v>
      </c>
      <c r="H42" s="9">
        <f>IFERROR(__xludf.DUMMYFUNCTION("""COMPUTED_VALUE"""),6.0)</f>
        <v>6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ht="15.75" customHeight="1">
      <c r="A43" s="11">
        <f>IFERROR(__xludf.DUMMYFUNCTION("""COMPUTED_VALUE"""),44471.0)</f>
        <v>44471</v>
      </c>
      <c r="B43" s="9">
        <f>IFERROR(__xludf.DUMMYFUNCTION("""COMPUTED_VALUE"""),1003289.0)</f>
        <v>1003289</v>
      </c>
      <c r="C43" s="9">
        <f>IFERROR(__xludf.DUMMYFUNCTION("""COMPUTED_VALUE"""),72162.0)</f>
        <v>72162</v>
      </c>
      <c r="D43" s="10" t="str">
        <f>IFERROR(__xludf.DUMMYFUNCTION("""COMPUTED_VALUE"""),"Offre Speciale")</f>
        <v>Offre Speciale</v>
      </c>
      <c r="E43" s="10" t="str">
        <f>IFERROR(__xludf.DUMMYFUNCTION("""COMPUTED_VALUE"""),"GREENRELAIS")</f>
        <v>GREENRELAIS</v>
      </c>
      <c r="F43" s="10">
        <f>IFERROR(__xludf.DUMMYFUNCTION("""COMPUTED_VALUE"""),34.7529411764705)</f>
        <v>34.75294118</v>
      </c>
      <c r="G43" s="9">
        <f>IFERROR(__xludf.DUMMYFUNCTION("""COMPUTED_VALUE"""),29.54)</f>
        <v>29.54</v>
      </c>
      <c r="H43" s="9">
        <f>IFERROR(__xludf.DUMMYFUNCTION("""COMPUTED_VALUE"""),1.0)</f>
        <v>1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ht="15.75" customHeight="1">
      <c r="A44" s="11">
        <f>IFERROR(__xludf.DUMMYFUNCTION("""COMPUTED_VALUE"""),44471.0)</f>
        <v>44471</v>
      </c>
      <c r="B44" s="9">
        <f>IFERROR(__xludf.DUMMYFUNCTION("""COMPUTED_VALUE"""),1003289.0)</f>
        <v>1003289</v>
      </c>
      <c r="C44" s="9">
        <f>IFERROR(__xludf.DUMMYFUNCTION("""COMPUTED_VALUE"""),87440.0)</f>
        <v>87440</v>
      </c>
      <c r="D44" s="9"/>
      <c r="E44" s="10" t="str">
        <f>IFERROR(__xludf.DUMMYFUNCTION("""COMPUTED_VALUE"""),"GREENRELAIS")</f>
        <v>GREENRELAIS</v>
      </c>
      <c r="F44" s="10">
        <f>IFERROR(__xludf.DUMMYFUNCTION("""COMPUTED_VALUE"""),5.84)</f>
        <v>5.84</v>
      </c>
      <c r="G44" s="9">
        <f>IFERROR(__xludf.DUMMYFUNCTION("""COMPUTED_VALUE"""),5.84)</f>
        <v>5.84</v>
      </c>
      <c r="H44" s="9">
        <f>IFERROR(__xludf.DUMMYFUNCTION("""COMPUTED_VALUE"""),4.0)</f>
        <v>4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ht="15.75" customHeight="1">
      <c r="A45" s="11">
        <f>IFERROR(__xludf.DUMMYFUNCTION("""COMPUTED_VALUE"""),44471.0)</f>
        <v>44471</v>
      </c>
      <c r="B45" s="9">
        <f>IFERROR(__xludf.DUMMYFUNCTION("""COMPUTED_VALUE"""),1003289.0)</f>
        <v>1003289</v>
      </c>
      <c r="C45" s="9">
        <f>IFERROR(__xludf.DUMMYFUNCTION("""COMPUTED_VALUE"""),100395.0)</f>
        <v>100395</v>
      </c>
      <c r="D45" s="10" t="str">
        <f>IFERROR(__xludf.DUMMYFUNCTION("""COMPUTED_VALUE"""),"Vive le bio")</f>
        <v>Vive le bio</v>
      </c>
      <c r="E45" s="10" t="str">
        <f>IFERROR(__xludf.DUMMYFUNCTION("""COMPUTED_VALUE"""),"GREENRELAIS")</f>
        <v>GREENRELAIS</v>
      </c>
      <c r="F45" s="10">
        <f>IFERROR(__xludf.DUMMYFUNCTION("""COMPUTED_VALUE"""),9.27777777777777)</f>
        <v>9.277777778</v>
      </c>
      <c r="G45" s="9">
        <f>IFERROR(__xludf.DUMMYFUNCTION("""COMPUTED_VALUE"""),8.35)</f>
        <v>8.35</v>
      </c>
      <c r="H45" s="9">
        <f>IFERROR(__xludf.DUMMYFUNCTION("""COMPUTED_VALUE"""),4.0)</f>
        <v>4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ht="15.75" customHeight="1">
      <c r="A46" s="11">
        <f>IFERROR(__xludf.DUMMYFUNCTION("""COMPUTED_VALUE"""),44471.0)</f>
        <v>44471</v>
      </c>
      <c r="B46" s="9">
        <f>IFERROR(__xludf.DUMMYFUNCTION("""COMPUTED_VALUE"""),1003289.0)</f>
        <v>1003289</v>
      </c>
      <c r="C46" s="9">
        <f>IFERROR(__xludf.DUMMYFUNCTION("""COMPUTED_VALUE"""),83055.0)</f>
        <v>83055</v>
      </c>
      <c r="D46" s="9"/>
      <c r="E46" s="10" t="str">
        <f>IFERROR(__xludf.DUMMYFUNCTION("""COMPUTED_VALUE"""),"GREENRELAIS")</f>
        <v>GREENRELAIS</v>
      </c>
      <c r="F46" s="10">
        <f>IFERROR(__xludf.DUMMYFUNCTION("""COMPUTED_VALUE"""),12.33)</f>
        <v>12.33</v>
      </c>
      <c r="G46" s="9">
        <f>IFERROR(__xludf.DUMMYFUNCTION("""COMPUTED_VALUE"""),12.33)</f>
        <v>12.33</v>
      </c>
      <c r="H46" s="9">
        <f>IFERROR(__xludf.DUMMYFUNCTION("""COMPUTED_VALUE"""),7.0)</f>
        <v>7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ht="15.75" customHeight="1">
      <c r="A47" s="11">
        <f>IFERROR(__xludf.DUMMYFUNCTION("""COMPUTED_VALUE"""),44471.0)</f>
        <v>44471</v>
      </c>
      <c r="B47" s="9">
        <f>IFERROR(__xludf.DUMMYFUNCTION("""COMPUTED_VALUE"""),1003290.0)</f>
        <v>1003290</v>
      </c>
      <c r="C47" s="9">
        <f>IFERROR(__xludf.DUMMYFUNCTION("""COMPUTED_VALUE"""),98337.0)</f>
        <v>98337</v>
      </c>
      <c r="D47" s="9"/>
      <c r="E47" s="9"/>
      <c r="F47" s="9">
        <f>IFERROR(__xludf.DUMMYFUNCTION("""COMPUTED_VALUE"""),4.0)</f>
        <v>4</v>
      </c>
      <c r="G47" s="9">
        <f>IFERROR(__xludf.DUMMYFUNCTION("""COMPUTED_VALUE"""),4.0)</f>
        <v>4</v>
      </c>
      <c r="H47" s="9">
        <f>IFERROR(__xludf.DUMMYFUNCTION("""COMPUTED_VALUE"""),1.0)</f>
        <v>1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ht="15.75" customHeight="1">
      <c r="A48" s="11">
        <f>IFERROR(__xludf.DUMMYFUNCTION("""COMPUTED_VALUE"""),44471.0)</f>
        <v>44471</v>
      </c>
      <c r="B48" s="9">
        <f>IFERROR(__xludf.DUMMYFUNCTION("""COMPUTED_VALUE"""),1003290.0)</f>
        <v>1003290</v>
      </c>
      <c r="C48" s="9">
        <f>IFERROR(__xludf.DUMMYFUNCTION("""COMPUTED_VALUE"""),86162.0)</f>
        <v>86162</v>
      </c>
      <c r="D48" s="9"/>
      <c r="E48" s="9"/>
      <c r="F48" s="9">
        <f>IFERROR(__xludf.DUMMYFUNCTION("""COMPUTED_VALUE"""),5.75)</f>
        <v>5.75</v>
      </c>
      <c r="G48" s="9">
        <f>IFERROR(__xludf.DUMMYFUNCTION("""COMPUTED_VALUE"""),5.75)</f>
        <v>5.75</v>
      </c>
      <c r="H48" s="9">
        <f>IFERROR(__xludf.DUMMYFUNCTION("""COMPUTED_VALUE"""),1.0)</f>
        <v>1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ht="15.75" customHeight="1">
      <c r="A49" s="11">
        <f>IFERROR(__xludf.DUMMYFUNCTION("""COMPUTED_VALUE"""),44471.0)</f>
        <v>44471</v>
      </c>
      <c r="B49" s="9">
        <f>IFERROR(__xludf.DUMMYFUNCTION("""COMPUTED_VALUE"""),1003290.0)</f>
        <v>1003290</v>
      </c>
      <c r="C49" s="9">
        <f>IFERROR(__xludf.DUMMYFUNCTION("""COMPUTED_VALUE"""),13863.0)</f>
        <v>13863</v>
      </c>
      <c r="D49" s="9"/>
      <c r="E49" s="9"/>
      <c r="F49" s="9">
        <f>IFERROR(__xludf.DUMMYFUNCTION("""COMPUTED_VALUE"""),5.27)</f>
        <v>5.27</v>
      </c>
      <c r="G49" s="9">
        <f>IFERROR(__xludf.DUMMYFUNCTION("""COMPUTED_VALUE"""),5.27)</f>
        <v>5.27</v>
      </c>
      <c r="H49" s="9">
        <f>IFERROR(__xludf.DUMMYFUNCTION("""COMPUTED_VALUE"""),1.0)</f>
        <v>1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ht="15.75" customHeight="1">
      <c r="A50" s="11">
        <f>IFERROR(__xludf.DUMMYFUNCTION("""COMPUTED_VALUE"""),44471.0)</f>
        <v>44471</v>
      </c>
      <c r="B50" s="9">
        <f>IFERROR(__xludf.DUMMYFUNCTION("""COMPUTED_VALUE"""),1003290.0)</f>
        <v>1003290</v>
      </c>
      <c r="C50" s="9">
        <f>IFERROR(__xludf.DUMMYFUNCTION("""COMPUTED_VALUE"""),19341.0)</f>
        <v>19341</v>
      </c>
      <c r="D50" s="9"/>
      <c r="E50" s="9"/>
      <c r="F50" s="9">
        <f>IFERROR(__xludf.DUMMYFUNCTION("""COMPUTED_VALUE"""),2.66)</f>
        <v>2.66</v>
      </c>
      <c r="G50" s="9">
        <f>IFERROR(__xludf.DUMMYFUNCTION("""COMPUTED_VALUE"""),2.66)</f>
        <v>2.66</v>
      </c>
      <c r="H50" s="9">
        <f>IFERROR(__xludf.DUMMYFUNCTION("""COMPUTED_VALUE"""),1.0)</f>
        <v>1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ht="15.75" customHeight="1">
      <c r="A51" s="11">
        <f>IFERROR(__xludf.DUMMYFUNCTION("""COMPUTED_VALUE"""),44471.0)</f>
        <v>44471</v>
      </c>
      <c r="B51" s="9">
        <f>IFERROR(__xludf.DUMMYFUNCTION("""COMPUTED_VALUE"""),1003290.0)</f>
        <v>1003290</v>
      </c>
      <c r="C51" s="9">
        <f>IFERROR(__xludf.DUMMYFUNCTION("""COMPUTED_VALUE"""),12873.0)</f>
        <v>12873</v>
      </c>
      <c r="D51" s="9"/>
      <c r="E51" s="9"/>
      <c r="F51" s="9">
        <f>IFERROR(__xludf.DUMMYFUNCTION("""COMPUTED_VALUE"""),17.4)</f>
        <v>17.4</v>
      </c>
      <c r="G51" s="9">
        <f>IFERROR(__xludf.DUMMYFUNCTION("""COMPUTED_VALUE"""),17.4)</f>
        <v>17.4</v>
      </c>
      <c r="H51" s="9">
        <f>IFERROR(__xludf.DUMMYFUNCTION("""COMPUTED_VALUE"""),1.0)</f>
        <v>1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ht="15.75" customHeight="1">
      <c r="A52" s="11">
        <f>IFERROR(__xludf.DUMMYFUNCTION("""COMPUTED_VALUE"""),44471.0)</f>
        <v>44471</v>
      </c>
      <c r="B52" s="9">
        <f>IFERROR(__xludf.DUMMYFUNCTION("""COMPUTED_VALUE"""),1003290.0)</f>
        <v>1003290</v>
      </c>
      <c r="C52" s="9">
        <f>IFERROR(__xludf.DUMMYFUNCTION("""COMPUTED_VALUE"""),117216.0)</f>
        <v>117216</v>
      </c>
      <c r="D52" s="9"/>
      <c r="E52" s="9"/>
      <c r="F52" s="9">
        <f>IFERROR(__xludf.DUMMYFUNCTION("""COMPUTED_VALUE"""),15.95)</f>
        <v>15.95</v>
      </c>
      <c r="G52" s="9">
        <f>IFERROR(__xludf.DUMMYFUNCTION("""COMPUTED_VALUE"""),15.95)</f>
        <v>15.95</v>
      </c>
      <c r="H52" s="9">
        <f>IFERROR(__xludf.DUMMYFUNCTION("""COMPUTED_VALUE"""),1.0)</f>
        <v>1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ht="15.75" customHeight="1">
      <c r="A53" s="11">
        <f>IFERROR(__xludf.DUMMYFUNCTION("""COMPUTED_VALUE"""),44471.0)</f>
        <v>44471</v>
      </c>
      <c r="B53" s="9">
        <f>IFERROR(__xludf.DUMMYFUNCTION("""COMPUTED_VALUE"""),1003290.0)</f>
        <v>1003290</v>
      </c>
      <c r="C53" s="9">
        <f>IFERROR(__xludf.DUMMYFUNCTION("""COMPUTED_VALUE"""),109184.0)</f>
        <v>109184</v>
      </c>
      <c r="D53" s="9"/>
      <c r="E53" s="9"/>
      <c r="F53" s="9">
        <f>IFERROR(__xludf.DUMMYFUNCTION("""COMPUTED_VALUE"""),7.87)</f>
        <v>7.87</v>
      </c>
      <c r="G53" s="9">
        <f>IFERROR(__xludf.DUMMYFUNCTION("""COMPUTED_VALUE"""),7.87)</f>
        <v>7.87</v>
      </c>
      <c r="H53" s="9">
        <f>IFERROR(__xludf.DUMMYFUNCTION("""COMPUTED_VALUE"""),1.0)</f>
        <v>1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ht="15.75" customHeight="1">
      <c r="A54" s="11">
        <f>IFERROR(__xludf.DUMMYFUNCTION("""COMPUTED_VALUE"""),44471.0)</f>
        <v>44471</v>
      </c>
      <c r="B54" s="9">
        <f>IFERROR(__xludf.DUMMYFUNCTION("""COMPUTED_VALUE"""),1003290.0)</f>
        <v>1003290</v>
      </c>
      <c r="C54" s="9">
        <f>IFERROR(__xludf.DUMMYFUNCTION("""COMPUTED_VALUE"""),87282.0)</f>
        <v>87282</v>
      </c>
      <c r="D54" s="10" t="str">
        <f>IFERROR(__xludf.DUMMYFUNCTION("""COMPUTED_VALUE"""),"Vive le bio")</f>
        <v>Vive le bio</v>
      </c>
      <c r="E54" s="10"/>
      <c r="F54" s="9">
        <f>IFERROR(__xludf.DUMMYFUNCTION("""COMPUTED_VALUE"""),3.14444444444444)</f>
        <v>3.144444444</v>
      </c>
      <c r="G54" s="9">
        <f>IFERROR(__xludf.DUMMYFUNCTION("""COMPUTED_VALUE"""),2.83)</f>
        <v>2.83</v>
      </c>
      <c r="H54" s="9">
        <f>IFERROR(__xludf.DUMMYFUNCTION("""COMPUTED_VALUE"""),1.0)</f>
        <v>1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ht="15.75" customHeight="1">
      <c r="A55" s="11">
        <f>IFERROR(__xludf.DUMMYFUNCTION("""COMPUTED_VALUE"""),44471.0)</f>
        <v>44471</v>
      </c>
      <c r="B55" s="9">
        <f>IFERROR(__xludf.DUMMYFUNCTION("""COMPUTED_VALUE"""),1003290.0)</f>
        <v>1003290</v>
      </c>
      <c r="C55" s="9">
        <f>IFERROR(__xludf.DUMMYFUNCTION("""COMPUTED_VALUE"""),120710.0)</f>
        <v>120710</v>
      </c>
      <c r="D55" s="9"/>
      <c r="E55" s="9"/>
      <c r="F55" s="9">
        <f>IFERROR(__xludf.DUMMYFUNCTION("""COMPUTED_VALUE"""),16.27)</f>
        <v>16.27</v>
      </c>
      <c r="G55" s="9">
        <f>IFERROR(__xludf.DUMMYFUNCTION("""COMPUTED_VALUE"""),16.27)</f>
        <v>16.27</v>
      </c>
      <c r="H55" s="9">
        <f>IFERROR(__xludf.DUMMYFUNCTION("""COMPUTED_VALUE"""),1.0)</f>
        <v>1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ht="15.75" customHeight="1">
      <c r="A56" s="11">
        <f>IFERROR(__xludf.DUMMYFUNCTION("""COMPUTED_VALUE"""),44471.0)</f>
        <v>44471</v>
      </c>
      <c r="B56" s="9">
        <f>IFERROR(__xludf.DUMMYFUNCTION("""COMPUTED_VALUE"""),1003290.0)</f>
        <v>1003290</v>
      </c>
      <c r="C56" s="9">
        <f>IFERROR(__xludf.DUMMYFUNCTION("""COMPUTED_VALUE"""),126975.0)</f>
        <v>126975</v>
      </c>
      <c r="D56" s="9"/>
      <c r="E56" s="9"/>
      <c r="F56" s="9">
        <f>IFERROR(__xludf.DUMMYFUNCTION("""COMPUTED_VALUE"""),8.11)</f>
        <v>8.11</v>
      </c>
      <c r="G56" s="9">
        <f>IFERROR(__xludf.DUMMYFUNCTION("""COMPUTED_VALUE"""),8.11)</f>
        <v>8.11</v>
      </c>
      <c r="H56" s="9">
        <f>IFERROR(__xludf.DUMMYFUNCTION("""COMPUTED_VALUE"""),1.0)</f>
        <v>1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ht="15.75" customHeight="1">
      <c r="A57" s="11">
        <f>IFERROR(__xludf.DUMMYFUNCTION("""COMPUTED_VALUE"""),44471.0)</f>
        <v>44471</v>
      </c>
      <c r="B57" s="9">
        <f>IFERROR(__xludf.DUMMYFUNCTION("""COMPUTED_VALUE"""),1003290.0)</f>
        <v>1003290</v>
      </c>
      <c r="C57" s="9">
        <f>IFERROR(__xludf.DUMMYFUNCTION("""COMPUTED_VALUE"""),69300.0)</f>
        <v>69300</v>
      </c>
      <c r="D57" s="10" t="str">
        <f>IFERROR(__xludf.DUMMYFUNCTION("""COMPUTED_VALUE"""),"Vive le bio")</f>
        <v>Vive le bio</v>
      </c>
      <c r="E57" s="10"/>
      <c r="F57" s="9">
        <f>IFERROR(__xludf.DUMMYFUNCTION("""COMPUTED_VALUE"""),3.52222222222222)</f>
        <v>3.522222222</v>
      </c>
      <c r="G57" s="9">
        <f>IFERROR(__xludf.DUMMYFUNCTION("""COMPUTED_VALUE"""),3.17)</f>
        <v>3.17</v>
      </c>
      <c r="H57" s="9">
        <f>IFERROR(__xludf.DUMMYFUNCTION("""COMPUTED_VALUE"""),1.0)</f>
        <v>1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ht="15.75" customHeight="1">
      <c r="A58" s="11">
        <f>IFERROR(__xludf.DUMMYFUNCTION("""COMPUTED_VALUE"""),44471.0)</f>
        <v>44471</v>
      </c>
      <c r="B58" s="9">
        <f>IFERROR(__xludf.DUMMYFUNCTION("""COMPUTED_VALUE"""),1003290.0)</f>
        <v>1003290</v>
      </c>
      <c r="C58" s="9">
        <f>IFERROR(__xludf.DUMMYFUNCTION("""COMPUTED_VALUE"""),77366.0)</f>
        <v>77366</v>
      </c>
      <c r="D58" s="9"/>
      <c r="E58" s="9"/>
      <c r="F58" s="9">
        <f>IFERROR(__xludf.DUMMYFUNCTION("""COMPUTED_VALUE"""),2.49)</f>
        <v>2.49</v>
      </c>
      <c r="G58" s="9">
        <f>IFERROR(__xludf.DUMMYFUNCTION("""COMPUTED_VALUE"""),2.49)</f>
        <v>2.49</v>
      </c>
      <c r="H58" s="9">
        <f>IFERROR(__xludf.DUMMYFUNCTION("""COMPUTED_VALUE"""),1.0)</f>
        <v>1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ht="15.75" customHeight="1">
      <c r="A59" s="11">
        <f>IFERROR(__xludf.DUMMYFUNCTION("""COMPUTED_VALUE"""),44471.0)</f>
        <v>44471</v>
      </c>
      <c r="B59" s="9">
        <f>IFERROR(__xludf.DUMMYFUNCTION("""COMPUTED_VALUE"""),1003290.0)</f>
        <v>1003290</v>
      </c>
      <c r="C59" s="9">
        <f>IFERROR(__xludf.DUMMYFUNCTION("""COMPUTED_VALUE"""),81790.0)</f>
        <v>81790</v>
      </c>
      <c r="D59" s="9"/>
      <c r="E59" s="9"/>
      <c r="F59" s="9">
        <f>IFERROR(__xludf.DUMMYFUNCTION("""COMPUTED_VALUE"""),2.37)</f>
        <v>2.37</v>
      </c>
      <c r="G59" s="9">
        <f>IFERROR(__xludf.DUMMYFUNCTION("""COMPUTED_VALUE"""),2.37)</f>
        <v>2.37</v>
      </c>
      <c r="H59" s="9">
        <f>IFERROR(__xludf.DUMMYFUNCTION("""COMPUTED_VALUE"""),1.0)</f>
        <v>1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ht="15.75" customHeight="1">
      <c r="A60" s="11">
        <f>IFERROR(__xludf.DUMMYFUNCTION("""COMPUTED_VALUE"""),44471.0)</f>
        <v>44471</v>
      </c>
      <c r="B60" s="9">
        <f>IFERROR(__xludf.DUMMYFUNCTION("""COMPUTED_VALUE"""),1003290.0)</f>
        <v>1003290</v>
      </c>
      <c r="C60" s="9">
        <f>IFERROR(__xludf.DUMMYFUNCTION("""COMPUTED_VALUE"""),118486.0)</f>
        <v>118486</v>
      </c>
      <c r="D60" s="9"/>
      <c r="E60" s="9"/>
      <c r="F60" s="9">
        <f>IFERROR(__xludf.DUMMYFUNCTION("""COMPUTED_VALUE"""),6.78)</f>
        <v>6.78</v>
      </c>
      <c r="G60" s="9">
        <f>IFERROR(__xludf.DUMMYFUNCTION("""COMPUTED_VALUE"""),6.78)</f>
        <v>6.78</v>
      </c>
      <c r="H60" s="9">
        <f>IFERROR(__xludf.DUMMYFUNCTION("""COMPUTED_VALUE"""),2.0)</f>
        <v>2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ht="15.75" customHeight="1">
      <c r="A61" s="11">
        <f>IFERROR(__xludf.DUMMYFUNCTION("""COMPUTED_VALUE"""),44471.0)</f>
        <v>44471</v>
      </c>
      <c r="B61" s="9">
        <f>IFERROR(__xludf.DUMMYFUNCTION("""COMPUTED_VALUE"""),1003290.0)</f>
        <v>1003290</v>
      </c>
      <c r="C61" s="9">
        <f>IFERROR(__xludf.DUMMYFUNCTION("""COMPUTED_VALUE"""),98328.0)</f>
        <v>98328</v>
      </c>
      <c r="D61" s="9"/>
      <c r="E61" s="9"/>
      <c r="F61" s="9">
        <f>IFERROR(__xludf.DUMMYFUNCTION("""COMPUTED_VALUE"""),5.19)</f>
        <v>5.19</v>
      </c>
      <c r="G61" s="9">
        <f>IFERROR(__xludf.DUMMYFUNCTION("""COMPUTED_VALUE"""),5.19)</f>
        <v>5.19</v>
      </c>
      <c r="H61" s="9">
        <f>IFERROR(__xludf.DUMMYFUNCTION("""COMPUTED_VALUE"""),2.0)</f>
        <v>2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ht="15.75" customHeight="1">
      <c r="A62" s="11">
        <f>IFERROR(__xludf.DUMMYFUNCTION("""COMPUTED_VALUE"""),44471.0)</f>
        <v>44471</v>
      </c>
      <c r="B62" s="9">
        <f>IFERROR(__xludf.DUMMYFUNCTION("""COMPUTED_VALUE"""),1003290.0)</f>
        <v>1003290</v>
      </c>
      <c r="C62" s="9">
        <f>IFERROR(__xludf.DUMMYFUNCTION("""COMPUTED_VALUE"""),77229.0)</f>
        <v>77229</v>
      </c>
      <c r="D62" s="9"/>
      <c r="E62" s="9"/>
      <c r="F62" s="9">
        <f>IFERROR(__xludf.DUMMYFUNCTION("""COMPUTED_VALUE"""),10.17)</f>
        <v>10.17</v>
      </c>
      <c r="G62" s="9">
        <f>IFERROR(__xludf.DUMMYFUNCTION("""COMPUTED_VALUE"""),10.17)</f>
        <v>10.17</v>
      </c>
      <c r="H62" s="9">
        <f>IFERROR(__xludf.DUMMYFUNCTION("""COMPUTED_VALUE"""),4.0)</f>
        <v>4</v>
      </c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ht="15.75" customHeight="1">
      <c r="A63" s="11">
        <f>IFERROR(__xludf.DUMMYFUNCTION("""COMPUTED_VALUE"""),44471.0)</f>
        <v>44471</v>
      </c>
      <c r="B63" s="9">
        <f>IFERROR(__xludf.DUMMYFUNCTION("""COMPUTED_VALUE"""),1003290.0)</f>
        <v>1003290</v>
      </c>
      <c r="C63" s="9">
        <f>IFERROR(__xludf.DUMMYFUNCTION("""COMPUTED_VALUE"""),48180.0)</f>
        <v>48180</v>
      </c>
      <c r="D63" s="9"/>
      <c r="E63" s="9"/>
      <c r="F63" s="9">
        <f>IFERROR(__xludf.DUMMYFUNCTION("""COMPUTED_VALUE"""),20.83)</f>
        <v>20.83</v>
      </c>
      <c r="G63" s="9">
        <f>IFERROR(__xludf.DUMMYFUNCTION("""COMPUTED_VALUE"""),20.83)</f>
        <v>20.83</v>
      </c>
      <c r="H63" s="9">
        <f>IFERROR(__xludf.DUMMYFUNCTION("""COMPUTED_VALUE"""),9.0)</f>
        <v>9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ht="15.75" customHeight="1">
      <c r="A64" s="11">
        <f>IFERROR(__xludf.DUMMYFUNCTION("""COMPUTED_VALUE"""),44471.0)</f>
        <v>44471</v>
      </c>
      <c r="B64" s="9">
        <f>IFERROR(__xludf.DUMMYFUNCTION("""COMPUTED_VALUE"""),1003291.0)</f>
        <v>1003291</v>
      </c>
      <c r="C64" s="9">
        <f>IFERROR(__xludf.DUMMYFUNCTION("""COMPUTED_VALUE"""),111392.0)</f>
        <v>111392</v>
      </c>
      <c r="D64" s="9"/>
      <c r="E64" s="9"/>
      <c r="F64" s="9">
        <f>IFERROR(__xludf.DUMMYFUNCTION("""COMPUTED_VALUE"""),10.35)</f>
        <v>10.35</v>
      </c>
      <c r="G64" s="9">
        <f>IFERROR(__xludf.DUMMYFUNCTION("""COMPUTED_VALUE"""),10.35)</f>
        <v>10.35</v>
      </c>
      <c r="H64" s="9">
        <f>IFERROR(__xludf.DUMMYFUNCTION("""COMPUTED_VALUE"""),1.0)</f>
        <v>1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ht="15.75" customHeight="1">
      <c r="A65" s="11">
        <f>IFERROR(__xludf.DUMMYFUNCTION("""COMPUTED_VALUE"""),44471.0)</f>
        <v>44471</v>
      </c>
      <c r="B65" s="9">
        <f>IFERROR(__xludf.DUMMYFUNCTION("""COMPUTED_VALUE"""),1003292.0)</f>
        <v>1003292</v>
      </c>
      <c r="C65" s="9">
        <f>IFERROR(__xludf.DUMMYFUNCTION("""COMPUTED_VALUE"""),46896.0)</f>
        <v>46896</v>
      </c>
      <c r="D65" s="9"/>
      <c r="E65" s="9"/>
      <c r="F65" s="9">
        <f>IFERROR(__xludf.DUMMYFUNCTION("""COMPUTED_VALUE"""),9.74)</f>
        <v>9.74</v>
      </c>
      <c r="G65" s="9">
        <f>IFERROR(__xludf.DUMMYFUNCTION("""COMPUTED_VALUE"""),9.74)</f>
        <v>9.74</v>
      </c>
      <c r="H65" s="9">
        <f>IFERROR(__xludf.DUMMYFUNCTION("""COMPUTED_VALUE"""),2.0)</f>
        <v>2</v>
      </c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ht="15.75" customHeight="1">
      <c r="A66" s="11">
        <f>IFERROR(__xludf.DUMMYFUNCTION("""COMPUTED_VALUE"""),44471.0)</f>
        <v>44471</v>
      </c>
      <c r="B66" s="9">
        <f>IFERROR(__xludf.DUMMYFUNCTION("""COMPUTED_VALUE"""),1003293.0)</f>
        <v>1003293</v>
      </c>
      <c r="C66" s="9">
        <f>IFERROR(__xludf.DUMMYFUNCTION("""COMPUTED_VALUE"""),100248.0)</f>
        <v>100248</v>
      </c>
      <c r="D66" s="9"/>
      <c r="E66" s="9"/>
      <c r="F66" s="9">
        <f>IFERROR(__xludf.DUMMYFUNCTION("""COMPUTED_VALUE"""),7.52)</f>
        <v>7.52</v>
      </c>
      <c r="G66" s="9">
        <f>IFERROR(__xludf.DUMMYFUNCTION("""COMPUTED_VALUE"""),7.52)</f>
        <v>7.52</v>
      </c>
      <c r="H66" s="9">
        <f>IFERROR(__xludf.DUMMYFUNCTION("""COMPUTED_VALUE"""),1.0)</f>
        <v>1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ht="15.75" customHeight="1">
      <c r="A67" s="11">
        <f>IFERROR(__xludf.DUMMYFUNCTION("""COMPUTED_VALUE"""),44471.0)</f>
        <v>44471</v>
      </c>
      <c r="B67" s="9">
        <f>IFERROR(__xludf.DUMMYFUNCTION("""COMPUTED_VALUE"""),1003293.0)</f>
        <v>1003293</v>
      </c>
      <c r="C67" s="9">
        <f>IFERROR(__xludf.DUMMYFUNCTION("""COMPUTED_VALUE"""),103631.0)</f>
        <v>103631</v>
      </c>
      <c r="D67" s="9"/>
      <c r="E67" s="9"/>
      <c r="F67" s="9">
        <f>IFERROR(__xludf.DUMMYFUNCTION("""COMPUTED_VALUE"""),5.33)</f>
        <v>5.33</v>
      </c>
      <c r="G67" s="9">
        <f>IFERROR(__xludf.DUMMYFUNCTION("""COMPUTED_VALUE"""),5.33)</f>
        <v>5.33</v>
      </c>
      <c r="H67" s="9">
        <f>IFERROR(__xludf.DUMMYFUNCTION("""COMPUTED_VALUE"""),1.0)</f>
        <v>1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ht="15.75" customHeight="1">
      <c r="A68" s="11">
        <f>IFERROR(__xludf.DUMMYFUNCTION("""COMPUTED_VALUE"""),44471.0)</f>
        <v>44471</v>
      </c>
      <c r="B68" s="9">
        <f>IFERROR(__xludf.DUMMYFUNCTION("""COMPUTED_VALUE"""),1003293.0)</f>
        <v>1003293</v>
      </c>
      <c r="C68" s="9">
        <f>IFERROR(__xludf.DUMMYFUNCTION("""COMPUTED_VALUE"""),112013.0)</f>
        <v>112013</v>
      </c>
      <c r="D68" s="9"/>
      <c r="E68" s="9"/>
      <c r="F68" s="9">
        <f>IFERROR(__xludf.DUMMYFUNCTION("""COMPUTED_VALUE"""),10.21)</f>
        <v>10.21</v>
      </c>
      <c r="G68" s="9">
        <f>IFERROR(__xludf.DUMMYFUNCTION("""COMPUTED_VALUE"""),10.21)</f>
        <v>10.21</v>
      </c>
      <c r="H68" s="9">
        <f>IFERROR(__xludf.DUMMYFUNCTION("""COMPUTED_VALUE"""),1.0)</f>
        <v>1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ht="15.75" customHeight="1">
      <c r="A69" s="11">
        <f>IFERROR(__xludf.DUMMYFUNCTION("""COMPUTED_VALUE"""),44471.0)</f>
        <v>44471</v>
      </c>
      <c r="B69" s="9">
        <f>IFERROR(__xludf.DUMMYFUNCTION("""COMPUTED_VALUE"""),1003293.0)</f>
        <v>1003293</v>
      </c>
      <c r="C69" s="9">
        <f>IFERROR(__xludf.DUMMYFUNCTION("""COMPUTED_VALUE"""),103589.0)</f>
        <v>103589</v>
      </c>
      <c r="D69" s="10" t="str">
        <f>IFERROR(__xludf.DUMMYFUNCTION("""COMPUTED_VALUE"""),"Love &amp; Green Couches et Culottes sept 2021")</f>
        <v>Love &amp; Green Couches et Culottes sept 2021</v>
      </c>
      <c r="E69" s="10"/>
      <c r="F69" s="9">
        <f>IFERROR(__xludf.DUMMYFUNCTION("""COMPUTED_VALUE"""),62.0285714285714)</f>
        <v>62.02857143</v>
      </c>
      <c r="G69" s="9">
        <f>IFERROR(__xludf.DUMMYFUNCTION("""COMPUTED_VALUE"""),43.42)</f>
        <v>43.42</v>
      </c>
      <c r="H69" s="9">
        <f>IFERROR(__xludf.DUMMYFUNCTION("""COMPUTED_VALUE"""),4.0)</f>
        <v>4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ht="15.75" customHeight="1">
      <c r="A70" s="11">
        <f>IFERROR(__xludf.DUMMYFUNCTION("""COMPUTED_VALUE"""),44471.0)</f>
        <v>44471</v>
      </c>
      <c r="B70" s="9">
        <f>IFERROR(__xludf.DUMMYFUNCTION("""COMPUTED_VALUE"""),1003293.0)</f>
        <v>1003293</v>
      </c>
      <c r="C70" s="9">
        <f>IFERROR(__xludf.DUMMYFUNCTION("""COMPUTED_VALUE"""),103590.0)</f>
        <v>103590</v>
      </c>
      <c r="D70" s="10" t="str">
        <f>IFERROR(__xludf.DUMMYFUNCTION("""COMPUTED_VALUE"""),"Love &amp; Green Couches et Culottes sept 2021")</f>
        <v>Love &amp; Green Couches et Culottes sept 2021</v>
      </c>
      <c r="E70" s="10"/>
      <c r="F70" s="9">
        <f>IFERROR(__xludf.DUMMYFUNCTION("""COMPUTED_VALUE"""),62.0285714285714)</f>
        <v>62.02857143</v>
      </c>
      <c r="G70" s="9">
        <f>IFERROR(__xludf.DUMMYFUNCTION("""COMPUTED_VALUE"""),43.42)</f>
        <v>43.42</v>
      </c>
      <c r="H70" s="9">
        <f>IFERROR(__xludf.DUMMYFUNCTION("""COMPUTED_VALUE"""),4.0)</f>
        <v>4</v>
      </c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ht="15.75" customHeight="1">
      <c r="A71" s="11">
        <f>IFERROR(__xludf.DUMMYFUNCTION("""COMPUTED_VALUE"""),44471.0)</f>
        <v>44471</v>
      </c>
      <c r="B71" s="9">
        <f>IFERROR(__xludf.DUMMYFUNCTION("""COMPUTED_VALUE"""),1003294.0)</f>
        <v>1003294</v>
      </c>
      <c r="C71" s="9">
        <f>IFERROR(__xludf.DUMMYFUNCTION("""COMPUTED_VALUE"""),71275.0)</f>
        <v>71275</v>
      </c>
      <c r="D71" s="10" t="str">
        <f>IFERROR(__xludf.DUMMYFUNCTION("""COMPUTED_VALUE"""),"Offre Speciale")</f>
        <v>Offre Speciale</v>
      </c>
      <c r="E71" s="10"/>
      <c r="F71" s="9">
        <f>IFERROR(__xludf.DUMMYFUNCTION("""COMPUTED_VALUE"""),6.11111111111111)</f>
        <v>6.111111111</v>
      </c>
      <c r="G71" s="9">
        <f>IFERROR(__xludf.DUMMYFUNCTION("""COMPUTED_VALUE"""),5.5)</f>
        <v>5.5</v>
      </c>
      <c r="H71" s="9">
        <f>IFERROR(__xludf.DUMMYFUNCTION("""COMPUTED_VALUE"""),1.0)</f>
        <v>1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ht="15.75" customHeight="1">
      <c r="A72" s="11">
        <f>IFERROR(__xludf.DUMMYFUNCTION("""COMPUTED_VALUE"""),44471.0)</f>
        <v>44471</v>
      </c>
      <c r="B72" s="9">
        <f>IFERROR(__xludf.DUMMYFUNCTION("""COMPUTED_VALUE"""),1003294.0)</f>
        <v>1003294</v>
      </c>
      <c r="C72" s="9">
        <f>IFERROR(__xludf.DUMMYFUNCTION("""COMPUTED_VALUE"""),111330.0)</f>
        <v>111330</v>
      </c>
      <c r="D72" s="9"/>
      <c r="E72" s="9"/>
      <c r="F72" s="9">
        <f>IFERROR(__xludf.DUMMYFUNCTION("""COMPUTED_VALUE"""),5.58)</f>
        <v>5.58</v>
      </c>
      <c r="G72" s="9">
        <f>IFERROR(__xludf.DUMMYFUNCTION("""COMPUTED_VALUE"""),5.58)</f>
        <v>5.58</v>
      </c>
      <c r="H72" s="9">
        <f>IFERROR(__xludf.DUMMYFUNCTION("""COMPUTED_VALUE"""),1.0)</f>
        <v>1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ht="15.75" customHeight="1">
      <c r="A73" s="11">
        <f>IFERROR(__xludf.DUMMYFUNCTION("""COMPUTED_VALUE"""),44471.0)</f>
        <v>44471</v>
      </c>
      <c r="B73" s="9">
        <f>IFERROR(__xludf.DUMMYFUNCTION("""COMPUTED_VALUE"""),1003294.0)</f>
        <v>1003294</v>
      </c>
      <c r="C73" s="9">
        <f>IFERROR(__xludf.DUMMYFUNCTION("""COMPUTED_VALUE"""),116867.0)</f>
        <v>116867</v>
      </c>
      <c r="D73" s="9"/>
      <c r="E73" s="9"/>
      <c r="F73" s="9">
        <f>IFERROR(__xludf.DUMMYFUNCTION("""COMPUTED_VALUE"""),2.18)</f>
        <v>2.18</v>
      </c>
      <c r="G73" s="9">
        <f>IFERROR(__xludf.DUMMYFUNCTION("""COMPUTED_VALUE"""),2.18)</f>
        <v>2.18</v>
      </c>
      <c r="H73" s="9">
        <f>IFERROR(__xludf.DUMMYFUNCTION("""COMPUTED_VALUE"""),1.0)</f>
        <v>1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ht="15.75" customHeight="1">
      <c r="A74" s="11">
        <f>IFERROR(__xludf.DUMMYFUNCTION("""COMPUTED_VALUE"""),44471.0)</f>
        <v>44471</v>
      </c>
      <c r="B74" s="9">
        <f>IFERROR(__xludf.DUMMYFUNCTION("""COMPUTED_VALUE"""),1003294.0)</f>
        <v>1003294</v>
      </c>
      <c r="C74" s="9">
        <f>IFERROR(__xludf.DUMMYFUNCTION("""COMPUTED_VALUE"""),23628.0)</f>
        <v>23628</v>
      </c>
      <c r="D74" s="9"/>
      <c r="E74" s="9"/>
      <c r="F74" s="9">
        <f>IFERROR(__xludf.DUMMYFUNCTION("""COMPUTED_VALUE"""),2.83)</f>
        <v>2.83</v>
      </c>
      <c r="G74" s="9">
        <f>IFERROR(__xludf.DUMMYFUNCTION("""COMPUTED_VALUE"""),2.83)</f>
        <v>2.83</v>
      </c>
      <c r="H74" s="9">
        <f>IFERROR(__xludf.DUMMYFUNCTION("""COMPUTED_VALUE"""),1.0)</f>
        <v>1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ht="15.75" customHeight="1">
      <c r="A75" s="11">
        <f>IFERROR(__xludf.DUMMYFUNCTION("""COMPUTED_VALUE"""),44471.0)</f>
        <v>44471</v>
      </c>
      <c r="B75" s="9">
        <f>IFERROR(__xludf.DUMMYFUNCTION("""COMPUTED_VALUE"""),1003295.0)</f>
        <v>1003295</v>
      </c>
      <c r="C75" s="9">
        <f>IFERROR(__xludf.DUMMYFUNCTION("""COMPUTED_VALUE"""),119515.0)</f>
        <v>119515</v>
      </c>
      <c r="D75" s="9"/>
      <c r="E75" s="10" t="str">
        <f>IFERROR(__xludf.DUMMYFUNCTION("""COMPUTED_VALUE"""),"GREENRELAIS")</f>
        <v>GREENRELAIS</v>
      </c>
      <c r="F75" s="10">
        <f>IFERROR(__xludf.DUMMYFUNCTION("""COMPUTED_VALUE"""),8.0)</f>
        <v>8</v>
      </c>
      <c r="G75" s="9">
        <f>IFERROR(__xludf.DUMMYFUNCTION("""COMPUTED_VALUE"""),8.0)</f>
        <v>8</v>
      </c>
      <c r="H75" s="9">
        <f>IFERROR(__xludf.DUMMYFUNCTION("""COMPUTED_VALUE"""),1.0)</f>
        <v>1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ht="15.75" customHeight="1">
      <c r="A76" s="11">
        <f>IFERROR(__xludf.DUMMYFUNCTION("""COMPUTED_VALUE"""),44471.0)</f>
        <v>44471</v>
      </c>
      <c r="B76" s="9">
        <f>IFERROR(__xludf.DUMMYFUNCTION("""COMPUTED_VALUE"""),1003295.0)</f>
        <v>1003295</v>
      </c>
      <c r="C76" s="9">
        <f>IFERROR(__xludf.DUMMYFUNCTION("""COMPUTED_VALUE"""),120282.0)</f>
        <v>120282</v>
      </c>
      <c r="D76" s="9"/>
      <c r="E76" s="10" t="str">
        <f>IFERROR(__xludf.DUMMYFUNCTION("""COMPUTED_VALUE"""),"GREENRELAIS")</f>
        <v>GREENRELAIS</v>
      </c>
      <c r="F76" s="10">
        <f>IFERROR(__xludf.DUMMYFUNCTION("""COMPUTED_VALUE"""),27.08)</f>
        <v>27.08</v>
      </c>
      <c r="G76" s="9">
        <f>IFERROR(__xludf.DUMMYFUNCTION("""COMPUTED_VALUE"""),27.08)</f>
        <v>27.08</v>
      </c>
      <c r="H76" s="9">
        <f>IFERROR(__xludf.DUMMYFUNCTION("""COMPUTED_VALUE"""),1.0)</f>
        <v>1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ht="15.75" customHeight="1">
      <c r="A77" s="11">
        <f>IFERROR(__xludf.DUMMYFUNCTION("""COMPUTED_VALUE"""),44471.0)</f>
        <v>44471</v>
      </c>
      <c r="B77" s="9">
        <f>IFERROR(__xludf.DUMMYFUNCTION("""COMPUTED_VALUE"""),1003295.0)</f>
        <v>1003295</v>
      </c>
      <c r="C77" s="9">
        <f>IFERROR(__xludf.DUMMYFUNCTION("""COMPUTED_VALUE"""),76658.0)</f>
        <v>76658</v>
      </c>
      <c r="D77" s="9"/>
      <c r="E77" s="10" t="str">
        <f>IFERROR(__xludf.DUMMYFUNCTION("""COMPUTED_VALUE"""),"GREENRELAIS")</f>
        <v>GREENRELAIS</v>
      </c>
      <c r="F77" s="10">
        <f>IFERROR(__xludf.DUMMYFUNCTION("""COMPUTED_VALUE"""),3.03)</f>
        <v>3.03</v>
      </c>
      <c r="G77" s="9">
        <f>IFERROR(__xludf.DUMMYFUNCTION("""COMPUTED_VALUE"""),3.03)</f>
        <v>3.03</v>
      </c>
      <c r="H77" s="9">
        <f>IFERROR(__xludf.DUMMYFUNCTION("""COMPUTED_VALUE"""),1.0)</f>
        <v>1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ht="15.75" customHeight="1">
      <c r="A78" s="11">
        <f>IFERROR(__xludf.DUMMYFUNCTION("""COMPUTED_VALUE"""),44471.0)</f>
        <v>44471</v>
      </c>
      <c r="B78" s="9">
        <f>IFERROR(__xludf.DUMMYFUNCTION("""COMPUTED_VALUE"""),1003295.0)</f>
        <v>1003295</v>
      </c>
      <c r="C78" s="9">
        <f>IFERROR(__xludf.DUMMYFUNCTION("""COMPUTED_VALUE"""),70314.0)</f>
        <v>70314</v>
      </c>
      <c r="D78" s="10" t="str">
        <f>IFERROR(__xludf.DUMMYFUNCTION("""COMPUTED_VALUE"""),"Vive le bio")</f>
        <v>Vive le bio</v>
      </c>
      <c r="E78" s="10" t="str">
        <f>IFERROR(__xludf.DUMMYFUNCTION("""COMPUTED_VALUE"""),"GREENRELAIS")</f>
        <v>GREENRELAIS</v>
      </c>
      <c r="F78" s="10">
        <f>IFERROR(__xludf.DUMMYFUNCTION("""COMPUTED_VALUE"""),5.16666666666666)</f>
        <v>5.166666667</v>
      </c>
      <c r="G78" s="9">
        <f>IFERROR(__xludf.DUMMYFUNCTION("""COMPUTED_VALUE"""),4.65)</f>
        <v>4.65</v>
      </c>
      <c r="H78" s="9">
        <f>IFERROR(__xludf.DUMMYFUNCTION("""COMPUTED_VALUE"""),1.0)</f>
        <v>1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ht="15.75" customHeight="1">
      <c r="A79" s="11">
        <f>IFERROR(__xludf.DUMMYFUNCTION("""COMPUTED_VALUE"""),44471.0)</f>
        <v>44471</v>
      </c>
      <c r="B79" s="9">
        <f>IFERROR(__xludf.DUMMYFUNCTION("""COMPUTED_VALUE"""),1003295.0)</f>
        <v>1003295</v>
      </c>
      <c r="C79" s="9">
        <f>IFERROR(__xludf.DUMMYFUNCTION("""COMPUTED_VALUE"""),109938.0)</f>
        <v>109938</v>
      </c>
      <c r="D79" s="9"/>
      <c r="E79" s="10" t="str">
        <f>IFERROR(__xludf.DUMMYFUNCTION("""COMPUTED_VALUE"""),"GREENRELAIS")</f>
        <v>GREENRELAIS</v>
      </c>
      <c r="F79" s="10">
        <f>IFERROR(__xludf.DUMMYFUNCTION("""COMPUTED_VALUE"""),6.71)</f>
        <v>6.71</v>
      </c>
      <c r="G79" s="9">
        <f>IFERROR(__xludf.DUMMYFUNCTION("""COMPUTED_VALUE"""),6.71)</f>
        <v>6.71</v>
      </c>
      <c r="H79" s="9">
        <f>IFERROR(__xludf.DUMMYFUNCTION("""COMPUTED_VALUE"""),1.0)</f>
        <v>1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ht="15.75" customHeight="1">
      <c r="A80" s="11">
        <f>IFERROR(__xludf.DUMMYFUNCTION("""COMPUTED_VALUE"""),44471.0)</f>
        <v>44471</v>
      </c>
      <c r="B80" s="9">
        <f>IFERROR(__xludf.DUMMYFUNCTION("""COMPUTED_VALUE"""),1003296.0)</f>
        <v>1003296</v>
      </c>
      <c r="C80" s="9">
        <f>IFERROR(__xludf.DUMMYFUNCTION("""COMPUTED_VALUE"""),71743.0)</f>
        <v>71743</v>
      </c>
      <c r="D80" s="9"/>
      <c r="E80" s="9"/>
      <c r="F80" s="9">
        <f>IFERROR(__xludf.DUMMYFUNCTION("""COMPUTED_VALUE"""),2.89)</f>
        <v>2.89</v>
      </c>
      <c r="G80" s="9">
        <f>IFERROR(__xludf.DUMMYFUNCTION("""COMPUTED_VALUE"""),2.89)</f>
        <v>2.89</v>
      </c>
      <c r="H80" s="9">
        <f>IFERROR(__xludf.DUMMYFUNCTION("""COMPUTED_VALUE"""),1.0)</f>
        <v>1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ht="15.75" customHeight="1">
      <c r="A81" s="11">
        <f>IFERROR(__xludf.DUMMYFUNCTION("""COMPUTED_VALUE"""),44471.0)</f>
        <v>44471</v>
      </c>
      <c r="B81" s="9">
        <f>IFERROR(__xludf.DUMMYFUNCTION("""COMPUTED_VALUE"""),1003296.0)</f>
        <v>1003296</v>
      </c>
      <c r="C81" s="9">
        <f>IFERROR(__xludf.DUMMYFUNCTION("""COMPUTED_VALUE"""),78940.0)</f>
        <v>78940</v>
      </c>
      <c r="D81" s="9"/>
      <c r="E81" s="9"/>
      <c r="F81" s="9">
        <f>IFERROR(__xludf.DUMMYFUNCTION("""COMPUTED_VALUE"""),3.93)</f>
        <v>3.93</v>
      </c>
      <c r="G81" s="9">
        <f>IFERROR(__xludf.DUMMYFUNCTION("""COMPUTED_VALUE"""),3.93)</f>
        <v>3.93</v>
      </c>
      <c r="H81" s="9">
        <f>IFERROR(__xludf.DUMMYFUNCTION("""COMPUTED_VALUE"""),1.0)</f>
        <v>1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ht="15.75" customHeight="1">
      <c r="A82" s="11">
        <f>IFERROR(__xludf.DUMMYFUNCTION("""COMPUTED_VALUE"""),44471.0)</f>
        <v>44471</v>
      </c>
      <c r="B82" s="9">
        <f>IFERROR(__xludf.DUMMYFUNCTION("""COMPUTED_VALUE"""),1003296.0)</f>
        <v>1003296</v>
      </c>
      <c r="C82" s="9">
        <f>IFERROR(__xludf.DUMMYFUNCTION("""COMPUTED_VALUE"""),77491.0)</f>
        <v>77491</v>
      </c>
      <c r="D82" s="9"/>
      <c r="E82" s="9"/>
      <c r="F82" s="9">
        <f>IFERROR(__xludf.DUMMYFUNCTION("""COMPUTED_VALUE"""),17.64)</f>
        <v>17.64</v>
      </c>
      <c r="G82" s="9">
        <f>IFERROR(__xludf.DUMMYFUNCTION("""COMPUTED_VALUE"""),17.64)</f>
        <v>17.64</v>
      </c>
      <c r="H82" s="9">
        <f>IFERROR(__xludf.DUMMYFUNCTION("""COMPUTED_VALUE"""),1.0)</f>
        <v>1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ht="15.75" customHeight="1">
      <c r="A83" s="11">
        <f>IFERROR(__xludf.DUMMYFUNCTION("""COMPUTED_VALUE"""),44471.0)</f>
        <v>44471</v>
      </c>
      <c r="B83" s="9">
        <f>IFERROR(__xludf.DUMMYFUNCTION("""COMPUTED_VALUE"""),1003296.0)</f>
        <v>1003296</v>
      </c>
      <c r="C83" s="9">
        <f>IFERROR(__xludf.DUMMYFUNCTION("""COMPUTED_VALUE"""),86169.0)</f>
        <v>86169</v>
      </c>
      <c r="D83" s="9"/>
      <c r="E83" s="9"/>
      <c r="F83" s="9">
        <f>IFERROR(__xludf.DUMMYFUNCTION("""COMPUTED_VALUE"""),4.68)</f>
        <v>4.68</v>
      </c>
      <c r="G83" s="9">
        <f>IFERROR(__xludf.DUMMYFUNCTION("""COMPUTED_VALUE"""),4.68)</f>
        <v>4.68</v>
      </c>
      <c r="H83" s="9">
        <f>IFERROR(__xludf.DUMMYFUNCTION("""COMPUTED_VALUE"""),1.0)</f>
        <v>1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ht="15.75" customHeight="1">
      <c r="A84" s="11">
        <f>IFERROR(__xludf.DUMMYFUNCTION("""COMPUTED_VALUE"""),44471.0)</f>
        <v>44471</v>
      </c>
      <c r="B84" s="9">
        <f>IFERROR(__xludf.DUMMYFUNCTION("""COMPUTED_VALUE"""),1003296.0)</f>
        <v>1003296</v>
      </c>
      <c r="C84" s="9">
        <f>IFERROR(__xludf.DUMMYFUNCTION("""COMPUTED_VALUE"""),91147.0)</f>
        <v>91147</v>
      </c>
      <c r="D84" s="9"/>
      <c r="E84" s="9"/>
      <c r="F84" s="9">
        <f>IFERROR(__xludf.DUMMYFUNCTION("""COMPUTED_VALUE"""),11.98)</f>
        <v>11.98</v>
      </c>
      <c r="G84" s="9">
        <f>IFERROR(__xludf.DUMMYFUNCTION("""COMPUTED_VALUE"""),11.98)</f>
        <v>11.98</v>
      </c>
      <c r="H84" s="9">
        <f>IFERROR(__xludf.DUMMYFUNCTION("""COMPUTED_VALUE"""),1.0)</f>
        <v>1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ht="15.75" customHeight="1">
      <c r="A85" s="11">
        <f>IFERROR(__xludf.DUMMYFUNCTION("""COMPUTED_VALUE"""),44471.0)</f>
        <v>44471</v>
      </c>
      <c r="B85" s="9">
        <f>IFERROR(__xludf.DUMMYFUNCTION("""COMPUTED_VALUE"""),1003296.0)</f>
        <v>1003296</v>
      </c>
      <c r="C85" s="9">
        <f>IFERROR(__xludf.DUMMYFUNCTION("""COMPUTED_VALUE"""),12875.0)</f>
        <v>12875</v>
      </c>
      <c r="D85" s="9"/>
      <c r="E85" s="9"/>
      <c r="F85" s="9">
        <f>IFERROR(__xludf.DUMMYFUNCTION("""COMPUTED_VALUE"""),33.25)</f>
        <v>33.25</v>
      </c>
      <c r="G85" s="9">
        <f>IFERROR(__xludf.DUMMYFUNCTION("""COMPUTED_VALUE"""),33.25)</f>
        <v>33.25</v>
      </c>
      <c r="H85" s="9">
        <f>IFERROR(__xludf.DUMMYFUNCTION("""COMPUTED_VALUE"""),2.0)</f>
        <v>2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ht="15.75" customHeight="1">
      <c r="A86" s="11">
        <f>IFERROR(__xludf.DUMMYFUNCTION("""COMPUTED_VALUE"""),44471.0)</f>
        <v>44471</v>
      </c>
      <c r="B86" s="9">
        <f>IFERROR(__xludf.DUMMYFUNCTION("""COMPUTED_VALUE"""),1003296.0)</f>
        <v>1003296</v>
      </c>
      <c r="C86" s="9">
        <f>IFERROR(__xludf.DUMMYFUNCTION("""COMPUTED_VALUE"""),108515.0)</f>
        <v>108515</v>
      </c>
      <c r="D86" s="9"/>
      <c r="E86" s="9"/>
      <c r="F86" s="9">
        <f>IFERROR(__xludf.DUMMYFUNCTION("""COMPUTED_VALUE"""),12.99)</f>
        <v>12.99</v>
      </c>
      <c r="G86" s="9">
        <f>IFERROR(__xludf.DUMMYFUNCTION("""COMPUTED_VALUE"""),12.99)</f>
        <v>12.99</v>
      </c>
      <c r="H86" s="9">
        <f>IFERROR(__xludf.DUMMYFUNCTION("""COMPUTED_VALUE"""),2.0)</f>
        <v>2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ht="15.75" customHeight="1">
      <c r="A87" s="11">
        <f>IFERROR(__xludf.DUMMYFUNCTION("""COMPUTED_VALUE"""),44471.0)</f>
        <v>44471</v>
      </c>
      <c r="B87" s="9">
        <f>IFERROR(__xludf.DUMMYFUNCTION("""COMPUTED_VALUE"""),1003296.0)</f>
        <v>1003296</v>
      </c>
      <c r="C87" s="9">
        <f>IFERROR(__xludf.DUMMYFUNCTION("""COMPUTED_VALUE"""),46132.0)</f>
        <v>46132</v>
      </c>
      <c r="D87" s="9"/>
      <c r="E87" s="9"/>
      <c r="F87" s="9">
        <f>IFERROR(__xludf.DUMMYFUNCTION("""COMPUTED_VALUE"""),5.36)</f>
        <v>5.36</v>
      </c>
      <c r="G87" s="9">
        <f>IFERROR(__xludf.DUMMYFUNCTION("""COMPUTED_VALUE"""),5.36)</f>
        <v>5.36</v>
      </c>
      <c r="H87" s="9">
        <f>IFERROR(__xludf.DUMMYFUNCTION("""COMPUTED_VALUE"""),3.0)</f>
        <v>3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ht="15.75" customHeight="1">
      <c r="A88" s="11">
        <f>IFERROR(__xludf.DUMMYFUNCTION("""COMPUTED_VALUE"""),44471.0)</f>
        <v>44471</v>
      </c>
      <c r="B88" s="9">
        <f>IFERROR(__xludf.DUMMYFUNCTION("""COMPUTED_VALUE"""),1003296.0)</f>
        <v>1003296</v>
      </c>
      <c r="C88" s="9">
        <f>IFERROR(__xludf.DUMMYFUNCTION("""COMPUTED_VALUE"""),46123.0)</f>
        <v>46123</v>
      </c>
      <c r="D88" s="9"/>
      <c r="E88" s="9"/>
      <c r="F88" s="9">
        <f>IFERROR(__xludf.DUMMYFUNCTION("""COMPUTED_VALUE"""),10.73)</f>
        <v>10.73</v>
      </c>
      <c r="G88" s="9">
        <f>IFERROR(__xludf.DUMMYFUNCTION("""COMPUTED_VALUE"""),10.73)</f>
        <v>10.73</v>
      </c>
      <c r="H88" s="9">
        <f>IFERROR(__xludf.DUMMYFUNCTION("""COMPUTED_VALUE"""),6.0)</f>
        <v>6</v>
      </c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ht="15.75" customHeight="1">
      <c r="A89" s="11">
        <f>IFERROR(__xludf.DUMMYFUNCTION("""COMPUTED_VALUE"""),44471.0)</f>
        <v>44471</v>
      </c>
      <c r="B89" s="9">
        <f>IFERROR(__xludf.DUMMYFUNCTION("""COMPUTED_VALUE"""),1003297.0)</f>
        <v>1003297</v>
      </c>
      <c r="C89" s="9">
        <f>IFERROR(__xludf.DUMMYFUNCTION("""COMPUTED_VALUE"""),12005.0)</f>
        <v>12005</v>
      </c>
      <c r="D89" s="9"/>
      <c r="E89" s="9"/>
      <c r="F89" s="9">
        <f>IFERROR(__xludf.DUMMYFUNCTION("""COMPUTED_VALUE"""),12.24)</f>
        <v>12.24</v>
      </c>
      <c r="G89" s="9">
        <f>IFERROR(__xludf.DUMMYFUNCTION("""COMPUTED_VALUE"""),12.24)</f>
        <v>12.24</v>
      </c>
      <c r="H89" s="9">
        <f>IFERROR(__xludf.DUMMYFUNCTION("""COMPUTED_VALUE"""),5.0)</f>
        <v>5</v>
      </c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ht="15.75" customHeight="1">
      <c r="A90" s="11">
        <f>IFERROR(__xludf.DUMMYFUNCTION("""COMPUTED_VALUE"""),44471.0)</f>
        <v>44471</v>
      </c>
      <c r="B90" s="9">
        <f>IFERROR(__xludf.DUMMYFUNCTION("""COMPUTED_VALUE"""),1003298.0)</f>
        <v>1003298</v>
      </c>
      <c r="C90" s="9">
        <f>IFERROR(__xludf.DUMMYFUNCTION("""COMPUTED_VALUE"""),16571.0)</f>
        <v>16571</v>
      </c>
      <c r="D90" s="9"/>
      <c r="E90" s="9"/>
      <c r="F90" s="9">
        <f>IFERROR(__xludf.DUMMYFUNCTION("""COMPUTED_VALUE"""),18.66)</f>
        <v>18.66</v>
      </c>
      <c r="G90" s="9">
        <f>IFERROR(__xludf.DUMMYFUNCTION("""COMPUTED_VALUE"""),18.66)</f>
        <v>18.66</v>
      </c>
      <c r="H90" s="9">
        <f>IFERROR(__xludf.DUMMYFUNCTION("""COMPUTED_VALUE"""),1.0)</f>
        <v>1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ht="15.75" customHeight="1">
      <c r="A91" s="11">
        <f>IFERROR(__xludf.DUMMYFUNCTION("""COMPUTED_VALUE"""),44471.0)</f>
        <v>44471</v>
      </c>
      <c r="B91" s="9">
        <f>IFERROR(__xludf.DUMMYFUNCTION("""COMPUTED_VALUE"""),1003298.0)</f>
        <v>1003298</v>
      </c>
      <c r="C91" s="9">
        <f>IFERROR(__xludf.DUMMYFUNCTION("""COMPUTED_VALUE"""),74884.0)</f>
        <v>74884</v>
      </c>
      <c r="D91" s="9"/>
      <c r="E91" s="9"/>
      <c r="F91" s="9">
        <f>IFERROR(__xludf.DUMMYFUNCTION("""COMPUTED_VALUE"""),7.81)</f>
        <v>7.81</v>
      </c>
      <c r="G91" s="9">
        <f>IFERROR(__xludf.DUMMYFUNCTION("""COMPUTED_VALUE"""),7.81)</f>
        <v>7.81</v>
      </c>
      <c r="H91" s="9">
        <f>IFERROR(__xludf.DUMMYFUNCTION("""COMPUTED_VALUE"""),1.0)</f>
        <v>1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ht="15.75" customHeight="1">
      <c r="A92" s="11">
        <f>IFERROR(__xludf.DUMMYFUNCTION("""COMPUTED_VALUE"""),44471.0)</f>
        <v>44471</v>
      </c>
      <c r="B92" s="9">
        <f>IFERROR(__xludf.DUMMYFUNCTION("""COMPUTED_VALUE"""),1003298.0)</f>
        <v>1003298</v>
      </c>
      <c r="C92" s="9">
        <f>IFERROR(__xludf.DUMMYFUNCTION("""COMPUTED_VALUE"""),77048.0)</f>
        <v>77048</v>
      </c>
      <c r="D92" s="9"/>
      <c r="E92" s="9"/>
      <c r="F92" s="9">
        <f>IFERROR(__xludf.DUMMYFUNCTION("""COMPUTED_VALUE"""),11.12)</f>
        <v>11.12</v>
      </c>
      <c r="G92" s="9">
        <f>IFERROR(__xludf.DUMMYFUNCTION("""COMPUTED_VALUE"""),11.12)</f>
        <v>11.12</v>
      </c>
      <c r="H92" s="9">
        <f>IFERROR(__xludf.DUMMYFUNCTION("""COMPUTED_VALUE"""),1.0)</f>
        <v>1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ht="15.75" customHeight="1">
      <c r="A93" s="11">
        <f>IFERROR(__xludf.DUMMYFUNCTION("""COMPUTED_VALUE"""),44471.0)</f>
        <v>44471</v>
      </c>
      <c r="B93" s="9">
        <f>IFERROR(__xludf.DUMMYFUNCTION("""COMPUTED_VALUE"""),1003298.0)</f>
        <v>1003298</v>
      </c>
      <c r="C93" s="9">
        <f>IFERROR(__xludf.DUMMYFUNCTION("""COMPUTED_VALUE"""),77127.0)</f>
        <v>77127</v>
      </c>
      <c r="D93" s="9"/>
      <c r="E93" s="9"/>
      <c r="F93" s="9">
        <f>IFERROR(__xludf.DUMMYFUNCTION("""COMPUTED_VALUE"""),9.47)</f>
        <v>9.47</v>
      </c>
      <c r="G93" s="9">
        <f>IFERROR(__xludf.DUMMYFUNCTION("""COMPUTED_VALUE"""),9.47)</f>
        <v>9.47</v>
      </c>
      <c r="H93" s="9">
        <f>IFERROR(__xludf.DUMMYFUNCTION("""COMPUTED_VALUE"""),1.0)</f>
        <v>1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ht="15.75" customHeight="1">
      <c r="A94" s="11">
        <f>IFERROR(__xludf.DUMMYFUNCTION("""COMPUTED_VALUE"""),44471.0)</f>
        <v>44471</v>
      </c>
      <c r="B94" s="9">
        <f>IFERROR(__xludf.DUMMYFUNCTION("""COMPUTED_VALUE"""),1003298.0)</f>
        <v>1003298</v>
      </c>
      <c r="C94" s="9">
        <f>IFERROR(__xludf.DUMMYFUNCTION("""COMPUTED_VALUE"""),74828.0)</f>
        <v>74828</v>
      </c>
      <c r="D94" s="9"/>
      <c r="E94" s="9"/>
      <c r="F94" s="9">
        <f>IFERROR(__xludf.DUMMYFUNCTION("""COMPUTED_VALUE"""),7.21)</f>
        <v>7.21</v>
      </c>
      <c r="G94" s="9">
        <f>IFERROR(__xludf.DUMMYFUNCTION("""COMPUTED_VALUE"""),7.21)</f>
        <v>7.21</v>
      </c>
      <c r="H94" s="9">
        <f>IFERROR(__xludf.DUMMYFUNCTION("""COMPUTED_VALUE"""),1.0)</f>
        <v>1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ht="15.75" customHeight="1">
      <c r="A95" s="11">
        <f>IFERROR(__xludf.DUMMYFUNCTION("""COMPUTED_VALUE"""),44471.0)</f>
        <v>44471</v>
      </c>
      <c r="B95" s="9">
        <f>IFERROR(__xludf.DUMMYFUNCTION("""COMPUTED_VALUE"""),1003298.0)</f>
        <v>1003298</v>
      </c>
      <c r="C95" s="9">
        <f>IFERROR(__xludf.DUMMYFUNCTION("""COMPUTED_VALUE"""),76290.0)</f>
        <v>76290</v>
      </c>
      <c r="D95" s="10" t="str">
        <f>IFERROR(__xludf.DUMMYFUNCTION("""COMPUTED_VALUE"""),"Vive le bio")</f>
        <v>Vive le bio</v>
      </c>
      <c r="E95" s="10"/>
      <c r="F95" s="9">
        <f>IFERROR(__xludf.DUMMYFUNCTION("""COMPUTED_VALUE"""),3.78888888888888)</f>
        <v>3.788888889</v>
      </c>
      <c r="G95" s="9">
        <f>IFERROR(__xludf.DUMMYFUNCTION("""COMPUTED_VALUE"""),3.41)</f>
        <v>3.41</v>
      </c>
      <c r="H95" s="9">
        <f>IFERROR(__xludf.DUMMYFUNCTION("""COMPUTED_VALUE"""),2.0)</f>
        <v>2</v>
      </c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ht="15.75" customHeight="1">
      <c r="A96" s="11">
        <f>IFERROR(__xludf.DUMMYFUNCTION("""COMPUTED_VALUE"""),44471.0)</f>
        <v>44471</v>
      </c>
      <c r="B96" s="9">
        <f>IFERROR(__xludf.DUMMYFUNCTION("""COMPUTED_VALUE"""),1003299.0)</f>
        <v>1003299</v>
      </c>
      <c r="C96" s="9">
        <f>IFERROR(__xludf.DUMMYFUNCTION("""COMPUTED_VALUE"""),44991.0)</f>
        <v>44991</v>
      </c>
      <c r="D96" s="9"/>
      <c r="E96" s="9"/>
      <c r="F96" s="9">
        <f>IFERROR(__xludf.DUMMYFUNCTION("""COMPUTED_VALUE"""),28.79)</f>
        <v>28.79</v>
      </c>
      <c r="G96" s="9">
        <f>IFERROR(__xludf.DUMMYFUNCTION("""COMPUTED_VALUE"""),28.79)</f>
        <v>28.79</v>
      </c>
      <c r="H96" s="9">
        <f>IFERROR(__xludf.DUMMYFUNCTION("""COMPUTED_VALUE"""),1.0)</f>
        <v>1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ht="15.75" customHeight="1">
      <c r="A97" s="11">
        <f>IFERROR(__xludf.DUMMYFUNCTION("""COMPUTED_VALUE"""),44471.0)</f>
        <v>44471</v>
      </c>
      <c r="B97" s="9">
        <f>IFERROR(__xludf.DUMMYFUNCTION("""COMPUTED_VALUE"""),1003299.0)</f>
        <v>1003299</v>
      </c>
      <c r="C97" s="9">
        <f>IFERROR(__xludf.DUMMYFUNCTION("""COMPUTED_VALUE"""),74398.0)</f>
        <v>74398</v>
      </c>
      <c r="D97" s="9"/>
      <c r="E97" s="9"/>
      <c r="F97" s="9">
        <f>IFERROR(__xludf.DUMMYFUNCTION("""COMPUTED_VALUE"""),24.41)</f>
        <v>24.41</v>
      </c>
      <c r="G97" s="9">
        <f>IFERROR(__xludf.DUMMYFUNCTION("""COMPUTED_VALUE"""),24.41)</f>
        <v>24.41</v>
      </c>
      <c r="H97" s="9">
        <f>IFERROR(__xludf.DUMMYFUNCTION("""COMPUTED_VALUE"""),1.0)</f>
        <v>1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ht="15.75" customHeight="1">
      <c r="A98" s="11">
        <f>IFERROR(__xludf.DUMMYFUNCTION("""COMPUTED_VALUE"""),44471.0)</f>
        <v>44471</v>
      </c>
      <c r="B98" s="9">
        <f>IFERROR(__xludf.DUMMYFUNCTION("""COMPUTED_VALUE"""),1003299.0)</f>
        <v>1003299</v>
      </c>
      <c r="C98" s="9">
        <f>IFERROR(__xludf.DUMMYFUNCTION("""COMPUTED_VALUE"""),118956.0)</f>
        <v>118956</v>
      </c>
      <c r="D98" s="9"/>
      <c r="E98" s="9"/>
      <c r="F98" s="9">
        <f>IFERROR(__xludf.DUMMYFUNCTION("""COMPUTED_VALUE"""),21.44)</f>
        <v>21.44</v>
      </c>
      <c r="G98" s="9">
        <f>IFERROR(__xludf.DUMMYFUNCTION("""COMPUTED_VALUE"""),21.44)</f>
        <v>21.44</v>
      </c>
      <c r="H98" s="9">
        <f>IFERROR(__xludf.DUMMYFUNCTION("""COMPUTED_VALUE"""),1.0)</f>
        <v>1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ht="15.75" customHeight="1">
      <c r="A99" s="11">
        <f>IFERROR(__xludf.DUMMYFUNCTION("""COMPUTED_VALUE"""),44471.0)</f>
        <v>44471</v>
      </c>
      <c r="B99" s="9">
        <f>IFERROR(__xludf.DUMMYFUNCTION("""COMPUTED_VALUE"""),1003299.0)</f>
        <v>1003299</v>
      </c>
      <c r="C99" s="9">
        <f>IFERROR(__xludf.DUMMYFUNCTION("""COMPUTED_VALUE"""),23968.0)</f>
        <v>23968</v>
      </c>
      <c r="D99" s="9"/>
      <c r="E99" s="9"/>
      <c r="F99" s="9">
        <f>IFERROR(__xludf.DUMMYFUNCTION("""COMPUTED_VALUE"""),26.69)</f>
        <v>26.69</v>
      </c>
      <c r="G99" s="9">
        <f>IFERROR(__xludf.DUMMYFUNCTION("""COMPUTED_VALUE"""),26.69)</f>
        <v>26.69</v>
      </c>
      <c r="H99" s="9">
        <f>IFERROR(__xludf.DUMMYFUNCTION("""COMPUTED_VALUE"""),1.0)</f>
        <v>1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ht="15.75" customHeight="1">
      <c r="A100" s="11">
        <f>IFERROR(__xludf.DUMMYFUNCTION("""COMPUTED_VALUE"""),44471.0)</f>
        <v>44471</v>
      </c>
      <c r="B100" s="9">
        <f>IFERROR(__xludf.DUMMYFUNCTION("""COMPUTED_VALUE"""),1003300.0)</f>
        <v>1003300</v>
      </c>
      <c r="C100" s="9">
        <f>IFERROR(__xludf.DUMMYFUNCTION("""COMPUTED_VALUE"""),140582.0)</f>
        <v>140582</v>
      </c>
      <c r="D100" s="9"/>
      <c r="E100" s="9"/>
      <c r="F100" s="9">
        <f>IFERROR(__xludf.DUMMYFUNCTION("""COMPUTED_VALUE"""),101.14)</f>
        <v>101.14</v>
      </c>
      <c r="G100" s="9">
        <f>IFERROR(__xludf.DUMMYFUNCTION("""COMPUTED_VALUE"""),101.14)</f>
        <v>101.14</v>
      </c>
      <c r="H100" s="9">
        <f>IFERROR(__xludf.DUMMYFUNCTION("""COMPUTED_VALUE"""),2.0)</f>
        <v>2</v>
      </c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  <row r="101" ht="15.75" customHeight="1">
      <c r="A101" s="11">
        <f>IFERROR(__xludf.DUMMYFUNCTION("""COMPUTED_VALUE"""),44471.0)</f>
        <v>44471</v>
      </c>
      <c r="B101" s="9">
        <f>IFERROR(__xludf.DUMMYFUNCTION("""COMPUTED_VALUE"""),1003300.0)</f>
        <v>1003300</v>
      </c>
      <c r="C101" s="9">
        <f>IFERROR(__xludf.DUMMYFUNCTION("""COMPUTED_VALUE"""),70542.0)</f>
        <v>70542</v>
      </c>
      <c r="D101" s="9"/>
      <c r="E101" s="9"/>
      <c r="F101" s="9">
        <f>IFERROR(__xludf.DUMMYFUNCTION("""COMPUTED_VALUE"""),44.44)</f>
        <v>44.44</v>
      </c>
      <c r="G101" s="9">
        <f>IFERROR(__xludf.DUMMYFUNCTION("""COMPUTED_VALUE"""),44.44)</f>
        <v>44.44</v>
      </c>
      <c r="H101" s="9">
        <f>IFERROR(__xludf.DUMMYFUNCTION("""COMPUTED_VALUE"""),4.0)</f>
        <v>4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</row>
    <row r="102" ht="15.75" customHeight="1">
      <c r="A102" s="11">
        <f>IFERROR(__xludf.DUMMYFUNCTION("""COMPUTED_VALUE"""),44471.0)</f>
        <v>44471</v>
      </c>
      <c r="B102" s="9">
        <f>IFERROR(__xludf.DUMMYFUNCTION("""COMPUTED_VALUE"""),1003301.0)</f>
        <v>1003301</v>
      </c>
      <c r="C102" s="9">
        <f>IFERROR(__xludf.DUMMYFUNCTION("""COMPUTED_VALUE"""),7358.0)</f>
        <v>7358</v>
      </c>
      <c r="D102" s="9"/>
      <c r="E102" s="9"/>
      <c r="F102" s="9">
        <f>IFERROR(__xludf.DUMMYFUNCTION("""COMPUTED_VALUE"""),8.41)</f>
        <v>8.41</v>
      </c>
      <c r="G102" s="9">
        <f>IFERROR(__xludf.DUMMYFUNCTION("""COMPUTED_VALUE"""),8.41)</f>
        <v>8.41</v>
      </c>
      <c r="H102" s="9">
        <f>IFERROR(__xludf.DUMMYFUNCTION("""COMPUTED_VALUE"""),2.0)</f>
        <v>2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</row>
    <row r="103" ht="15.75" customHeight="1">
      <c r="A103" s="11">
        <f>IFERROR(__xludf.DUMMYFUNCTION("""COMPUTED_VALUE"""),44471.0)</f>
        <v>44471</v>
      </c>
      <c r="B103" s="9">
        <f>IFERROR(__xludf.DUMMYFUNCTION("""COMPUTED_VALUE"""),1003301.0)</f>
        <v>1003301</v>
      </c>
      <c r="C103" s="9">
        <f>IFERROR(__xludf.DUMMYFUNCTION("""COMPUTED_VALUE"""),71318.0)</f>
        <v>71318</v>
      </c>
      <c r="D103" s="9"/>
      <c r="E103" s="9"/>
      <c r="F103" s="9">
        <f>IFERROR(__xludf.DUMMYFUNCTION("""COMPUTED_VALUE"""),37.96)</f>
        <v>37.96</v>
      </c>
      <c r="G103" s="9">
        <f>IFERROR(__xludf.DUMMYFUNCTION("""COMPUTED_VALUE"""),37.96)</f>
        <v>37.96</v>
      </c>
      <c r="H103" s="9">
        <f>IFERROR(__xludf.DUMMYFUNCTION("""COMPUTED_VALUE"""),2.0)</f>
        <v>2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</row>
    <row r="104" ht="15.75" customHeight="1">
      <c r="A104" s="11">
        <f>IFERROR(__xludf.DUMMYFUNCTION("""COMPUTED_VALUE"""),44471.0)</f>
        <v>44471</v>
      </c>
      <c r="B104" s="9">
        <f>IFERROR(__xludf.DUMMYFUNCTION("""COMPUTED_VALUE"""),1003301.0)</f>
        <v>1003301</v>
      </c>
      <c r="C104" s="9">
        <f>IFERROR(__xludf.DUMMYFUNCTION("""COMPUTED_VALUE"""),46955.0)</f>
        <v>46955</v>
      </c>
      <c r="D104" s="9"/>
      <c r="E104" s="9"/>
      <c r="F104" s="9">
        <f>IFERROR(__xludf.DUMMYFUNCTION("""COMPUTED_VALUE"""),15.67)</f>
        <v>15.67</v>
      </c>
      <c r="G104" s="9">
        <f>IFERROR(__xludf.DUMMYFUNCTION("""COMPUTED_VALUE"""),15.67)</f>
        <v>15.67</v>
      </c>
      <c r="H104" s="9">
        <f>IFERROR(__xludf.DUMMYFUNCTION("""COMPUTED_VALUE"""),2.0)</f>
        <v>2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</row>
    <row r="105" ht="15.75" customHeight="1">
      <c r="A105" s="11">
        <f>IFERROR(__xludf.DUMMYFUNCTION("""COMPUTED_VALUE"""),44471.0)</f>
        <v>44471</v>
      </c>
      <c r="B105" s="9">
        <f>IFERROR(__xludf.DUMMYFUNCTION("""COMPUTED_VALUE"""),1003301.0)</f>
        <v>1003301</v>
      </c>
      <c r="C105" s="9">
        <f>IFERROR(__xludf.DUMMYFUNCTION("""COMPUTED_VALUE"""),44760.0)</f>
        <v>44760</v>
      </c>
      <c r="D105" s="10" t="str">
        <f>IFERROR(__xludf.DUMMYFUNCTION("""COMPUTED_VALUE"""),"Vive le bio")</f>
        <v>Vive le bio</v>
      </c>
      <c r="E105" s="10"/>
      <c r="F105" s="9">
        <f>IFERROR(__xludf.DUMMYFUNCTION("""COMPUTED_VALUE"""),3.02222222222222)</f>
        <v>3.022222222</v>
      </c>
      <c r="G105" s="9">
        <f>IFERROR(__xludf.DUMMYFUNCTION("""COMPUTED_VALUE"""),2.72)</f>
        <v>2.72</v>
      </c>
      <c r="H105" s="9">
        <f>IFERROR(__xludf.DUMMYFUNCTION("""COMPUTED_VALUE"""),2.0)</f>
        <v>2</v>
      </c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</row>
    <row r="106" ht="15.75" customHeight="1">
      <c r="A106" s="11">
        <f>IFERROR(__xludf.DUMMYFUNCTION("""COMPUTED_VALUE"""),44471.0)</f>
        <v>44471</v>
      </c>
      <c r="B106" s="9">
        <f>IFERROR(__xludf.DUMMYFUNCTION("""COMPUTED_VALUE"""),1003301.0)</f>
        <v>1003301</v>
      </c>
      <c r="C106" s="9">
        <f>IFERROR(__xludf.DUMMYFUNCTION("""COMPUTED_VALUE"""),45529.0)</f>
        <v>45529</v>
      </c>
      <c r="D106" s="9"/>
      <c r="E106" s="9"/>
      <c r="F106" s="9">
        <f>IFERROR(__xludf.DUMMYFUNCTION("""COMPUTED_VALUE"""),35.83)</f>
        <v>35.83</v>
      </c>
      <c r="G106" s="9">
        <f>IFERROR(__xludf.DUMMYFUNCTION("""COMPUTED_VALUE"""),35.83)</f>
        <v>35.83</v>
      </c>
      <c r="H106" s="9">
        <f>IFERROR(__xludf.DUMMYFUNCTION("""COMPUTED_VALUE"""),4.0)</f>
        <v>4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ht="15.75" customHeight="1">
      <c r="A107" s="11">
        <f>IFERROR(__xludf.DUMMYFUNCTION("""COMPUTED_VALUE"""),44471.0)</f>
        <v>44471</v>
      </c>
      <c r="B107" s="9">
        <f>IFERROR(__xludf.DUMMYFUNCTION("""COMPUTED_VALUE"""),1003302.0)</f>
        <v>1003302</v>
      </c>
      <c r="C107" s="9">
        <f>IFERROR(__xludf.DUMMYFUNCTION("""COMPUTED_VALUE"""),111590.0)</f>
        <v>111590</v>
      </c>
      <c r="D107" s="10" t="str">
        <f>IFERROR(__xludf.DUMMYFUNCTION("""COMPUTED_VALUE"""),"Vive le bio")</f>
        <v>Vive le bio</v>
      </c>
      <c r="E107" s="10"/>
      <c r="F107" s="9">
        <f>IFERROR(__xludf.DUMMYFUNCTION("""COMPUTED_VALUE"""),8.61111111111111)</f>
        <v>8.611111111</v>
      </c>
      <c r="G107" s="9">
        <f>IFERROR(__xludf.DUMMYFUNCTION("""COMPUTED_VALUE"""),7.75)</f>
        <v>7.75</v>
      </c>
      <c r="H107" s="9">
        <f>IFERROR(__xludf.DUMMYFUNCTION("""COMPUTED_VALUE"""),1.0)</f>
        <v>1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</row>
    <row r="108" ht="15.75" customHeight="1">
      <c r="A108" s="11">
        <f>IFERROR(__xludf.DUMMYFUNCTION("""COMPUTED_VALUE"""),44471.0)</f>
        <v>44471</v>
      </c>
      <c r="B108" s="9">
        <f>IFERROR(__xludf.DUMMYFUNCTION("""COMPUTED_VALUE"""),1003302.0)</f>
        <v>1003302</v>
      </c>
      <c r="C108" s="9">
        <f>IFERROR(__xludf.DUMMYFUNCTION("""COMPUTED_VALUE"""),111591.0)</f>
        <v>111591</v>
      </c>
      <c r="D108" s="9"/>
      <c r="E108" s="9"/>
      <c r="F108" s="9">
        <f>IFERROR(__xludf.DUMMYFUNCTION("""COMPUTED_VALUE"""),8.69)</f>
        <v>8.69</v>
      </c>
      <c r="G108" s="9">
        <f>IFERROR(__xludf.DUMMYFUNCTION("""COMPUTED_VALUE"""),8.69)</f>
        <v>8.69</v>
      </c>
      <c r="H108" s="9">
        <f>IFERROR(__xludf.DUMMYFUNCTION("""COMPUTED_VALUE"""),1.0)</f>
        <v>1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</row>
    <row r="109" ht="15.75" customHeight="1">
      <c r="A109" s="11">
        <f>IFERROR(__xludf.DUMMYFUNCTION("""COMPUTED_VALUE"""),44471.0)</f>
        <v>44471</v>
      </c>
      <c r="B109" s="9">
        <f>IFERROR(__xludf.DUMMYFUNCTION("""COMPUTED_VALUE"""),1003302.0)</f>
        <v>1003302</v>
      </c>
      <c r="C109" s="9">
        <f>IFERROR(__xludf.DUMMYFUNCTION("""COMPUTED_VALUE"""),118936.0)</f>
        <v>118936</v>
      </c>
      <c r="D109" s="9"/>
      <c r="E109" s="9"/>
      <c r="F109" s="9">
        <f>IFERROR(__xludf.DUMMYFUNCTION("""COMPUTED_VALUE"""),73.14)</f>
        <v>73.14</v>
      </c>
      <c r="G109" s="9">
        <f>IFERROR(__xludf.DUMMYFUNCTION("""COMPUTED_VALUE"""),73.14)</f>
        <v>73.14</v>
      </c>
      <c r="H109" s="9">
        <f>IFERROR(__xludf.DUMMYFUNCTION("""COMPUTED_VALUE"""),3.0)</f>
        <v>3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</row>
    <row r="110" ht="15.75" customHeight="1">
      <c r="A110" s="11">
        <f>IFERROR(__xludf.DUMMYFUNCTION("""COMPUTED_VALUE"""),44471.0)</f>
        <v>44471</v>
      </c>
      <c r="B110" s="9">
        <f>IFERROR(__xludf.DUMMYFUNCTION("""COMPUTED_VALUE"""),1003303.0)</f>
        <v>1003303</v>
      </c>
      <c r="C110" s="9">
        <f>IFERROR(__xludf.DUMMYFUNCTION("""COMPUTED_VALUE"""),75750.0)</f>
        <v>75750</v>
      </c>
      <c r="D110" s="9"/>
      <c r="E110" s="10" t="str">
        <f>IFERROR(__xludf.DUMMYFUNCTION("""COMPUTED_VALUE"""),"GREENRELAIS")</f>
        <v>GREENRELAIS</v>
      </c>
      <c r="F110" s="10">
        <f>IFERROR(__xludf.DUMMYFUNCTION("""COMPUTED_VALUE"""),2.38)</f>
        <v>2.38</v>
      </c>
      <c r="G110" s="9">
        <f>IFERROR(__xludf.DUMMYFUNCTION("""COMPUTED_VALUE"""),2.38)</f>
        <v>2.38</v>
      </c>
      <c r="H110" s="9">
        <f>IFERROR(__xludf.DUMMYFUNCTION("""COMPUTED_VALUE"""),1.0)</f>
        <v>1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</row>
    <row r="111" ht="15.75" customHeight="1">
      <c r="A111" s="11">
        <f>IFERROR(__xludf.DUMMYFUNCTION("""COMPUTED_VALUE"""),44471.0)</f>
        <v>44471</v>
      </c>
      <c r="B111" s="9">
        <f>IFERROR(__xludf.DUMMYFUNCTION("""COMPUTED_VALUE"""),1003303.0)</f>
        <v>1003303</v>
      </c>
      <c r="C111" s="9">
        <f>IFERROR(__xludf.DUMMYFUNCTION("""COMPUTED_VALUE"""),111153.0)</f>
        <v>111153</v>
      </c>
      <c r="D111" s="9"/>
      <c r="E111" s="10" t="str">
        <f>IFERROR(__xludf.DUMMYFUNCTION("""COMPUTED_VALUE"""),"GREENRELAIS")</f>
        <v>GREENRELAIS</v>
      </c>
      <c r="F111" s="10">
        <f>IFERROR(__xludf.DUMMYFUNCTION("""COMPUTED_VALUE"""),6.87)</f>
        <v>6.87</v>
      </c>
      <c r="G111" s="9">
        <f>IFERROR(__xludf.DUMMYFUNCTION("""COMPUTED_VALUE"""),6.87)</f>
        <v>6.87</v>
      </c>
      <c r="H111" s="9">
        <f>IFERROR(__xludf.DUMMYFUNCTION("""COMPUTED_VALUE"""),1.0)</f>
        <v>1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</row>
    <row r="112" ht="15.75" customHeight="1">
      <c r="A112" s="11">
        <f>IFERROR(__xludf.DUMMYFUNCTION("""COMPUTED_VALUE"""),44471.0)</f>
        <v>44471</v>
      </c>
      <c r="B112" s="9">
        <f>IFERROR(__xludf.DUMMYFUNCTION("""COMPUTED_VALUE"""),1003303.0)</f>
        <v>1003303</v>
      </c>
      <c r="C112" s="9">
        <f>IFERROR(__xludf.DUMMYFUNCTION("""COMPUTED_VALUE"""),111154.0)</f>
        <v>111154</v>
      </c>
      <c r="D112" s="9"/>
      <c r="E112" s="10" t="str">
        <f>IFERROR(__xludf.DUMMYFUNCTION("""COMPUTED_VALUE"""),"GREENRELAIS")</f>
        <v>GREENRELAIS</v>
      </c>
      <c r="F112" s="10">
        <f>IFERROR(__xludf.DUMMYFUNCTION("""COMPUTED_VALUE"""),6.87)</f>
        <v>6.87</v>
      </c>
      <c r="G112" s="9">
        <f>IFERROR(__xludf.DUMMYFUNCTION("""COMPUTED_VALUE"""),6.87)</f>
        <v>6.87</v>
      </c>
      <c r="H112" s="9">
        <f>IFERROR(__xludf.DUMMYFUNCTION("""COMPUTED_VALUE"""),1.0)</f>
        <v>1</v>
      </c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</row>
    <row r="113" ht="15.75" customHeight="1">
      <c r="A113" s="11">
        <f>IFERROR(__xludf.DUMMYFUNCTION("""COMPUTED_VALUE"""),44471.0)</f>
        <v>44471</v>
      </c>
      <c r="B113" s="9">
        <f>IFERROR(__xludf.DUMMYFUNCTION("""COMPUTED_VALUE"""),1003303.0)</f>
        <v>1003303</v>
      </c>
      <c r="C113" s="9">
        <f>IFERROR(__xludf.DUMMYFUNCTION("""COMPUTED_VALUE"""),11065.0)</f>
        <v>11065</v>
      </c>
      <c r="D113" s="10" t="str">
        <f>IFERROR(__xludf.DUMMYFUNCTION("""COMPUTED_VALUE"""),"Vive le bio")</f>
        <v>Vive le bio</v>
      </c>
      <c r="E113" s="10" t="str">
        <f>IFERROR(__xludf.DUMMYFUNCTION("""COMPUTED_VALUE"""),"GREENRELAIS")</f>
        <v>GREENRELAIS</v>
      </c>
      <c r="F113" s="10">
        <f>IFERROR(__xludf.DUMMYFUNCTION("""COMPUTED_VALUE"""),5.42222222222222)</f>
        <v>5.422222222</v>
      </c>
      <c r="G113" s="9">
        <f>IFERROR(__xludf.DUMMYFUNCTION("""COMPUTED_VALUE"""),4.88)</f>
        <v>4.88</v>
      </c>
      <c r="H113" s="9">
        <f>IFERROR(__xludf.DUMMYFUNCTION("""COMPUTED_VALUE"""),2.0)</f>
        <v>2</v>
      </c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</row>
    <row r="114" ht="15.75" customHeight="1">
      <c r="A114" s="11">
        <f>IFERROR(__xludf.DUMMYFUNCTION("""COMPUTED_VALUE"""),44471.0)</f>
        <v>44471</v>
      </c>
      <c r="B114" s="9">
        <f>IFERROR(__xludf.DUMMYFUNCTION("""COMPUTED_VALUE"""),1003303.0)</f>
        <v>1003303</v>
      </c>
      <c r="C114" s="9">
        <f>IFERROR(__xludf.DUMMYFUNCTION("""COMPUTED_VALUE"""),70425.0)</f>
        <v>70425</v>
      </c>
      <c r="D114" s="9"/>
      <c r="E114" s="10" t="str">
        <f>IFERROR(__xludf.DUMMYFUNCTION("""COMPUTED_VALUE"""),"GREENRELAIS")</f>
        <v>GREENRELAIS</v>
      </c>
      <c r="F114" s="10">
        <f>IFERROR(__xludf.DUMMYFUNCTION("""COMPUTED_VALUE"""),4.78)</f>
        <v>4.78</v>
      </c>
      <c r="G114" s="9">
        <f>IFERROR(__xludf.DUMMYFUNCTION("""COMPUTED_VALUE"""),4.78)</f>
        <v>4.78</v>
      </c>
      <c r="H114" s="9">
        <f>IFERROR(__xludf.DUMMYFUNCTION("""COMPUTED_VALUE"""),2.0)</f>
        <v>2</v>
      </c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</row>
    <row r="115" ht="15.75" customHeight="1">
      <c r="A115" s="11">
        <f>IFERROR(__xludf.DUMMYFUNCTION("""COMPUTED_VALUE"""),44471.0)</f>
        <v>44471</v>
      </c>
      <c r="B115" s="9">
        <f>IFERROR(__xludf.DUMMYFUNCTION("""COMPUTED_VALUE"""),1003303.0)</f>
        <v>1003303</v>
      </c>
      <c r="C115" s="9">
        <f>IFERROR(__xludf.DUMMYFUNCTION("""COMPUTED_VALUE"""),112123.0)</f>
        <v>112123</v>
      </c>
      <c r="D115" s="9"/>
      <c r="E115" s="10" t="str">
        <f>IFERROR(__xludf.DUMMYFUNCTION("""COMPUTED_VALUE"""),"GREENRELAIS")</f>
        <v>GREENRELAIS</v>
      </c>
      <c r="F115" s="10">
        <f>IFERROR(__xludf.DUMMYFUNCTION("""COMPUTED_VALUE"""),12.32)</f>
        <v>12.32</v>
      </c>
      <c r="G115" s="9">
        <f>IFERROR(__xludf.DUMMYFUNCTION("""COMPUTED_VALUE"""),12.32)</f>
        <v>12.32</v>
      </c>
      <c r="H115" s="9">
        <f>IFERROR(__xludf.DUMMYFUNCTION("""COMPUTED_VALUE"""),2.0)</f>
        <v>2</v>
      </c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</row>
    <row r="116" ht="15.75" customHeight="1">
      <c r="A116" s="11">
        <f>IFERROR(__xludf.DUMMYFUNCTION("""COMPUTED_VALUE"""),44471.0)</f>
        <v>44471</v>
      </c>
      <c r="B116" s="9">
        <f>IFERROR(__xludf.DUMMYFUNCTION("""COMPUTED_VALUE"""),1003303.0)</f>
        <v>1003303</v>
      </c>
      <c r="C116" s="9">
        <f>IFERROR(__xludf.DUMMYFUNCTION("""COMPUTED_VALUE"""),112122.0)</f>
        <v>112122</v>
      </c>
      <c r="D116" s="9"/>
      <c r="E116" s="10" t="str">
        <f>IFERROR(__xludf.DUMMYFUNCTION("""COMPUTED_VALUE"""),"GREENRELAIS")</f>
        <v>GREENRELAIS</v>
      </c>
      <c r="F116" s="10">
        <f>IFERROR(__xludf.DUMMYFUNCTION("""COMPUTED_VALUE"""),12.32)</f>
        <v>12.32</v>
      </c>
      <c r="G116" s="9">
        <f>IFERROR(__xludf.DUMMYFUNCTION("""COMPUTED_VALUE"""),12.32)</f>
        <v>12.32</v>
      </c>
      <c r="H116" s="9">
        <f>IFERROR(__xludf.DUMMYFUNCTION("""COMPUTED_VALUE"""),2.0)</f>
        <v>2</v>
      </c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</row>
    <row r="117" ht="15.75" customHeight="1">
      <c r="A117" s="11">
        <f>IFERROR(__xludf.DUMMYFUNCTION("""COMPUTED_VALUE"""),44471.0)</f>
        <v>44471</v>
      </c>
      <c r="B117" s="9">
        <f>IFERROR(__xludf.DUMMYFUNCTION("""COMPUTED_VALUE"""),1003303.0)</f>
        <v>1003303</v>
      </c>
      <c r="C117" s="9">
        <f>IFERROR(__xludf.DUMMYFUNCTION("""COMPUTED_VALUE"""),68509.0)</f>
        <v>68509</v>
      </c>
      <c r="D117" s="9"/>
      <c r="E117" s="10" t="str">
        <f>IFERROR(__xludf.DUMMYFUNCTION("""COMPUTED_VALUE"""),"GREENRELAIS")</f>
        <v>GREENRELAIS</v>
      </c>
      <c r="F117" s="10">
        <f>IFERROR(__xludf.DUMMYFUNCTION("""COMPUTED_VALUE"""),6.14)</f>
        <v>6.14</v>
      </c>
      <c r="G117" s="9">
        <f>IFERROR(__xludf.DUMMYFUNCTION("""COMPUTED_VALUE"""),6.14)</f>
        <v>6.14</v>
      </c>
      <c r="H117" s="9">
        <f>IFERROR(__xludf.DUMMYFUNCTION("""COMPUTED_VALUE"""),3.0)</f>
        <v>3</v>
      </c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</row>
    <row r="118" ht="15.75" customHeight="1">
      <c r="A118" s="11">
        <f>IFERROR(__xludf.DUMMYFUNCTION("""COMPUTED_VALUE"""),44471.0)</f>
        <v>44471</v>
      </c>
      <c r="B118" s="9">
        <f>IFERROR(__xludf.DUMMYFUNCTION("""COMPUTED_VALUE"""),1003303.0)</f>
        <v>1003303</v>
      </c>
      <c r="C118" s="9">
        <f>IFERROR(__xludf.DUMMYFUNCTION("""COMPUTED_VALUE"""),17067.0)</f>
        <v>17067</v>
      </c>
      <c r="D118" s="9"/>
      <c r="E118" s="10" t="str">
        <f>IFERROR(__xludf.DUMMYFUNCTION("""COMPUTED_VALUE"""),"GREENRELAIS")</f>
        <v>GREENRELAIS</v>
      </c>
      <c r="F118" s="10">
        <f>IFERROR(__xludf.DUMMYFUNCTION("""COMPUTED_VALUE"""),7.76)</f>
        <v>7.76</v>
      </c>
      <c r="G118" s="9">
        <f>IFERROR(__xludf.DUMMYFUNCTION("""COMPUTED_VALUE"""),7.76)</f>
        <v>7.76</v>
      </c>
      <c r="H118" s="9">
        <f>IFERROR(__xludf.DUMMYFUNCTION("""COMPUTED_VALUE"""),4.0)</f>
        <v>4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</row>
    <row r="119" ht="15.75" customHeight="1">
      <c r="A119" s="11">
        <f>IFERROR(__xludf.DUMMYFUNCTION("""COMPUTED_VALUE"""),44471.0)</f>
        <v>44471</v>
      </c>
      <c r="B119" s="9">
        <f>IFERROR(__xludf.DUMMYFUNCTION("""COMPUTED_VALUE"""),1003303.0)</f>
        <v>1003303</v>
      </c>
      <c r="C119" s="9">
        <f>IFERROR(__xludf.DUMMYFUNCTION("""COMPUTED_VALUE"""),4301.0)</f>
        <v>4301</v>
      </c>
      <c r="D119" s="9"/>
      <c r="E119" s="10" t="str">
        <f>IFERROR(__xludf.DUMMYFUNCTION("""COMPUTED_VALUE"""),"GREENRELAIS")</f>
        <v>GREENRELAIS</v>
      </c>
      <c r="F119" s="10">
        <f>IFERROR(__xludf.DUMMYFUNCTION("""COMPUTED_VALUE"""),8.61)</f>
        <v>8.61</v>
      </c>
      <c r="G119" s="9">
        <f>IFERROR(__xludf.DUMMYFUNCTION("""COMPUTED_VALUE"""),8.61)</f>
        <v>8.61</v>
      </c>
      <c r="H119" s="9">
        <f>IFERROR(__xludf.DUMMYFUNCTION("""COMPUTED_VALUE"""),4.0)</f>
        <v>4</v>
      </c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</row>
    <row r="120" ht="15.75" customHeight="1">
      <c r="A120" s="11">
        <f>IFERROR(__xludf.DUMMYFUNCTION("""COMPUTED_VALUE"""),44471.0)</f>
        <v>44471</v>
      </c>
      <c r="B120" s="9">
        <f>IFERROR(__xludf.DUMMYFUNCTION("""COMPUTED_VALUE"""),1003303.0)</f>
        <v>1003303</v>
      </c>
      <c r="C120" s="9">
        <f>IFERROR(__xludf.DUMMYFUNCTION("""COMPUTED_VALUE"""),4298.0)</f>
        <v>4298</v>
      </c>
      <c r="D120" s="9"/>
      <c r="E120" s="10" t="str">
        <f>IFERROR(__xludf.DUMMYFUNCTION("""COMPUTED_VALUE"""),"GREENRELAIS")</f>
        <v>GREENRELAIS</v>
      </c>
      <c r="F120" s="10">
        <f>IFERROR(__xludf.DUMMYFUNCTION("""COMPUTED_VALUE"""),9.11)</f>
        <v>9.11</v>
      </c>
      <c r="G120" s="9">
        <f>IFERROR(__xludf.DUMMYFUNCTION("""COMPUTED_VALUE"""),9.11)</f>
        <v>9.11</v>
      </c>
      <c r="H120" s="9">
        <f>IFERROR(__xludf.DUMMYFUNCTION("""COMPUTED_VALUE"""),4.0)</f>
        <v>4</v>
      </c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</row>
    <row r="121" ht="15.75" customHeight="1">
      <c r="A121" s="11">
        <f>IFERROR(__xludf.DUMMYFUNCTION("""COMPUTED_VALUE"""),44471.0)</f>
        <v>44471</v>
      </c>
      <c r="B121" s="9">
        <f>IFERROR(__xludf.DUMMYFUNCTION("""COMPUTED_VALUE"""),1003303.0)</f>
        <v>1003303</v>
      </c>
      <c r="C121" s="9">
        <f>IFERROR(__xludf.DUMMYFUNCTION("""COMPUTED_VALUE"""),75752.0)</f>
        <v>75752</v>
      </c>
      <c r="D121" s="9"/>
      <c r="E121" s="10" t="str">
        <f>IFERROR(__xludf.DUMMYFUNCTION("""COMPUTED_VALUE"""),"GREENRELAIS")</f>
        <v>GREENRELAIS</v>
      </c>
      <c r="F121" s="10">
        <f>IFERROR(__xludf.DUMMYFUNCTION("""COMPUTED_VALUE"""),11.66)</f>
        <v>11.66</v>
      </c>
      <c r="G121" s="9">
        <f>IFERROR(__xludf.DUMMYFUNCTION("""COMPUTED_VALUE"""),11.66)</f>
        <v>11.66</v>
      </c>
      <c r="H121" s="9">
        <f>IFERROR(__xludf.DUMMYFUNCTION("""COMPUTED_VALUE"""),5.0)</f>
        <v>5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</row>
    <row r="122" ht="15.75" customHeight="1">
      <c r="A122" s="11">
        <f>IFERROR(__xludf.DUMMYFUNCTION("""COMPUTED_VALUE"""),44471.0)</f>
        <v>44471</v>
      </c>
      <c r="B122" s="9">
        <f>IFERROR(__xludf.DUMMYFUNCTION("""COMPUTED_VALUE"""),1003304.0)</f>
        <v>1003304</v>
      </c>
      <c r="C122" s="9">
        <f>IFERROR(__xludf.DUMMYFUNCTION("""COMPUTED_VALUE"""),117529.0)</f>
        <v>117529</v>
      </c>
      <c r="D122" s="9"/>
      <c r="E122" s="9"/>
      <c r="F122" s="9">
        <f>IFERROR(__xludf.DUMMYFUNCTION("""COMPUTED_VALUE"""),2.89)</f>
        <v>2.89</v>
      </c>
      <c r="G122" s="9">
        <f>IFERROR(__xludf.DUMMYFUNCTION("""COMPUTED_VALUE"""),2.89)</f>
        <v>2.89</v>
      </c>
      <c r="H122" s="9">
        <f>IFERROR(__xludf.DUMMYFUNCTION("""COMPUTED_VALUE"""),1.0)</f>
        <v>1</v>
      </c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</row>
    <row r="123" ht="15.75" customHeight="1">
      <c r="A123" s="11">
        <f>IFERROR(__xludf.DUMMYFUNCTION("""COMPUTED_VALUE"""),44471.0)</f>
        <v>44471</v>
      </c>
      <c r="B123" s="9">
        <f>IFERROR(__xludf.DUMMYFUNCTION("""COMPUTED_VALUE"""),1003304.0)</f>
        <v>1003304</v>
      </c>
      <c r="C123" s="9">
        <f>IFERROR(__xludf.DUMMYFUNCTION("""COMPUTED_VALUE"""),117531.0)</f>
        <v>117531</v>
      </c>
      <c r="D123" s="9"/>
      <c r="E123" s="9"/>
      <c r="F123" s="9">
        <f>IFERROR(__xludf.DUMMYFUNCTION("""COMPUTED_VALUE"""),2.89)</f>
        <v>2.89</v>
      </c>
      <c r="G123" s="9">
        <f>IFERROR(__xludf.DUMMYFUNCTION("""COMPUTED_VALUE"""),2.89)</f>
        <v>2.89</v>
      </c>
      <c r="H123" s="9">
        <f>IFERROR(__xludf.DUMMYFUNCTION("""COMPUTED_VALUE"""),1.0)</f>
        <v>1</v>
      </c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</row>
    <row r="124" ht="15.75" customHeight="1">
      <c r="A124" s="11">
        <f>IFERROR(__xludf.DUMMYFUNCTION("""COMPUTED_VALUE"""),44471.0)</f>
        <v>44471</v>
      </c>
      <c r="B124" s="9">
        <f>IFERROR(__xludf.DUMMYFUNCTION("""COMPUTED_VALUE"""),1003304.0)</f>
        <v>1003304</v>
      </c>
      <c r="C124" s="9">
        <f>IFERROR(__xludf.DUMMYFUNCTION("""COMPUTED_VALUE"""),88636.0)</f>
        <v>88636</v>
      </c>
      <c r="D124" s="10" t="str">
        <f>IFERROR(__xludf.DUMMYFUNCTION("""COMPUTED_VALUE"""),"Vive le bio")</f>
        <v>Vive le bio</v>
      </c>
      <c r="E124" s="10"/>
      <c r="F124" s="9">
        <f>IFERROR(__xludf.DUMMYFUNCTION("""COMPUTED_VALUE"""),6.03333333333333)</f>
        <v>6.033333333</v>
      </c>
      <c r="G124" s="9">
        <f>IFERROR(__xludf.DUMMYFUNCTION("""COMPUTED_VALUE"""),5.43)</f>
        <v>5.43</v>
      </c>
      <c r="H124" s="9">
        <f>IFERROR(__xludf.DUMMYFUNCTION("""COMPUTED_VALUE"""),1.0)</f>
        <v>1</v>
      </c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</row>
    <row r="125" ht="15.75" customHeight="1">
      <c r="A125" s="11">
        <f>IFERROR(__xludf.DUMMYFUNCTION("""COMPUTED_VALUE"""),44471.0)</f>
        <v>44471</v>
      </c>
      <c r="B125" s="9">
        <f>IFERROR(__xludf.DUMMYFUNCTION("""COMPUTED_VALUE"""),1003304.0)</f>
        <v>1003304</v>
      </c>
      <c r="C125" s="9">
        <f>IFERROR(__xludf.DUMMYFUNCTION("""COMPUTED_VALUE"""),69456.0)</f>
        <v>69456</v>
      </c>
      <c r="D125" s="9"/>
      <c r="E125" s="9"/>
      <c r="F125" s="9">
        <f>IFERROR(__xludf.DUMMYFUNCTION("""COMPUTED_VALUE"""),3.78)</f>
        <v>3.78</v>
      </c>
      <c r="G125" s="9">
        <f>IFERROR(__xludf.DUMMYFUNCTION("""COMPUTED_VALUE"""),3.78)</f>
        <v>3.78</v>
      </c>
      <c r="H125" s="9">
        <f>IFERROR(__xludf.DUMMYFUNCTION("""COMPUTED_VALUE"""),1.0)</f>
        <v>1</v>
      </c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</row>
    <row r="126" ht="15.75" customHeight="1">
      <c r="A126" s="11">
        <f>IFERROR(__xludf.DUMMYFUNCTION("""COMPUTED_VALUE"""),44471.0)</f>
        <v>44471</v>
      </c>
      <c r="B126" s="9">
        <f>IFERROR(__xludf.DUMMYFUNCTION("""COMPUTED_VALUE"""),1003304.0)</f>
        <v>1003304</v>
      </c>
      <c r="C126" s="9">
        <f>IFERROR(__xludf.DUMMYFUNCTION("""COMPUTED_VALUE"""),44730.0)</f>
        <v>44730</v>
      </c>
      <c r="D126" s="9"/>
      <c r="E126" s="9"/>
      <c r="F126" s="9">
        <f>IFERROR(__xludf.DUMMYFUNCTION("""COMPUTED_VALUE"""),4.59)</f>
        <v>4.59</v>
      </c>
      <c r="G126" s="9">
        <f>IFERROR(__xludf.DUMMYFUNCTION("""COMPUTED_VALUE"""),4.59)</f>
        <v>4.59</v>
      </c>
      <c r="H126" s="9">
        <f>IFERROR(__xludf.DUMMYFUNCTION("""COMPUTED_VALUE"""),1.0)</f>
        <v>1</v>
      </c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</row>
    <row r="127" ht="15.75" customHeight="1">
      <c r="A127" s="11">
        <f>IFERROR(__xludf.DUMMYFUNCTION("""COMPUTED_VALUE"""),44471.0)</f>
        <v>44471</v>
      </c>
      <c r="B127" s="9">
        <f>IFERROR(__xludf.DUMMYFUNCTION("""COMPUTED_VALUE"""),1003304.0)</f>
        <v>1003304</v>
      </c>
      <c r="C127" s="9">
        <f>IFERROR(__xludf.DUMMYFUNCTION("""COMPUTED_VALUE"""),44012.0)</f>
        <v>44012</v>
      </c>
      <c r="D127" s="9"/>
      <c r="E127" s="9"/>
      <c r="F127" s="9">
        <f>IFERROR(__xludf.DUMMYFUNCTION("""COMPUTED_VALUE"""),2.81)</f>
        <v>2.81</v>
      </c>
      <c r="G127" s="9">
        <f>IFERROR(__xludf.DUMMYFUNCTION("""COMPUTED_VALUE"""),2.81)</f>
        <v>2.81</v>
      </c>
      <c r="H127" s="9">
        <f>IFERROR(__xludf.DUMMYFUNCTION("""COMPUTED_VALUE"""),1.0)</f>
        <v>1</v>
      </c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</row>
    <row r="128" ht="15.75" customHeight="1">
      <c r="A128" s="11">
        <f>IFERROR(__xludf.DUMMYFUNCTION("""COMPUTED_VALUE"""),44471.0)</f>
        <v>44471</v>
      </c>
      <c r="B128" s="9">
        <f>IFERROR(__xludf.DUMMYFUNCTION("""COMPUTED_VALUE"""),1003304.0)</f>
        <v>1003304</v>
      </c>
      <c r="C128" s="9">
        <f>IFERROR(__xludf.DUMMYFUNCTION("""COMPUTED_VALUE"""),42229.0)</f>
        <v>42229</v>
      </c>
      <c r="D128" s="10" t="str">
        <f>IFERROR(__xludf.DUMMYFUNCTION("""COMPUTED_VALUE"""),"Offre speciale")</f>
        <v>Offre speciale</v>
      </c>
      <c r="E128" s="10"/>
      <c r="F128" s="9">
        <f>IFERROR(__xludf.DUMMYFUNCTION("""COMPUTED_VALUE"""),4.17647058823529)</f>
        <v>4.176470588</v>
      </c>
      <c r="G128" s="9">
        <f>IFERROR(__xludf.DUMMYFUNCTION("""COMPUTED_VALUE"""),3.55)</f>
        <v>3.55</v>
      </c>
      <c r="H128" s="9">
        <f>IFERROR(__xludf.DUMMYFUNCTION("""COMPUTED_VALUE"""),1.0)</f>
        <v>1</v>
      </c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</row>
    <row r="129" ht="15.75" customHeight="1">
      <c r="A129" s="11">
        <f>IFERROR(__xludf.DUMMYFUNCTION("""COMPUTED_VALUE"""),44471.0)</f>
        <v>44471</v>
      </c>
      <c r="B129" s="9">
        <f>IFERROR(__xludf.DUMMYFUNCTION("""COMPUTED_VALUE"""),1003304.0)</f>
        <v>1003304</v>
      </c>
      <c r="C129" s="9">
        <f>IFERROR(__xludf.DUMMYFUNCTION("""COMPUTED_VALUE"""),119052.0)</f>
        <v>119052</v>
      </c>
      <c r="D129" s="9"/>
      <c r="E129" s="9"/>
      <c r="F129" s="9">
        <f>IFERROR(__xludf.DUMMYFUNCTION("""COMPUTED_VALUE"""),3.48)</f>
        <v>3.48</v>
      </c>
      <c r="G129" s="9">
        <f>IFERROR(__xludf.DUMMYFUNCTION("""COMPUTED_VALUE"""),3.48)</f>
        <v>3.48</v>
      </c>
      <c r="H129" s="9">
        <f>IFERROR(__xludf.DUMMYFUNCTION("""COMPUTED_VALUE"""),1.0)</f>
        <v>1</v>
      </c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</row>
    <row r="130" ht="15.75" customHeight="1">
      <c r="A130" s="11">
        <f>IFERROR(__xludf.DUMMYFUNCTION("""COMPUTED_VALUE"""),44471.0)</f>
        <v>44471</v>
      </c>
      <c r="B130" s="9">
        <f>IFERROR(__xludf.DUMMYFUNCTION("""COMPUTED_VALUE"""),1003304.0)</f>
        <v>1003304</v>
      </c>
      <c r="C130" s="9">
        <f>IFERROR(__xludf.DUMMYFUNCTION("""COMPUTED_VALUE"""),120042.0)</f>
        <v>120042</v>
      </c>
      <c r="D130" s="9"/>
      <c r="E130" s="9"/>
      <c r="F130" s="9">
        <f>IFERROR(__xludf.DUMMYFUNCTION("""COMPUTED_VALUE"""),4.22)</f>
        <v>4.22</v>
      </c>
      <c r="G130" s="9">
        <f>IFERROR(__xludf.DUMMYFUNCTION("""COMPUTED_VALUE"""),4.22)</f>
        <v>4.22</v>
      </c>
      <c r="H130" s="9">
        <f>IFERROR(__xludf.DUMMYFUNCTION("""COMPUTED_VALUE"""),1.0)</f>
        <v>1</v>
      </c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</row>
    <row r="131" ht="15.75" customHeight="1">
      <c r="A131" s="11">
        <f>IFERROR(__xludf.DUMMYFUNCTION("""COMPUTED_VALUE"""),44471.0)</f>
        <v>44471</v>
      </c>
      <c r="B131" s="9">
        <f>IFERROR(__xludf.DUMMYFUNCTION("""COMPUTED_VALUE"""),1003304.0)</f>
        <v>1003304</v>
      </c>
      <c r="C131" s="9">
        <f>IFERROR(__xludf.DUMMYFUNCTION("""COMPUTED_VALUE"""),159490.0)</f>
        <v>159490</v>
      </c>
      <c r="D131" s="9"/>
      <c r="E131" s="9"/>
      <c r="F131" s="9">
        <f>IFERROR(__xludf.DUMMYFUNCTION("""COMPUTED_VALUE"""),2.62)</f>
        <v>2.62</v>
      </c>
      <c r="G131" s="9">
        <f>IFERROR(__xludf.DUMMYFUNCTION("""COMPUTED_VALUE"""),2.62)</f>
        <v>2.62</v>
      </c>
      <c r="H131" s="9">
        <f>IFERROR(__xludf.DUMMYFUNCTION("""COMPUTED_VALUE"""),1.0)</f>
        <v>1</v>
      </c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</row>
    <row r="132" ht="15.75" customHeight="1">
      <c r="A132" s="11">
        <f>IFERROR(__xludf.DUMMYFUNCTION("""COMPUTED_VALUE"""),44471.0)</f>
        <v>44471</v>
      </c>
      <c r="B132" s="9">
        <f>IFERROR(__xludf.DUMMYFUNCTION("""COMPUTED_VALUE"""),1003304.0)</f>
        <v>1003304</v>
      </c>
      <c r="C132" s="9">
        <f>IFERROR(__xludf.DUMMYFUNCTION("""COMPUTED_VALUE"""),109309.0)</f>
        <v>109309</v>
      </c>
      <c r="D132" s="9"/>
      <c r="E132" s="9"/>
      <c r="F132" s="9">
        <f>IFERROR(__xludf.DUMMYFUNCTION("""COMPUTED_VALUE"""),16.53)</f>
        <v>16.53</v>
      </c>
      <c r="G132" s="9">
        <f>IFERROR(__xludf.DUMMYFUNCTION("""COMPUTED_VALUE"""),16.53)</f>
        <v>16.53</v>
      </c>
      <c r="H132" s="9">
        <f>IFERROR(__xludf.DUMMYFUNCTION("""COMPUTED_VALUE"""),2.0)</f>
        <v>2</v>
      </c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</row>
    <row r="133" ht="15.75" customHeight="1">
      <c r="A133" s="11">
        <f>IFERROR(__xludf.DUMMYFUNCTION("""COMPUTED_VALUE"""),44471.0)</f>
        <v>44471</v>
      </c>
      <c r="B133" s="9">
        <f>IFERROR(__xludf.DUMMYFUNCTION("""COMPUTED_VALUE"""),1003304.0)</f>
        <v>1003304</v>
      </c>
      <c r="C133" s="9">
        <f>IFERROR(__xludf.DUMMYFUNCTION("""COMPUTED_VALUE"""),122630.0)</f>
        <v>122630</v>
      </c>
      <c r="D133" s="9"/>
      <c r="E133" s="9"/>
      <c r="F133" s="9">
        <f>IFERROR(__xludf.DUMMYFUNCTION("""COMPUTED_VALUE"""),5.34)</f>
        <v>5.34</v>
      </c>
      <c r="G133" s="9">
        <f>IFERROR(__xludf.DUMMYFUNCTION("""COMPUTED_VALUE"""),5.34)</f>
        <v>5.34</v>
      </c>
      <c r="H133" s="9">
        <f>IFERROR(__xludf.DUMMYFUNCTION("""COMPUTED_VALUE"""),2.0)</f>
        <v>2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</row>
    <row r="134" ht="15.75" customHeight="1">
      <c r="A134" s="11">
        <f>IFERROR(__xludf.DUMMYFUNCTION("""COMPUTED_VALUE"""),44471.0)</f>
        <v>44471</v>
      </c>
      <c r="B134" s="9">
        <f>IFERROR(__xludf.DUMMYFUNCTION("""COMPUTED_VALUE"""),1003304.0)</f>
        <v>1003304</v>
      </c>
      <c r="C134" s="9">
        <f>IFERROR(__xludf.DUMMYFUNCTION("""COMPUTED_VALUE"""),71718.0)</f>
        <v>71718</v>
      </c>
      <c r="D134" s="9"/>
      <c r="E134" s="9"/>
      <c r="F134" s="9">
        <f>IFERROR(__xludf.DUMMYFUNCTION("""COMPUTED_VALUE"""),13.47)</f>
        <v>13.47</v>
      </c>
      <c r="G134" s="9">
        <f>IFERROR(__xludf.DUMMYFUNCTION("""COMPUTED_VALUE"""),13.47)</f>
        <v>13.47</v>
      </c>
      <c r="H134" s="9">
        <f>IFERROR(__xludf.DUMMYFUNCTION("""COMPUTED_VALUE"""),2.0)</f>
        <v>2</v>
      </c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</row>
    <row r="135" ht="15.75" customHeight="1">
      <c r="A135" s="11">
        <f>IFERROR(__xludf.DUMMYFUNCTION("""COMPUTED_VALUE"""),44471.0)</f>
        <v>44471</v>
      </c>
      <c r="B135" s="9">
        <f>IFERROR(__xludf.DUMMYFUNCTION("""COMPUTED_VALUE"""),1003305.0)</f>
        <v>1003305</v>
      </c>
      <c r="C135" s="9">
        <f>IFERROR(__xludf.DUMMYFUNCTION("""COMPUTED_VALUE"""),120689.0)</f>
        <v>120689</v>
      </c>
      <c r="D135" s="9"/>
      <c r="E135" s="9"/>
      <c r="F135" s="9">
        <f>IFERROR(__xludf.DUMMYFUNCTION("""COMPUTED_VALUE"""),34.83)</f>
        <v>34.83</v>
      </c>
      <c r="G135" s="9">
        <f>IFERROR(__xludf.DUMMYFUNCTION("""COMPUTED_VALUE"""),34.83)</f>
        <v>34.83</v>
      </c>
      <c r="H135" s="9">
        <f>IFERROR(__xludf.DUMMYFUNCTION("""COMPUTED_VALUE"""),1.0)</f>
        <v>1</v>
      </c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</row>
    <row r="136" ht="15.75" customHeight="1">
      <c r="A136" s="11">
        <f>IFERROR(__xludf.DUMMYFUNCTION("""COMPUTED_VALUE"""),44471.0)</f>
        <v>44471</v>
      </c>
      <c r="B136" s="9">
        <f>IFERROR(__xludf.DUMMYFUNCTION("""COMPUTED_VALUE"""),1003305.0)</f>
        <v>1003305</v>
      </c>
      <c r="C136" s="9">
        <f>IFERROR(__xludf.DUMMYFUNCTION("""COMPUTED_VALUE"""),109310.0)</f>
        <v>109310</v>
      </c>
      <c r="D136" s="9"/>
      <c r="E136" s="9"/>
      <c r="F136" s="9">
        <f>IFERROR(__xludf.DUMMYFUNCTION("""COMPUTED_VALUE"""),6.27)</f>
        <v>6.27</v>
      </c>
      <c r="G136" s="9">
        <f>IFERROR(__xludf.DUMMYFUNCTION("""COMPUTED_VALUE"""),6.27)</f>
        <v>6.27</v>
      </c>
      <c r="H136" s="9">
        <f>IFERROR(__xludf.DUMMYFUNCTION("""COMPUTED_VALUE"""),1.0)</f>
        <v>1</v>
      </c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</row>
    <row r="137" ht="15.75" customHeight="1">
      <c r="A137" s="11">
        <f>IFERROR(__xludf.DUMMYFUNCTION("""COMPUTED_VALUE"""),44471.0)</f>
        <v>44471</v>
      </c>
      <c r="B137" s="9">
        <f>IFERROR(__xludf.DUMMYFUNCTION("""COMPUTED_VALUE"""),1003305.0)</f>
        <v>1003305</v>
      </c>
      <c r="C137" s="9">
        <f>IFERROR(__xludf.DUMMYFUNCTION("""COMPUTED_VALUE"""),949.0)</f>
        <v>949</v>
      </c>
      <c r="D137" s="9"/>
      <c r="E137" s="9"/>
      <c r="F137" s="9">
        <f>IFERROR(__xludf.DUMMYFUNCTION("""COMPUTED_VALUE"""),1.76)</f>
        <v>1.76</v>
      </c>
      <c r="G137" s="9">
        <f>IFERROR(__xludf.DUMMYFUNCTION("""COMPUTED_VALUE"""),1.76)</f>
        <v>1.76</v>
      </c>
      <c r="H137" s="9">
        <f>IFERROR(__xludf.DUMMYFUNCTION("""COMPUTED_VALUE"""),1.0)</f>
        <v>1</v>
      </c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</row>
    <row r="138" ht="15.75" customHeight="1">
      <c r="A138" s="11">
        <f>IFERROR(__xludf.DUMMYFUNCTION("""COMPUTED_VALUE"""),44471.0)</f>
        <v>44471</v>
      </c>
      <c r="B138" s="9">
        <f>IFERROR(__xludf.DUMMYFUNCTION("""COMPUTED_VALUE"""),1003305.0)</f>
        <v>1003305</v>
      </c>
      <c r="C138" s="9">
        <f>IFERROR(__xludf.DUMMYFUNCTION("""COMPUTED_VALUE"""),111960.0)</f>
        <v>111960</v>
      </c>
      <c r="D138" s="9"/>
      <c r="E138" s="9"/>
      <c r="F138" s="9">
        <f>IFERROR(__xludf.DUMMYFUNCTION("""COMPUTED_VALUE"""),10.09)</f>
        <v>10.09</v>
      </c>
      <c r="G138" s="9">
        <f>IFERROR(__xludf.DUMMYFUNCTION("""COMPUTED_VALUE"""),10.09)</f>
        <v>10.09</v>
      </c>
      <c r="H138" s="9">
        <f>IFERROR(__xludf.DUMMYFUNCTION("""COMPUTED_VALUE"""),1.0)</f>
        <v>1</v>
      </c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</row>
    <row r="139" ht="15.75" customHeight="1">
      <c r="A139" s="11">
        <f>IFERROR(__xludf.DUMMYFUNCTION("""COMPUTED_VALUE"""),44471.0)</f>
        <v>44471</v>
      </c>
      <c r="B139" s="9">
        <f>IFERROR(__xludf.DUMMYFUNCTION("""COMPUTED_VALUE"""),1003305.0)</f>
        <v>1003305</v>
      </c>
      <c r="C139" s="9">
        <f>IFERROR(__xludf.DUMMYFUNCTION("""COMPUTED_VALUE"""),111941.0)</f>
        <v>111941</v>
      </c>
      <c r="D139" s="9"/>
      <c r="E139" s="9"/>
      <c r="F139" s="9">
        <f>IFERROR(__xludf.DUMMYFUNCTION("""COMPUTED_VALUE"""),8.17)</f>
        <v>8.17</v>
      </c>
      <c r="G139" s="9">
        <f>IFERROR(__xludf.DUMMYFUNCTION("""COMPUTED_VALUE"""),8.17)</f>
        <v>8.17</v>
      </c>
      <c r="H139" s="9">
        <f>IFERROR(__xludf.DUMMYFUNCTION("""COMPUTED_VALUE"""),1.0)</f>
        <v>1</v>
      </c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</row>
    <row r="140" ht="15.75" customHeight="1">
      <c r="A140" s="11">
        <f>IFERROR(__xludf.DUMMYFUNCTION("""COMPUTED_VALUE"""),44471.0)</f>
        <v>44471</v>
      </c>
      <c r="B140" s="9">
        <f>IFERROR(__xludf.DUMMYFUNCTION("""COMPUTED_VALUE"""),1003305.0)</f>
        <v>1003305</v>
      </c>
      <c r="C140" s="9">
        <f>IFERROR(__xludf.DUMMYFUNCTION("""COMPUTED_VALUE"""),90909.0)</f>
        <v>90909</v>
      </c>
      <c r="D140" s="9"/>
      <c r="E140" s="9"/>
      <c r="F140" s="9">
        <f>IFERROR(__xludf.DUMMYFUNCTION("""COMPUTED_VALUE"""),3.92)</f>
        <v>3.92</v>
      </c>
      <c r="G140" s="9">
        <f>IFERROR(__xludf.DUMMYFUNCTION("""COMPUTED_VALUE"""),3.92)</f>
        <v>3.92</v>
      </c>
      <c r="H140" s="9">
        <f>IFERROR(__xludf.DUMMYFUNCTION("""COMPUTED_VALUE"""),2.0)</f>
        <v>2</v>
      </c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</row>
    <row r="141" ht="15.75" customHeight="1">
      <c r="A141" s="11">
        <f>IFERROR(__xludf.DUMMYFUNCTION("""COMPUTED_VALUE"""),44471.0)</f>
        <v>44471</v>
      </c>
      <c r="B141" s="9">
        <f>IFERROR(__xludf.DUMMYFUNCTION("""COMPUTED_VALUE"""),1003306.0)</f>
        <v>1003306</v>
      </c>
      <c r="C141" s="9">
        <f>IFERROR(__xludf.DUMMYFUNCTION("""COMPUTED_VALUE"""),99302.0)</f>
        <v>99302</v>
      </c>
      <c r="D141" s="9"/>
      <c r="E141" s="9"/>
      <c r="F141" s="9">
        <f>IFERROR(__xludf.DUMMYFUNCTION("""COMPUTED_VALUE"""),7.88)</f>
        <v>7.88</v>
      </c>
      <c r="G141" s="9">
        <f>IFERROR(__xludf.DUMMYFUNCTION("""COMPUTED_VALUE"""),7.88)</f>
        <v>7.88</v>
      </c>
      <c r="H141" s="9">
        <f>IFERROR(__xludf.DUMMYFUNCTION("""COMPUTED_VALUE"""),1.0)</f>
        <v>1</v>
      </c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</row>
    <row r="142" ht="15.75" customHeight="1">
      <c r="A142" s="11">
        <f>IFERROR(__xludf.DUMMYFUNCTION("""COMPUTED_VALUE"""),44471.0)</f>
        <v>44471</v>
      </c>
      <c r="B142" s="9">
        <f>IFERROR(__xludf.DUMMYFUNCTION("""COMPUTED_VALUE"""),1003306.0)</f>
        <v>1003306</v>
      </c>
      <c r="C142" s="9">
        <f>IFERROR(__xludf.DUMMYFUNCTION("""COMPUTED_VALUE"""),103386.0)</f>
        <v>103386</v>
      </c>
      <c r="D142" s="9"/>
      <c r="E142" s="9"/>
      <c r="F142" s="9">
        <f>IFERROR(__xludf.DUMMYFUNCTION("""COMPUTED_VALUE"""),24.3)</f>
        <v>24.3</v>
      </c>
      <c r="G142" s="9">
        <f>IFERROR(__xludf.DUMMYFUNCTION("""COMPUTED_VALUE"""),24.3)</f>
        <v>24.3</v>
      </c>
      <c r="H142" s="9">
        <f>IFERROR(__xludf.DUMMYFUNCTION("""COMPUTED_VALUE"""),1.0)</f>
        <v>1</v>
      </c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</row>
    <row r="143" ht="15.75" customHeight="1">
      <c r="A143" s="11">
        <f>IFERROR(__xludf.DUMMYFUNCTION("""COMPUTED_VALUE"""),44471.0)</f>
        <v>44471</v>
      </c>
      <c r="B143" s="9">
        <f>IFERROR(__xludf.DUMMYFUNCTION("""COMPUTED_VALUE"""),1003306.0)</f>
        <v>1003306</v>
      </c>
      <c r="C143" s="9">
        <f>IFERROR(__xludf.DUMMYFUNCTION("""COMPUTED_VALUE"""),90844.0)</f>
        <v>90844</v>
      </c>
      <c r="D143" s="9"/>
      <c r="E143" s="9"/>
      <c r="F143" s="9">
        <f>IFERROR(__xludf.DUMMYFUNCTION("""COMPUTED_VALUE"""),15.85)</f>
        <v>15.85</v>
      </c>
      <c r="G143" s="9">
        <f>IFERROR(__xludf.DUMMYFUNCTION("""COMPUTED_VALUE"""),15.85)</f>
        <v>15.85</v>
      </c>
      <c r="H143" s="9">
        <f>IFERROR(__xludf.DUMMYFUNCTION("""COMPUTED_VALUE"""),2.0)</f>
        <v>2</v>
      </c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</row>
    <row r="144" ht="15.75" customHeight="1">
      <c r="A144" s="11">
        <f>IFERROR(__xludf.DUMMYFUNCTION("""COMPUTED_VALUE"""),44471.0)</f>
        <v>44471</v>
      </c>
      <c r="B144" s="9">
        <f>IFERROR(__xludf.DUMMYFUNCTION("""COMPUTED_VALUE"""),1003306.0)</f>
        <v>1003306</v>
      </c>
      <c r="C144" s="9">
        <f>IFERROR(__xludf.DUMMYFUNCTION("""COMPUTED_VALUE"""),73946.0)</f>
        <v>73946</v>
      </c>
      <c r="D144" s="9"/>
      <c r="E144" s="9"/>
      <c r="F144" s="9">
        <f>IFERROR(__xludf.DUMMYFUNCTION("""COMPUTED_VALUE"""),12.18)</f>
        <v>12.18</v>
      </c>
      <c r="G144" s="9">
        <f>IFERROR(__xludf.DUMMYFUNCTION("""COMPUTED_VALUE"""),12.18)</f>
        <v>12.18</v>
      </c>
      <c r="H144" s="9">
        <f>IFERROR(__xludf.DUMMYFUNCTION("""COMPUTED_VALUE"""),2.0)</f>
        <v>2</v>
      </c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</row>
    <row r="145" ht="15.75" customHeight="1">
      <c r="A145" s="11">
        <f>IFERROR(__xludf.DUMMYFUNCTION("""COMPUTED_VALUE"""),44471.0)</f>
        <v>44471</v>
      </c>
      <c r="B145" s="9">
        <f>IFERROR(__xludf.DUMMYFUNCTION("""COMPUTED_VALUE"""),1003308.0)</f>
        <v>1003308</v>
      </c>
      <c r="C145" s="9">
        <f>IFERROR(__xludf.DUMMYFUNCTION("""COMPUTED_VALUE"""),7358.0)</f>
        <v>7358</v>
      </c>
      <c r="D145" s="9"/>
      <c r="E145" s="10" t="str">
        <f>IFERROR(__xludf.DUMMYFUNCTION("""COMPUTED_VALUE"""),"GREENRELAIS")</f>
        <v>GREENRELAIS</v>
      </c>
      <c r="F145" s="10">
        <f>IFERROR(__xludf.DUMMYFUNCTION("""COMPUTED_VALUE"""),4.25)</f>
        <v>4.25</v>
      </c>
      <c r="G145" s="9">
        <f>IFERROR(__xludf.DUMMYFUNCTION("""COMPUTED_VALUE"""),4.25)</f>
        <v>4.25</v>
      </c>
      <c r="H145" s="9">
        <f>IFERROR(__xludf.DUMMYFUNCTION("""COMPUTED_VALUE"""),1.0)</f>
        <v>1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</row>
    <row r="146" ht="15.75" customHeight="1">
      <c r="A146" s="11">
        <f>IFERROR(__xludf.DUMMYFUNCTION("""COMPUTED_VALUE"""),44471.0)</f>
        <v>44471</v>
      </c>
      <c r="B146" s="9">
        <f>IFERROR(__xludf.DUMMYFUNCTION("""COMPUTED_VALUE"""),1003308.0)</f>
        <v>1003308</v>
      </c>
      <c r="C146" s="9">
        <f>IFERROR(__xludf.DUMMYFUNCTION("""COMPUTED_VALUE"""),117622.0)</f>
        <v>117622</v>
      </c>
      <c r="D146" s="10" t="str">
        <f>IFERROR(__xludf.DUMMYFUNCTION("""COMPUTED_VALUE"""),"DLC courtes")</f>
        <v>DLC courtes</v>
      </c>
      <c r="E146" s="10" t="str">
        <f>IFERROR(__xludf.DUMMYFUNCTION("""COMPUTED_VALUE"""),"GREENRELAIS")</f>
        <v>GREENRELAIS</v>
      </c>
      <c r="F146" s="10">
        <f>IFERROR(__xludf.DUMMYFUNCTION("""COMPUTED_VALUE"""),4.78823529411764)</f>
        <v>4.788235294</v>
      </c>
      <c r="G146" s="9">
        <f>IFERROR(__xludf.DUMMYFUNCTION("""COMPUTED_VALUE"""),4.07)</f>
        <v>4.07</v>
      </c>
      <c r="H146" s="9">
        <f>IFERROR(__xludf.DUMMYFUNCTION("""COMPUTED_VALUE"""),1.0)</f>
        <v>1</v>
      </c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</row>
    <row r="147" ht="15.75" customHeight="1">
      <c r="A147" s="11">
        <f>IFERROR(__xludf.DUMMYFUNCTION("""COMPUTED_VALUE"""),44471.0)</f>
        <v>44471</v>
      </c>
      <c r="B147" s="9">
        <f>IFERROR(__xludf.DUMMYFUNCTION("""COMPUTED_VALUE"""),1003308.0)</f>
        <v>1003308</v>
      </c>
      <c r="C147" s="9">
        <f>IFERROR(__xludf.DUMMYFUNCTION("""COMPUTED_VALUE"""),46482.0)</f>
        <v>46482</v>
      </c>
      <c r="D147" s="9"/>
      <c r="E147" s="10" t="str">
        <f>IFERROR(__xludf.DUMMYFUNCTION("""COMPUTED_VALUE"""),"GREENRELAIS")</f>
        <v>GREENRELAIS</v>
      </c>
      <c r="F147" s="10">
        <f>IFERROR(__xludf.DUMMYFUNCTION("""COMPUTED_VALUE"""),3.67)</f>
        <v>3.67</v>
      </c>
      <c r="G147" s="9">
        <f>IFERROR(__xludf.DUMMYFUNCTION("""COMPUTED_VALUE"""),3.67)</f>
        <v>3.67</v>
      </c>
      <c r="H147" s="9">
        <f>IFERROR(__xludf.DUMMYFUNCTION("""COMPUTED_VALUE"""),1.0)</f>
        <v>1</v>
      </c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</row>
    <row r="148" ht="15.75" customHeight="1">
      <c r="A148" s="11">
        <f>IFERROR(__xludf.DUMMYFUNCTION("""COMPUTED_VALUE"""),44471.0)</f>
        <v>44471</v>
      </c>
      <c r="B148" s="9">
        <f>IFERROR(__xludf.DUMMYFUNCTION("""COMPUTED_VALUE"""),1003308.0)</f>
        <v>1003308</v>
      </c>
      <c r="C148" s="9">
        <f>IFERROR(__xludf.DUMMYFUNCTION("""COMPUTED_VALUE"""),46955.0)</f>
        <v>46955</v>
      </c>
      <c r="D148" s="9"/>
      <c r="E148" s="10" t="str">
        <f>IFERROR(__xludf.DUMMYFUNCTION("""COMPUTED_VALUE"""),"GREENRELAIS")</f>
        <v>GREENRELAIS</v>
      </c>
      <c r="F148" s="10">
        <f>IFERROR(__xludf.DUMMYFUNCTION("""COMPUTED_VALUE"""),7.84)</f>
        <v>7.84</v>
      </c>
      <c r="G148" s="9">
        <f>IFERROR(__xludf.DUMMYFUNCTION("""COMPUTED_VALUE"""),7.84)</f>
        <v>7.84</v>
      </c>
      <c r="H148" s="9">
        <f>IFERROR(__xludf.DUMMYFUNCTION("""COMPUTED_VALUE"""),1.0)</f>
        <v>1</v>
      </c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</row>
    <row r="149" ht="15.75" customHeight="1">
      <c r="A149" s="11">
        <f>IFERROR(__xludf.DUMMYFUNCTION("""COMPUTED_VALUE"""),44471.0)</f>
        <v>44471</v>
      </c>
      <c r="B149" s="9">
        <f>IFERROR(__xludf.DUMMYFUNCTION("""COMPUTED_VALUE"""),1003308.0)</f>
        <v>1003308</v>
      </c>
      <c r="C149" s="9">
        <f>IFERROR(__xludf.DUMMYFUNCTION("""COMPUTED_VALUE"""),46953.0)</f>
        <v>46953</v>
      </c>
      <c r="D149" s="9"/>
      <c r="E149" s="10" t="str">
        <f>IFERROR(__xludf.DUMMYFUNCTION("""COMPUTED_VALUE"""),"GREENRELAIS")</f>
        <v>GREENRELAIS</v>
      </c>
      <c r="F149" s="10">
        <f>IFERROR(__xludf.DUMMYFUNCTION("""COMPUTED_VALUE"""),29.3)</f>
        <v>29.3</v>
      </c>
      <c r="G149" s="9">
        <f>IFERROR(__xludf.DUMMYFUNCTION("""COMPUTED_VALUE"""),29.3)</f>
        <v>29.3</v>
      </c>
      <c r="H149" s="9">
        <f>IFERROR(__xludf.DUMMYFUNCTION("""COMPUTED_VALUE"""),3.0)</f>
        <v>3</v>
      </c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</row>
    <row r="150" ht="15.75" customHeight="1">
      <c r="A150" s="11">
        <f>IFERROR(__xludf.DUMMYFUNCTION("""COMPUTED_VALUE"""),44471.0)</f>
        <v>44471</v>
      </c>
      <c r="B150" s="9">
        <f>IFERROR(__xludf.DUMMYFUNCTION("""COMPUTED_VALUE"""),1003309.0)</f>
        <v>1003309</v>
      </c>
      <c r="C150" s="9">
        <f>IFERROR(__xludf.DUMMYFUNCTION("""COMPUTED_VALUE"""),76046.0)</f>
        <v>76046</v>
      </c>
      <c r="D150" s="10" t="str">
        <f>IFERROR(__xludf.DUMMYFUNCTION("""COMPUTED_VALUE"""),"Vive le bio")</f>
        <v>Vive le bio</v>
      </c>
      <c r="E150" s="10" t="str">
        <f>IFERROR(__xludf.DUMMYFUNCTION("""COMPUTED_VALUE"""),"GREENRELAIS")</f>
        <v>GREENRELAIS</v>
      </c>
      <c r="F150" s="10">
        <f>IFERROR(__xludf.DUMMYFUNCTION("""COMPUTED_VALUE"""),8.53333333333333)</f>
        <v>8.533333333</v>
      </c>
      <c r="G150" s="9">
        <f>IFERROR(__xludf.DUMMYFUNCTION("""COMPUTED_VALUE"""),7.68)</f>
        <v>7.68</v>
      </c>
      <c r="H150" s="9">
        <f>IFERROR(__xludf.DUMMYFUNCTION("""COMPUTED_VALUE"""),1.0)</f>
        <v>1</v>
      </c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</row>
    <row r="151" ht="15.75" customHeight="1">
      <c r="A151" s="11">
        <f>IFERROR(__xludf.DUMMYFUNCTION("""COMPUTED_VALUE"""),44471.0)</f>
        <v>44471</v>
      </c>
      <c r="B151" s="9">
        <f>IFERROR(__xludf.DUMMYFUNCTION("""COMPUTED_VALUE"""),1003309.0)</f>
        <v>1003309</v>
      </c>
      <c r="C151" s="9">
        <f>IFERROR(__xludf.DUMMYFUNCTION("""COMPUTED_VALUE"""),81485.0)</f>
        <v>81485</v>
      </c>
      <c r="D151" s="10" t="str">
        <f>IFERROR(__xludf.DUMMYFUNCTION("""COMPUTED_VALUE"""),"Offre speciale")</f>
        <v>Offre speciale</v>
      </c>
      <c r="E151" s="10" t="str">
        <f>IFERROR(__xludf.DUMMYFUNCTION("""COMPUTED_VALUE"""),"GREENRELAIS")</f>
        <v>GREENRELAIS</v>
      </c>
      <c r="F151" s="10">
        <f>IFERROR(__xludf.DUMMYFUNCTION("""COMPUTED_VALUE"""),2.25882352941176)</f>
        <v>2.258823529</v>
      </c>
      <c r="G151" s="9">
        <f>IFERROR(__xludf.DUMMYFUNCTION("""COMPUTED_VALUE"""),1.92)</f>
        <v>1.92</v>
      </c>
      <c r="H151" s="9">
        <f>IFERROR(__xludf.DUMMYFUNCTION("""COMPUTED_VALUE"""),1.0)</f>
        <v>1</v>
      </c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</row>
    <row r="152" ht="15.75" customHeight="1">
      <c r="A152" s="11">
        <f>IFERROR(__xludf.DUMMYFUNCTION("""COMPUTED_VALUE"""),44471.0)</f>
        <v>44471</v>
      </c>
      <c r="B152" s="9">
        <f>IFERROR(__xludf.DUMMYFUNCTION("""COMPUTED_VALUE"""),1003309.0)</f>
        <v>1003309</v>
      </c>
      <c r="C152" s="9">
        <f>IFERROR(__xludf.DUMMYFUNCTION("""COMPUTED_VALUE"""),87643.0)</f>
        <v>87643</v>
      </c>
      <c r="D152" s="9"/>
      <c r="E152" s="10" t="str">
        <f>IFERROR(__xludf.DUMMYFUNCTION("""COMPUTED_VALUE"""),"GREENRELAIS")</f>
        <v>GREENRELAIS</v>
      </c>
      <c r="F152" s="10">
        <f>IFERROR(__xludf.DUMMYFUNCTION("""COMPUTED_VALUE"""),7.81)</f>
        <v>7.81</v>
      </c>
      <c r="G152" s="9">
        <f>IFERROR(__xludf.DUMMYFUNCTION("""COMPUTED_VALUE"""),7.81)</f>
        <v>7.81</v>
      </c>
      <c r="H152" s="9">
        <f>IFERROR(__xludf.DUMMYFUNCTION("""COMPUTED_VALUE"""),1.0)</f>
        <v>1</v>
      </c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</row>
    <row r="153" ht="15.75" customHeight="1">
      <c r="A153" s="11">
        <f>IFERROR(__xludf.DUMMYFUNCTION("""COMPUTED_VALUE"""),44471.0)</f>
        <v>44471</v>
      </c>
      <c r="B153" s="9">
        <f>IFERROR(__xludf.DUMMYFUNCTION("""COMPUTED_VALUE"""),1003309.0)</f>
        <v>1003309</v>
      </c>
      <c r="C153" s="9">
        <f>IFERROR(__xludf.DUMMYFUNCTION("""COMPUTED_VALUE"""),47380.0)</f>
        <v>47380</v>
      </c>
      <c r="D153" s="9"/>
      <c r="E153" s="10" t="str">
        <f>IFERROR(__xludf.DUMMYFUNCTION("""COMPUTED_VALUE"""),"GREENRELAIS")</f>
        <v>GREENRELAIS</v>
      </c>
      <c r="F153" s="10">
        <f>IFERROR(__xludf.DUMMYFUNCTION("""COMPUTED_VALUE"""),2.2)</f>
        <v>2.2</v>
      </c>
      <c r="G153" s="9">
        <f>IFERROR(__xludf.DUMMYFUNCTION("""COMPUTED_VALUE"""),2.2)</f>
        <v>2.2</v>
      </c>
      <c r="H153" s="9">
        <f>IFERROR(__xludf.DUMMYFUNCTION("""COMPUTED_VALUE"""),1.0)</f>
        <v>1</v>
      </c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</row>
    <row r="154" ht="15.75" customHeight="1">
      <c r="A154" s="11">
        <f>IFERROR(__xludf.DUMMYFUNCTION("""COMPUTED_VALUE"""),44471.0)</f>
        <v>44471</v>
      </c>
      <c r="B154" s="9">
        <f>IFERROR(__xludf.DUMMYFUNCTION("""COMPUTED_VALUE"""),1003309.0)</f>
        <v>1003309</v>
      </c>
      <c r="C154" s="9">
        <f>IFERROR(__xludf.DUMMYFUNCTION("""COMPUTED_VALUE"""),87193.0)</f>
        <v>87193</v>
      </c>
      <c r="D154" s="9"/>
      <c r="E154" s="10" t="str">
        <f>IFERROR(__xludf.DUMMYFUNCTION("""COMPUTED_VALUE"""),"GREENRELAIS")</f>
        <v>GREENRELAIS</v>
      </c>
      <c r="F154" s="10">
        <f>IFERROR(__xludf.DUMMYFUNCTION("""COMPUTED_VALUE"""),6.97)</f>
        <v>6.97</v>
      </c>
      <c r="G154" s="9">
        <f>IFERROR(__xludf.DUMMYFUNCTION("""COMPUTED_VALUE"""),6.97)</f>
        <v>6.97</v>
      </c>
      <c r="H154" s="9">
        <f>IFERROR(__xludf.DUMMYFUNCTION("""COMPUTED_VALUE"""),1.0)</f>
        <v>1</v>
      </c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</row>
    <row r="155" ht="15.75" customHeight="1">
      <c r="A155" s="11">
        <f>IFERROR(__xludf.DUMMYFUNCTION("""COMPUTED_VALUE"""),44471.0)</f>
        <v>44471</v>
      </c>
      <c r="B155" s="9">
        <f>IFERROR(__xludf.DUMMYFUNCTION("""COMPUTED_VALUE"""),1003309.0)</f>
        <v>1003309</v>
      </c>
      <c r="C155" s="9">
        <f>IFERROR(__xludf.DUMMYFUNCTION("""COMPUTED_VALUE"""),182014.0)</f>
        <v>182014</v>
      </c>
      <c r="D155" s="9"/>
      <c r="E155" s="10" t="str">
        <f>IFERROR(__xludf.DUMMYFUNCTION("""COMPUTED_VALUE"""),"GREENRELAIS")</f>
        <v>GREENRELAIS</v>
      </c>
      <c r="F155" s="10">
        <f>IFERROR(__xludf.DUMMYFUNCTION("""COMPUTED_VALUE"""),6.49)</f>
        <v>6.49</v>
      </c>
      <c r="G155" s="9">
        <f>IFERROR(__xludf.DUMMYFUNCTION("""COMPUTED_VALUE"""),6.49)</f>
        <v>6.49</v>
      </c>
      <c r="H155" s="9">
        <f>IFERROR(__xludf.DUMMYFUNCTION("""COMPUTED_VALUE"""),1.0)</f>
        <v>1</v>
      </c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</row>
    <row r="156" ht="15.75" customHeight="1">
      <c r="A156" s="11">
        <f>IFERROR(__xludf.DUMMYFUNCTION("""COMPUTED_VALUE"""),44471.0)</f>
        <v>44471</v>
      </c>
      <c r="B156" s="9">
        <f>IFERROR(__xludf.DUMMYFUNCTION("""COMPUTED_VALUE"""),1003309.0)</f>
        <v>1003309</v>
      </c>
      <c r="C156" s="9">
        <f>IFERROR(__xludf.DUMMYFUNCTION("""COMPUTED_VALUE"""),88268.0)</f>
        <v>88268</v>
      </c>
      <c r="D156" s="9"/>
      <c r="E156" s="10" t="str">
        <f>IFERROR(__xludf.DUMMYFUNCTION("""COMPUTED_VALUE"""),"GREENRELAIS")</f>
        <v>GREENRELAIS</v>
      </c>
      <c r="F156" s="10">
        <f>IFERROR(__xludf.DUMMYFUNCTION("""COMPUTED_VALUE"""),2.12)</f>
        <v>2.12</v>
      </c>
      <c r="G156" s="9">
        <f>IFERROR(__xludf.DUMMYFUNCTION("""COMPUTED_VALUE"""),2.12)</f>
        <v>2.12</v>
      </c>
      <c r="H156" s="9">
        <f>IFERROR(__xludf.DUMMYFUNCTION("""COMPUTED_VALUE"""),2.0)</f>
        <v>2</v>
      </c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</row>
    <row r="157" ht="15.75" customHeight="1">
      <c r="A157" s="11">
        <f>IFERROR(__xludf.DUMMYFUNCTION("""COMPUTED_VALUE"""),44471.0)</f>
        <v>44471</v>
      </c>
      <c r="B157" s="9">
        <f>IFERROR(__xludf.DUMMYFUNCTION("""COMPUTED_VALUE"""),1003309.0)</f>
        <v>1003309</v>
      </c>
      <c r="C157" s="9">
        <f>IFERROR(__xludf.DUMMYFUNCTION("""COMPUTED_VALUE"""),103589.0)</f>
        <v>103589</v>
      </c>
      <c r="D157" s="10" t="str">
        <f>IFERROR(__xludf.DUMMYFUNCTION("""COMPUTED_VALUE"""),"Love &amp; Green Couches et Culottes sept 2021")</f>
        <v>Love &amp; Green Couches et Culottes sept 2021</v>
      </c>
      <c r="E157" s="10" t="str">
        <f>IFERROR(__xludf.DUMMYFUNCTION("""COMPUTED_VALUE"""),"GREENRELAIS")</f>
        <v>GREENRELAIS</v>
      </c>
      <c r="F157" s="10">
        <f>IFERROR(__xludf.DUMMYFUNCTION("""COMPUTED_VALUE"""),46.9857142857142)</f>
        <v>46.98571429</v>
      </c>
      <c r="G157" s="9">
        <f>IFERROR(__xludf.DUMMYFUNCTION("""COMPUTED_VALUE"""),32.89)</f>
        <v>32.89</v>
      </c>
      <c r="H157" s="9">
        <f>IFERROR(__xludf.DUMMYFUNCTION("""COMPUTED_VALUE"""),3.0)</f>
        <v>3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</row>
    <row r="158" ht="15.75" customHeight="1">
      <c r="A158" s="11">
        <f>IFERROR(__xludf.DUMMYFUNCTION("""COMPUTED_VALUE"""),44471.0)</f>
        <v>44471</v>
      </c>
      <c r="B158" s="9">
        <f>IFERROR(__xludf.DUMMYFUNCTION("""COMPUTED_VALUE"""),1003310.0)</f>
        <v>1003310</v>
      </c>
      <c r="C158" s="9">
        <f>IFERROR(__xludf.DUMMYFUNCTION("""COMPUTED_VALUE"""),14709.0)</f>
        <v>14709</v>
      </c>
      <c r="D158" s="9"/>
      <c r="E158" s="9"/>
      <c r="F158" s="9">
        <f>IFERROR(__xludf.DUMMYFUNCTION("""COMPUTED_VALUE"""),7.01)</f>
        <v>7.01</v>
      </c>
      <c r="G158" s="9">
        <f>IFERROR(__xludf.DUMMYFUNCTION("""COMPUTED_VALUE"""),7.01)</f>
        <v>7.01</v>
      </c>
      <c r="H158" s="9">
        <f>IFERROR(__xludf.DUMMYFUNCTION("""COMPUTED_VALUE"""),5.0)</f>
        <v>5</v>
      </c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</row>
    <row r="159" ht="15.75" customHeight="1">
      <c r="A159" s="11">
        <f>IFERROR(__xludf.DUMMYFUNCTION("""COMPUTED_VALUE"""),44471.0)</f>
        <v>44471</v>
      </c>
      <c r="B159" s="9">
        <f>IFERROR(__xludf.DUMMYFUNCTION("""COMPUTED_VALUE"""),1003311.0)</f>
        <v>1003311</v>
      </c>
      <c r="C159" s="9">
        <f>IFERROR(__xludf.DUMMYFUNCTION("""COMPUTED_VALUE"""),90183.0)</f>
        <v>90183</v>
      </c>
      <c r="D159" s="9"/>
      <c r="E159" s="9"/>
      <c r="F159" s="9">
        <f>IFERROR(__xludf.DUMMYFUNCTION("""COMPUTED_VALUE"""),12.35)</f>
        <v>12.35</v>
      </c>
      <c r="G159" s="9">
        <f>IFERROR(__xludf.DUMMYFUNCTION("""COMPUTED_VALUE"""),12.35)</f>
        <v>12.35</v>
      </c>
      <c r="H159" s="9">
        <f>IFERROR(__xludf.DUMMYFUNCTION("""COMPUTED_VALUE"""),1.0)</f>
        <v>1</v>
      </c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</row>
    <row r="160" ht="15.75" customHeight="1">
      <c r="A160" s="11">
        <f>IFERROR(__xludf.DUMMYFUNCTION("""COMPUTED_VALUE"""),44471.0)</f>
        <v>44471</v>
      </c>
      <c r="B160" s="9">
        <f>IFERROR(__xludf.DUMMYFUNCTION("""COMPUTED_VALUE"""),1003311.0)</f>
        <v>1003311</v>
      </c>
      <c r="C160" s="9">
        <f>IFERROR(__xludf.DUMMYFUNCTION("""COMPUTED_VALUE"""),13361.0)</f>
        <v>13361</v>
      </c>
      <c r="D160" s="10" t="str">
        <f>IFERROR(__xludf.DUMMYFUNCTION("""COMPUTED_VALUE"""),"Vive le bio")</f>
        <v>Vive le bio</v>
      </c>
      <c r="E160" s="10"/>
      <c r="F160" s="9">
        <f>IFERROR(__xludf.DUMMYFUNCTION("""COMPUTED_VALUE"""),2.61111111111111)</f>
        <v>2.611111111</v>
      </c>
      <c r="G160" s="9">
        <f>IFERROR(__xludf.DUMMYFUNCTION("""COMPUTED_VALUE"""),2.35)</f>
        <v>2.35</v>
      </c>
      <c r="H160" s="9">
        <f>IFERROR(__xludf.DUMMYFUNCTION("""COMPUTED_VALUE"""),1.0)</f>
        <v>1</v>
      </c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</row>
    <row r="161" ht="15.75" customHeight="1">
      <c r="A161" s="11">
        <f>IFERROR(__xludf.DUMMYFUNCTION("""COMPUTED_VALUE"""),44471.0)</f>
        <v>44471</v>
      </c>
      <c r="B161" s="9">
        <f>IFERROR(__xludf.DUMMYFUNCTION("""COMPUTED_VALUE"""),1003311.0)</f>
        <v>1003311</v>
      </c>
      <c r="C161" s="9">
        <f>IFERROR(__xludf.DUMMYFUNCTION("""COMPUTED_VALUE"""),13363.0)</f>
        <v>13363</v>
      </c>
      <c r="D161" s="10" t="str">
        <f>IFERROR(__xludf.DUMMYFUNCTION("""COMPUTED_VALUE"""),"Vive le bio")</f>
        <v>Vive le bio</v>
      </c>
      <c r="E161" s="10"/>
      <c r="F161" s="9">
        <f>IFERROR(__xludf.DUMMYFUNCTION("""COMPUTED_VALUE"""),3.58888888888888)</f>
        <v>3.588888889</v>
      </c>
      <c r="G161" s="9">
        <f>IFERROR(__xludf.DUMMYFUNCTION("""COMPUTED_VALUE"""),3.23)</f>
        <v>3.23</v>
      </c>
      <c r="H161" s="9">
        <f>IFERROR(__xludf.DUMMYFUNCTION("""COMPUTED_VALUE"""),1.0)</f>
        <v>1</v>
      </c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</row>
    <row r="162" ht="15.75" customHeight="1">
      <c r="A162" s="11">
        <f>IFERROR(__xludf.DUMMYFUNCTION("""COMPUTED_VALUE"""),44471.0)</f>
        <v>44471</v>
      </c>
      <c r="B162" s="9">
        <f>IFERROR(__xludf.DUMMYFUNCTION("""COMPUTED_VALUE"""),1003311.0)</f>
        <v>1003311</v>
      </c>
      <c r="C162" s="9">
        <f>IFERROR(__xludf.DUMMYFUNCTION("""COMPUTED_VALUE"""),102395.0)</f>
        <v>102395</v>
      </c>
      <c r="D162" s="9"/>
      <c r="E162" s="9"/>
      <c r="F162" s="9">
        <f>IFERROR(__xludf.DUMMYFUNCTION("""COMPUTED_VALUE"""),11.8)</f>
        <v>11.8</v>
      </c>
      <c r="G162" s="9">
        <f>IFERROR(__xludf.DUMMYFUNCTION("""COMPUTED_VALUE"""),11.8)</f>
        <v>11.8</v>
      </c>
      <c r="H162" s="9">
        <f>IFERROR(__xludf.DUMMYFUNCTION("""COMPUTED_VALUE"""),1.0)</f>
        <v>1</v>
      </c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</row>
    <row r="163" ht="15.75" customHeight="1">
      <c r="A163" s="11">
        <f>IFERROR(__xludf.DUMMYFUNCTION("""COMPUTED_VALUE"""),44471.0)</f>
        <v>44471</v>
      </c>
      <c r="B163" s="9">
        <f>IFERROR(__xludf.DUMMYFUNCTION("""COMPUTED_VALUE"""),1003311.0)</f>
        <v>1003311</v>
      </c>
      <c r="C163" s="9">
        <f>IFERROR(__xludf.DUMMYFUNCTION("""COMPUTED_VALUE"""),5604.0)</f>
        <v>5604</v>
      </c>
      <c r="D163" s="10" t="str">
        <f>IFERROR(__xludf.DUMMYFUNCTION("""COMPUTED_VALUE"""),"Vive le bio")</f>
        <v>Vive le bio</v>
      </c>
      <c r="E163" s="10"/>
      <c r="F163" s="9">
        <f>IFERROR(__xludf.DUMMYFUNCTION("""COMPUTED_VALUE"""),2.25555555555555)</f>
        <v>2.255555556</v>
      </c>
      <c r="G163" s="9">
        <f>IFERROR(__xludf.DUMMYFUNCTION("""COMPUTED_VALUE"""),2.03)</f>
        <v>2.03</v>
      </c>
      <c r="H163" s="9">
        <f>IFERROR(__xludf.DUMMYFUNCTION("""COMPUTED_VALUE"""),1.0)</f>
        <v>1</v>
      </c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</row>
    <row r="164" ht="15.75" customHeight="1">
      <c r="A164" s="11">
        <f>IFERROR(__xludf.DUMMYFUNCTION("""COMPUTED_VALUE"""),44471.0)</f>
        <v>44471</v>
      </c>
      <c r="B164" s="9">
        <f>IFERROR(__xludf.DUMMYFUNCTION("""COMPUTED_VALUE"""),1003312.0)</f>
        <v>1003312</v>
      </c>
      <c r="C164" s="9">
        <f>IFERROR(__xludf.DUMMYFUNCTION("""COMPUTED_VALUE"""),77657.0)</f>
        <v>77657</v>
      </c>
      <c r="D164" s="9"/>
      <c r="E164" s="10" t="str">
        <f>IFERROR(__xludf.DUMMYFUNCTION("""COMPUTED_VALUE"""),"GBNP212146")</f>
        <v>GBNP212146</v>
      </c>
      <c r="F164" s="10">
        <f>IFERROR(__xludf.DUMMYFUNCTION("""COMPUTED_VALUE"""),6.5)</f>
        <v>6.5</v>
      </c>
      <c r="G164" s="9">
        <f>IFERROR(__xludf.DUMMYFUNCTION("""COMPUTED_VALUE"""),6.5)</f>
        <v>6.5</v>
      </c>
      <c r="H164" s="9">
        <f>IFERROR(__xludf.DUMMYFUNCTION("""COMPUTED_VALUE"""),1.0)</f>
        <v>1</v>
      </c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</row>
    <row r="165" ht="15.75" customHeight="1">
      <c r="A165" s="11">
        <f>IFERROR(__xludf.DUMMYFUNCTION("""COMPUTED_VALUE"""),44471.0)</f>
        <v>44471</v>
      </c>
      <c r="B165" s="9">
        <f>IFERROR(__xludf.DUMMYFUNCTION("""COMPUTED_VALUE"""),1003312.0)</f>
        <v>1003312</v>
      </c>
      <c r="C165" s="9">
        <f>IFERROR(__xludf.DUMMYFUNCTION("""COMPUTED_VALUE"""),116817.0)</f>
        <v>116817</v>
      </c>
      <c r="D165" s="9"/>
      <c r="E165" s="10" t="str">
        <f>IFERROR(__xludf.DUMMYFUNCTION("""COMPUTED_VALUE"""),"GBNP212146")</f>
        <v>GBNP212146</v>
      </c>
      <c r="F165" s="10">
        <f>IFERROR(__xludf.DUMMYFUNCTION("""COMPUTED_VALUE"""),36.22)</f>
        <v>36.22</v>
      </c>
      <c r="G165" s="9">
        <f>IFERROR(__xludf.DUMMYFUNCTION("""COMPUTED_VALUE"""),36.22)</f>
        <v>36.22</v>
      </c>
      <c r="H165" s="9">
        <f>IFERROR(__xludf.DUMMYFUNCTION("""COMPUTED_VALUE"""),2.0)</f>
        <v>2</v>
      </c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</row>
    <row r="166" ht="15.75" customHeight="1">
      <c r="A166" s="11">
        <f>IFERROR(__xludf.DUMMYFUNCTION("""COMPUTED_VALUE"""),44471.0)</f>
        <v>44471</v>
      </c>
      <c r="B166" s="9">
        <f>IFERROR(__xludf.DUMMYFUNCTION("""COMPUTED_VALUE"""),1003312.0)</f>
        <v>1003312</v>
      </c>
      <c r="C166" s="9">
        <f>IFERROR(__xludf.DUMMYFUNCTION("""COMPUTED_VALUE"""),6036.0)</f>
        <v>6036</v>
      </c>
      <c r="D166" s="9"/>
      <c r="E166" s="10" t="str">
        <f>IFERROR(__xludf.DUMMYFUNCTION("""COMPUTED_VALUE"""),"GBNP212146")</f>
        <v>GBNP212146</v>
      </c>
      <c r="F166" s="10">
        <f>IFERROR(__xludf.DUMMYFUNCTION("""COMPUTED_VALUE"""),15.57)</f>
        <v>15.57</v>
      </c>
      <c r="G166" s="9">
        <f>IFERROR(__xludf.DUMMYFUNCTION("""COMPUTED_VALUE"""),15.57)</f>
        <v>15.57</v>
      </c>
      <c r="H166" s="9">
        <f>IFERROR(__xludf.DUMMYFUNCTION("""COMPUTED_VALUE"""),3.0)</f>
        <v>3</v>
      </c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</row>
    <row r="167" ht="15.75" customHeight="1">
      <c r="A167" s="11">
        <f>IFERROR(__xludf.DUMMYFUNCTION("""COMPUTED_VALUE"""),44471.0)</f>
        <v>44471</v>
      </c>
      <c r="B167" s="9">
        <f>IFERROR(__xludf.DUMMYFUNCTION("""COMPUTED_VALUE"""),1003312.0)</f>
        <v>1003312</v>
      </c>
      <c r="C167" s="9">
        <f>IFERROR(__xludf.DUMMYFUNCTION("""COMPUTED_VALUE"""),9329.0)</f>
        <v>9329</v>
      </c>
      <c r="D167" s="10" t="str">
        <f>IFERROR(__xludf.DUMMYFUNCTION("""COMPUTED_VALUE"""),"Vive le bio")</f>
        <v>Vive le bio</v>
      </c>
      <c r="E167" s="10" t="str">
        <f>IFERROR(__xludf.DUMMYFUNCTION("""COMPUTED_VALUE"""),"GBNP212146")</f>
        <v>GBNP212146</v>
      </c>
      <c r="F167" s="10">
        <f>IFERROR(__xludf.DUMMYFUNCTION("""COMPUTED_VALUE"""),18.7444444444444)</f>
        <v>18.74444444</v>
      </c>
      <c r="G167" s="9">
        <f>IFERROR(__xludf.DUMMYFUNCTION("""COMPUTED_VALUE"""),16.87)</f>
        <v>16.87</v>
      </c>
      <c r="H167" s="9">
        <f>IFERROR(__xludf.DUMMYFUNCTION("""COMPUTED_VALUE"""),3.0)</f>
        <v>3</v>
      </c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</row>
    <row r="168" ht="15.75" customHeight="1">
      <c r="A168" s="11">
        <f>IFERROR(__xludf.DUMMYFUNCTION("""COMPUTED_VALUE"""),44471.0)</f>
        <v>44471</v>
      </c>
      <c r="B168" s="9">
        <f>IFERROR(__xludf.DUMMYFUNCTION("""COMPUTED_VALUE"""),1003312.0)</f>
        <v>1003312</v>
      </c>
      <c r="C168" s="9">
        <f>IFERROR(__xludf.DUMMYFUNCTION("""COMPUTED_VALUE"""),19800.0)</f>
        <v>19800</v>
      </c>
      <c r="D168" s="9"/>
      <c r="E168" s="10" t="str">
        <f>IFERROR(__xludf.DUMMYFUNCTION("""COMPUTED_VALUE"""),"GBNP212146")</f>
        <v>GBNP212146</v>
      </c>
      <c r="F168" s="10">
        <f>IFERROR(__xludf.DUMMYFUNCTION("""COMPUTED_VALUE"""),22.34)</f>
        <v>22.34</v>
      </c>
      <c r="G168" s="9">
        <f>IFERROR(__xludf.DUMMYFUNCTION("""COMPUTED_VALUE"""),22.34)</f>
        <v>22.34</v>
      </c>
      <c r="H168" s="9">
        <f>IFERROR(__xludf.DUMMYFUNCTION("""COMPUTED_VALUE"""),9.0)</f>
        <v>9</v>
      </c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</row>
    <row r="169" ht="15.75" customHeight="1">
      <c r="A169" s="11">
        <f>IFERROR(__xludf.DUMMYFUNCTION("""COMPUTED_VALUE"""),44471.0)</f>
        <v>44471</v>
      </c>
      <c r="B169" s="9">
        <f>IFERROR(__xludf.DUMMYFUNCTION("""COMPUTED_VALUE"""),1003313.0)</f>
        <v>1003313</v>
      </c>
      <c r="C169" s="9">
        <f>IFERROR(__xludf.DUMMYFUNCTION("""COMPUTED_VALUE"""),43946.0)</f>
        <v>43946</v>
      </c>
      <c r="D169" s="9"/>
      <c r="E169" s="9"/>
      <c r="F169" s="9">
        <f>IFERROR(__xludf.DUMMYFUNCTION("""COMPUTED_VALUE"""),16.54)</f>
        <v>16.54</v>
      </c>
      <c r="G169" s="9">
        <f>IFERROR(__xludf.DUMMYFUNCTION("""COMPUTED_VALUE"""),16.54)</f>
        <v>16.54</v>
      </c>
      <c r="H169" s="9">
        <f>IFERROR(__xludf.DUMMYFUNCTION("""COMPUTED_VALUE"""),1.0)</f>
        <v>1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</row>
    <row r="170" ht="15.75" customHeight="1">
      <c r="A170" s="11">
        <f>IFERROR(__xludf.DUMMYFUNCTION("""COMPUTED_VALUE"""),44471.0)</f>
        <v>44471</v>
      </c>
      <c r="B170" s="9">
        <f>IFERROR(__xludf.DUMMYFUNCTION("""COMPUTED_VALUE"""),1003313.0)</f>
        <v>1003313</v>
      </c>
      <c r="C170" s="9">
        <f>IFERROR(__xludf.DUMMYFUNCTION("""COMPUTED_VALUE"""),5799.0)</f>
        <v>5799</v>
      </c>
      <c r="D170" s="9"/>
      <c r="E170" s="9"/>
      <c r="F170" s="9">
        <f>IFERROR(__xludf.DUMMYFUNCTION("""COMPUTED_VALUE"""),4.34)</f>
        <v>4.34</v>
      </c>
      <c r="G170" s="9">
        <f>IFERROR(__xludf.DUMMYFUNCTION("""COMPUTED_VALUE"""),4.34)</f>
        <v>4.34</v>
      </c>
      <c r="H170" s="9">
        <f>IFERROR(__xludf.DUMMYFUNCTION("""COMPUTED_VALUE"""),1.0)</f>
        <v>1</v>
      </c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</row>
    <row r="171" ht="15.75" customHeight="1">
      <c r="A171" s="11">
        <f>IFERROR(__xludf.DUMMYFUNCTION("""COMPUTED_VALUE"""),44471.0)</f>
        <v>44471</v>
      </c>
      <c r="B171" s="9">
        <f>IFERROR(__xludf.DUMMYFUNCTION("""COMPUTED_VALUE"""),1003314.0)</f>
        <v>1003314</v>
      </c>
      <c r="C171" s="9">
        <f>IFERROR(__xludf.DUMMYFUNCTION("""COMPUTED_VALUE"""),101301.0)</f>
        <v>101301</v>
      </c>
      <c r="D171" s="10" t="str">
        <f>IFERROR(__xludf.DUMMYFUNCTION("""COMPUTED_VALUE"""),"Natur'vox Carryboo couches Sept 21")</f>
        <v>Natur'vox Carryboo couches Sept 21</v>
      </c>
      <c r="E171" s="10"/>
      <c r="F171" s="9">
        <f>IFERROR(__xludf.DUMMYFUNCTION("""COMPUTED_VALUE"""),98.2266666666666)</f>
        <v>98.22666667</v>
      </c>
      <c r="G171" s="9">
        <f>IFERROR(__xludf.DUMMYFUNCTION("""COMPUTED_VALUE"""),73.67)</f>
        <v>73.67</v>
      </c>
      <c r="H171" s="9">
        <f>IFERROR(__xludf.DUMMYFUNCTION("""COMPUTED_VALUE"""),6.0)</f>
        <v>6</v>
      </c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</row>
    <row r="172" ht="15.75" customHeight="1">
      <c r="A172" s="11">
        <f>IFERROR(__xludf.DUMMYFUNCTION("""COMPUTED_VALUE"""),44471.0)</f>
        <v>44471</v>
      </c>
      <c r="B172" s="9">
        <f>IFERROR(__xludf.DUMMYFUNCTION("""COMPUTED_VALUE"""),1003316.0)</f>
        <v>1003316</v>
      </c>
      <c r="C172" s="9">
        <f>IFERROR(__xludf.DUMMYFUNCTION("""COMPUTED_VALUE"""),44531.0)</f>
        <v>44531</v>
      </c>
      <c r="D172" s="9"/>
      <c r="E172" s="9"/>
      <c r="F172" s="9">
        <f>IFERROR(__xludf.DUMMYFUNCTION("""COMPUTED_VALUE"""),8.49)</f>
        <v>8.49</v>
      </c>
      <c r="G172" s="9">
        <f>IFERROR(__xludf.DUMMYFUNCTION("""COMPUTED_VALUE"""),8.49)</f>
        <v>8.49</v>
      </c>
      <c r="H172" s="9">
        <f>IFERROR(__xludf.DUMMYFUNCTION("""COMPUTED_VALUE"""),1.0)</f>
        <v>1</v>
      </c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</row>
    <row r="173" ht="15.75" customHeight="1">
      <c r="A173" s="11">
        <f>IFERROR(__xludf.DUMMYFUNCTION("""COMPUTED_VALUE"""),44471.0)</f>
        <v>44471</v>
      </c>
      <c r="B173" s="9">
        <f>IFERROR(__xludf.DUMMYFUNCTION("""COMPUTED_VALUE"""),1003316.0)</f>
        <v>1003316</v>
      </c>
      <c r="C173" s="9">
        <f>IFERROR(__xludf.DUMMYFUNCTION("""COMPUTED_VALUE"""),113608.0)</f>
        <v>113608</v>
      </c>
      <c r="D173" s="10" t="str">
        <f>IFERROR(__xludf.DUMMYFUNCTION("""COMPUTED_VALUE"""),"Vive le bio")</f>
        <v>Vive le bio</v>
      </c>
      <c r="E173" s="10"/>
      <c r="F173" s="9">
        <f>IFERROR(__xludf.DUMMYFUNCTION("""COMPUTED_VALUE"""),16.4222222222222)</f>
        <v>16.42222222</v>
      </c>
      <c r="G173" s="9">
        <f>IFERROR(__xludf.DUMMYFUNCTION("""COMPUTED_VALUE"""),14.78)</f>
        <v>14.78</v>
      </c>
      <c r="H173" s="9">
        <f>IFERROR(__xludf.DUMMYFUNCTION("""COMPUTED_VALUE"""),1.0)</f>
        <v>1</v>
      </c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</row>
    <row r="174" ht="15.75" customHeight="1">
      <c r="A174" s="11">
        <f>IFERROR(__xludf.DUMMYFUNCTION("""COMPUTED_VALUE"""),44471.0)</f>
        <v>44471</v>
      </c>
      <c r="B174" s="9">
        <f>IFERROR(__xludf.DUMMYFUNCTION("""COMPUTED_VALUE"""),1003317.0)</f>
        <v>1003317</v>
      </c>
      <c r="C174" s="9">
        <f>IFERROR(__xludf.DUMMYFUNCTION("""COMPUTED_VALUE"""),24061.0)</f>
        <v>24061</v>
      </c>
      <c r="D174" s="9"/>
      <c r="E174" s="10" t="str">
        <f>IFERROR(__xludf.DUMMYFUNCTION("""COMPUTED_VALUE"""),"GREENRELAIS")</f>
        <v>GREENRELAIS</v>
      </c>
      <c r="F174" s="10">
        <f>IFERROR(__xludf.DUMMYFUNCTION("""COMPUTED_VALUE"""),15.33)</f>
        <v>15.33</v>
      </c>
      <c r="G174" s="9">
        <f>IFERROR(__xludf.DUMMYFUNCTION("""COMPUTED_VALUE"""),15.33)</f>
        <v>15.33</v>
      </c>
      <c r="H174" s="9">
        <f>IFERROR(__xludf.DUMMYFUNCTION("""COMPUTED_VALUE"""),1.0)</f>
        <v>1</v>
      </c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</row>
    <row r="175" ht="15.75" customHeight="1">
      <c r="A175" s="11">
        <f>IFERROR(__xludf.DUMMYFUNCTION("""COMPUTED_VALUE"""),44471.0)</f>
        <v>44471</v>
      </c>
      <c r="B175" s="9">
        <f>IFERROR(__xludf.DUMMYFUNCTION("""COMPUTED_VALUE"""),1003317.0)</f>
        <v>1003317</v>
      </c>
      <c r="C175" s="9">
        <f>IFERROR(__xludf.DUMMYFUNCTION("""COMPUTED_VALUE"""),46822.0)</f>
        <v>46822</v>
      </c>
      <c r="D175" s="9"/>
      <c r="E175" s="10" t="str">
        <f>IFERROR(__xludf.DUMMYFUNCTION("""COMPUTED_VALUE"""),"GREENRELAIS")</f>
        <v>GREENRELAIS</v>
      </c>
      <c r="F175" s="10">
        <f>IFERROR(__xludf.DUMMYFUNCTION("""COMPUTED_VALUE"""),4.74)</f>
        <v>4.74</v>
      </c>
      <c r="G175" s="9">
        <f>IFERROR(__xludf.DUMMYFUNCTION("""COMPUTED_VALUE"""),4.74)</f>
        <v>4.74</v>
      </c>
      <c r="H175" s="9">
        <f>IFERROR(__xludf.DUMMYFUNCTION("""COMPUTED_VALUE"""),1.0)</f>
        <v>1</v>
      </c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</row>
    <row r="176" ht="15.75" customHeight="1">
      <c r="A176" s="11">
        <f>IFERROR(__xludf.DUMMYFUNCTION("""COMPUTED_VALUE"""),44471.0)</f>
        <v>44471</v>
      </c>
      <c r="B176" s="9">
        <f>IFERROR(__xludf.DUMMYFUNCTION("""COMPUTED_VALUE"""),1003317.0)</f>
        <v>1003317</v>
      </c>
      <c r="C176" s="9">
        <f>IFERROR(__xludf.DUMMYFUNCTION("""COMPUTED_VALUE"""),158671.0)</f>
        <v>158671</v>
      </c>
      <c r="D176" s="9"/>
      <c r="E176" s="10" t="str">
        <f>IFERROR(__xludf.DUMMYFUNCTION("""COMPUTED_VALUE"""),"GREENRELAIS")</f>
        <v>GREENRELAIS</v>
      </c>
      <c r="F176" s="10">
        <f>IFERROR(__xludf.DUMMYFUNCTION("""COMPUTED_VALUE"""),34.81)</f>
        <v>34.81</v>
      </c>
      <c r="G176" s="9">
        <f>IFERROR(__xludf.DUMMYFUNCTION("""COMPUTED_VALUE"""),34.81)</f>
        <v>34.81</v>
      </c>
      <c r="H176" s="9">
        <f>IFERROR(__xludf.DUMMYFUNCTION("""COMPUTED_VALUE"""),4.0)</f>
        <v>4</v>
      </c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</row>
    <row r="177" ht="15.75" customHeight="1">
      <c r="A177" s="11">
        <f>IFERROR(__xludf.DUMMYFUNCTION("""COMPUTED_VALUE"""),44471.0)</f>
        <v>44471</v>
      </c>
      <c r="B177" s="9">
        <f>IFERROR(__xludf.DUMMYFUNCTION("""COMPUTED_VALUE"""),1003318.0)</f>
        <v>1003318</v>
      </c>
      <c r="C177" s="9">
        <f>IFERROR(__xludf.DUMMYFUNCTION("""COMPUTED_VALUE"""),121869.0)</f>
        <v>121869</v>
      </c>
      <c r="D177" s="9"/>
      <c r="E177" s="9"/>
      <c r="F177" s="9">
        <f>IFERROR(__xludf.DUMMYFUNCTION("""COMPUTED_VALUE"""),17.2)</f>
        <v>17.2</v>
      </c>
      <c r="G177" s="9">
        <f>IFERROR(__xludf.DUMMYFUNCTION("""COMPUTED_VALUE"""),17.2)</f>
        <v>17.2</v>
      </c>
      <c r="H177" s="9">
        <f>IFERROR(__xludf.DUMMYFUNCTION("""COMPUTED_VALUE"""),1.0)</f>
        <v>1</v>
      </c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</row>
    <row r="178" ht="15.75" customHeight="1">
      <c r="A178" s="11">
        <f>IFERROR(__xludf.DUMMYFUNCTION("""COMPUTED_VALUE"""),44471.0)</f>
        <v>44471</v>
      </c>
      <c r="B178" s="9">
        <f>IFERROR(__xludf.DUMMYFUNCTION("""COMPUTED_VALUE"""),1003318.0)</f>
        <v>1003318</v>
      </c>
      <c r="C178" s="9">
        <f>IFERROR(__xludf.DUMMYFUNCTION("""COMPUTED_VALUE"""),109185.0)</f>
        <v>109185</v>
      </c>
      <c r="D178" s="9"/>
      <c r="E178" s="9"/>
      <c r="F178" s="9">
        <f>IFERROR(__xludf.DUMMYFUNCTION("""COMPUTED_VALUE"""),9.67)</f>
        <v>9.67</v>
      </c>
      <c r="G178" s="9">
        <f>IFERROR(__xludf.DUMMYFUNCTION("""COMPUTED_VALUE"""),9.67)</f>
        <v>9.67</v>
      </c>
      <c r="H178" s="9">
        <f>IFERROR(__xludf.DUMMYFUNCTION("""COMPUTED_VALUE"""),1.0)</f>
        <v>1</v>
      </c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</row>
    <row r="179" ht="15.75" customHeight="1">
      <c r="A179" s="11">
        <f>IFERROR(__xludf.DUMMYFUNCTION("""COMPUTED_VALUE"""),44471.0)</f>
        <v>44471</v>
      </c>
      <c r="B179" s="9">
        <f>IFERROR(__xludf.DUMMYFUNCTION("""COMPUTED_VALUE"""),1003318.0)</f>
        <v>1003318</v>
      </c>
      <c r="C179" s="9">
        <f>IFERROR(__xludf.DUMMYFUNCTION("""COMPUTED_VALUE"""),86560.0)</f>
        <v>86560</v>
      </c>
      <c r="D179" s="10" t="str">
        <f>IFERROR(__xludf.DUMMYFUNCTION("""COMPUTED_VALUE"""),"Vive le bio")</f>
        <v>Vive le bio</v>
      </c>
      <c r="E179" s="10"/>
      <c r="F179" s="9">
        <f>IFERROR(__xludf.DUMMYFUNCTION("""COMPUTED_VALUE"""),6.06666666666666)</f>
        <v>6.066666667</v>
      </c>
      <c r="G179" s="9">
        <f>IFERROR(__xludf.DUMMYFUNCTION("""COMPUTED_VALUE"""),5.46)</f>
        <v>5.46</v>
      </c>
      <c r="H179" s="9">
        <f>IFERROR(__xludf.DUMMYFUNCTION("""COMPUTED_VALUE"""),2.0)</f>
        <v>2</v>
      </c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</row>
    <row r="180" ht="15.75" customHeight="1">
      <c r="A180" s="11">
        <f>IFERROR(__xludf.DUMMYFUNCTION("""COMPUTED_VALUE"""),44471.0)</f>
        <v>44471</v>
      </c>
      <c r="B180" s="9">
        <f>IFERROR(__xludf.DUMMYFUNCTION("""COMPUTED_VALUE"""),1003318.0)</f>
        <v>1003318</v>
      </c>
      <c r="C180" s="9">
        <f>IFERROR(__xludf.DUMMYFUNCTION("""COMPUTED_VALUE"""),129481.0)</f>
        <v>129481</v>
      </c>
      <c r="D180" s="9"/>
      <c r="E180" s="9"/>
      <c r="F180" s="9">
        <f>IFERROR(__xludf.DUMMYFUNCTION("""COMPUTED_VALUE"""),8.86)</f>
        <v>8.86</v>
      </c>
      <c r="G180" s="9">
        <f>IFERROR(__xludf.DUMMYFUNCTION("""COMPUTED_VALUE"""),8.86)</f>
        <v>8.86</v>
      </c>
      <c r="H180" s="9">
        <f>IFERROR(__xludf.DUMMYFUNCTION("""COMPUTED_VALUE"""),4.0)</f>
        <v>4</v>
      </c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</row>
    <row r="181" ht="15.75" customHeight="1">
      <c r="A181" s="11">
        <f>IFERROR(__xludf.DUMMYFUNCTION("""COMPUTED_VALUE"""),44471.0)</f>
        <v>44471</v>
      </c>
      <c r="B181" s="9">
        <f>IFERROR(__xludf.DUMMYFUNCTION("""COMPUTED_VALUE"""),1003318.0)</f>
        <v>1003318</v>
      </c>
      <c r="C181" s="9">
        <f>IFERROR(__xludf.DUMMYFUNCTION("""COMPUTED_VALUE"""),120797.0)</f>
        <v>120797</v>
      </c>
      <c r="D181" s="9"/>
      <c r="E181" s="9"/>
      <c r="F181" s="9">
        <f>IFERROR(__xludf.DUMMYFUNCTION("""COMPUTED_VALUE"""),4.96)</f>
        <v>4.96</v>
      </c>
      <c r="G181" s="9">
        <f>IFERROR(__xludf.DUMMYFUNCTION("""COMPUTED_VALUE"""),4.96)</f>
        <v>4.96</v>
      </c>
      <c r="H181" s="9">
        <f>IFERROR(__xludf.DUMMYFUNCTION("""COMPUTED_VALUE"""),6.0)</f>
        <v>6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</row>
    <row r="182" ht="15.75" customHeight="1">
      <c r="A182" s="11">
        <f>IFERROR(__xludf.DUMMYFUNCTION("""COMPUTED_VALUE"""),44471.0)</f>
        <v>44471</v>
      </c>
      <c r="B182" s="9">
        <f>IFERROR(__xludf.DUMMYFUNCTION("""COMPUTED_VALUE"""),1003319.0)</f>
        <v>1003319</v>
      </c>
      <c r="C182" s="9">
        <f>IFERROR(__xludf.DUMMYFUNCTION("""COMPUTED_VALUE"""),108257.0)</f>
        <v>108257</v>
      </c>
      <c r="D182" s="9"/>
      <c r="E182" s="9"/>
      <c r="F182" s="9">
        <f>IFERROR(__xludf.DUMMYFUNCTION("""COMPUTED_VALUE"""),19.13)</f>
        <v>19.13</v>
      </c>
      <c r="G182" s="9">
        <f>IFERROR(__xludf.DUMMYFUNCTION("""COMPUTED_VALUE"""),19.13)</f>
        <v>19.13</v>
      </c>
      <c r="H182" s="9">
        <f>IFERROR(__xludf.DUMMYFUNCTION("""COMPUTED_VALUE"""),2.0)</f>
        <v>2</v>
      </c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</row>
    <row r="183" ht="15.75" customHeight="1">
      <c r="A183" s="11">
        <f>IFERROR(__xludf.DUMMYFUNCTION("""COMPUTED_VALUE"""),44471.0)</f>
        <v>44471</v>
      </c>
      <c r="B183" s="9">
        <f>IFERROR(__xludf.DUMMYFUNCTION("""COMPUTED_VALUE"""),1003319.0)</f>
        <v>1003319</v>
      </c>
      <c r="C183" s="9">
        <f>IFERROR(__xludf.DUMMYFUNCTION("""COMPUTED_VALUE"""),113130.0)</f>
        <v>113130</v>
      </c>
      <c r="D183" s="9"/>
      <c r="E183" s="9"/>
      <c r="F183" s="9">
        <f>IFERROR(__xludf.DUMMYFUNCTION("""COMPUTED_VALUE"""),58.73)</f>
        <v>58.73</v>
      </c>
      <c r="G183" s="9">
        <f>IFERROR(__xludf.DUMMYFUNCTION("""COMPUTED_VALUE"""),58.73)</f>
        <v>58.73</v>
      </c>
      <c r="H183" s="9">
        <f>IFERROR(__xludf.DUMMYFUNCTION("""COMPUTED_VALUE"""),4.0)</f>
        <v>4</v>
      </c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</row>
    <row r="184" ht="15.75" customHeight="1">
      <c r="A184" s="11">
        <f>IFERROR(__xludf.DUMMYFUNCTION("""COMPUTED_VALUE"""),44471.0)</f>
        <v>44471</v>
      </c>
      <c r="B184" s="9">
        <f>IFERROR(__xludf.DUMMYFUNCTION("""COMPUTED_VALUE"""),1003320.0)</f>
        <v>1003320</v>
      </c>
      <c r="C184" s="9">
        <f>IFERROR(__xludf.DUMMYFUNCTION("""COMPUTED_VALUE"""),30504.0)</f>
        <v>30504</v>
      </c>
      <c r="D184" s="9"/>
      <c r="E184" s="9"/>
      <c r="F184" s="9">
        <f>IFERROR(__xludf.DUMMYFUNCTION("""COMPUTED_VALUE"""),17.7)</f>
        <v>17.7</v>
      </c>
      <c r="G184" s="9">
        <f>IFERROR(__xludf.DUMMYFUNCTION("""COMPUTED_VALUE"""),17.7)</f>
        <v>17.7</v>
      </c>
      <c r="H184" s="9">
        <f>IFERROR(__xludf.DUMMYFUNCTION("""COMPUTED_VALUE"""),1.0)</f>
        <v>1</v>
      </c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</row>
    <row r="185" ht="15.75" customHeight="1">
      <c r="A185" s="11">
        <f>IFERROR(__xludf.DUMMYFUNCTION("""COMPUTED_VALUE"""),44471.0)</f>
        <v>44471</v>
      </c>
      <c r="B185" s="9">
        <f>IFERROR(__xludf.DUMMYFUNCTION("""COMPUTED_VALUE"""),1003320.0)</f>
        <v>1003320</v>
      </c>
      <c r="C185" s="9">
        <f>IFERROR(__xludf.DUMMYFUNCTION("""COMPUTED_VALUE"""),10688.0)</f>
        <v>10688</v>
      </c>
      <c r="D185" s="9"/>
      <c r="E185" s="9"/>
      <c r="F185" s="9">
        <f>IFERROR(__xludf.DUMMYFUNCTION("""COMPUTED_VALUE"""),11.4)</f>
        <v>11.4</v>
      </c>
      <c r="G185" s="9">
        <f>IFERROR(__xludf.DUMMYFUNCTION("""COMPUTED_VALUE"""),11.4)</f>
        <v>11.4</v>
      </c>
      <c r="H185" s="9">
        <f>IFERROR(__xludf.DUMMYFUNCTION("""COMPUTED_VALUE"""),1.0)</f>
        <v>1</v>
      </c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</row>
    <row r="186" ht="15.75" customHeight="1">
      <c r="A186" s="11">
        <f>IFERROR(__xludf.DUMMYFUNCTION("""COMPUTED_VALUE"""),44471.0)</f>
        <v>44471</v>
      </c>
      <c r="B186" s="9">
        <f>IFERROR(__xludf.DUMMYFUNCTION("""COMPUTED_VALUE"""),1003320.0)</f>
        <v>1003320</v>
      </c>
      <c r="C186" s="9">
        <f>IFERROR(__xludf.DUMMYFUNCTION("""COMPUTED_VALUE"""),100436.0)</f>
        <v>100436</v>
      </c>
      <c r="D186" s="9"/>
      <c r="E186" s="9"/>
      <c r="F186" s="9">
        <f>IFERROR(__xludf.DUMMYFUNCTION("""COMPUTED_VALUE"""),8.34)</f>
        <v>8.34</v>
      </c>
      <c r="G186" s="9">
        <f>IFERROR(__xludf.DUMMYFUNCTION("""COMPUTED_VALUE"""),8.34)</f>
        <v>8.34</v>
      </c>
      <c r="H186" s="9">
        <f>IFERROR(__xludf.DUMMYFUNCTION("""COMPUTED_VALUE"""),2.0)</f>
        <v>2</v>
      </c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</row>
    <row r="187" ht="15.75" customHeight="1">
      <c r="A187" s="11">
        <f>IFERROR(__xludf.DUMMYFUNCTION("""COMPUTED_VALUE"""),44471.0)</f>
        <v>44471</v>
      </c>
      <c r="B187" s="9">
        <f>IFERROR(__xludf.DUMMYFUNCTION("""COMPUTED_VALUE"""),1003320.0)</f>
        <v>1003320</v>
      </c>
      <c r="C187" s="9">
        <f>IFERROR(__xludf.DUMMYFUNCTION("""COMPUTED_VALUE"""),29499.0)</f>
        <v>29499</v>
      </c>
      <c r="D187" s="9"/>
      <c r="E187" s="9"/>
      <c r="F187" s="9">
        <f>IFERROR(__xludf.DUMMYFUNCTION("""COMPUTED_VALUE"""),7.95)</f>
        <v>7.95</v>
      </c>
      <c r="G187" s="9">
        <f>IFERROR(__xludf.DUMMYFUNCTION("""COMPUTED_VALUE"""),7.95)</f>
        <v>7.95</v>
      </c>
      <c r="H187" s="9">
        <f>IFERROR(__xludf.DUMMYFUNCTION("""COMPUTED_VALUE"""),2.0)</f>
        <v>2</v>
      </c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</row>
    <row r="188" ht="15.75" customHeight="1">
      <c r="A188" s="11">
        <f>IFERROR(__xludf.DUMMYFUNCTION("""COMPUTED_VALUE"""),44471.0)</f>
        <v>44471</v>
      </c>
      <c r="B188" s="9">
        <f>IFERROR(__xludf.DUMMYFUNCTION("""COMPUTED_VALUE"""),1003320.0)</f>
        <v>1003320</v>
      </c>
      <c r="C188" s="9">
        <f>IFERROR(__xludf.DUMMYFUNCTION("""COMPUTED_VALUE"""),27848.0)</f>
        <v>27848</v>
      </c>
      <c r="D188" s="9"/>
      <c r="E188" s="9"/>
      <c r="F188" s="9">
        <f>IFERROR(__xludf.DUMMYFUNCTION("""COMPUTED_VALUE"""),49.9)</f>
        <v>49.9</v>
      </c>
      <c r="G188" s="9">
        <f>IFERROR(__xludf.DUMMYFUNCTION("""COMPUTED_VALUE"""),49.9)</f>
        <v>49.9</v>
      </c>
      <c r="H188" s="9">
        <f>IFERROR(__xludf.DUMMYFUNCTION("""COMPUTED_VALUE"""),6.0)</f>
        <v>6</v>
      </c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</row>
    <row r="189" ht="15.75" customHeight="1">
      <c r="A189" s="11">
        <f>IFERROR(__xludf.DUMMYFUNCTION("""COMPUTED_VALUE"""),44471.0)</f>
        <v>44471</v>
      </c>
      <c r="B189" s="9">
        <f>IFERROR(__xludf.DUMMYFUNCTION("""COMPUTED_VALUE"""),1003320.0)</f>
        <v>1003320</v>
      </c>
      <c r="C189" s="9">
        <f>IFERROR(__xludf.DUMMYFUNCTION("""COMPUTED_VALUE"""),87643.0)</f>
        <v>87643</v>
      </c>
      <c r="D189" s="9"/>
      <c r="E189" s="9"/>
      <c r="F189" s="9">
        <f>IFERROR(__xludf.DUMMYFUNCTION("""COMPUTED_VALUE"""),46.87)</f>
        <v>46.87</v>
      </c>
      <c r="G189" s="9">
        <f>IFERROR(__xludf.DUMMYFUNCTION("""COMPUTED_VALUE"""),46.87)</f>
        <v>46.87</v>
      </c>
      <c r="H189" s="9">
        <f>IFERROR(__xludf.DUMMYFUNCTION("""COMPUTED_VALUE"""),6.0)</f>
        <v>6</v>
      </c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</row>
    <row r="190" ht="15.75" customHeight="1">
      <c r="A190" s="11">
        <f>IFERROR(__xludf.DUMMYFUNCTION("""COMPUTED_VALUE"""),44471.0)</f>
        <v>44471</v>
      </c>
      <c r="B190" s="9">
        <f>IFERROR(__xludf.DUMMYFUNCTION("""COMPUTED_VALUE"""),1003321.0)</f>
        <v>1003321</v>
      </c>
      <c r="C190" s="9">
        <f>IFERROR(__xludf.DUMMYFUNCTION("""COMPUTED_VALUE"""),122213.0)</f>
        <v>122213</v>
      </c>
      <c r="D190" s="9"/>
      <c r="E190" s="10" t="str">
        <f>IFERROR(__xludf.DUMMYFUNCTION("""COMPUTED_VALUE"""),"GREENRELAIS")</f>
        <v>GREENRELAIS</v>
      </c>
      <c r="F190" s="10">
        <f>IFERROR(__xludf.DUMMYFUNCTION("""COMPUTED_VALUE"""),1.94)</f>
        <v>1.94</v>
      </c>
      <c r="G190" s="9">
        <f>IFERROR(__xludf.DUMMYFUNCTION("""COMPUTED_VALUE"""),1.94)</f>
        <v>1.94</v>
      </c>
      <c r="H190" s="9">
        <f>IFERROR(__xludf.DUMMYFUNCTION("""COMPUTED_VALUE"""),1.0)</f>
        <v>1</v>
      </c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</row>
    <row r="191" ht="15.75" customHeight="1">
      <c r="A191" s="11">
        <f>IFERROR(__xludf.DUMMYFUNCTION("""COMPUTED_VALUE"""),44471.0)</f>
        <v>44471</v>
      </c>
      <c r="B191" s="9">
        <f>IFERROR(__xludf.DUMMYFUNCTION("""COMPUTED_VALUE"""),1003321.0)</f>
        <v>1003321</v>
      </c>
      <c r="C191" s="9">
        <f>IFERROR(__xludf.DUMMYFUNCTION("""COMPUTED_VALUE"""),9671.0)</f>
        <v>9671</v>
      </c>
      <c r="D191" s="9"/>
      <c r="E191" s="10" t="str">
        <f>IFERROR(__xludf.DUMMYFUNCTION("""COMPUTED_VALUE"""),"GREENRELAIS")</f>
        <v>GREENRELAIS</v>
      </c>
      <c r="F191" s="10">
        <f>IFERROR(__xludf.DUMMYFUNCTION("""COMPUTED_VALUE"""),1.88)</f>
        <v>1.88</v>
      </c>
      <c r="G191" s="9">
        <f>IFERROR(__xludf.DUMMYFUNCTION("""COMPUTED_VALUE"""),1.88)</f>
        <v>1.88</v>
      </c>
      <c r="H191" s="9">
        <f>IFERROR(__xludf.DUMMYFUNCTION("""COMPUTED_VALUE"""),1.0)</f>
        <v>1</v>
      </c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</row>
    <row r="192" ht="15.75" customHeight="1">
      <c r="A192" s="11">
        <f>IFERROR(__xludf.DUMMYFUNCTION("""COMPUTED_VALUE"""),44471.0)</f>
        <v>44471</v>
      </c>
      <c r="B192" s="9">
        <f>IFERROR(__xludf.DUMMYFUNCTION("""COMPUTED_VALUE"""),1003321.0)</f>
        <v>1003321</v>
      </c>
      <c r="C192" s="9">
        <f>IFERROR(__xludf.DUMMYFUNCTION("""COMPUTED_VALUE"""),9648.0)</f>
        <v>9648</v>
      </c>
      <c r="D192" s="9"/>
      <c r="E192" s="10" t="str">
        <f>IFERROR(__xludf.DUMMYFUNCTION("""COMPUTED_VALUE"""),"GREENRELAIS")</f>
        <v>GREENRELAIS</v>
      </c>
      <c r="F192" s="10">
        <f>IFERROR(__xludf.DUMMYFUNCTION("""COMPUTED_VALUE"""),2.39)</f>
        <v>2.39</v>
      </c>
      <c r="G192" s="9">
        <f>IFERROR(__xludf.DUMMYFUNCTION("""COMPUTED_VALUE"""),2.39)</f>
        <v>2.39</v>
      </c>
      <c r="H192" s="9">
        <f>IFERROR(__xludf.DUMMYFUNCTION("""COMPUTED_VALUE"""),1.0)</f>
        <v>1</v>
      </c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</row>
    <row r="193" ht="15.75" customHeight="1">
      <c r="A193" s="11">
        <f>IFERROR(__xludf.DUMMYFUNCTION("""COMPUTED_VALUE"""),44471.0)</f>
        <v>44471</v>
      </c>
      <c r="B193" s="9">
        <f>IFERROR(__xludf.DUMMYFUNCTION("""COMPUTED_VALUE"""),1003321.0)</f>
        <v>1003321</v>
      </c>
      <c r="C193" s="9">
        <f>IFERROR(__xludf.DUMMYFUNCTION("""COMPUTED_VALUE"""),6875.0)</f>
        <v>6875</v>
      </c>
      <c r="D193" s="9"/>
      <c r="E193" s="10" t="str">
        <f>IFERROR(__xludf.DUMMYFUNCTION("""COMPUTED_VALUE"""),"GREENRELAIS")</f>
        <v>GREENRELAIS</v>
      </c>
      <c r="F193" s="10">
        <f>IFERROR(__xludf.DUMMYFUNCTION("""COMPUTED_VALUE"""),2.64)</f>
        <v>2.64</v>
      </c>
      <c r="G193" s="9">
        <f>IFERROR(__xludf.DUMMYFUNCTION("""COMPUTED_VALUE"""),2.64)</f>
        <v>2.64</v>
      </c>
      <c r="H193" s="9">
        <f>IFERROR(__xludf.DUMMYFUNCTION("""COMPUTED_VALUE"""),1.0)</f>
        <v>1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</row>
    <row r="194" ht="15.75" customHeight="1">
      <c r="A194" s="11">
        <f>IFERROR(__xludf.DUMMYFUNCTION("""COMPUTED_VALUE"""),44471.0)</f>
        <v>44471</v>
      </c>
      <c r="B194" s="9">
        <f>IFERROR(__xludf.DUMMYFUNCTION("""COMPUTED_VALUE"""),1003321.0)</f>
        <v>1003321</v>
      </c>
      <c r="C194" s="9">
        <f>IFERROR(__xludf.DUMMYFUNCTION("""COMPUTED_VALUE"""),2046.0)</f>
        <v>2046</v>
      </c>
      <c r="D194" s="9"/>
      <c r="E194" s="10" t="str">
        <f>IFERROR(__xludf.DUMMYFUNCTION("""COMPUTED_VALUE"""),"GREENRELAIS")</f>
        <v>GREENRELAIS</v>
      </c>
      <c r="F194" s="10">
        <f>IFERROR(__xludf.DUMMYFUNCTION("""COMPUTED_VALUE"""),5.29)</f>
        <v>5.29</v>
      </c>
      <c r="G194" s="9">
        <f>IFERROR(__xludf.DUMMYFUNCTION("""COMPUTED_VALUE"""),5.29)</f>
        <v>5.29</v>
      </c>
      <c r="H194" s="9">
        <f>IFERROR(__xludf.DUMMYFUNCTION("""COMPUTED_VALUE"""),1.0)</f>
        <v>1</v>
      </c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</row>
    <row r="195" ht="15.75" customHeight="1">
      <c r="A195" s="11">
        <f>IFERROR(__xludf.DUMMYFUNCTION("""COMPUTED_VALUE"""),44471.0)</f>
        <v>44471</v>
      </c>
      <c r="B195" s="9">
        <f>IFERROR(__xludf.DUMMYFUNCTION("""COMPUTED_VALUE"""),1003321.0)</f>
        <v>1003321</v>
      </c>
      <c r="C195" s="9">
        <f>IFERROR(__xludf.DUMMYFUNCTION("""COMPUTED_VALUE"""),127016.0)</f>
        <v>127016</v>
      </c>
      <c r="D195" s="10" t="str">
        <f>IFERROR(__xludf.DUMMYFUNCTION("""COMPUTED_VALUE"""),"Carryboo coton 2021")</f>
        <v>Carryboo coton 2021</v>
      </c>
      <c r="E195" s="10" t="str">
        <f>IFERROR(__xludf.DUMMYFUNCTION("""COMPUTED_VALUE"""),"GREENRELAIS")</f>
        <v>GREENRELAIS</v>
      </c>
      <c r="F195" s="10">
        <f>IFERROR(__xludf.DUMMYFUNCTION("""COMPUTED_VALUE"""),4.29333333333333)</f>
        <v>4.293333333</v>
      </c>
      <c r="G195" s="9">
        <f>IFERROR(__xludf.DUMMYFUNCTION("""COMPUTED_VALUE"""),3.22)</f>
        <v>3.22</v>
      </c>
      <c r="H195" s="9">
        <f>IFERROR(__xludf.DUMMYFUNCTION("""COMPUTED_VALUE"""),1.0)</f>
        <v>1</v>
      </c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</row>
    <row r="196" ht="15.75" customHeight="1">
      <c r="A196" s="11">
        <f>IFERROR(__xludf.DUMMYFUNCTION("""COMPUTED_VALUE"""),44471.0)</f>
        <v>44471</v>
      </c>
      <c r="B196" s="9">
        <f>IFERROR(__xludf.DUMMYFUNCTION("""COMPUTED_VALUE"""),1003321.0)</f>
        <v>1003321</v>
      </c>
      <c r="C196" s="9">
        <f>IFERROR(__xludf.DUMMYFUNCTION("""COMPUTED_VALUE"""),111148.0)</f>
        <v>111148</v>
      </c>
      <c r="D196" s="9"/>
      <c r="E196" s="10" t="str">
        <f>IFERROR(__xludf.DUMMYFUNCTION("""COMPUTED_VALUE"""),"GREENRELAIS")</f>
        <v>GREENRELAIS</v>
      </c>
      <c r="F196" s="10">
        <f>IFERROR(__xludf.DUMMYFUNCTION("""COMPUTED_VALUE"""),2.4)</f>
        <v>2.4</v>
      </c>
      <c r="G196" s="9">
        <f>IFERROR(__xludf.DUMMYFUNCTION("""COMPUTED_VALUE"""),2.4)</f>
        <v>2.4</v>
      </c>
      <c r="H196" s="9">
        <f>IFERROR(__xludf.DUMMYFUNCTION("""COMPUTED_VALUE"""),1.0)</f>
        <v>1</v>
      </c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</row>
    <row r="197" ht="15.75" customHeight="1">
      <c r="A197" s="11">
        <f>IFERROR(__xludf.DUMMYFUNCTION("""COMPUTED_VALUE"""),44471.0)</f>
        <v>44471</v>
      </c>
      <c r="B197" s="9">
        <f>IFERROR(__xludf.DUMMYFUNCTION("""COMPUTED_VALUE"""),1003321.0)</f>
        <v>1003321</v>
      </c>
      <c r="C197" s="9">
        <f>IFERROR(__xludf.DUMMYFUNCTION("""COMPUTED_VALUE"""),113871.0)</f>
        <v>113871</v>
      </c>
      <c r="D197" s="9"/>
      <c r="E197" s="10" t="str">
        <f>IFERROR(__xludf.DUMMYFUNCTION("""COMPUTED_VALUE"""),"GREENRELAIS")</f>
        <v>GREENRELAIS</v>
      </c>
      <c r="F197" s="10">
        <f>IFERROR(__xludf.DUMMYFUNCTION("""COMPUTED_VALUE"""),5.11)</f>
        <v>5.11</v>
      </c>
      <c r="G197" s="9">
        <f>IFERROR(__xludf.DUMMYFUNCTION("""COMPUTED_VALUE"""),5.11)</f>
        <v>5.11</v>
      </c>
      <c r="H197" s="9">
        <f>IFERROR(__xludf.DUMMYFUNCTION("""COMPUTED_VALUE"""),1.0)</f>
        <v>1</v>
      </c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</row>
    <row r="198" ht="15.75" customHeight="1">
      <c r="A198" s="11">
        <f>IFERROR(__xludf.DUMMYFUNCTION("""COMPUTED_VALUE"""),44471.0)</f>
        <v>44471</v>
      </c>
      <c r="B198" s="9">
        <f>IFERROR(__xludf.DUMMYFUNCTION("""COMPUTED_VALUE"""),1003321.0)</f>
        <v>1003321</v>
      </c>
      <c r="C198" s="9">
        <f>IFERROR(__xludf.DUMMYFUNCTION("""COMPUTED_VALUE"""),6877.0)</f>
        <v>6877</v>
      </c>
      <c r="D198" s="9"/>
      <c r="E198" s="10" t="str">
        <f>IFERROR(__xludf.DUMMYFUNCTION("""COMPUTED_VALUE"""),"GREENRELAIS")</f>
        <v>GREENRELAIS</v>
      </c>
      <c r="F198" s="10">
        <f>IFERROR(__xludf.DUMMYFUNCTION("""COMPUTED_VALUE"""),2.57)</f>
        <v>2.57</v>
      </c>
      <c r="G198" s="9">
        <f>IFERROR(__xludf.DUMMYFUNCTION("""COMPUTED_VALUE"""),2.57)</f>
        <v>2.57</v>
      </c>
      <c r="H198" s="9">
        <f>IFERROR(__xludf.DUMMYFUNCTION("""COMPUTED_VALUE"""),1.0)</f>
        <v>1</v>
      </c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</row>
    <row r="199" ht="15.75" customHeight="1">
      <c r="A199" s="11">
        <f>IFERROR(__xludf.DUMMYFUNCTION("""COMPUTED_VALUE"""),44471.0)</f>
        <v>44471</v>
      </c>
      <c r="B199" s="9">
        <f>IFERROR(__xludf.DUMMYFUNCTION("""COMPUTED_VALUE"""),1003321.0)</f>
        <v>1003321</v>
      </c>
      <c r="C199" s="9">
        <f>IFERROR(__xludf.DUMMYFUNCTION("""COMPUTED_VALUE"""),110931.0)</f>
        <v>110931</v>
      </c>
      <c r="D199" s="9"/>
      <c r="E199" s="10" t="str">
        <f>IFERROR(__xludf.DUMMYFUNCTION("""COMPUTED_VALUE"""),"GREENRELAIS")</f>
        <v>GREENRELAIS</v>
      </c>
      <c r="F199" s="10">
        <f>IFERROR(__xludf.DUMMYFUNCTION("""COMPUTED_VALUE"""),3.32)</f>
        <v>3.32</v>
      </c>
      <c r="G199" s="9">
        <f>IFERROR(__xludf.DUMMYFUNCTION("""COMPUTED_VALUE"""),3.32)</f>
        <v>3.32</v>
      </c>
      <c r="H199" s="9">
        <f>IFERROR(__xludf.DUMMYFUNCTION("""COMPUTED_VALUE"""),1.0)</f>
        <v>1</v>
      </c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</row>
    <row r="200" ht="15.75" customHeight="1">
      <c r="A200" s="11">
        <f>IFERROR(__xludf.DUMMYFUNCTION("""COMPUTED_VALUE"""),44471.0)</f>
        <v>44471</v>
      </c>
      <c r="B200" s="9">
        <f>IFERROR(__xludf.DUMMYFUNCTION("""COMPUTED_VALUE"""),1003321.0)</f>
        <v>1003321</v>
      </c>
      <c r="C200" s="9">
        <f>IFERROR(__xludf.DUMMYFUNCTION("""COMPUTED_VALUE"""),101917.0)</f>
        <v>101917</v>
      </c>
      <c r="D200" s="9"/>
      <c r="E200" s="10" t="str">
        <f>IFERROR(__xludf.DUMMYFUNCTION("""COMPUTED_VALUE"""),"GREENRELAIS")</f>
        <v>GREENRELAIS</v>
      </c>
      <c r="F200" s="10">
        <f>IFERROR(__xludf.DUMMYFUNCTION("""COMPUTED_VALUE"""),2.08)</f>
        <v>2.08</v>
      </c>
      <c r="G200" s="9">
        <f>IFERROR(__xludf.DUMMYFUNCTION("""COMPUTED_VALUE"""),2.08)</f>
        <v>2.08</v>
      </c>
      <c r="H200" s="9">
        <f>IFERROR(__xludf.DUMMYFUNCTION("""COMPUTED_VALUE"""),1.0)</f>
        <v>1</v>
      </c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</row>
    <row r="201" ht="15.75" customHeight="1">
      <c r="A201" s="11">
        <f>IFERROR(__xludf.DUMMYFUNCTION("""COMPUTED_VALUE"""),44471.0)</f>
        <v>44471</v>
      </c>
      <c r="B201" s="9">
        <f>IFERROR(__xludf.DUMMYFUNCTION("""COMPUTED_VALUE"""),1003321.0)</f>
        <v>1003321</v>
      </c>
      <c r="C201" s="9">
        <f>IFERROR(__xludf.DUMMYFUNCTION("""COMPUTED_VALUE"""),9664.0)</f>
        <v>9664</v>
      </c>
      <c r="D201" s="9"/>
      <c r="E201" s="10" t="str">
        <f>IFERROR(__xludf.DUMMYFUNCTION("""COMPUTED_VALUE"""),"GREENRELAIS")</f>
        <v>GREENRELAIS</v>
      </c>
      <c r="F201" s="10">
        <f>IFERROR(__xludf.DUMMYFUNCTION("""COMPUTED_VALUE"""),1.73)</f>
        <v>1.73</v>
      </c>
      <c r="G201" s="9">
        <f>IFERROR(__xludf.DUMMYFUNCTION("""COMPUTED_VALUE"""),1.73)</f>
        <v>1.73</v>
      </c>
      <c r="H201" s="9">
        <f>IFERROR(__xludf.DUMMYFUNCTION("""COMPUTED_VALUE"""),1.0)</f>
        <v>1</v>
      </c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</row>
    <row r="202" ht="15.75" customHeight="1">
      <c r="A202" s="11">
        <f>IFERROR(__xludf.DUMMYFUNCTION("""COMPUTED_VALUE"""),44471.0)</f>
        <v>44471</v>
      </c>
      <c r="B202" s="9">
        <f>IFERROR(__xludf.DUMMYFUNCTION("""COMPUTED_VALUE"""),1003321.0)</f>
        <v>1003321</v>
      </c>
      <c r="C202" s="9">
        <f>IFERROR(__xludf.DUMMYFUNCTION("""COMPUTED_VALUE"""),9681.0)</f>
        <v>9681</v>
      </c>
      <c r="D202" s="9"/>
      <c r="E202" s="10" t="str">
        <f>IFERROR(__xludf.DUMMYFUNCTION("""COMPUTED_VALUE"""),"GREENRELAIS")</f>
        <v>GREENRELAIS</v>
      </c>
      <c r="F202" s="10">
        <f>IFERROR(__xludf.DUMMYFUNCTION("""COMPUTED_VALUE"""),1.73)</f>
        <v>1.73</v>
      </c>
      <c r="G202" s="9">
        <f>IFERROR(__xludf.DUMMYFUNCTION("""COMPUTED_VALUE"""),1.73)</f>
        <v>1.73</v>
      </c>
      <c r="H202" s="9">
        <f>IFERROR(__xludf.DUMMYFUNCTION("""COMPUTED_VALUE"""),1.0)</f>
        <v>1</v>
      </c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</row>
    <row r="203" ht="15.75" customHeight="1">
      <c r="A203" s="11">
        <f>IFERROR(__xludf.DUMMYFUNCTION("""COMPUTED_VALUE"""),44471.0)</f>
        <v>44471</v>
      </c>
      <c r="B203" s="9">
        <f>IFERROR(__xludf.DUMMYFUNCTION("""COMPUTED_VALUE"""),1003321.0)</f>
        <v>1003321</v>
      </c>
      <c r="C203" s="9">
        <f>IFERROR(__xludf.DUMMYFUNCTION("""COMPUTED_VALUE"""),44828.0)</f>
        <v>44828</v>
      </c>
      <c r="D203" s="9"/>
      <c r="E203" s="10" t="str">
        <f>IFERROR(__xludf.DUMMYFUNCTION("""COMPUTED_VALUE"""),"GREENRELAIS")</f>
        <v>GREENRELAIS</v>
      </c>
      <c r="F203" s="10">
        <f>IFERROR(__xludf.DUMMYFUNCTION("""COMPUTED_VALUE"""),1.67)</f>
        <v>1.67</v>
      </c>
      <c r="G203" s="9">
        <f>IFERROR(__xludf.DUMMYFUNCTION("""COMPUTED_VALUE"""),1.67)</f>
        <v>1.67</v>
      </c>
      <c r="H203" s="9">
        <f>IFERROR(__xludf.DUMMYFUNCTION("""COMPUTED_VALUE"""),1.0)</f>
        <v>1</v>
      </c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</row>
    <row r="204" ht="15.75" customHeight="1">
      <c r="A204" s="11">
        <f>IFERROR(__xludf.DUMMYFUNCTION("""COMPUTED_VALUE"""),44471.0)</f>
        <v>44471</v>
      </c>
      <c r="B204" s="9">
        <f>IFERROR(__xludf.DUMMYFUNCTION("""COMPUTED_VALUE"""),1003321.0)</f>
        <v>1003321</v>
      </c>
      <c r="C204" s="9">
        <f>IFERROR(__xludf.DUMMYFUNCTION("""COMPUTED_VALUE"""),112100.0)</f>
        <v>112100</v>
      </c>
      <c r="D204" s="9"/>
      <c r="E204" s="10" t="str">
        <f>IFERROR(__xludf.DUMMYFUNCTION("""COMPUTED_VALUE"""),"GREENRELAIS")</f>
        <v>GREENRELAIS</v>
      </c>
      <c r="F204" s="10">
        <f>IFERROR(__xludf.DUMMYFUNCTION("""COMPUTED_VALUE"""),3.72)</f>
        <v>3.72</v>
      </c>
      <c r="G204" s="9">
        <f>IFERROR(__xludf.DUMMYFUNCTION("""COMPUTED_VALUE"""),3.72)</f>
        <v>3.72</v>
      </c>
      <c r="H204" s="9">
        <f>IFERROR(__xludf.DUMMYFUNCTION("""COMPUTED_VALUE"""),1.0)</f>
        <v>1</v>
      </c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</row>
    <row r="205" ht="15.75" customHeight="1">
      <c r="A205" s="11">
        <f>IFERROR(__xludf.DUMMYFUNCTION("""COMPUTED_VALUE"""),44471.0)</f>
        <v>44471</v>
      </c>
      <c r="B205" s="9">
        <f>IFERROR(__xludf.DUMMYFUNCTION("""COMPUTED_VALUE"""),1003321.0)</f>
        <v>1003321</v>
      </c>
      <c r="C205" s="9">
        <f>IFERROR(__xludf.DUMMYFUNCTION("""COMPUTED_VALUE"""),44827.0)</f>
        <v>44827</v>
      </c>
      <c r="D205" s="9"/>
      <c r="E205" s="10" t="str">
        <f>IFERROR(__xludf.DUMMYFUNCTION("""COMPUTED_VALUE"""),"GREENRELAIS")</f>
        <v>GREENRELAIS</v>
      </c>
      <c r="F205" s="10">
        <f>IFERROR(__xludf.DUMMYFUNCTION("""COMPUTED_VALUE"""),2.1)</f>
        <v>2.1</v>
      </c>
      <c r="G205" s="9">
        <f>IFERROR(__xludf.DUMMYFUNCTION("""COMPUTED_VALUE"""),2.1)</f>
        <v>2.1</v>
      </c>
      <c r="H205" s="9">
        <f>IFERROR(__xludf.DUMMYFUNCTION("""COMPUTED_VALUE"""),1.0)</f>
        <v>1</v>
      </c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</row>
    <row r="206" ht="15.75" customHeight="1">
      <c r="A206" s="11">
        <f>IFERROR(__xludf.DUMMYFUNCTION("""COMPUTED_VALUE"""),44471.0)</f>
        <v>44471</v>
      </c>
      <c r="B206" s="9">
        <f>IFERROR(__xludf.DUMMYFUNCTION("""COMPUTED_VALUE"""),1003321.0)</f>
        <v>1003321</v>
      </c>
      <c r="C206" s="9">
        <f>IFERROR(__xludf.DUMMYFUNCTION("""COMPUTED_VALUE"""),70413.0)</f>
        <v>70413</v>
      </c>
      <c r="D206" s="9"/>
      <c r="E206" s="10" t="str">
        <f>IFERROR(__xludf.DUMMYFUNCTION("""COMPUTED_VALUE"""),"GREENRELAIS")</f>
        <v>GREENRELAIS</v>
      </c>
      <c r="F206" s="10">
        <f>IFERROR(__xludf.DUMMYFUNCTION("""COMPUTED_VALUE"""),1.74)</f>
        <v>1.74</v>
      </c>
      <c r="G206" s="9">
        <f>IFERROR(__xludf.DUMMYFUNCTION("""COMPUTED_VALUE"""),1.74)</f>
        <v>1.74</v>
      </c>
      <c r="H206" s="9">
        <f>IFERROR(__xludf.DUMMYFUNCTION("""COMPUTED_VALUE"""),1.0)</f>
        <v>1</v>
      </c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</row>
    <row r="207" ht="15.75" customHeight="1">
      <c r="A207" s="11">
        <f>IFERROR(__xludf.DUMMYFUNCTION("""COMPUTED_VALUE"""),44471.0)</f>
        <v>44471</v>
      </c>
      <c r="B207" s="9">
        <f>IFERROR(__xludf.DUMMYFUNCTION("""COMPUTED_VALUE"""),1003321.0)</f>
        <v>1003321</v>
      </c>
      <c r="C207" s="9">
        <f>IFERROR(__xludf.DUMMYFUNCTION("""COMPUTED_VALUE"""),9675.0)</f>
        <v>9675</v>
      </c>
      <c r="D207" s="9"/>
      <c r="E207" s="10" t="str">
        <f>IFERROR(__xludf.DUMMYFUNCTION("""COMPUTED_VALUE"""),"GREENRELAIS")</f>
        <v>GREENRELAIS</v>
      </c>
      <c r="F207" s="10">
        <f>IFERROR(__xludf.DUMMYFUNCTION("""COMPUTED_VALUE"""),1.74)</f>
        <v>1.74</v>
      </c>
      <c r="G207" s="9">
        <f>IFERROR(__xludf.DUMMYFUNCTION("""COMPUTED_VALUE"""),1.74)</f>
        <v>1.74</v>
      </c>
      <c r="H207" s="9">
        <f>IFERROR(__xludf.DUMMYFUNCTION("""COMPUTED_VALUE"""),1.0)</f>
        <v>1</v>
      </c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</row>
    <row r="208" ht="15.75" customHeight="1">
      <c r="A208" s="11">
        <f>IFERROR(__xludf.DUMMYFUNCTION("""COMPUTED_VALUE"""),44471.0)</f>
        <v>44471</v>
      </c>
      <c r="B208" s="9">
        <f>IFERROR(__xludf.DUMMYFUNCTION("""COMPUTED_VALUE"""),1003321.0)</f>
        <v>1003321</v>
      </c>
      <c r="C208" s="9">
        <f>IFERROR(__xludf.DUMMYFUNCTION("""COMPUTED_VALUE"""),122220.0)</f>
        <v>122220</v>
      </c>
      <c r="D208" s="9"/>
      <c r="E208" s="10" t="str">
        <f>IFERROR(__xludf.DUMMYFUNCTION("""COMPUTED_VALUE"""),"GREENRELAIS")</f>
        <v>GREENRELAIS</v>
      </c>
      <c r="F208" s="10">
        <f>IFERROR(__xludf.DUMMYFUNCTION("""COMPUTED_VALUE"""),3.36)</f>
        <v>3.36</v>
      </c>
      <c r="G208" s="9">
        <f>IFERROR(__xludf.DUMMYFUNCTION("""COMPUTED_VALUE"""),3.36)</f>
        <v>3.36</v>
      </c>
      <c r="H208" s="9">
        <f>IFERROR(__xludf.DUMMYFUNCTION("""COMPUTED_VALUE"""),1.0)</f>
        <v>1</v>
      </c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</row>
    <row r="209" ht="15.75" customHeight="1">
      <c r="A209" s="11">
        <f>IFERROR(__xludf.DUMMYFUNCTION("""COMPUTED_VALUE"""),44471.0)</f>
        <v>44471</v>
      </c>
      <c r="B209" s="9">
        <f>IFERROR(__xludf.DUMMYFUNCTION("""COMPUTED_VALUE"""),1003321.0)</f>
        <v>1003321</v>
      </c>
      <c r="C209" s="9">
        <f>IFERROR(__xludf.DUMMYFUNCTION("""COMPUTED_VALUE"""),122221.0)</f>
        <v>122221</v>
      </c>
      <c r="D209" s="9"/>
      <c r="E209" s="10" t="str">
        <f>IFERROR(__xludf.DUMMYFUNCTION("""COMPUTED_VALUE"""),"GREENRELAIS")</f>
        <v>GREENRELAIS</v>
      </c>
      <c r="F209" s="10">
        <f>IFERROR(__xludf.DUMMYFUNCTION("""COMPUTED_VALUE"""),3.36)</f>
        <v>3.36</v>
      </c>
      <c r="G209" s="9">
        <f>IFERROR(__xludf.DUMMYFUNCTION("""COMPUTED_VALUE"""),3.36)</f>
        <v>3.36</v>
      </c>
      <c r="H209" s="9">
        <f>IFERROR(__xludf.DUMMYFUNCTION("""COMPUTED_VALUE"""),1.0)</f>
        <v>1</v>
      </c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</row>
    <row r="210" ht="15.75" customHeight="1">
      <c r="A210" s="11">
        <f>IFERROR(__xludf.DUMMYFUNCTION("""COMPUTED_VALUE"""),44471.0)</f>
        <v>44471</v>
      </c>
      <c r="B210" s="9">
        <f>IFERROR(__xludf.DUMMYFUNCTION("""COMPUTED_VALUE"""),1003321.0)</f>
        <v>1003321</v>
      </c>
      <c r="C210" s="9">
        <f>IFERROR(__xludf.DUMMYFUNCTION("""COMPUTED_VALUE"""),122219.0)</f>
        <v>122219</v>
      </c>
      <c r="D210" s="9"/>
      <c r="E210" s="10" t="str">
        <f>IFERROR(__xludf.DUMMYFUNCTION("""COMPUTED_VALUE"""),"GREENRELAIS")</f>
        <v>GREENRELAIS</v>
      </c>
      <c r="F210" s="10">
        <f>IFERROR(__xludf.DUMMYFUNCTION("""COMPUTED_VALUE"""),3.36)</f>
        <v>3.36</v>
      </c>
      <c r="G210" s="9">
        <f>IFERROR(__xludf.DUMMYFUNCTION("""COMPUTED_VALUE"""),3.36)</f>
        <v>3.36</v>
      </c>
      <c r="H210" s="9">
        <f>IFERROR(__xludf.DUMMYFUNCTION("""COMPUTED_VALUE"""),1.0)</f>
        <v>1</v>
      </c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</row>
    <row r="211" ht="15.75" customHeight="1">
      <c r="A211" s="11">
        <f>IFERROR(__xludf.DUMMYFUNCTION("""COMPUTED_VALUE"""),44471.0)</f>
        <v>44471</v>
      </c>
      <c r="B211" s="9">
        <f>IFERROR(__xludf.DUMMYFUNCTION("""COMPUTED_VALUE"""),1003321.0)</f>
        <v>1003321</v>
      </c>
      <c r="C211" s="9">
        <f>IFERROR(__xludf.DUMMYFUNCTION("""COMPUTED_VALUE"""),122214.0)</f>
        <v>122214</v>
      </c>
      <c r="D211" s="9"/>
      <c r="E211" s="10" t="str">
        <f>IFERROR(__xludf.DUMMYFUNCTION("""COMPUTED_VALUE"""),"GREENRELAIS")</f>
        <v>GREENRELAIS</v>
      </c>
      <c r="F211" s="10">
        <f>IFERROR(__xludf.DUMMYFUNCTION("""COMPUTED_VALUE"""),3.36)</f>
        <v>3.36</v>
      </c>
      <c r="G211" s="9">
        <f>IFERROR(__xludf.DUMMYFUNCTION("""COMPUTED_VALUE"""),3.36)</f>
        <v>3.36</v>
      </c>
      <c r="H211" s="9">
        <f>IFERROR(__xludf.DUMMYFUNCTION("""COMPUTED_VALUE"""),1.0)</f>
        <v>1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</row>
    <row r="212" ht="15.75" customHeight="1">
      <c r="A212" s="11">
        <f>IFERROR(__xludf.DUMMYFUNCTION("""COMPUTED_VALUE"""),44471.0)</f>
        <v>44471</v>
      </c>
      <c r="B212" s="9">
        <f>IFERROR(__xludf.DUMMYFUNCTION("""COMPUTED_VALUE"""),1003321.0)</f>
        <v>1003321</v>
      </c>
      <c r="C212" s="9">
        <f>IFERROR(__xludf.DUMMYFUNCTION("""COMPUTED_VALUE"""),4905.0)</f>
        <v>4905</v>
      </c>
      <c r="D212" s="9"/>
      <c r="E212" s="10" t="str">
        <f>IFERROR(__xludf.DUMMYFUNCTION("""COMPUTED_VALUE"""),"GREENRELAIS")</f>
        <v>GREENRELAIS</v>
      </c>
      <c r="F212" s="10">
        <f>IFERROR(__xludf.DUMMYFUNCTION("""COMPUTED_VALUE"""),1.68)</f>
        <v>1.68</v>
      </c>
      <c r="G212" s="9">
        <f>IFERROR(__xludf.DUMMYFUNCTION("""COMPUTED_VALUE"""),1.68)</f>
        <v>1.68</v>
      </c>
      <c r="H212" s="9">
        <f>IFERROR(__xludf.DUMMYFUNCTION("""COMPUTED_VALUE"""),1.0)</f>
        <v>1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</row>
    <row r="213" ht="15.75" customHeight="1">
      <c r="A213" s="11">
        <f>IFERROR(__xludf.DUMMYFUNCTION("""COMPUTED_VALUE"""),44471.0)</f>
        <v>44471</v>
      </c>
      <c r="B213" s="9">
        <f>IFERROR(__xludf.DUMMYFUNCTION("""COMPUTED_VALUE"""),1003321.0)</f>
        <v>1003321</v>
      </c>
      <c r="C213" s="9">
        <f>IFERROR(__xludf.DUMMYFUNCTION("""COMPUTED_VALUE"""),9662.0)</f>
        <v>9662</v>
      </c>
      <c r="D213" s="9"/>
      <c r="E213" s="10" t="str">
        <f>IFERROR(__xludf.DUMMYFUNCTION("""COMPUTED_VALUE"""),"GREENRELAIS")</f>
        <v>GREENRELAIS</v>
      </c>
      <c r="F213" s="10">
        <f>IFERROR(__xludf.DUMMYFUNCTION("""COMPUTED_VALUE"""),1.68)</f>
        <v>1.68</v>
      </c>
      <c r="G213" s="9">
        <f>IFERROR(__xludf.DUMMYFUNCTION("""COMPUTED_VALUE"""),1.68)</f>
        <v>1.68</v>
      </c>
      <c r="H213" s="9">
        <f>IFERROR(__xludf.DUMMYFUNCTION("""COMPUTED_VALUE"""),1.0)</f>
        <v>1</v>
      </c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</row>
    <row r="214" ht="15.75" customHeight="1">
      <c r="A214" s="11">
        <f>IFERROR(__xludf.DUMMYFUNCTION("""COMPUTED_VALUE"""),44471.0)</f>
        <v>44471</v>
      </c>
      <c r="B214" s="9">
        <f>IFERROR(__xludf.DUMMYFUNCTION("""COMPUTED_VALUE"""),1003321.0)</f>
        <v>1003321</v>
      </c>
      <c r="C214" s="9">
        <f>IFERROR(__xludf.DUMMYFUNCTION("""COMPUTED_VALUE"""),83625.0)</f>
        <v>83625</v>
      </c>
      <c r="D214" s="9"/>
      <c r="E214" s="10" t="str">
        <f>IFERROR(__xludf.DUMMYFUNCTION("""COMPUTED_VALUE"""),"GREENRELAIS")</f>
        <v>GREENRELAIS</v>
      </c>
      <c r="F214" s="10">
        <f>IFERROR(__xludf.DUMMYFUNCTION("""COMPUTED_VALUE"""),3.24)</f>
        <v>3.24</v>
      </c>
      <c r="G214" s="9">
        <f>IFERROR(__xludf.DUMMYFUNCTION("""COMPUTED_VALUE"""),3.24)</f>
        <v>3.24</v>
      </c>
      <c r="H214" s="9">
        <f>IFERROR(__xludf.DUMMYFUNCTION("""COMPUTED_VALUE"""),1.0)</f>
        <v>1</v>
      </c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</row>
    <row r="215" ht="15.75" customHeight="1">
      <c r="A215" s="11">
        <f>IFERROR(__xludf.DUMMYFUNCTION("""COMPUTED_VALUE"""),44471.0)</f>
        <v>44471</v>
      </c>
      <c r="B215" s="9">
        <f>IFERROR(__xludf.DUMMYFUNCTION("""COMPUTED_VALUE"""),1003321.0)</f>
        <v>1003321</v>
      </c>
      <c r="C215" s="9">
        <f>IFERROR(__xludf.DUMMYFUNCTION("""COMPUTED_VALUE"""),110414.0)</f>
        <v>110414</v>
      </c>
      <c r="D215" s="9"/>
      <c r="E215" s="10" t="str">
        <f>IFERROR(__xludf.DUMMYFUNCTION("""COMPUTED_VALUE"""),"GREENRELAIS")</f>
        <v>GREENRELAIS</v>
      </c>
      <c r="F215" s="10">
        <f>IFERROR(__xludf.DUMMYFUNCTION("""COMPUTED_VALUE"""),4.73)</f>
        <v>4.73</v>
      </c>
      <c r="G215" s="9">
        <f>IFERROR(__xludf.DUMMYFUNCTION("""COMPUTED_VALUE"""),4.73)</f>
        <v>4.73</v>
      </c>
      <c r="H215" s="9">
        <f>IFERROR(__xludf.DUMMYFUNCTION("""COMPUTED_VALUE"""),1.0)</f>
        <v>1</v>
      </c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</row>
    <row r="216" ht="15.75" customHeight="1">
      <c r="A216" s="11">
        <f>IFERROR(__xludf.DUMMYFUNCTION("""COMPUTED_VALUE"""),44471.0)</f>
        <v>44471</v>
      </c>
      <c r="B216" s="9">
        <f>IFERROR(__xludf.DUMMYFUNCTION("""COMPUTED_VALUE"""),1003321.0)</f>
        <v>1003321</v>
      </c>
      <c r="C216" s="9">
        <f>IFERROR(__xludf.DUMMYFUNCTION("""COMPUTED_VALUE"""),82453.0)</f>
        <v>82453</v>
      </c>
      <c r="D216" s="9"/>
      <c r="E216" s="10" t="str">
        <f>IFERROR(__xludf.DUMMYFUNCTION("""COMPUTED_VALUE"""),"GREENRELAIS")</f>
        <v>GREENRELAIS</v>
      </c>
      <c r="F216" s="10">
        <f>IFERROR(__xludf.DUMMYFUNCTION("""COMPUTED_VALUE"""),5.01)</f>
        <v>5.01</v>
      </c>
      <c r="G216" s="9">
        <f>IFERROR(__xludf.DUMMYFUNCTION("""COMPUTED_VALUE"""),5.01)</f>
        <v>5.01</v>
      </c>
      <c r="H216" s="9">
        <f>IFERROR(__xludf.DUMMYFUNCTION("""COMPUTED_VALUE"""),2.0)</f>
        <v>2</v>
      </c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</row>
    <row r="217" ht="15.75" customHeight="1">
      <c r="A217" s="11">
        <f>IFERROR(__xludf.DUMMYFUNCTION("""COMPUTED_VALUE"""),44471.0)</f>
        <v>44471</v>
      </c>
      <c r="B217" s="9">
        <f>IFERROR(__xludf.DUMMYFUNCTION("""COMPUTED_VALUE"""),1003321.0)</f>
        <v>1003321</v>
      </c>
      <c r="C217" s="9">
        <f>IFERROR(__xludf.DUMMYFUNCTION("""COMPUTED_VALUE"""),133908.0)</f>
        <v>133908</v>
      </c>
      <c r="D217" s="9"/>
      <c r="E217" s="10" t="str">
        <f>IFERROR(__xludf.DUMMYFUNCTION("""COMPUTED_VALUE"""),"GREENRELAIS")</f>
        <v>GREENRELAIS</v>
      </c>
      <c r="F217" s="10">
        <f>IFERROR(__xludf.DUMMYFUNCTION("""COMPUTED_VALUE"""),5.77)</f>
        <v>5.77</v>
      </c>
      <c r="G217" s="9">
        <f>IFERROR(__xludf.DUMMYFUNCTION("""COMPUTED_VALUE"""),5.77)</f>
        <v>5.77</v>
      </c>
      <c r="H217" s="9">
        <f>IFERROR(__xludf.DUMMYFUNCTION("""COMPUTED_VALUE"""),2.0)</f>
        <v>2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</row>
    <row r="218" ht="15.75" customHeight="1">
      <c r="A218" s="11">
        <f>IFERROR(__xludf.DUMMYFUNCTION("""COMPUTED_VALUE"""),44471.0)</f>
        <v>44471</v>
      </c>
      <c r="B218" s="9">
        <f>IFERROR(__xludf.DUMMYFUNCTION("""COMPUTED_VALUE"""),1003321.0)</f>
        <v>1003321</v>
      </c>
      <c r="C218" s="9">
        <f>IFERROR(__xludf.DUMMYFUNCTION("""COMPUTED_VALUE"""),44824.0)</f>
        <v>44824</v>
      </c>
      <c r="D218" s="9"/>
      <c r="E218" s="10" t="str">
        <f>IFERROR(__xludf.DUMMYFUNCTION("""COMPUTED_VALUE"""),"GREENRELAIS")</f>
        <v>GREENRELAIS</v>
      </c>
      <c r="F218" s="10">
        <f>IFERROR(__xludf.DUMMYFUNCTION("""COMPUTED_VALUE"""),3.98)</f>
        <v>3.98</v>
      </c>
      <c r="G218" s="9">
        <f>IFERROR(__xludf.DUMMYFUNCTION("""COMPUTED_VALUE"""),3.98)</f>
        <v>3.98</v>
      </c>
      <c r="H218" s="9">
        <f>IFERROR(__xludf.DUMMYFUNCTION("""COMPUTED_VALUE"""),2.0)</f>
        <v>2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</row>
    <row r="219" ht="15.75" customHeight="1">
      <c r="A219" s="11">
        <f>IFERROR(__xludf.DUMMYFUNCTION("""COMPUTED_VALUE"""),44471.0)</f>
        <v>44471</v>
      </c>
      <c r="B219" s="9">
        <f>IFERROR(__xludf.DUMMYFUNCTION("""COMPUTED_VALUE"""),1003321.0)</f>
        <v>1003321</v>
      </c>
      <c r="C219" s="9">
        <f>IFERROR(__xludf.DUMMYFUNCTION("""COMPUTED_VALUE"""),43943.0)</f>
        <v>43943</v>
      </c>
      <c r="D219" s="9"/>
      <c r="E219" s="10" t="str">
        <f>IFERROR(__xludf.DUMMYFUNCTION("""COMPUTED_VALUE"""),"GREENRELAIS")</f>
        <v>GREENRELAIS</v>
      </c>
      <c r="F219" s="10">
        <f>IFERROR(__xludf.DUMMYFUNCTION("""COMPUTED_VALUE"""),49.12)</f>
        <v>49.12</v>
      </c>
      <c r="G219" s="9">
        <f>IFERROR(__xludf.DUMMYFUNCTION("""COMPUTED_VALUE"""),49.12)</f>
        <v>49.12</v>
      </c>
      <c r="H219" s="9">
        <f>IFERROR(__xludf.DUMMYFUNCTION("""COMPUTED_VALUE"""),3.0)</f>
        <v>3</v>
      </c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</row>
    <row r="220" ht="15.75" customHeight="1">
      <c r="A220" s="11">
        <f>IFERROR(__xludf.DUMMYFUNCTION("""COMPUTED_VALUE"""),44471.0)</f>
        <v>44471</v>
      </c>
      <c r="B220" s="9">
        <f>IFERROR(__xludf.DUMMYFUNCTION("""COMPUTED_VALUE"""),1003322.0)</f>
        <v>1003322</v>
      </c>
      <c r="C220" s="9">
        <f>IFERROR(__xludf.DUMMYFUNCTION("""COMPUTED_VALUE"""),188724.0)</f>
        <v>188724</v>
      </c>
      <c r="D220" s="9"/>
      <c r="E220" s="9"/>
      <c r="F220" s="9">
        <f>IFERROR(__xludf.DUMMYFUNCTION("""COMPUTED_VALUE"""),2.13)</f>
        <v>2.13</v>
      </c>
      <c r="G220" s="9">
        <f>IFERROR(__xludf.DUMMYFUNCTION("""COMPUTED_VALUE"""),2.13)</f>
        <v>2.13</v>
      </c>
      <c r="H220" s="9">
        <f>IFERROR(__xludf.DUMMYFUNCTION("""COMPUTED_VALUE"""),1.0)</f>
        <v>1</v>
      </c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</row>
    <row r="221" ht="15.75" customHeight="1">
      <c r="A221" s="11">
        <f>IFERROR(__xludf.DUMMYFUNCTION("""COMPUTED_VALUE"""),44471.0)</f>
        <v>44471</v>
      </c>
      <c r="B221" s="9">
        <f>IFERROR(__xludf.DUMMYFUNCTION("""COMPUTED_VALUE"""),1003322.0)</f>
        <v>1003322</v>
      </c>
      <c r="C221" s="9">
        <f>IFERROR(__xludf.DUMMYFUNCTION("""COMPUTED_VALUE"""),121616.0)</f>
        <v>121616</v>
      </c>
      <c r="D221" s="9"/>
      <c r="E221" s="9"/>
      <c r="F221" s="9">
        <f>IFERROR(__xludf.DUMMYFUNCTION("""COMPUTED_VALUE"""),3.39)</f>
        <v>3.39</v>
      </c>
      <c r="G221" s="9">
        <f>IFERROR(__xludf.DUMMYFUNCTION("""COMPUTED_VALUE"""),3.39)</f>
        <v>3.39</v>
      </c>
      <c r="H221" s="9">
        <f>IFERROR(__xludf.DUMMYFUNCTION("""COMPUTED_VALUE"""),1.0)</f>
        <v>1</v>
      </c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</row>
    <row r="222" ht="15.75" customHeight="1">
      <c r="A222" s="11">
        <f>IFERROR(__xludf.DUMMYFUNCTION("""COMPUTED_VALUE"""),44471.0)</f>
        <v>44471</v>
      </c>
      <c r="B222" s="9">
        <f>IFERROR(__xludf.DUMMYFUNCTION("""COMPUTED_VALUE"""),1003322.0)</f>
        <v>1003322</v>
      </c>
      <c r="C222" s="9">
        <f>IFERROR(__xludf.DUMMYFUNCTION("""COMPUTED_VALUE"""),121619.0)</f>
        <v>121619</v>
      </c>
      <c r="D222" s="9"/>
      <c r="E222" s="9"/>
      <c r="F222" s="9">
        <f>IFERROR(__xludf.DUMMYFUNCTION("""COMPUTED_VALUE"""),3.39)</f>
        <v>3.39</v>
      </c>
      <c r="G222" s="9">
        <f>IFERROR(__xludf.DUMMYFUNCTION("""COMPUTED_VALUE"""),3.39)</f>
        <v>3.39</v>
      </c>
      <c r="H222" s="9">
        <f>IFERROR(__xludf.DUMMYFUNCTION("""COMPUTED_VALUE"""),1.0)</f>
        <v>1</v>
      </c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</row>
    <row r="223" ht="15.75" customHeight="1">
      <c r="A223" s="11">
        <f>IFERROR(__xludf.DUMMYFUNCTION("""COMPUTED_VALUE"""),44471.0)</f>
        <v>44471</v>
      </c>
      <c r="B223" s="9">
        <f>IFERROR(__xludf.DUMMYFUNCTION("""COMPUTED_VALUE"""),1003322.0)</f>
        <v>1003322</v>
      </c>
      <c r="C223" s="9">
        <f>IFERROR(__xludf.DUMMYFUNCTION("""COMPUTED_VALUE"""),79355.0)</f>
        <v>79355</v>
      </c>
      <c r="D223" s="10" t="str">
        <f>IFERROR(__xludf.DUMMYFUNCTION("""COMPUTED_VALUE"""),"Offre Speciale")</f>
        <v>Offre Speciale</v>
      </c>
      <c r="E223" s="10"/>
      <c r="F223" s="9">
        <f>IFERROR(__xludf.DUMMYFUNCTION("""COMPUTED_VALUE"""),7.3)</f>
        <v>7.3</v>
      </c>
      <c r="G223" s="9">
        <f>IFERROR(__xludf.DUMMYFUNCTION("""COMPUTED_VALUE"""),5.84)</f>
        <v>5.84</v>
      </c>
      <c r="H223" s="9">
        <f>IFERROR(__xludf.DUMMYFUNCTION("""COMPUTED_VALUE"""),1.0)</f>
        <v>1</v>
      </c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</row>
    <row r="224" ht="15.75" customHeight="1">
      <c r="A224" s="11">
        <f>IFERROR(__xludf.DUMMYFUNCTION("""COMPUTED_VALUE"""),44471.0)</f>
        <v>44471</v>
      </c>
      <c r="B224" s="9">
        <f>IFERROR(__xludf.DUMMYFUNCTION("""COMPUTED_VALUE"""),1003322.0)</f>
        <v>1003322</v>
      </c>
      <c r="C224" s="9">
        <f>IFERROR(__xludf.DUMMYFUNCTION("""COMPUTED_VALUE"""),188725.0)</f>
        <v>188725</v>
      </c>
      <c r="D224" s="9"/>
      <c r="E224" s="9"/>
      <c r="F224" s="9">
        <f>IFERROR(__xludf.DUMMYFUNCTION("""COMPUTED_VALUE"""),2.03)</f>
        <v>2.03</v>
      </c>
      <c r="G224" s="9">
        <f>IFERROR(__xludf.DUMMYFUNCTION("""COMPUTED_VALUE"""),2.03)</f>
        <v>2.03</v>
      </c>
      <c r="H224" s="9">
        <f>IFERROR(__xludf.DUMMYFUNCTION("""COMPUTED_VALUE"""),1.0)</f>
        <v>1</v>
      </c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</row>
    <row r="225" ht="15.75" customHeight="1">
      <c r="A225" s="11">
        <f>IFERROR(__xludf.DUMMYFUNCTION("""COMPUTED_VALUE"""),44471.0)</f>
        <v>44471</v>
      </c>
      <c r="B225" s="9">
        <f>IFERROR(__xludf.DUMMYFUNCTION("""COMPUTED_VALUE"""),1003322.0)</f>
        <v>1003322</v>
      </c>
      <c r="C225" s="9">
        <f>IFERROR(__xludf.DUMMYFUNCTION("""COMPUTED_VALUE"""),78511.0)</f>
        <v>78511</v>
      </c>
      <c r="D225" s="9"/>
      <c r="E225" s="9"/>
      <c r="F225" s="9">
        <f>IFERROR(__xludf.DUMMYFUNCTION("""COMPUTED_VALUE"""),3.28)</f>
        <v>3.28</v>
      </c>
      <c r="G225" s="9">
        <f>IFERROR(__xludf.DUMMYFUNCTION("""COMPUTED_VALUE"""),3.28)</f>
        <v>3.28</v>
      </c>
      <c r="H225" s="9">
        <f>IFERROR(__xludf.DUMMYFUNCTION("""COMPUTED_VALUE"""),1.0)</f>
        <v>1</v>
      </c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</row>
    <row r="226" ht="15.75" customHeight="1">
      <c r="A226" s="11">
        <f>IFERROR(__xludf.DUMMYFUNCTION("""COMPUTED_VALUE"""),44471.0)</f>
        <v>44471</v>
      </c>
      <c r="B226" s="9">
        <f>IFERROR(__xludf.DUMMYFUNCTION("""COMPUTED_VALUE"""),1003322.0)</f>
        <v>1003322</v>
      </c>
      <c r="C226" s="9">
        <f>IFERROR(__xludf.DUMMYFUNCTION("""COMPUTED_VALUE"""),188723.0)</f>
        <v>188723</v>
      </c>
      <c r="D226" s="9"/>
      <c r="E226" s="9"/>
      <c r="F226" s="9">
        <f>IFERROR(__xludf.DUMMYFUNCTION("""COMPUTED_VALUE"""),2.41)</f>
        <v>2.41</v>
      </c>
      <c r="G226" s="9">
        <f>IFERROR(__xludf.DUMMYFUNCTION("""COMPUTED_VALUE"""),2.41)</f>
        <v>2.41</v>
      </c>
      <c r="H226" s="9">
        <f>IFERROR(__xludf.DUMMYFUNCTION("""COMPUTED_VALUE"""),1.0)</f>
        <v>1</v>
      </c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</row>
    <row r="227" ht="15.75" customHeight="1">
      <c r="A227" s="11">
        <f>IFERROR(__xludf.DUMMYFUNCTION("""COMPUTED_VALUE"""),44471.0)</f>
        <v>44471</v>
      </c>
      <c r="B227" s="9">
        <f>IFERROR(__xludf.DUMMYFUNCTION("""COMPUTED_VALUE"""),1003322.0)</f>
        <v>1003322</v>
      </c>
      <c r="C227" s="9">
        <f>IFERROR(__xludf.DUMMYFUNCTION("""COMPUTED_VALUE"""),101428.0)</f>
        <v>101428</v>
      </c>
      <c r="D227" s="9"/>
      <c r="E227" s="9"/>
      <c r="F227" s="9">
        <f>IFERROR(__xludf.DUMMYFUNCTION("""COMPUTED_VALUE"""),9.18)</f>
        <v>9.18</v>
      </c>
      <c r="G227" s="9">
        <f>IFERROR(__xludf.DUMMYFUNCTION("""COMPUTED_VALUE"""),9.18)</f>
        <v>9.18</v>
      </c>
      <c r="H227" s="9">
        <f>IFERROR(__xludf.DUMMYFUNCTION("""COMPUTED_VALUE"""),1.0)</f>
        <v>1</v>
      </c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</row>
    <row r="228" ht="15.75" customHeight="1">
      <c r="A228" s="11">
        <f>IFERROR(__xludf.DUMMYFUNCTION("""COMPUTED_VALUE"""),44471.0)</f>
        <v>44471</v>
      </c>
      <c r="B228" s="9">
        <f>IFERROR(__xludf.DUMMYFUNCTION("""COMPUTED_VALUE"""),1003322.0)</f>
        <v>1003322</v>
      </c>
      <c r="C228" s="9">
        <f>IFERROR(__xludf.DUMMYFUNCTION("""COMPUTED_VALUE"""),107944.0)</f>
        <v>107944</v>
      </c>
      <c r="D228" s="9"/>
      <c r="E228" s="9"/>
      <c r="F228" s="9">
        <f>IFERROR(__xludf.DUMMYFUNCTION("""COMPUTED_VALUE"""),7.37)</f>
        <v>7.37</v>
      </c>
      <c r="G228" s="9">
        <f>IFERROR(__xludf.DUMMYFUNCTION("""COMPUTED_VALUE"""),7.37)</f>
        <v>7.37</v>
      </c>
      <c r="H228" s="9">
        <f>IFERROR(__xludf.DUMMYFUNCTION("""COMPUTED_VALUE"""),1.0)</f>
        <v>1</v>
      </c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</row>
    <row r="229" ht="15.75" customHeight="1">
      <c r="A229" s="11">
        <f>IFERROR(__xludf.DUMMYFUNCTION("""COMPUTED_VALUE"""),44471.0)</f>
        <v>44471</v>
      </c>
      <c r="B229" s="9">
        <f>IFERROR(__xludf.DUMMYFUNCTION("""COMPUTED_VALUE"""),1003322.0)</f>
        <v>1003322</v>
      </c>
      <c r="C229" s="9">
        <f>IFERROR(__xludf.DUMMYFUNCTION("""COMPUTED_VALUE"""),122728.0)</f>
        <v>122728</v>
      </c>
      <c r="D229" s="9"/>
      <c r="E229" s="9"/>
      <c r="F229" s="9">
        <f>IFERROR(__xludf.DUMMYFUNCTION("""COMPUTED_VALUE"""),1.79)</f>
        <v>1.79</v>
      </c>
      <c r="G229" s="9">
        <f>IFERROR(__xludf.DUMMYFUNCTION("""COMPUTED_VALUE"""),1.79)</f>
        <v>1.79</v>
      </c>
      <c r="H229" s="9">
        <f>IFERROR(__xludf.DUMMYFUNCTION("""COMPUTED_VALUE"""),1.0)</f>
        <v>1</v>
      </c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</row>
    <row r="230" ht="15.75" customHeight="1">
      <c r="A230" s="11">
        <f>IFERROR(__xludf.DUMMYFUNCTION("""COMPUTED_VALUE"""),44471.0)</f>
        <v>44471</v>
      </c>
      <c r="B230" s="9">
        <f>IFERROR(__xludf.DUMMYFUNCTION("""COMPUTED_VALUE"""),1003322.0)</f>
        <v>1003322</v>
      </c>
      <c r="C230" s="9">
        <f>IFERROR(__xludf.DUMMYFUNCTION("""COMPUTED_VALUE"""),72813.0)</f>
        <v>72813</v>
      </c>
      <c r="D230" s="9"/>
      <c r="E230" s="9"/>
      <c r="F230" s="9">
        <f>IFERROR(__xludf.DUMMYFUNCTION("""COMPUTED_VALUE"""),4.44)</f>
        <v>4.44</v>
      </c>
      <c r="G230" s="9">
        <f>IFERROR(__xludf.DUMMYFUNCTION("""COMPUTED_VALUE"""),4.44)</f>
        <v>4.44</v>
      </c>
      <c r="H230" s="9">
        <f>IFERROR(__xludf.DUMMYFUNCTION("""COMPUTED_VALUE"""),1.0)</f>
        <v>1</v>
      </c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</row>
    <row r="231" ht="15.75" customHeight="1">
      <c r="A231" s="11">
        <f>IFERROR(__xludf.DUMMYFUNCTION("""COMPUTED_VALUE"""),44471.0)</f>
        <v>44471</v>
      </c>
      <c r="B231" s="9">
        <f>IFERROR(__xludf.DUMMYFUNCTION("""COMPUTED_VALUE"""),1003322.0)</f>
        <v>1003322</v>
      </c>
      <c r="C231" s="9">
        <f>IFERROR(__xludf.DUMMYFUNCTION("""COMPUTED_VALUE"""),79315.0)</f>
        <v>79315</v>
      </c>
      <c r="D231" s="10" t="str">
        <f>IFERROR(__xludf.DUMMYFUNCTION("""COMPUTED_VALUE"""),"Offre Speciale")</f>
        <v>Offre Speciale</v>
      </c>
      <c r="E231" s="10"/>
      <c r="F231" s="9">
        <f>IFERROR(__xludf.DUMMYFUNCTION("""COMPUTED_VALUE"""),6.88749999999999)</f>
        <v>6.8875</v>
      </c>
      <c r="G231" s="9">
        <f>IFERROR(__xludf.DUMMYFUNCTION("""COMPUTED_VALUE"""),5.51)</f>
        <v>5.51</v>
      </c>
      <c r="H231" s="9">
        <f>IFERROR(__xludf.DUMMYFUNCTION("""COMPUTED_VALUE"""),1.0)</f>
        <v>1</v>
      </c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</row>
    <row r="232" ht="15.75" customHeight="1">
      <c r="A232" s="11">
        <f>IFERROR(__xludf.DUMMYFUNCTION("""COMPUTED_VALUE"""),44471.0)</f>
        <v>44471</v>
      </c>
      <c r="B232" s="9">
        <f>IFERROR(__xludf.DUMMYFUNCTION("""COMPUTED_VALUE"""),1003322.0)</f>
        <v>1003322</v>
      </c>
      <c r="C232" s="9">
        <f>IFERROR(__xludf.DUMMYFUNCTION("""COMPUTED_VALUE"""),110436.0)</f>
        <v>110436</v>
      </c>
      <c r="D232" s="9"/>
      <c r="E232" s="9"/>
      <c r="F232" s="9">
        <f>IFERROR(__xludf.DUMMYFUNCTION("""COMPUTED_VALUE"""),6.7)</f>
        <v>6.7</v>
      </c>
      <c r="G232" s="9">
        <f>IFERROR(__xludf.DUMMYFUNCTION("""COMPUTED_VALUE"""),6.7)</f>
        <v>6.7</v>
      </c>
      <c r="H232" s="9">
        <f>IFERROR(__xludf.DUMMYFUNCTION("""COMPUTED_VALUE"""),1.0)</f>
        <v>1</v>
      </c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</row>
    <row r="233" ht="15.75" customHeight="1">
      <c r="A233" s="11">
        <f>IFERROR(__xludf.DUMMYFUNCTION("""COMPUTED_VALUE"""),44471.0)</f>
        <v>44471</v>
      </c>
      <c r="B233" s="9">
        <f>IFERROR(__xludf.DUMMYFUNCTION("""COMPUTED_VALUE"""),1003322.0)</f>
        <v>1003322</v>
      </c>
      <c r="C233" s="9">
        <f>IFERROR(__xludf.DUMMYFUNCTION("""COMPUTED_VALUE"""),78427.0)</f>
        <v>78427</v>
      </c>
      <c r="D233" s="9"/>
      <c r="E233" s="9"/>
      <c r="F233" s="9">
        <f>IFERROR(__xludf.DUMMYFUNCTION("""COMPUTED_VALUE"""),5.74)</f>
        <v>5.74</v>
      </c>
      <c r="G233" s="9">
        <f>IFERROR(__xludf.DUMMYFUNCTION("""COMPUTED_VALUE"""),5.74)</f>
        <v>5.74</v>
      </c>
      <c r="H233" s="9">
        <f>IFERROR(__xludf.DUMMYFUNCTION("""COMPUTED_VALUE"""),1.0)</f>
        <v>1</v>
      </c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</row>
    <row r="234" ht="15.75" customHeight="1">
      <c r="A234" s="11">
        <f>IFERROR(__xludf.DUMMYFUNCTION("""COMPUTED_VALUE"""),44471.0)</f>
        <v>44471</v>
      </c>
      <c r="B234" s="9">
        <f>IFERROR(__xludf.DUMMYFUNCTION("""COMPUTED_VALUE"""),1003322.0)</f>
        <v>1003322</v>
      </c>
      <c r="C234" s="9">
        <f>IFERROR(__xludf.DUMMYFUNCTION("""COMPUTED_VALUE"""),149505.0)</f>
        <v>149505</v>
      </c>
      <c r="D234" s="9"/>
      <c r="E234" s="9"/>
      <c r="F234" s="9">
        <f>IFERROR(__xludf.DUMMYFUNCTION("""COMPUTED_VALUE"""),5.99)</f>
        <v>5.99</v>
      </c>
      <c r="G234" s="9">
        <f>IFERROR(__xludf.DUMMYFUNCTION("""COMPUTED_VALUE"""),5.99)</f>
        <v>5.99</v>
      </c>
      <c r="H234" s="9">
        <f>IFERROR(__xludf.DUMMYFUNCTION("""COMPUTED_VALUE"""),1.0)</f>
        <v>1</v>
      </c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</row>
    <row r="235" ht="15.75" customHeight="1">
      <c r="A235" s="11">
        <f>IFERROR(__xludf.DUMMYFUNCTION("""COMPUTED_VALUE"""),44471.0)</f>
        <v>44471</v>
      </c>
      <c r="B235" s="9">
        <f>IFERROR(__xludf.DUMMYFUNCTION("""COMPUTED_VALUE"""),1003322.0)</f>
        <v>1003322</v>
      </c>
      <c r="C235" s="9">
        <f>IFERROR(__xludf.DUMMYFUNCTION("""COMPUTED_VALUE"""),19831.0)</f>
        <v>19831</v>
      </c>
      <c r="D235" s="9"/>
      <c r="E235" s="9"/>
      <c r="F235" s="9">
        <f>IFERROR(__xludf.DUMMYFUNCTION("""COMPUTED_VALUE"""),10.54)</f>
        <v>10.54</v>
      </c>
      <c r="G235" s="9">
        <f>IFERROR(__xludf.DUMMYFUNCTION("""COMPUTED_VALUE"""),10.54)</f>
        <v>10.54</v>
      </c>
      <c r="H235" s="9">
        <f>IFERROR(__xludf.DUMMYFUNCTION("""COMPUTED_VALUE"""),2.0)</f>
        <v>2</v>
      </c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</row>
    <row r="236" ht="15.75" customHeight="1">
      <c r="A236" s="11">
        <f>IFERROR(__xludf.DUMMYFUNCTION("""COMPUTED_VALUE"""),44471.0)</f>
        <v>44471</v>
      </c>
      <c r="B236" s="9">
        <f>IFERROR(__xludf.DUMMYFUNCTION("""COMPUTED_VALUE"""),1003322.0)</f>
        <v>1003322</v>
      </c>
      <c r="C236" s="9">
        <f>IFERROR(__xludf.DUMMYFUNCTION("""COMPUTED_VALUE"""),70187.0)</f>
        <v>70187</v>
      </c>
      <c r="D236" s="9"/>
      <c r="E236" s="9"/>
      <c r="F236" s="9">
        <f>IFERROR(__xludf.DUMMYFUNCTION("""COMPUTED_VALUE"""),6.57)</f>
        <v>6.57</v>
      </c>
      <c r="G236" s="9">
        <f>IFERROR(__xludf.DUMMYFUNCTION("""COMPUTED_VALUE"""),6.57)</f>
        <v>6.57</v>
      </c>
      <c r="H236" s="9">
        <f>IFERROR(__xludf.DUMMYFUNCTION("""COMPUTED_VALUE"""),2.0)</f>
        <v>2</v>
      </c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</row>
    <row r="237" ht="15.75" customHeight="1">
      <c r="A237" s="11">
        <f>IFERROR(__xludf.DUMMYFUNCTION("""COMPUTED_VALUE"""),44471.0)</f>
        <v>44471</v>
      </c>
      <c r="B237" s="9">
        <f>IFERROR(__xludf.DUMMYFUNCTION("""COMPUTED_VALUE"""),1003322.0)</f>
        <v>1003322</v>
      </c>
      <c r="C237" s="9">
        <f>IFERROR(__xludf.DUMMYFUNCTION("""COMPUTED_VALUE"""),96441.0)</f>
        <v>96441</v>
      </c>
      <c r="D237" s="9"/>
      <c r="E237" s="9"/>
      <c r="F237" s="9">
        <f>IFERROR(__xludf.DUMMYFUNCTION("""COMPUTED_VALUE"""),8.7)</f>
        <v>8.7</v>
      </c>
      <c r="G237" s="9">
        <f>IFERROR(__xludf.DUMMYFUNCTION("""COMPUTED_VALUE"""),8.7)</f>
        <v>8.7</v>
      </c>
      <c r="H237" s="9">
        <f>IFERROR(__xludf.DUMMYFUNCTION("""COMPUTED_VALUE"""),2.0)</f>
        <v>2</v>
      </c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</row>
    <row r="238" ht="15.75" customHeight="1">
      <c r="A238" s="11">
        <f>IFERROR(__xludf.DUMMYFUNCTION("""COMPUTED_VALUE"""),44471.0)</f>
        <v>44471</v>
      </c>
      <c r="B238" s="9">
        <f>IFERROR(__xludf.DUMMYFUNCTION("""COMPUTED_VALUE"""),1003322.0)</f>
        <v>1003322</v>
      </c>
      <c r="C238" s="9">
        <f>IFERROR(__xludf.DUMMYFUNCTION("""COMPUTED_VALUE"""),101586.0)</f>
        <v>101586</v>
      </c>
      <c r="D238" s="9"/>
      <c r="E238" s="9"/>
      <c r="F238" s="9">
        <f>IFERROR(__xludf.DUMMYFUNCTION("""COMPUTED_VALUE"""),8.72)</f>
        <v>8.72</v>
      </c>
      <c r="G238" s="9">
        <f>IFERROR(__xludf.DUMMYFUNCTION("""COMPUTED_VALUE"""),8.72)</f>
        <v>8.72</v>
      </c>
      <c r="H238" s="9">
        <f>IFERROR(__xludf.DUMMYFUNCTION("""COMPUTED_VALUE"""),2.0)</f>
        <v>2</v>
      </c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</row>
    <row r="239" ht="15.75" customHeight="1">
      <c r="A239" s="11">
        <f>IFERROR(__xludf.DUMMYFUNCTION("""COMPUTED_VALUE"""),44471.0)</f>
        <v>44471</v>
      </c>
      <c r="B239" s="9">
        <f>IFERROR(__xludf.DUMMYFUNCTION("""COMPUTED_VALUE"""),1003322.0)</f>
        <v>1003322</v>
      </c>
      <c r="C239" s="9">
        <f>IFERROR(__xludf.DUMMYFUNCTION("""COMPUTED_VALUE"""),121868.0)</f>
        <v>121868</v>
      </c>
      <c r="D239" s="9"/>
      <c r="E239" s="9"/>
      <c r="F239" s="9">
        <f>IFERROR(__xludf.DUMMYFUNCTION("""COMPUTED_VALUE"""),12.74)</f>
        <v>12.74</v>
      </c>
      <c r="G239" s="9">
        <f>IFERROR(__xludf.DUMMYFUNCTION("""COMPUTED_VALUE"""),12.74)</f>
        <v>12.74</v>
      </c>
      <c r="H239" s="9">
        <f>IFERROR(__xludf.DUMMYFUNCTION("""COMPUTED_VALUE"""),2.0)</f>
        <v>2</v>
      </c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</row>
    <row r="240" ht="15.75" customHeight="1">
      <c r="A240" s="11">
        <f>IFERROR(__xludf.DUMMYFUNCTION("""COMPUTED_VALUE"""),44471.0)</f>
        <v>44471</v>
      </c>
      <c r="B240" s="9">
        <f>IFERROR(__xludf.DUMMYFUNCTION("""COMPUTED_VALUE"""),1003322.0)</f>
        <v>1003322</v>
      </c>
      <c r="C240" s="9">
        <f>IFERROR(__xludf.DUMMYFUNCTION("""COMPUTED_VALUE"""),101339.0)</f>
        <v>101339</v>
      </c>
      <c r="D240" s="9"/>
      <c r="E240" s="9"/>
      <c r="F240" s="9">
        <f>IFERROR(__xludf.DUMMYFUNCTION("""COMPUTED_VALUE"""),12.99)</f>
        <v>12.99</v>
      </c>
      <c r="G240" s="9">
        <f>IFERROR(__xludf.DUMMYFUNCTION("""COMPUTED_VALUE"""),12.99)</f>
        <v>12.99</v>
      </c>
      <c r="H240" s="9">
        <f>IFERROR(__xludf.DUMMYFUNCTION("""COMPUTED_VALUE"""),2.0)</f>
        <v>2</v>
      </c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</row>
    <row r="241" ht="15.75" customHeight="1">
      <c r="A241" s="11">
        <f>IFERROR(__xludf.DUMMYFUNCTION("""COMPUTED_VALUE"""),44471.0)</f>
        <v>44471</v>
      </c>
      <c r="B241" s="9">
        <f>IFERROR(__xludf.DUMMYFUNCTION("""COMPUTED_VALUE"""),1003322.0)</f>
        <v>1003322</v>
      </c>
      <c r="C241" s="9">
        <f>IFERROR(__xludf.DUMMYFUNCTION("""COMPUTED_VALUE"""),44749.0)</f>
        <v>44749</v>
      </c>
      <c r="D241" s="10" t="str">
        <f>IFERROR(__xludf.DUMMYFUNCTION("""COMPUTED_VALUE"""),"Vive le bio")</f>
        <v>Vive le bio</v>
      </c>
      <c r="E241" s="10"/>
      <c r="F241" s="9">
        <f>IFERROR(__xludf.DUMMYFUNCTION("""COMPUTED_VALUE"""),12.3333333333333)</f>
        <v>12.33333333</v>
      </c>
      <c r="G241" s="9">
        <f>IFERROR(__xludf.DUMMYFUNCTION("""COMPUTED_VALUE"""),11.1)</f>
        <v>11.1</v>
      </c>
      <c r="H241" s="9">
        <f>IFERROR(__xludf.DUMMYFUNCTION("""COMPUTED_VALUE"""),2.0)</f>
        <v>2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</row>
    <row r="242" ht="15.75" customHeight="1">
      <c r="A242" s="11">
        <f>IFERROR(__xludf.DUMMYFUNCTION("""COMPUTED_VALUE"""),44471.0)</f>
        <v>44471</v>
      </c>
      <c r="B242" s="9">
        <f>IFERROR(__xludf.DUMMYFUNCTION("""COMPUTED_VALUE"""),1003322.0)</f>
        <v>1003322</v>
      </c>
      <c r="C242" s="9">
        <f>IFERROR(__xludf.DUMMYFUNCTION("""COMPUTED_VALUE"""),78502.0)</f>
        <v>78502</v>
      </c>
      <c r="D242" s="9"/>
      <c r="E242" s="9"/>
      <c r="F242" s="9">
        <f>IFERROR(__xludf.DUMMYFUNCTION("""COMPUTED_VALUE"""),11.23)</f>
        <v>11.23</v>
      </c>
      <c r="G242" s="9">
        <f>IFERROR(__xludf.DUMMYFUNCTION("""COMPUTED_VALUE"""),11.23)</f>
        <v>11.23</v>
      </c>
      <c r="H242" s="9">
        <f>IFERROR(__xludf.DUMMYFUNCTION("""COMPUTED_VALUE"""),2.0)</f>
        <v>2</v>
      </c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</row>
    <row r="243" ht="15.75" customHeight="1">
      <c r="A243" s="11">
        <f>IFERROR(__xludf.DUMMYFUNCTION("""COMPUTED_VALUE"""),44471.0)</f>
        <v>44471</v>
      </c>
      <c r="B243" s="9">
        <f>IFERROR(__xludf.DUMMYFUNCTION("""COMPUTED_VALUE"""),1003322.0)</f>
        <v>1003322</v>
      </c>
      <c r="C243" s="9">
        <f>IFERROR(__xludf.DUMMYFUNCTION("""COMPUTED_VALUE"""),79958.0)</f>
        <v>79958</v>
      </c>
      <c r="D243" s="9"/>
      <c r="E243" s="9"/>
      <c r="F243" s="9">
        <f>IFERROR(__xludf.DUMMYFUNCTION("""COMPUTED_VALUE"""),9.64)</f>
        <v>9.64</v>
      </c>
      <c r="G243" s="9">
        <f>IFERROR(__xludf.DUMMYFUNCTION("""COMPUTED_VALUE"""),9.64)</f>
        <v>9.64</v>
      </c>
      <c r="H243" s="9">
        <f>IFERROR(__xludf.DUMMYFUNCTION("""COMPUTED_VALUE"""),3.0)</f>
        <v>3</v>
      </c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</row>
    <row r="244" ht="15.75" customHeight="1">
      <c r="A244" s="11">
        <f>IFERROR(__xludf.DUMMYFUNCTION("""COMPUTED_VALUE"""),44471.0)</f>
        <v>44471</v>
      </c>
      <c r="B244" s="9">
        <f>IFERROR(__xludf.DUMMYFUNCTION("""COMPUTED_VALUE"""),1003322.0)</f>
        <v>1003322</v>
      </c>
      <c r="C244" s="9">
        <f>IFERROR(__xludf.DUMMYFUNCTION("""COMPUTED_VALUE"""),118818.0)</f>
        <v>118818</v>
      </c>
      <c r="D244" s="9"/>
      <c r="E244" s="9"/>
      <c r="F244" s="9">
        <f>IFERROR(__xludf.DUMMYFUNCTION("""COMPUTED_VALUE"""),8.41)</f>
        <v>8.41</v>
      </c>
      <c r="G244" s="9">
        <f>IFERROR(__xludf.DUMMYFUNCTION("""COMPUTED_VALUE"""),8.41)</f>
        <v>8.41</v>
      </c>
      <c r="H244" s="9">
        <f>IFERROR(__xludf.DUMMYFUNCTION("""COMPUTED_VALUE"""),3.0)</f>
        <v>3</v>
      </c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</row>
    <row r="245" ht="15.75" customHeight="1">
      <c r="A245" s="11">
        <f>IFERROR(__xludf.DUMMYFUNCTION("""COMPUTED_VALUE"""),44471.0)</f>
        <v>44471</v>
      </c>
      <c r="B245" s="9">
        <f>IFERROR(__xludf.DUMMYFUNCTION("""COMPUTED_VALUE"""),1003322.0)</f>
        <v>1003322</v>
      </c>
      <c r="C245" s="9">
        <f>IFERROR(__xludf.DUMMYFUNCTION("""COMPUTED_VALUE"""),164927.0)</f>
        <v>164927</v>
      </c>
      <c r="D245" s="9"/>
      <c r="E245" s="9"/>
      <c r="F245" s="9">
        <f>IFERROR(__xludf.DUMMYFUNCTION("""COMPUTED_VALUE"""),10.37)</f>
        <v>10.37</v>
      </c>
      <c r="G245" s="9">
        <f>IFERROR(__xludf.DUMMYFUNCTION("""COMPUTED_VALUE"""),10.37)</f>
        <v>10.37</v>
      </c>
      <c r="H245" s="9">
        <f>IFERROR(__xludf.DUMMYFUNCTION("""COMPUTED_VALUE"""),4.0)</f>
        <v>4</v>
      </c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</row>
    <row r="246" ht="15.75" customHeight="1">
      <c r="A246" s="11">
        <f>IFERROR(__xludf.DUMMYFUNCTION("""COMPUTED_VALUE"""),44471.0)</f>
        <v>44471</v>
      </c>
      <c r="B246" s="9">
        <f>IFERROR(__xludf.DUMMYFUNCTION("""COMPUTED_VALUE"""),1003322.0)</f>
        <v>1003322</v>
      </c>
      <c r="C246" s="9">
        <f>IFERROR(__xludf.DUMMYFUNCTION("""COMPUTED_VALUE"""),121476.0)</f>
        <v>121476</v>
      </c>
      <c r="D246" s="9"/>
      <c r="E246" s="9"/>
      <c r="F246" s="9">
        <f>IFERROR(__xludf.DUMMYFUNCTION("""COMPUTED_VALUE"""),6.65)</f>
        <v>6.65</v>
      </c>
      <c r="G246" s="9">
        <f>IFERROR(__xludf.DUMMYFUNCTION("""COMPUTED_VALUE"""),6.65)</f>
        <v>6.65</v>
      </c>
      <c r="H246" s="9">
        <f>IFERROR(__xludf.DUMMYFUNCTION("""COMPUTED_VALUE"""),4.0)</f>
        <v>4</v>
      </c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</row>
    <row r="247" ht="15.75" customHeight="1">
      <c r="A247" s="11">
        <f>IFERROR(__xludf.DUMMYFUNCTION("""COMPUTED_VALUE"""),44471.0)</f>
        <v>44471</v>
      </c>
      <c r="B247" s="9">
        <f>IFERROR(__xludf.DUMMYFUNCTION("""COMPUTED_VALUE"""),1003322.0)</f>
        <v>1003322</v>
      </c>
      <c r="C247" s="9">
        <f>IFERROR(__xludf.DUMMYFUNCTION("""COMPUTED_VALUE"""),121460.0)</f>
        <v>121460</v>
      </c>
      <c r="D247" s="9"/>
      <c r="E247" s="9"/>
      <c r="F247" s="9">
        <f>IFERROR(__xludf.DUMMYFUNCTION("""COMPUTED_VALUE"""),3.47)</f>
        <v>3.47</v>
      </c>
      <c r="G247" s="9">
        <f>IFERROR(__xludf.DUMMYFUNCTION("""COMPUTED_VALUE"""),3.47)</f>
        <v>3.47</v>
      </c>
      <c r="H247" s="9">
        <f>IFERROR(__xludf.DUMMYFUNCTION("""COMPUTED_VALUE"""),4.0)</f>
        <v>4</v>
      </c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</row>
    <row r="248" ht="15.75" customHeight="1">
      <c r="A248" s="11">
        <f>IFERROR(__xludf.DUMMYFUNCTION("""COMPUTED_VALUE"""),44471.0)</f>
        <v>44471</v>
      </c>
      <c r="B248" s="9">
        <f>IFERROR(__xludf.DUMMYFUNCTION("""COMPUTED_VALUE"""),1003322.0)</f>
        <v>1003322</v>
      </c>
      <c r="C248" s="9">
        <f>IFERROR(__xludf.DUMMYFUNCTION("""COMPUTED_VALUE"""),114278.0)</f>
        <v>114278</v>
      </c>
      <c r="D248" s="9"/>
      <c r="E248" s="9"/>
      <c r="F248" s="9">
        <f>IFERROR(__xludf.DUMMYFUNCTION("""COMPUTED_VALUE"""),10.44)</f>
        <v>10.44</v>
      </c>
      <c r="G248" s="9">
        <f>IFERROR(__xludf.DUMMYFUNCTION("""COMPUTED_VALUE"""),10.44)</f>
        <v>10.44</v>
      </c>
      <c r="H248" s="9">
        <f>IFERROR(__xludf.DUMMYFUNCTION("""COMPUTED_VALUE"""),4.0)</f>
        <v>4</v>
      </c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</row>
    <row r="249" ht="15.75" customHeight="1">
      <c r="A249" s="11">
        <f>IFERROR(__xludf.DUMMYFUNCTION("""COMPUTED_VALUE"""),44471.0)</f>
        <v>44471</v>
      </c>
      <c r="B249" s="9">
        <f>IFERROR(__xludf.DUMMYFUNCTION("""COMPUTED_VALUE"""),1003323.0)</f>
        <v>1003323</v>
      </c>
      <c r="C249" s="9">
        <f>IFERROR(__xludf.DUMMYFUNCTION("""COMPUTED_VALUE"""),73925.0)</f>
        <v>73925</v>
      </c>
      <c r="D249" s="10" t="str">
        <f>IFERROR(__xludf.DUMMYFUNCTION("""COMPUTED_VALUE"""),"Vive le bio")</f>
        <v>Vive le bio</v>
      </c>
      <c r="E249" s="10"/>
      <c r="F249" s="9">
        <f>IFERROR(__xludf.DUMMYFUNCTION("""COMPUTED_VALUE"""),2.71111111111111)</f>
        <v>2.711111111</v>
      </c>
      <c r="G249" s="9">
        <f>IFERROR(__xludf.DUMMYFUNCTION("""COMPUTED_VALUE"""),2.44)</f>
        <v>2.44</v>
      </c>
      <c r="H249" s="9">
        <f>IFERROR(__xludf.DUMMYFUNCTION("""COMPUTED_VALUE"""),1.0)</f>
        <v>1</v>
      </c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</row>
    <row r="250" ht="15.75" customHeight="1">
      <c r="A250" s="11">
        <f>IFERROR(__xludf.DUMMYFUNCTION("""COMPUTED_VALUE"""),44471.0)</f>
        <v>44471</v>
      </c>
      <c r="B250" s="9">
        <f>IFERROR(__xludf.DUMMYFUNCTION("""COMPUTED_VALUE"""),1003323.0)</f>
        <v>1003323</v>
      </c>
      <c r="C250" s="9">
        <f>IFERROR(__xludf.DUMMYFUNCTION("""COMPUTED_VALUE"""),110084.0)</f>
        <v>110084</v>
      </c>
      <c r="D250" s="9"/>
      <c r="E250" s="9"/>
      <c r="F250" s="9">
        <f>IFERROR(__xludf.DUMMYFUNCTION("""COMPUTED_VALUE"""),1.69)</f>
        <v>1.69</v>
      </c>
      <c r="G250" s="9">
        <f>IFERROR(__xludf.DUMMYFUNCTION("""COMPUTED_VALUE"""),1.69)</f>
        <v>1.69</v>
      </c>
      <c r="H250" s="9">
        <f>IFERROR(__xludf.DUMMYFUNCTION("""COMPUTED_VALUE"""),1.0)</f>
        <v>1</v>
      </c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</row>
    <row r="251" ht="15.75" customHeight="1">
      <c r="A251" s="11">
        <f>IFERROR(__xludf.DUMMYFUNCTION("""COMPUTED_VALUE"""),44471.0)</f>
        <v>44471</v>
      </c>
      <c r="B251" s="9">
        <f>IFERROR(__xludf.DUMMYFUNCTION("""COMPUTED_VALUE"""),1003323.0)</f>
        <v>1003323</v>
      </c>
      <c r="C251" s="9">
        <f>IFERROR(__xludf.DUMMYFUNCTION("""COMPUTED_VALUE"""),113093.0)</f>
        <v>113093</v>
      </c>
      <c r="D251" s="9"/>
      <c r="E251" s="9"/>
      <c r="F251" s="9">
        <f>IFERROR(__xludf.DUMMYFUNCTION("""COMPUTED_VALUE"""),1.54)</f>
        <v>1.54</v>
      </c>
      <c r="G251" s="9">
        <f>IFERROR(__xludf.DUMMYFUNCTION("""COMPUTED_VALUE"""),1.54)</f>
        <v>1.54</v>
      </c>
      <c r="H251" s="9">
        <f>IFERROR(__xludf.DUMMYFUNCTION("""COMPUTED_VALUE"""),1.0)</f>
        <v>1</v>
      </c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</row>
    <row r="252" ht="15.75" customHeight="1">
      <c r="A252" s="11">
        <f>IFERROR(__xludf.DUMMYFUNCTION("""COMPUTED_VALUE"""),44471.0)</f>
        <v>44471</v>
      </c>
      <c r="B252" s="9">
        <f>IFERROR(__xludf.DUMMYFUNCTION("""COMPUTED_VALUE"""),1003324.0)</f>
        <v>1003324</v>
      </c>
      <c r="C252" s="9">
        <f>IFERROR(__xludf.DUMMYFUNCTION("""COMPUTED_VALUE"""),110724.0)</f>
        <v>110724</v>
      </c>
      <c r="D252" s="9"/>
      <c r="E252" s="9"/>
      <c r="F252" s="9">
        <f>IFERROR(__xludf.DUMMYFUNCTION("""COMPUTED_VALUE"""),2.51)</f>
        <v>2.51</v>
      </c>
      <c r="G252" s="9">
        <f>IFERROR(__xludf.DUMMYFUNCTION("""COMPUTED_VALUE"""),2.51)</f>
        <v>2.51</v>
      </c>
      <c r="H252" s="9">
        <f>IFERROR(__xludf.DUMMYFUNCTION("""COMPUTED_VALUE"""),1.0)</f>
        <v>1</v>
      </c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</row>
    <row r="253" ht="15.75" customHeight="1">
      <c r="A253" s="11">
        <f>IFERROR(__xludf.DUMMYFUNCTION("""COMPUTED_VALUE"""),44471.0)</f>
        <v>44471</v>
      </c>
      <c r="B253" s="9">
        <f>IFERROR(__xludf.DUMMYFUNCTION("""COMPUTED_VALUE"""),1003324.0)</f>
        <v>1003324</v>
      </c>
      <c r="C253" s="9">
        <f>IFERROR(__xludf.DUMMYFUNCTION("""COMPUTED_VALUE"""),13361.0)</f>
        <v>13361</v>
      </c>
      <c r="D253" s="10" t="str">
        <f>IFERROR(__xludf.DUMMYFUNCTION("""COMPUTED_VALUE"""),"Vive le bio")</f>
        <v>Vive le bio</v>
      </c>
      <c r="E253" s="10"/>
      <c r="F253" s="9">
        <f>IFERROR(__xludf.DUMMYFUNCTION("""COMPUTED_VALUE"""),2.61111111111111)</f>
        <v>2.611111111</v>
      </c>
      <c r="G253" s="9">
        <f>IFERROR(__xludf.DUMMYFUNCTION("""COMPUTED_VALUE"""),2.35)</f>
        <v>2.35</v>
      </c>
      <c r="H253" s="9">
        <f>IFERROR(__xludf.DUMMYFUNCTION("""COMPUTED_VALUE"""),1.0)</f>
        <v>1</v>
      </c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</row>
    <row r="254" ht="15.75" customHeight="1">
      <c r="A254" s="11">
        <f>IFERROR(__xludf.DUMMYFUNCTION("""COMPUTED_VALUE"""),44471.0)</f>
        <v>44471</v>
      </c>
      <c r="B254" s="9">
        <f>IFERROR(__xludf.DUMMYFUNCTION("""COMPUTED_VALUE"""),1003324.0)</f>
        <v>1003324</v>
      </c>
      <c r="C254" s="9">
        <f>IFERROR(__xludf.DUMMYFUNCTION("""COMPUTED_VALUE"""),88218.0)</f>
        <v>88218</v>
      </c>
      <c r="D254" s="9"/>
      <c r="E254" s="9"/>
      <c r="F254" s="9">
        <f>IFERROR(__xludf.DUMMYFUNCTION("""COMPUTED_VALUE"""),3.16)</f>
        <v>3.16</v>
      </c>
      <c r="G254" s="9">
        <f>IFERROR(__xludf.DUMMYFUNCTION("""COMPUTED_VALUE"""),3.16)</f>
        <v>3.16</v>
      </c>
      <c r="H254" s="9">
        <f>IFERROR(__xludf.DUMMYFUNCTION("""COMPUTED_VALUE"""),1.0)</f>
        <v>1</v>
      </c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</row>
    <row r="255" ht="15.75" customHeight="1">
      <c r="A255" s="11">
        <f>IFERROR(__xludf.DUMMYFUNCTION("""COMPUTED_VALUE"""),44471.0)</f>
        <v>44471</v>
      </c>
      <c r="B255" s="9">
        <f>IFERROR(__xludf.DUMMYFUNCTION("""COMPUTED_VALUE"""),1003324.0)</f>
        <v>1003324</v>
      </c>
      <c r="C255" s="9">
        <f>IFERROR(__xludf.DUMMYFUNCTION("""COMPUTED_VALUE"""),112078.0)</f>
        <v>112078</v>
      </c>
      <c r="D255" s="9"/>
      <c r="E255" s="9"/>
      <c r="F255" s="9">
        <f>IFERROR(__xludf.DUMMYFUNCTION("""COMPUTED_VALUE"""),1.02)</f>
        <v>1.02</v>
      </c>
      <c r="G255" s="9">
        <f>IFERROR(__xludf.DUMMYFUNCTION("""COMPUTED_VALUE"""),1.02)</f>
        <v>1.02</v>
      </c>
      <c r="H255" s="9">
        <f>IFERROR(__xludf.DUMMYFUNCTION("""COMPUTED_VALUE"""),1.0)</f>
        <v>1</v>
      </c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</row>
    <row r="256" ht="15.75" customHeight="1">
      <c r="A256" s="11">
        <f>IFERROR(__xludf.DUMMYFUNCTION("""COMPUTED_VALUE"""),44471.0)</f>
        <v>44471</v>
      </c>
      <c r="B256" s="9">
        <f>IFERROR(__xludf.DUMMYFUNCTION("""COMPUTED_VALUE"""),1003324.0)</f>
        <v>1003324</v>
      </c>
      <c r="C256" s="9">
        <f>IFERROR(__xludf.DUMMYFUNCTION("""COMPUTED_VALUE"""),118262.0)</f>
        <v>118262</v>
      </c>
      <c r="D256" s="9"/>
      <c r="E256" s="9"/>
      <c r="F256" s="9">
        <f>IFERROR(__xludf.DUMMYFUNCTION("""COMPUTED_VALUE"""),6.1)</f>
        <v>6.1</v>
      </c>
      <c r="G256" s="9">
        <f>IFERROR(__xludf.DUMMYFUNCTION("""COMPUTED_VALUE"""),6.1)</f>
        <v>6.1</v>
      </c>
      <c r="H256" s="9">
        <f>IFERROR(__xludf.DUMMYFUNCTION("""COMPUTED_VALUE"""),1.0)</f>
        <v>1</v>
      </c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</row>
    <row r="257" ht="15.75" customHeight="1">
      <c r="A257" s="11">
        <f>IFERROR(__xludf.DUMMYFUNCTION("""COMPUTED_VALUE"""),44471.0)</f>
        <v>44471</v>
      </c>
      <c r="B257" s="9">
        <f>IFERROR(__xludf.DUMMYFUNCTION("""COMPUTED_VALUE"""),1003324.0)</f>
        <v>1003324</v>
      </c>
      <c r="C257" s="9">
        <f>IFERROR(__xludf.DUMMYFUNCTION("""COMPUTED_VALUE"""),48484.0)</f>
        <v>48484</v>
      </c>
      <c r="D257" s="9"/>
      <c r="E257" s="9"/>
      <c r="F257" s="9">
        <f>IFERROR(__xludf.DUMMYFUNCTION("""COMPUTED_VALUE"""),35.55)</f>
        <v>35.55</v>
      </c>
      <c r="G257" s="9">
        <f>IFERROR(__xludf.DUMMYFUNCTION("""COMPUTED_VALUE"""),35.55)</f>
        <v>35.55</v>
      </c>
      <c r="H257" s="9">
        <f>IFERROR(__xludf.DUMMYFUNCTION("""COMPUTED_VALUE"""),1.0)</f>
        <v>1</v>
      </c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</row>
    <row r="258" ht="15.75" customHeight="1">
      <c r="A258" s="11">
        <f>IFERROR(__xludf.DUMMYFUNCTION("""COMPUTED_VALUE"""),44471.0)</f>
        <v>44471</v>
      </c>
      <c r="B258" s="9">
        <f>IFERROR(__xludf.DUMMYFUNCTION("""COMPUTED_VALUE"""),1003324.0)</f>
        <v>1003324</v>
      </c>
      <c r="C258" s="9">
        <f>IFERROR(__xludf.DUMMYFUNCTION("""COMPUTED_VALUE"""),78940.0)</f>
        <v>78940</v>
      </c>
      <c r="D258" s="9"/>
      <c r="E258" s="9"/>
      <c r="F258" s="9">
        <f>IFERROR(__xludf.DUMMYFUNCTION("""COMPUTED_VALUE"""),3.93)</f>
        <v>3.93</v>
      </c>
      <c r="G258" s="9">
        <f>IFERROR(__xludf.DUMMYFUNCTION("""COMPUTED_VALUE"""),3.93)</f>
        <v>3.93</v>
      </c>
      <c r="H258" s="9">
        <f>IFERROR(__xludf.DUMMYFUNCTION("""COMPUTED_VALUE"""),1.0)</f>
        <v>1</v>
      </c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</row>
    <row r="259" ht="15.75" customHeight="1">
      <c r="A259" s="11">
        <f>IFERROR(__xludf.DUMMYFUNCTION("""COMPUTED_VALUE"""),44471.0)</f>
        <v>44471</v>
      </c>
      <c r="B259" s="9">
        <f>IFERROR(__xludf.DUMMYFUNCTION("""COMPUTED_VALUE"""),1003324.0)</f>
        <v>1003324</v>
      </c>
      <c r="C259" s="9">
        <f>IFERROR(__xludf.DUMMYFUNCTION("""COMPUTED_VALUE"""),100326.0)</f>
        <v>100326</v>
      </c>
      <c r="D259" s="10" t="str">
        <f>IFERROR(__xludf.DUMMYFUNCTION("""COMPUTED_VALUE"""),"Offre speciale")</f>
        <v>Offre speciale</v>
      </c>
      <c r="E259" s="10"/>
      <c r="F259" s="9">
        <f>IFERROR(__xludf.DUMMYFUNCTION("""COMPUTED_VALUE"""),3.81333333333333)</f>
        <v>3.813333333</v>
      </c>
      <c r="G259" s="9">
        <f>IFERROR(__xludf.DUMMYFUNCTION("""COMPUTED_VALUE"""),2.86)</f>
        <v>2.86</v>
      </c>
      <c r="H259" s="9">
        <f>IFERROR(__xludf.DUMMYFUNCTION("""COMPUTED_VALUE"""),1.0)</f>
        <v>1</v>
      </c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</row>
    <row r="260" ht="15.75" customHeight="1">
      <c r="A260" s="11">
        <f>IFERROR(__xludf.DUMMYFUNCTION("""COMPUTED_VALUE"""),44471.0)</f>
        <v>44471</v>
      </c>
      <c r="B260" s="9">
        <f>IFERROR(__xludf.DUMMYFUNCTION("""COMPUTED_VALUE"""),1003324.0)</f>
        <v>1003324</v>
      </c>
      <c r="C260" s="9">
        <f>IFERROR(__xludf.DUMMYFUNCTION("""COMPUTED_VALUE"""),100323.0)</f>
        <v>100323</v>
      </c>
      <c r="D260" s="10" t="str">
        <f>IFERROR(__xludf.DUMMYFUNCTION("""COMPUTED_VALUE"""),"Offre speciale")</f>
        <v>Offre speciale</v>
      </c>
      <c r="E260" s="10"/>
      <c r="F260" s="9">
        <f>IFERROR(__xludf.DUMMYFUNCTION("""COMPUTED_VALUE"""),3.81333333333333)</f>
        <v>3.813333333</v>
      </c>
      <c r="G260" s="9">
        <f>IFERROR(__xludf.DUMMYFUNCTION("""COMPUTED_VALUE"""),2.86)</f>
        <v>2.86</v>
      </c>
      <c r="H260" s="9">
        <f>IFERROR(__xludf.DUMMYFUNCTION("""COMPUTED_VALUE"""),1.0)</f>
        <v>1</v>
      </c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</row>
    <row r="261" ht="15.75" customHeight="1">
      <c r="A261" s="11">
        <f>IFERROR(__xludf.DUMMYFUNCTION("""COMPUTED_VALUE"""),44471.0)</f>
        <v>44471</v>
      </c>
      <c r="B261" s="9">
        <f>IFERROR(__xludf.DUMMYFUNCTION("""COMPUTED_VALUE"""),1003324.0)</f>
        <v>1003324</v>
      </c>
      <c r="C261" s="9">
        <f>IFERROR(__xludf.DUMMYFUNCTION("""COMPUTED_VALUE"""),80049.0)</f>
        <v>80049</v>
      </c>
      <c r="D261" s="10" t="str">
        <f>IFERROR(__xludf.DUMMYFUNCTION("""COMPUTED_VALUE"""),"Offre speciale")</f>
        <v>Offre speciale</v>
      </c>
      <c r="E261" s="10"/>
      <c r="F261" s="9">
        <f>IFERROR(__xludf.DUMMYFUNCTION("""COMPUTED_VALUE"""),3.81333333333333)</f>
        <v>3.813333333</v>
      </c>
      <c r="G261" s="9">
        <f>IFERROR(__xludf.DUMMYFUNCTION("""COMPUTED_VALUE"""),2.86)</f>
        <v>2.86</v>
      </c>
      <c r="H261" s="9">
        <f>IFERROR(__xludf.DUMMYFUNCTION("""COMPUTED_VALUE"""),1.0)</f>
        <v>1</v>
      </c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</row>
    <row r="262" ht="15.75" customHeight="1">
      <c r="A262" s="11">
        <f>IFERROR(__xludf.DUMMYFUNCTION("""COMPUTED_VALUE"""),44471.0)</f>
        <v>44471</v>
      </c>
      <c r="B262" s="9">
        <f>IFERROR(__xludf.DUMMYFUNCTION("""COMPUTED_VALUE"""),1003324.0)</f>
        <v>1003324</v>
      </c>
      <c r="C262" s="9">
        <f>IFERROR(__xludf.DUMMYFUNCTION("""COMPUTED_VALUE"""),121984.0)</f>
        <v>121984</v>
      </c>
      <c r="D262" s="9"/>
      <c r="E262" s="9"/>
      <c r="F262" s="9">
        <f>IFERROR(__xludf.DUMMYFUNCTION("""COMPUTED_VALUE"""),2.46)</f>
        <v>2.46</v>
      </c>
      <c r="G262" s="9">
        <f>IFERROR(__xludf.DUMMYFUNCTION("""COMPUTED_VALUE"""),2.46)</f>
        <v>2.46</v>
      </c>
      <c r="H262" s="9">
        <f>IFERROR(__xludf.DUMMYFUNCTION("""COMPUTED_VALUE"""),1.0)</f>
        <v>1</v>
      </c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</row>
    <row r="263" ht="15.75" customHeight="1">
      <c r="A263" s="11">
        <f>IFERROR(__xludf.DUMMYFUNCTION("""COMPUTED_VALUE"""),44471.0)</f>
        <v>44471</v>
      </c>
      <c r="B263" s="9">
        <f>IFERROR(__xludf.DUMMYFUNCTION("""COMPUTED_VALUE"""),1003324.0)</f>
        <v>1003324</v>
      </c>
      <c r="C263" s="9">
        <f>IFERROR(__xludf.DUMMYFUNCTION("""COMPUTED_VALUE"""),69118.0)</f>
        <v>69118</v>
      </c>
      <c r="D263" s="9"/>
      <c r="E263" s="9"/>
      <c r="F263" s="9">
        <f>IFERROR(__xludf.DUMMYFUNCTION("""COMPUTED_VALUE"""),2.46)</f>
        <v>2.46</v>
      </c>
      <c r="G263" s="9">
        <f>IFERROR(__xludf.DUMMYFUNCTION("""COMPUTED_VALUE"""),2.46)</f>
        <v>2.46</v>
      </c>
      <c r="H263" s="9">
        <f>IFERROR(__xludf.DUMMYFUNCTION("""COMPUTED_VALUE"""),1.0)</f>
        <v>1</v>
      </c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</row>
    <row r="264" ht="15.75" customHeight="1">
      <c r="A264" s="11">
        <f>IFERROR(__xludf.DUMMYFUNCTION("""COMPUTED_VALUE"""),44471.0)</f>
        <v>44471</v>
      </c>
      <c r="B264" s="9">
        <f>IFERROR(__xludf.DUMMYFUNCTION("""COMPUTED_VALUE"""),1003324.0)</f>
        <v>1003324</v>
      </c>
      <c r="C264" s="9">
        <f>IFERROR(__xludf.DUMMYFUNCTION("""COMPUTED_VALUE"""),112075.0)</f>
        <v>112075</v>
      </c>
      <c r="D264" s="10" t="str">
        <f>IFERROR(__xludf.DUMMYFUNCTION("""COMPUTED_VALUE"""),"Vive le bio")</f>
        <v>Vive le bio</v>
      </c>
      <c r="E264" s="10"/>
      <c r="F264" s="9">
        <f>IFERROR(__xludf.DUMMYFUNCTION("""COMPUTED_VALUE"""),4.51111111111111)</f>
        <v>4.511111111</v>
      </c>
      <c r="G264" s="9">
        <f>IFERROR(__xludf.DUMMYFUNCTION("""COMPUTED_VALUE"""),4.06)</f>
        <v>4.06</v>
      </c>
      <c r="H264" s="9">
        <f>IFERROR(__xludf.DUMMYFUNCTION("""COMPUTED_VALUE"""),1.0)</f>
        <v>1</v>
      </c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</row>
    <row r="265" ht="15.75" customHeight="1">
      <c r="A265" s="11">
        <f>IFERROR(__xludf.DUMMYFUNCTION("""COMPUTED_VALUE"""),44471.0)</f>
        <v>44471</v>
      </c>
      <c r="B265" s="9">
        <f>IFERROR(__xludf.DUMMYFUNCTION("""COMPUTED_VALUE"""),1003324.0)</f>
        <v>1003324</v>
      </c>
      <c r="C265" s="9">
        <f>IFERROR(__xludf.DUMMYFUNCTION("""COMPUTED_VALUE"""),117208.0)</f>
        <v>117208</v>
      </c>
      <c r="D265" s="9"/>
      <c r="E265" s="9"/>
      <c r="F265" s="9">
        <f>IFERROR(__xludf.DUMMYFUNCTION("""COMPUTED_VALUE"""),1.81)</f>
        <v>1.81</v>
      </c>
      <c r="G265" s="9">
        <f>IFERROR(__xludf.DUMMYFUNCTION("""COMPUTED_VALUE"""),1.81)</f>
        <v>1.81</v>
      </c>
      <c r="H265" s="9">
        <f>IFERROR(__xludf.DUMMYFUNCTION("""COMPUTED_VALUE"""),1.0)</f>
        <v>1</v>
      </c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</row>
    <row r="266" ht="15.75" customHeight="1">
      <c r="A266" s="11">
        <f>IFERROR(__xludf.DUMMYFUNCTION("""COMPUTED_VALUE"""),44471.0)</f>
        <v>44471</v>
      </c>
      <c r="B266" s="9">
        <f>IFERROR(__xludf.DUMMYFUNCTION("""COMPUTED_VALUE"""),1003324.0)</f>
        <v>1003324</v>
      </c>
      <c r="C266" s="9">
        <f>IFERROR(__xludf.DUMMYFUNCTION("""COMPUTED_VALUE"""),118286.0)</f>
        <v>118286</v>
      </c>
      <c r="D266" s="9"/>
      <c r="E266" s="9"/>
      <c r="F266" s="9">
        <f>IFERROR(__xludf.DUMMYFUNCTION("""COMPUTED_VALUE"""),5.77)</f>
        <v>5.77</v>
      </c>
      <c r="G266" s="9">
        <f>IFERROR(__xludf.DUMMYFUNCTION("""COMPUTED_VALUE"""),5.77)</f>
        <v>5.77</v>
      </c>
      <c r="H266" s="9">
        <f>IFERROR(__xludf.DUMMYFUNCTION("""COMPUTED_VALUE"""),2.0)</f>
        <v>2</v>
      </c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</row>
    <row r="267" ht="15.75" customHeight="1">
      <c r="A267" s="11">
        <f>IFERROR(__xludf.DUMMYFUNCTION("""COMPUTED_VALUE"""),44471.0)</f>
        <v>44471</v>
      </c>
      <c r="B267" s="9">
        <f>IFERROR(__xludf.DUMMYFUNCTION("""COMPUTED_VALUE"""),1003324.0)</f>
        <v>1003324</v>
      </c>
      <c r="C267" s="9">
        <f>IFERROR(__xludf.DUMMYFUNCTION("""COMPUTED_VALUE"""),7358.0)</f>
        <v>7358</v>
      </c>
      <c r="D267" s="9"/>
      <c r="E267" s="9"/>
      <c r="F267" s="9">
        <f>IFERROR(__xludf.DUMMYFUNCTION("""COMPUTED_VALUE"""),8.41)</f>
        <v>8.41</v>
      </c>
      <c r="G267" s="9">
        <f>IFERROR(__xludf.DUMMYFUNCTION("""COMPUTED_VALUE"""),8.41)</f>
        <v>8.41</v>
      </c>
      <c r="H267" s="9">
        <f>IFERROR(__xludf.DUMMYFUNCTION("""COMPUTED_VALUE"""),2.0)</f>
        <v>2</v>
      </c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</row>
    <row r="268" ht="15.75" customHeight="1">
      <c r="A268" s="11">
        <f>IFERROR(__xludf.DUMMYFUNCTION("""COMPUTED_VALUE"""),44471.0)</f>
        <v>44471</v>
      </c>
      <c r="B268" s="9">
        <f>IFERROR(__xludf.DUMMYFUNCTION("""COMPUTED_VALUE"""),1003324.0)</f>
        <v>1003324</v>
      </c>
      <c r="C268" s="9">
        <f>IFERROR(__xludf.DUMMYFUNCTION("""COMPUTED_VALUE"""),88215.0)</f>
        <v>88215</v>
      </c>
      <c r="D268" s="9"/>
      <c r="E268" s="9"/>
      <c r="F268" s="9">
        <f>IFERROR(__xludf.DUMMYFUNCTION("""COMPUTED_VALUE"""),6.09)</f>
        <v>6.09</v>
      </c>
      <c r="G268" s="9">
        <f>IFERROR(__xludf.DUMMYFUNCTION("""COMPUTED_VALUE"""),6.09)</f>
        <v>6.09</v>
      </c>
      <c r="H268" s="9">
        <f>IFERROR(__xludf.DUMMYFUNCTION("""COMPUTED_VALUE"""),2.0)</f>
        <v>2</v>
      </c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</row>
    <row r="269" ht="15.75" customHeight="1">
      <c r="A269" s="11">
        <f>IFERROR(__xludf.DUMMYFUNCTION("""COMPUTED_VALUE"""),44471.0)</f>
        <v>44471</v>
      </c>
      <c r="B269" s="9">
        <f>IFERROR(__xludf.DUMMYFUNCTION("""COMPUTED_VALUE"""),1003324.0)</f>
        <v>1003324</v>
      </c>
      <c r="C269" s="9">
        <f>IFERROR(__xludf.DUMMYFUNCTION("""COMPUTED_VALUE"""),86470.0)</f>
        <v>86470</v>
      </c>
      <c r="D269" s="9"/>
      <c r="E269" s="9"/>
      <c r="F269" s="9">
        <f>IFERROR(__xludf.DUMMYFUNCTION("""COMPUTED_VALUE"""),4.07)</f>
        <v>4.07</v>
      </c>
      <c r="G269" s="9">
        <f>IFERROR(__xludf.DUMMYFUNCTION("""COMPUTED_VALUE"""),4.07)</f>
        <v>4.07</v>
      </c>
      <c r="H269" s="9">
        <f>IFERROR(__xludf.DUMMYFUNCTION("""COMPUTED_VALUE"""),3.0)</f>
        <v>3</v>
      </c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</row>
    <row r="270" ht="15.75" customHeight="1">
      <c r="A270" s="11">
        <f>IFERROR(__xludf.DUMMYFUNCTION("""COMPUTED_VALUE"""),44471.0)</f>
        <v>44471</v>
      </c>
      <c r="B270" s="9">
        <f>IFERROR(__xludf.DUMMYFUNCTION("""COMPUTED_VALUE"""),1003324.0)</f>
        <v>1003324</v>
      </c>
      <c r="C270" s="9">
        <f>IFERROR(__xludf.DUMMYFUNCTION("""COMPUTED_VALUE"""),129483.0)</f>
        <v>129483</v>
      </c>
      <c r="D270" s="9"/>
      <c r="E270" s="9"/>
      <c r="F270" s="9">
        <f>IFERROR(__xludf.DUMMYFUNCTION("""COMPUTED_VALUE"""),3.45)</f>
        <v>3.45</v>
      </c>
      <c r="G270" s="9">
        <f>IFERROR(__xludf.DUMMYFUNCTION("""COMPUTED_VALUE"""),3.45)</f>
        <v>3.45</v>
      </c>
      <c r="H270" s="9">
        <f>IFERROR(__xludf.DUMMYFUNCTION("""COMPUTED_VALUE"""),3.0)</f>
        <v>3</v>
      </c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</row>
    <row r="271" ht="15.75" customHeight="1">
      <c r="A271" s="11">
        <f>IFERROR(__xludf.DUMMYFUNCTION("""COMPUTED_VALUE"""),44471.0)</f>
        <v>44471</v>
      </c>
      <c r="B271" s="9">
        <f>IFERROR(__xludf.DUMMYFUNCTION("""COMPUTED_VALUE"""),1003324.0)</f>
        <v>1003324</v>
      </c>
      <c r="C271" s="9">
        <f>IFERROR(__xludf.DUMMYFUNCTION("""COMPUTED_VALUE"""),121460.0)</f>
        <v>121460</v>
      </c>
      <c r="D271" s="9"/>
      <c r="E271" s="9"/>
      <c r="F271" s="9">
        <f>IFERROR(__xludf.DUMMYFUNCTION("""COMPUTED_VALUE"""),3.47)</f>
        <v>3.47</v>
      </c>
      <c r="G271" s="9">
        <f>IFERROR(__xludf.DUMMYFUNCTION("""COMPUTED_VALUE"""),3.47)</f>
        <v>3.47</v>
      </c>
      <c r="H271" s="9">
        <f>IFERROR(__xludf.DUMMYFUNCTION("""COMPUTED_VALUE"""),4.0)</f>
        <v>4</v>
      </c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</row>
    <row r="272" ht="15.75" customHeight="1">
      <c r="A272" s="11">
        <f>IFERROR(__xludf.DUMMYFUNCTION("""COMPUTED_VALUE"""),44471.0)</f>
        <v>44471</v>
      </c>
      <c r="B272" s="9">
        <f>IFERROR(__xludf.DUMMYFUNCTION("""COMPUTED_VALUE"""),1003325.0)</f>
        <v>1003325</v>
      </c>
      <c r="C272" s="9">
        <f>IFERROR(__xludf.DUMMYFUNCTION("""COMPUTED_VALUE"""),7358.0)</f>
        <v>7358</v>
      </c>
      <c r="D272" s="9"/>
      <c r="E272" s="10" t="str">
        <f>IFERROR(__xludf.DUMMYFUNCTION("""COMPUTED_VALUE"""),"GREENRELAIS")</f>
        <v>GREENRELAIS</v>
      </c>
      <c r="F272" s="10">
        <f>IFERROR(__xludf.DUMMYFUNCTION("""COMPUTED_VALUE"""),4.25)</f>
        <v>4.25</v>
      </c>
      <c r="G272" s="9">
        <f>IFERROR(__xludf.DUMMYFUNCTION("""COMPUTED_VALUE"""),4.25)</f>
        <v>4.25</v>
      </c>
      <c r="H272" s="9">
        <f>IFERROR(__xludf.DUMMYFUNCTION("""COMPUTED_VALUE"""),1.0)</f>
        <v>1</v>
      </c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</row>
    <row r="273" ht="15.75" customHeight="1">
      <c r="A273" s="11">
        <f>IFERROR(__xludf.DUMMYFUNCTION("""COMPUTED_VALUE"""),44471.0)</f>
        <v>44471</v>
      </c>
      <c r="B273" s="9">
        <f>IFERROR(__xludf.DUMMYFUNCTION("""COMPUTED_VALUE"""),1003325.0)</f>
        <v>1003325</v>
      </c>
      <c r="C273" s="9">
        <f>IFERROR(__xludf.DUMMYFUNCTION("""COMPUTED_VALUE"""),99263.0)</f>
        <v>99263</v>
      </c>
      <c r="D273" s="9"/>
      <c r="E273" s="10" t="str">
        <f>IFERROR(__xludf.DUMMYFUNCTION("""COMPUTED_VALUE"""),"GREENRELAIS")</f>
        <v>GREENRELAIS</v>
      </c>
      <c r="F273" s="10">
        <f>IFERROR(__xludf.DUMMYFUNCTION("""COMPUTED_VALUE"""),3.4)</f>
        <v>3.4</v>
      </c>
      <c r="G273" s="9">
        <f>IFERROR(__xludf.DUMMYFUNCTION("""COMPUTED_VALUE"""),3.4)</f>
        <v>3.4</v>
      </c>
      <c r="H273" s="9">
        <f>IFERROR(__xludf.DUMMYFUNCTION("""COMPUTED_VALUE"""),1.0)</f>
        <v>1</v>
      </c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</row>
    <row r="274" ht="15.75" customHeight="1">
      <c r="A274" s="11">
        <f>IFERROR(__xludf.DUMMYFUNCTION("""COMPUTED_VALUE"""),44471.0)</f>
        <v>44471</v>
      </c>
      <c r="B274" s="9">
        <f>IFERROR(__xludf.DUMMYFUNCTION("""COMPUTED_VALUE"""),1003325.0)</f>
        <v>1003325</v>
      </c>
      <c r="C274" s="9">
        <f>IFERROR(__xludf.DUMMYFUNCTION("""COMPUTED_VALUE"""),116821.0)</f>
        <v>116821</v>
      </c>
      <c r="D274" s="9"/>
      <c r="E274" s="10" t="str">
        <f>IFERROR(__xludf.DUMMYFUNCTION("""COMPUTED_VALUE"""),"GREENRELAIS")</f>
        <v>GREENRELAIS</v>
      </c>
      <c r="F274" s="10">
        <f>IFERROR(__xludf.DUMMYFUNCTION("""COMPUTED_VALUE"""),6.62)</f>
        <v>6.62</v>
      </c>
      <c r="G274" s="9">
        <f>IFERROR(__xludf.DUMMYFUNCTION("""COMPUTED_VALUE"""),6.62)</f>
        <v>6.62</v>
      </c>
      <c r="H274" s="9">
        <f>IFERROR(__xludf.DUMMYFUNCTION("""COMPUTED_VALUE"""),1.0)</f>
        <v>1</v>
      </c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</row>
    <row r="275" ht="15.75" customHeight="1">
      <c r="A275" s="11">
        <f>IFERROR(__xludf.DUMMYFUNCTION("""COMPUTED_VALUE"""),44471.0)</f>
        <v>44471</v>
      </c>
      <c r="B275" s="9">
        <f>IFERROR(__xludf.DUMMYFUNCTION("""COMPUTED_VALUE"""),1003325.0)</f>
        <v>1003325</v>
      </c>
      <c r="C275" s="9">
        <f>IFERROR(__xludf.DUMMYFUNCTION("""COMPUTED_VALUE"""),5869.0)</f>
        <v>5869</v>
      </c>
      <c r="D275" s="9"/>
      <c r="E275" s="10" t="str">
        <f>IFERROR(__xludf.DUMMYFUNCTION("""COMPUTED_VALUE"""),"GREENRELAIS")</f>
        <v>GREENRELAIS</v>
      </c>
      <c r="F275" s="10">
        <f>IFERROR(__xludf.DUMMYFUNCTION("""COMPUTED_VALUE"""),2.85)</f>
        <v>2.85</v>
      </c>
      <c r="G275" s="9">
        <f>IFERROR(__xludf.DUMMYFUNCTION("""COMPUTED_VALUE"""),2.85)</f>
        <v>2.85</v>
      </c>
      <c r="H275" s="9">
        <f>IFERROR(__xludf.DUMMYFUNCTION("""COMPUTED_VALUE"""),1.0)</f>
        <v>1</v>
      </c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</row>
    <row r="276" ht="15.75" customHeight="1">
      <c r="A276" s="11">
        <f>IFERROR(__xludf.DUMMYFUNCTION("""COMPUTED_VALUE"""),44471.0)</f>
        <v>44471</v>
      </c>
      <c r="B276" s="9">
        <f>IFERROR(__xludf.DUMMYFUNCTION("""COMPUTED_VALUE"""),1003325.0)</f>
        <v>1003325</v>
      </c>
      <c r="C276" s="9">
        <f>IFERROR(__xludf.DUMMYFUNCTION("""COMPUTED_VALUE"""),117218.0)</f>
        <v>117218</v>
      </c>
      <c r="D276" s="9"/>
      <c r="E276" s="10" t="str">
        <f>IFERROR(__xludf.DUMMYFUNCTION("""COMPUTED_VALUE"""),"GREENRELAIS")</f>
        <v>GREENRELAIS</v>
      </c>
      <c r="F276" s="10">
        <f>IFERROR(__xludf.DUMMYFUNCTION("""COMPUTED_VALUE"""),3.24)</f>
        <v>3.24</v>
      </c>
      <c r="G276" s="9">
        <f>IFERROR(__xludf.DUMMYFUNCTION("""COMPUTED_VALUE"""),3.24)</f>
        <v>3.24</v>
      </c>
      <c r="H276" s="9">
        <f>IFERROR(__xludf.DUMMYFUNCTION("""COMPUTED_VALUE"""),1.0)</f>
        <v>1</v>
      </c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</row>
    <row r="277" ht="15.75" customHeight="1">
      <c r="A277" s="11">
        <f>IFERROR(__xludf.DUMMYFUNCTION("""COMPUTED_VALUE"""),44471.0)</f>
        <v>44471</v>
      </c>
      <c r="B277" s="9">
        <f>IFERROR(__xludf.DUMMYFUNCTION("""COMPUTED_VALUE"""),1003325.0)</f>
        <v>1003325</v>
      </c>
      <c r="C277" s="9">
        <f>IFERROR(__xludf.DUMMYFUNCTION("""COMPUTED_VALUE"""),91064.0)</f>
        <v>91064</v>
      </c>
      <c r="D277" s="9"/>
      <c r="E277" s="10" t="str">
        <f>IFERROR(__xludf.DUMMYFUNCTION("""COMPUTED_VALUE"""),"GREENRELAIS")</f>
        <v>GREENRELAIS</v>
      </c>
      <c r="F277" s="10">
        <f>IFERROR(__xludf.DUMMYFUNCTION("""COMPUTED_VALUE"""),2.37)</f>
        <v>2.37</v>
      </c>
      <c r="G277" s="9">
        <f>IFERROR(__xludf.DUMMYFUNCTION("""COMPUTED_VALUE"""),2.37)</f>
        <v>2.37</v>
      </c>
      <c r="H277" s="9">
        <f>IFERROR(__xludf.DUMMYFUNCTION("""COMPUTED_VALUE"""),1.0)</f>
        <v>1</v>
      </c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</row>
    <row r="278" ht="15.75" customHeight="1">
      <c r="A278" s="11">
        <f>IFERROR(__xludf.DUMMYFUNCTION("""COMPUTED_VALUE"""),44471.0)</f>
        <v>44471</v>
      </c>
      <c r="B278" s="9">
        <f>IFERROR(__xludf.DUMMYFUNCTION("""COMPUTED_VALUE"""),1003325.0)</f>
        <v>1003325</v>
      </c>
      <c r="C278" s="9">
        <f>IFERROR(__xludf.DUMMYFUNCTION("""COMPUTED_VALUE"""),76046.0)</f>
        <v>76046</v>
      </c>
      <c r="D278" s="10" t="str">
        <f>IFERROR(__xludf.DUMMYFUNCTION("""COMPUTED_VALUE"""),"Vive le bio")</f>
        <v>Vive le bio</v>
      </c>
      <c r="E278" s="10" t="str">
        <f>IFERROR(__xludf.DUMMYFUNCTION("""COMPUTED_VALUE"""),"GREENRELAIS")</f>
        <v>GREENRELAIS</v>
      </c>
      <c r="F278" s="10">
        <f>IFERROR(__xludf.DUMMYFUNCTION("""COMPUTED_VALUE"""),17.0666666666666)</f>
        <v>17.06666667</v>
      </c>
      <c r="G278" s="9">
        <f>IFERROR(__xludf.DUMMYFUNCTION("""COMPUTED_VALUE"""),15.36)</f>
        <v>15.36</v>
      </c>
      <c r="H278" s="9">
        <f>IFERROR(__xludf.DUMMYFUNCTION("""COMPUTED_VALUE"""),2.0)</f>
        <v>2</v>
      </c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</row>
    <row r="279" ht="15.75" customHeight="1">
      <c r="A279" s="11">
        <f>IFERROR(__xludf.DUMMYFUNCTION("""COMPUTED_VALUE"""),44471.0)</f>
        <v>44471</v>
      </c>
      <c r="B279" s="9">
        <f>IFERROR(__xludf.DUMMYFUNCTION("""COMPUTED_VALUE"""),1003325.0)</f>
        <v>1003325</v>
      </c>
      <c r="C279" s="9">
        <f>IFERROR(__xludf.DUMMYFUNCTION("""COMPUTED_VALUE"""),109310.0)</f>
        <v>109310</v>
      </c>
      <c r="D279" s="9"/>
      <c r="E279" s="10" t="str">
        <f>IFERROR(__xludf.DUMMYFUNCTION("""COMPUTED_VALUE"""),"GREENRELAIS")</f>
        <v>GREENRELAIS</v>
      </c>
      <c r="F279" s="10">
        <f>IFERROR(__xludf.DUMMYFUNCTION("""COMPUTED_VALUE"""),12.54)</f>
        <v>12.54</v>
      </c>
      <c r="G279" s="9">
        <f>IFERROR(__xludf.DUMMYFUNCTION("""COMPUTED_VALUE"""),12.54)</f>
        <v>12.54</v>
      </c>
      <c r="H279" s="9">
        <f>IFERROR(__xludf.DUMMYFUNCTION("""COMPUTED_VALUE"""),2.0)</f>
        <v>2</v>
      </c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</row>
    <row r="280" ht="15.75" customHeight="1">
      <c r="A280" s="11">
        <f>IFERROR(__xludf.DUMMYFUNCTION("""COMPUTED_VALUE"""),44471.0)</f>
        <v>44471</v>
      </c>
      <c r="B280" s="9">
        <f>IFERROR(__xludf.DUMMYFUNCTION("""COMPUTED_VALUE"""),1003325.0)</f>
        <v>1003325</v>
      </c>
      <c r="C280" s="9">
        <f>IFERROR(__xludf.DUMMYFUNCTION("""COMPUTED_VALUE"""),80785.0)</f>
        <v>80785</v>
      </c>
      <c r="D280" s="9"/>
      <c r="E280" s="10" t="str">
        <f>IFERROR(__xludf.DUMMYFUNCTION("""COMPUTED_VALUE"""),"GREENRELAIS")</f>
        <v>GREENRELAIS</v>
      </c>
      <c r="F280" s="10">
        <f>IFERROR(__xludf.DUMMYFUNCTION("""COMPUTED_VALUE"""),2.98)</f>
        <v>2.98</v>
      </c>
      <c r="G280" s="9">
        <f>IFERROR(__xludf.DUMMYFUNCTION("""COMPUTED_VALUE"""),2.98)</f>
        <v>2.98</v>
      </c>
      <c r="H280" s="9">
        <f>IFERROR(__xludf.DUMMYFUNCTION("""COMPUTED_VALUE"""),2.0)</f>
        <v>2</v>
      </c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</row>
    <row r="281" ht="15.75" customHeight="1">
      <c r="A281" s="11">
        <f>IFERROR(__xludf.DUMMYFUNCTION("""COMPUTED_VALUE"""),44471.0)</f>
        <v>44471</v>
      </c>
      <c r="B281" s="9">
        <f>IFERROR(__xludf.DUMMYFUNCTION("""COMPUTED_VALUE"""),1003326.0)</f>
        <v>1003326</v>
      </c>
      <c r="C281" s="9">
        <f>IFERROR(__xludf.DUMMYFUNCTION("""COMPUTED_VALUE"""),104609.0)</f>
        <v>104609</v>
      </c>
      <c r="D281" s="9"/>
      <c r="E281" s="10" t="str">
        <f>IFERROR(__xludf.DUMMYFUNCTION("""COMPUTED_VALUE"""),"HAPPEEZ")</f>
        <v>HAPPEEZ</v>
      </c>
      <c r="F281" s="10">
        <f>IFERROR(__xludf.DUMMYFUNCTION("""COMPUTED_VALUE"""),5.25)</f>
        <v>5.25</v>
      </c>
      <c r="G281" s="9">
        <f>IFERROR(__xludf.DUMMYFUNCTION("""COMPUTED_VALUE"""),5.25)</f>
        <v>5.25</v>
      </c>
      <c r="H281" s="9">
        <f>IFERROR(__xludf.DUMMYFUNCTION("""COMPUTED_VALUE"""),1.0)</f>
        <v>1</v>
      </c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</row>
    <row r="282" ht="15.75" customHeight="1">
      <c r="A282" s="11">
        <f>IFERROR(__xludf.DUMMYFUNCTION("""COMPUTED_VALUE"""),44471.0)</f>
        <v>44471</v>
      </c>
      <c r="B282" s="9">
        <f>IFERROR(__xludf.DUMMYFUNCTION("""COMPUTED_VALUE"""),1003326.0)</f>
        <v>1003326</v>
      </c>
      <c r="C282" s="9">
        <f>IFERROR(__xludf.DUMMYFUNCTION("""COMPUTED_VALUE"""),188724.0)</f>
        <v>188724</v>
      </c>
      <c r="D282" s="9"/>
      <c r="E282" s="10" t="str">
        <f>IFERROR(__xludf.DUMMYFUNCTION("""COMPUTED_VALUE"""),"HAPPEEZ")</f>
        <v>HAPPEEZ</v>
      </c>
      <c r="F282" s="10">
        <f>IFERROR(__xludf.DUMMYFUNCTION("""COMPUTED_VALUE"""),2.13)</f>
        <v>2.13</v>
      </c>
      <c r="G282" s="9">
        <f>IFERROR(__xludf.DUMMYFUNCTION("""COMPUTED_VALUE"""),2.13)</f>
        <v>2.13</v>
      </c>
      <c r="H282" s="9">
        <f>IFERROR(__xludf.DUMMYFUNCTION("""COMPUTED_VALUE"""),1.0)</f>
        <v>1</v>
      </c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</row>
    <row r="283" ht="15.75" customHeight="1">
      <c r="A283" s="11">
        <f>IFERROR(__xludf.DUMMYFUNCTION("""COMPUTED_VALUE"""),44471.0)</f>
        <v>44471</v>
      </c>
      <c r="B283" s="9">
        <f>IFERROR(__xludf.DUMMYFUNCTION("""COMPUTED_VALUE"""),1003326.0)</f>
        <v>1003326</v>
      </c>
      <c r="C283" s="9">
        <f>IFERROR(__xludf.DUMMYFUNCTION("""COMPUTED_VALUE"""),6027.0)</f>
        <v>6027</v>
      </c>
      <c r="D283" s="9"/>
      <c r="E283" s="10" t="str">
        <f>IFERROR(__xludf.DUMMYFUNCTION("""COMPUTED_VALUE"""),"HAPPEEZ")</f>
        <v>HAPPEEZ</v>
      </c>
      <c r="F283" s="10">
        <f>IFERROR(__xludf.DUMMYFUNCTION("""COMPUTED_VALUE"""),5.52)</f>
        <v>5.52</v>
      </c>
      <c r="G283" s="9">
        <f>IFERROR(__xludf.DUMMYFUNCTION("""COMPUTED_VALUE"""),5.52)</f>
        <v>5.52</v>
      </c>
      <c r="H283" s="9">
        <f>IFERROR(__xludf.DUMMYFUNCTION("""COMPUTED_VALUE"""),1.0)</f>
        <v>1</v>
      </c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</row>
    <row r="284" ht="15.75" customHeight="1">
      <c r="A284" s="11">
        <f>IFERROR(__xludf.DUMMYFUNCTION("""COMPUTED_VALUE"""),44471.0)</f>
        <v>44471</v>
      </c>
      <c r="B284" s="9">
        <f>IFERROR(__xludf.DUMMYFUNCTION("""COMPUTED_VALUE"""),1003326.0)</f>
        <v>1003326</v>
      </c>
      <c r="C284" s="9">
        <f>IFERROR(__xludf.DUMMYFUNCTION("""COMPUTED_VALUE"""),87839.0)</f>
        <v>87839</v>
      </c>
      <c r="D284" s="9"/>
      <c r="E284" s="10" t="str">
        <f>IFERROR(__xludf.DUMMYFUNCTION("""COMPUTED_VALUE"""),"HAPPEEZ")</f>
        <v>HAPPEEZ</v>
      </c>
      <c r="F284" s="10">
        <f>IFERROR(__xludf.DUMMYFUNCTION("""COMPUTED_VALUE"""),8.81)</f>
        <v>8.81</v>
      </c>
      <c r="G284" s="9">
        <f>IFERROR(__xludf.DUMMYFUNCTION("""COMPUTED_VALUE"""),8.81)</f>
        <v>8.81</v>
      </c>
      <c r="H284" s="9">
        <f>IFERROR(__xludf.DUMMYFUNCTION("""COMPUTED_VALUE"""),1.0)</f>
        <v>1</v>
      </c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</row>
    <row r="285" ht="15.75" customHeight="1">
      <c r="A285" s="11">
        <f>IFERROR(__xludf.DUMMYFUNCTION("""COMPUTED_VALUE"""),44471.0)</f>
        <v>44471</v>
      </c>
      <c r="B285" s="9">
        <f>IFERROR(__xludf.DUMMYFUNCTION("""COMPUTED_VALUE"""),1003326.0)</f>
        <v>1003326</v>
      </c>
      <c r="C285" s="9">
        <f>IFERROR(__xludf.DUMMYFUNCTION("""COMPUTED_VALUE"""),188723.0)</f>
        <v>188723</v>
      </c>
      <c r="D285" s="9"/>
      <c r="E285" s="10" t="str">
        <f>IFERROR(__xludf.DUMMYFUNCTION("""COMPUTED_VALUE"""),"HAPPEEZ")</f>
        <v>HAPPEEZ</v>
      </c>
      <c r="F285" s="10">
        <f>IFERROR(__xludf.DUMMYFUNCTION("""COMPUTED_VALUE"""),2.41)</f>
        <v>2.41</v>
      </c>
      <c r="G285" s="9">
        <f>IFERROR(__xludf.DUMMYFUNCTION("""COMPUTED_VALUE"""),2.41)</f>
        <v>2.41</v>
      </c>
      <c r="H285" s="9">
        <f>IFERROR(__xludf.DUMMYFUNCTION("""COMPUTED_VALUE"""),1.0)</f>
        <v>1</v>
      </c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</row>
    <row r="286" ht="15.75" customHeight="1">
      <c r="A286" s="11">
        <f>IFERROR(__xludf.DUMMYFUNCTION("""COMPUTED_VALUE"""),44471.0)</f>
        <v>44471</v>
      </c>
      <c r="B286" s="9">
        <f>IFERROR(__xludf.DUMMYFUNCTION("""COMPUTED_VALUE"""),1003326.0)</f>
        <v>1003326</v>
      </c>
      <c r="C286" s="9">
        <f>IFERROR(__xludf.DUMMYFUNCTION("""COMPUTED_VALUE"""),120422.0)</f>
        <v>120422</v>
      </c>
      <c r="D286" s="9"/>
      <c r="E286" s="10" t="str">
        <f>IFERROR(__xludf.DUMMYFUNCTION("""COMPUTED_VALUE"""),"HAPPEEZ")</f>
        <v>HAPPEEZ</v>
      </c>
      <c r="F286" s="10">
        <f>IFERROR(__xludf.DUMMYFUNCTION("""COMPUTED_VALUE"""),3.81)</f>
        <v>3.81</v>
      </c>
      <c r="G286" s="9">
        <f>IFERROR(__xludf.DUMMYFUNCTION("""COMPUTED_VALUE"""),3.81)</f>
        <v>3.81</v>
      </c>
      <c r="H286" s="9">
        <f>IFERROR(__xludf.DUMMYFUNCTION("""COMPUTED_VALUE"""),1.0)</f>
        <v>1</v>
      </c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</row>
    <row r="287" ht="15.75" customHeight="1">
      <c r="A287" s="11">
        <f>IFERROR(__xludf.DUMMYFUNCTION("""COMPUTED_VALUE"""),44471.0)</f>
        <v>44471</v>
      </c>
      <c r="B287" s="9">
        <f>IFERROR(__xludf.DUMMYFUNCTION("""COMPUTED_VALUE"""),1003326.0)</f>
        <v>1003326</v>
      </c>
      <c r="C287" s="9">
        <f>IFERROR(__xludf.DUMMYFUNCTION("""COMPUTED_VALUE"""),10651.0)</f>
        <v>10651</v>
      </c>
      <c r="D287" s="10" t="str">
        <f>IFERROR(__xludf.DUMMYFUNCTION("""COMPUTED_VALUE"""),"DLC courtes")</f>
        <v>DLC courtes</v>
      </c>
      <c r="E287" s="10" t="str">
        <f>IFERROR(__xludf.DUMMYFUNCTION("""COMPUTED_VALUE"""),"HAPPEEZ")</f>
        <v>HAPPEEZ</v>
      </c>
      <c r="F287" s="10">
        <f>IFERROR(__xludf.DUMMYFUNCTION("""COMPUTED_VALUE"""),1.35)</f>
        <v>1.35</v>
      </c>
      <c r="G287" s="9">
        <f>IFERROR(__xludf.DUMMYFUNCTION("""COMPUTED_VALUE"""),1.08)</f>
        <v>1.08</v>
      </c>
      <c r="H287" s="9">
        <f>IFERROR(__xludf.DUMMYFUNCTION("""COMPUTED_VALUE"""),1.0)</f>
        <v>1</v>
      </c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</row>
    <row r="288" ht="15.75" customHeight="1">
      <c r="A288" s="11">
        <f>IFERROR(__xludf.DUMMYFUNCTION("""COMPUTED_VALUE"""),44471.0)</f>
        <v>44471</v>
      </c>
      <c r="B288" s="9">
        <f>IFERROR(__xludf.DUMMYFUNCTION("""COMPUTED_VALUE"""),1003326.0)</f>
        <v>1003326</v>
      </c>
      <c r="C288" s="9">
        <f>IFERROR(__xludf.DUMMYFUNCTION("""COMPUTED_VALUE"""),117139.0)</f>
        <v>117139</v>
      </c>
      <c r="D288" s="9"/>
      <c r="E288" s="10" t="str">
        <f>IFERROR(__xludf.DUMMYFUNCTION("""COMPUTED_VALUE"""),"HAPPEEZ")</f>
        <v>HAPPEEZ</v>
      </c>
      <c r="F288" s="10">
        <f>IFERROR(__xludf.DUMMYFUNCTION("""COMPUTED_VALUE"""),8.07)</f>
        <v>8.07</v>
      </c>
      <c r="G288" s="9">
        <f>IFERROR(__xludf.DUMMYFUNCTION("""COMPUTED_VALUE"""),8.07)</f>
        <v>8.07</v>
      </c>
      <c r="H288" s="9">
        <f>IFERROR(__xludf.DUMMYFUNCTION("""COMPUTED_VALUE"""),1.0)</f>
        <v>1</v>
      </c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</row>
    <row r="289" ht="15.75" customHeight="1">
      <c r="A289" s="11">
        <f>IFERROR(__xludf.DUMMYFUNCTION("""COMPUTED_VALUE"""),44471.0)</f>
        <v>44471</v>
      </c>
      <c r="B289" s="9">
        <f>IFERROR(__xludf.DUMMYFUNCTION("""COMPUTED_VALUE"""),1003326.0)</f>
        <v>1003326</v>
      </c>
      <c r="C289" s="9">
        <f>IFERROR(__xludf.DUMMYFUNCTION("""COMPUTED_VALUE"""),27764.0)</f>
        <v>27764</v>
      </c>
      <c r="D289" s="9"/>
      <c r="E289" s="10" t="str">
        <f>IFERROR(__xludf.DUMMYFUNCTION("""COMPUTED_VALUE"""),"HAPPEEZ")</f>
        <v>HAPPEEZ</v>
      </c>
      <c r="F289" s="10">
        <f>IFERROR(__xludf.DUMMYFUNCTION("""COMPUTED_VALUE"""),9.32)</f>
        <v>9.32</v>
      </c>
      <c r="G289" s="9">
        <f>IFERROR(__xludf.DUMMYFUNCTION("""COMPUTED_VALUE"""),9.32)</f>
        <v>9.32</v>
      </c>
      <c r="H289" s="9">
        <f>IFERROR(__xludf.DUMMYFUNCTION("""COMPUTED_VALUE"""),1.0)</f>
        <v>1</v>
      </c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</row>
    <row r="290" ht="15.75" customHeight="1">
      <c r="A290" s="11">
        <f>IFERROR(__xludf.DUMMYFUNCTION("""COMPUTED_VALUE"""),44471.0)</f>
        <v>44471</v>
      </c>
      <c r="B290" s="9">
        <f>IFERROR(__xludf.DUMMYFUNCTION("""COMPUTED_VALUE"""),1003326.0)</f>
        <v>1003326</v>
      </c>
      <c r="C290" s="9">
        <f>IFERROR(__xludf.DUMMYFUNCTION("""COMPUTED_VALUE"""),114934.0)</f>
        <v>114934</v>
      </c>
      <c r="D290" s="9"/>
      <c r="E290" s="10" t="str">
        <f>IFERROR(__xludf.DUMMYFUNCTION("""COMPUTED_VALUE"""),"HAPPEEZ")</f>
        <v>HAPPEEZ</v>
      </c>
      <c r="F290" s="10">
        <f>IFERROR(__xludf.DUMMYFUNCTION("""COMPUTED_VALUE"""),3.09)</f>
        <v>3.09</v>
      </c>
      <c r="G290" s="9">
        <f>IFERROR(__xludf.DUMMYFUNCTION("""COMPUTED_VALUE"""),3.09)</f>
        <v>3.09</v>
      </c>
      <c r="H290" s="9">
        <f>IFERROR(__xludf.DUMMYFUNCTION("""COMPUTED_VALUE"""),1.0)</f>
        <v>1</v>
      </c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</row>
    <row r="291" ht="15.75" customHeight="1">
      <c r="A291" s="11">
        <f>IFERROR(__xludf.DUMMYFUNCTION("""COMPUTED_VALUE"""),44471.0)</f>
        <v>44471</v>
      </c>
      <c r="B291" s="9">
        <f>IFERROR(__xludf.DUMMYFUNCTION("""COMPUTED_VALUE"""),1003326.0)</f>
        <v>1003326</v>
      </c>
      <c r="C291" s="9">
        <f>IFERROR(__xludf.DUMMYFUNCTION("""COMPUTED_VALUE"""),49068.0)</f>
        <v>49068</v>
      </c>
      <c r="D291" s="9"/>
      <c r="E291" s="10" t="str">
        <f>IFERROR(__xludf.DUMMYFUNCTION("""COMPUTED_VALUE"""),"HAPPEEZ")</f>
        <v>HAPPEEZ</v>
      </c>
      <c r="F291" s="10">
        <f>IFERROR(__xludf.DUMMYFUNCTION("""COMPUTED_VALUE"""),10.86)</f>
        <v>10.86</v>
      </c>
      <c r="G291" s="9">
        <f>IFERROR(__xludf.DUMMYFUNCTION("""COMPUTED_VALUE"""),10.86)</f>
        <v>10.86</v>
      </c>
      <c r="H291" s="9">
        <f>IFERROR(__xludf.DUMMYFUNCTION("""COMPUTED_VALUE"""),1.0)</f>
        <v>1</v>
      </c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</row>
    <row r="292" ht="15.75" customHeight="1">
      <c r="A292" s="11">
        <f>IFERROR(__xludf.DUMMYFUNCTION("""COMPUTED_VALUE"""),44471.0)</f>
        <v>44471</v>
      </c>
      <c r="B292" s="9">
        <f>IFERROR(__xludf.DUMMYFUNCTION("""COMPUTED_VALUE"""),1003326.0)</f>
        <v>1003326</v>
      </c>
      <c r="C292" s="9">
        <f>IFERROR(__xludf.DUMMYFUNCTION("""COMPUTED_VALUE"""),27765.0)</f>
        <v>27765</v>
      </c>
      <c r="D292" s="9"/>
      <c r="E292" s="10" t="str">
        <f>IFERROR(__xludf.DUMMYFUNCTION("""COMPUTED_VALUE"""),"HAPPEEZ")</f>
        <v>HAPPEEZ</v>
      </c>
      <c r="F292" s="10">
        <f>IFERROR(__xludf.DUMMYFUNCTION("""COMPUTED_VALUE"""),7.44)</f>
        <v>7.44</v>
      </c>
      <c r="G292" s="9">
        <f>IFERROR(__xludf.DUMMYFUNCTION("""COMPUTED_VALUE"""),7.44)</f>
        <v>7.44</v>
      </c>
      <c r="H292" s="9">
        <f>IFERROR(__xludf.DUMMYFUNCTION("""COMPUTED_VALUE"""),1.0)</f>
        <v>1</v>
      </c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</row>
    <row r="293" ht="15.75" customHeight="1">
      <c r="A293" s="11">
        <f>IFERROR(__xludf.DUMMYFUNCTION("""COMPUTED_VALUE"""),44471.0)</f>
        <v>44471</v>
      </c>
      <c r="B293" s="9">
        <f>IFERROR(__xludf.DUMMYFUNCTION("""COMPUTED_VALUE"""),1003326.0)</f>
        <v>1003326</v>
      </c>
      <c r="C293" s="9">
        <f>IFERROR(__xludf.DUMMYFUNCTION("""COMPUTED_VALUE"""),103386.0)</f>
        <v>103386</v>
      </c>
      <c r="D293" s="9"/>
      <c r="E293" s="10" t="str">
        <f>IFERROR(__xludf.DUMMYFUNCTION("""COMPUTED_VALUE"""),"HAPPEEZ")</f>
        <v>HAPPEEZ</v>
      </c>
      <c r="F293" s="10">
        <f>IFERROR(__xludf.DUMMYFUNCTION("""COMPUTED_VALUE"""),24.3)</f>
        <v>24.3</v>
      </c>
      <c r="G293" s="9">
        <f>IFERROR(__xludf.DUMMYFUNCTION("""COMPUTED_VALUE"""),24.3)</f>
        <v>24.3</v>
      </c>
      <c r="H293" s="9">
        <f>IFERROR(__xludf.DUMMYFUNCTION("""COMPUTED_VALUE"""),1.0)</f>
        <v>1</v>
      </c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</row>
    <row r="294" ht="15.75" customHeight="1">
      <c r="A294" s="11">
        <f>IFERROR(__xludf.DUMMYFUNCTION("""COMPUTED_VALUE"""),44471.0)</f>
        <v>44471</v>
      </c>
      <c r="B294" s="9">
        <f>IFERROR(__xludf.DUMMYFUNCTION("""COMPUTED_VALUE"""),1003326.0)</f>
        <v>1003326</v>
      </c>
      <c r="C294" s="9">
        <f>IFERROR(__xludf.DUMMYFUNCTION("""COMPUTED_VALUE"""),80634.0)</f>
        <v>80634</v>
      </c>
      <c r="D294" s="10" t="str">
        <f>IFERROR(__xludf.DUMMYFUNCTION("""COMPUTED_VALUE"""),"Vive le bio")</f>
        <v>Vive le bio</v>
      </c>
      <c r="E294" s="10" t="str">
        <f>IFERROR(__xludf.DUMMYFUNCTION("""COMPUTED_VALUE"""),"HAPPEEZ")</f>
        <v>HAPPEEZ</v>
      </c>
      <c r="F294" s="10">
        <f>IFERROR(__xludf.DUMMYFUNCTION("""COMPUTED_VALUE"""),11.1333333333333)</f>
        <v>11.13333333</v>
      </c>
      <c r="G294" s="9">
        <f>IFERROR(__xludf.DUMMYFUNCTION("""COMPUTED_VALUE"""),10.02)</f>
        <v>10.02</v>
      </c>
      <c r="H294" s="9">
        <f>IFERROR(__xludf.DUMMYFUNCTION("""COMPUTED_VALUE"""),2.0)</f>
        <v>2</v>
      </c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</row>
    <row r="295" ht="15.75" customHeight="1">
      <c r="A295" s="11">
        <f>IFERROR(__xludf.DUMMYFUNCTION("""COMPUTED_VALUE"""),44471.0)</f>
        <v>44471</v>
      </c>
      <c r="B295" s="9">
        <f>IFERROR(__xludf.DUMMYFUNCTION("""COMPUTED_VALUE"""),1003326.0)</f>
        <v>1003326</v>
      </c>
      <c r="C295" s="9">
        <f>IFERROR(__xludf.DUMMYFUNCTION("""COMPUTED_VALUE"""),68858.0)</f>
        <v>68858</v>
      </c>
      <c r="D295" s="10" t="str">
        <f>IFERROR(__xludf.DUMMYFUNCTION("""COMPUTED_VALUE"""),"Vive le bio")</f>
        <v>Vive le bio</v>
      </c>
      <c r="E295" s="10" t="str">
        <f>IFERROR(__xludf.DUMMYFUNCTION("""COMPUTED_VALUE"""),"HAPPEEZ")</f>
        <v>HAPPEEZ</v>
      </c>
      <c r="F295" s="10">
        <f>IFERROR(__xludf.DUMMYFUNCTION("""COMPUTED_VALUE"""),6.05555555555555)</f>
        <v>6.055555556</v>
      </c>
      <c r="G295" s="9">
        <f>IFERROR(__xludf.DUMMYFUNCTION("""COMPUTED_VALUE"""),5.45)</f>
        <v>5.45</v>
      </c>
      <c r="H295" s="9">
        <f>IFERROR(__xludf.DUMMYFUNCTION("""COMPUTED_VALUE"""),2.0)</f>
        <v>2</v>
      </c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</row>
    <row r="296" ht="15.75" customHeight="1">
      <c r="A296" s="11">
        <f>IFERROR(__xludf.DUMMYFUNCTION("""COMPUTED_VALUE"""),44471.0)</f>
        <v>44471</v>
      </c>
      <c r="B296" s="9">
        <f>IFERROR(__xludf.DUMMYFUNCTION("""COMPUTED_VALUE"""),1003327.0)</f>
        <v>1003327</v>
      </c>
      <c r="C296" s="9">
        <f>IFERROR(__xludf.DUMMYFUNCTION("""COMPUTED_VALUE"""),6876.0)</f>
        <v>6876</v>
      </c>
      <c r="D296" s="9"/>
      <c r="E296" s="9"/>
      <c r="F296" s="9">
        <f>IFERROR(__xludf.DUMMYFUNCTION("""COMPUTED_VALUE"""),2.63)</f>
        <v>2.63</v>
      </c>
      <c r="G296" s="9">
        <f>IFERROR(__xludf.DUMMYFUNCTION("""COMPUTED_VALUE"""),2.63)</f>
        <v>2.63</v>
      </c>
      <c r="H296" s="9">
        <f>IFERROR(__xludf.DUMMYFUNCTION("""COMPUTED_VALUE"""),1.0)</f>
        <v>1</v>
      </c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</row>
    <row r="297" ht="15.75" customHeight="1">
      <c r="A297" s="11">
        <f>IFERROR(__xludf.DUMMYFUNCTION("""COMPUTED_VALUE"""),44471.0)</f>
        <v>44471</v>
      </c>
      <c r="B297" s="9">
        <f>IFERROR(__xludf.DUMMYFUNCTION("""COMPUTED_VALUE"""),1003327.0)</f>
        <v>1003327</v>
      </c>
      <c r="C297" s="9">
        <f>IFERROR(__xludf.DUMMYFUNCTION("""COMPUTED_VALUE"""),122213.0)</f>
        <v>122213</v>
      </c>
      <c r="D297" s="9"/>
      <c r="E297" s="9"/>
      <c r="F297" s="9">
        <f>IFERROR(__xludf.DUMMYFUNCTION("""COMPUTED_VALUE"""),1.94)</f>
        <v>1.94</v>
      </c>
      <c r="G297" s="9">
        <f>IFERROR(__xludf.DUMMYFUNCTION("""COMPUTED_VALUE"""),1.94)</f>
        <v>1.94</v>
      </c>
      <c r="H297" s="9">
        <f>IFERROR(__xludf.DUMMYFUNCTION("""COMPUTED_VALUE"""),1.0)</f>
        <v>1</v>
      </c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</row>
    <row r="298" ht="15.75" customHeight="1">
      <c r="A298" s="11">
        <f>IFERROR(__xludf.DUMMYFUNCTION("""COMPUTED_VALUE"""),44471.0)</f>
        <v>44471</v>
      </c>
      <c r="B298" s="9">
        <f>IFERROR(__xludf.DUMMYFUNCTION("""COMPUTED_VALUE"""),1003327.0)</f>
        <v>1003327</v>
      </c>
      <c r="C298" s="9">
        <f>IFERROR(__xludf.DUMMYFUNCTION("""COMPUTED_VALUE"""),79888.0)</f>
        <v>79888</v>
      </c>
      <c r="D298" s="9"/>
      <c r="E298" s="9"/>
      <c r="F298" s="9">
        <f>IFERROR(__xludf.DUMMYFUNCTION("""COMPUTED_VALUE"""),2.01)</f>
        <v>2.01</v>
      </c>
      <c r="G298" s="9">
        <f>IFERROR(__xludf.DUMMYFUNCTION("""COMPUTED_VALUE"""),2.01)</f>
        <v>2.01</v>
      </c>
      <c r="H298" s="9">
        <f>IFERROR(__xludf.DUMMYFUNCTION("""COMPUTED_VALUE"""),1.0)</f>
        <v>1</v>
      </c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</row>
    <row r="299" ht="15.75" customHeight="1">
      <c r="A299" s="11">
        <f>IFERROR(__xludf.DUMMYFUNCTION("""COMPUTED_VALUE"""),44471.0)</f>
        <v>44471</v>
      </c>
      <c r="B299" s="9">
        <f>IFERROR(__xludf.DUMMYFUNCTION("""COMPUTED_VALUE"""),1003327.0)</f>
        <v>1003327</v>
      </c>
      <c r="C299" s="9">
        <f>IFERROR(__xludf.DUMMYFUNCTION("""COMPUTED_VALUE"""),9648.0)</f>
        <v>9648</v>
      </c>
      <c r="D299" s="9"/>
      <c r="E299" s="9"/>
      <c r="F299" s="9">
        <f>IFERROR(__xludf.DUMMYFUNCTION("""COMPUTED_VALUE"""),2.39)</f>
        <v>2.39</v>
      </c>
      <c r="G299" s="9">
        <f>IFERROR(__xludf.DUMMYFUNCTION("""COMPUTED_VALUE"""),2.39)</f>
        <v>2.39</v>
      </c>
      <c r="H299" s="9">
        <f>IFERROR(__xludf.DUMMYFUNCTION("""COMPUTED_VALUE"""),1.0)</f>
        <v>1</v>
      </c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</row>
    <row r="300" ht="15.75" customHeight="1">
      <c r="A300" s="11">
        <f>IFERROR(__xludf.DUMMYFUNCTION("""COMPUTED_VALUE"""),44471.0)</f>
        <v>44471</v>
      </c>
      <c r="B300" s="9">
        <f>IFERROR(__xludf.DUMMYFUNCTION("""COMPUTED_VALUE"""),1003327.0)</f>
        <v>1003327</v>
      </c>
      <c r="C300" s="9">
        <f>IFERROR(__xludf.DUMMYFUNCTION("""COMPUTED_VALUE"""),9647.0)</f>
        <v>9647</v>
      </c>
      <c r="D300" s="9"/>
      <c r="E300" s="9"/>
      <c r="F300" s="9">
        <f>IFERROR(__xludf.DUMMYFUNCTION("""COMPUTED_VALUE"""),2.89)</f>
        <v>2.89</v>
      </c>
      <c r="G300" s="9">
        <f>IFERROR(__xludf.DUMMYFUNCTION("""COMPUTED_VALUE"""),2.89)</f>
        <v>2.89</v>
      </c>
      <c r="H300" s="9">
        <f>IFERROR(__xludf.DUMMYFUNCTION("""COMPUTED_VALUE"""),1.0)</f>
        <v>1</v>
      </c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</row>
    <row r="301" ht="15.75" customHeight="1">
      <c r="A301" s="11">
        <f>IFERROR(__xludf.DUMMYFUNCTION("""COMPUTED_VALUE"""),44471.0)</f>
        <v>44471</v>
      </c>
      <c r="B301" s="9">
        <f>IFERROR(__xludf.DUMMYFUNCTION("""COMPUTED_VALUE"""),1003327.0)</f>
        <v>1003327</v>
      </c>
      <c r="C301" s="9">
        <f>IFERROR(__xludf.DUMMYFUNCTION("""COMPUTED_VALUE"""),99096.0)</f>
        <v>99096</v>
      </c>
      <c r="D301" s="9"/>
      <c r="E301" s="9"/>
      <c r="F301" s="9">
        <f>IFERROR(__xludf.DUMMYFUNCTION("""COMPUTED_VALUE"""),2.65)</f>
        <v>2.65</v>
      </c>
      <c r="G301" s="9">
        <f>IFERROR(__xludf.DUMMYFUNCTION("""COMPUTED_VALUE"""),2.65)</f>
        <v>2.65</v>
      </c>
      <c r="H301" s="9">
        <f>IFERROR(__xludf.DUMMYFUNCTION("""COMPUTED_VALUE"""),1.0)</f>
        <v>1</v>
      </c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</row>
    <row r="302" ht="15.75" customHeight="1">
      <c r="A302" s="11">
        <f>IFERROR(__xludf.DUMMYFUNCTION("""COMPUTED_VALUE"""),44471.0)</f>
        <v>44471</v>
      </c>
      <c r="B302" s="9">
        <f>IFERROR(__xludf.DUMMYFUNCTION("""COMPUTED_VALUE"""),1003327.0)</f>
        <v>1003327</v>
      </c>
      <c r="C302" s="9">
        <f>IFERROR(__xludf.DUMMYFUNCTION("""COMPUTED_VALUE"""),41991.0)</f>
        <v>41991</v>
      </c>
      <c r="D302" s="9"/>
      <c r="E302" s="9"/>
      <c r="F302" s="9">
        <f>IFERROR(__xludf.DUMMYFUNCTION("""COMPUTED_VALUE"""),3.28)</f>
        <v>3.28</v>
      </c>
      <c r="G302" s="9">
        <f>IFERROR(__xludf.DUMMYFUNCTION("""COMPUTED_VALUE"""),3.28)</f>
        <v>3.28</v>
      </c>
      <c r="H302" s="9">
        <f>IFERROR(__xludf.DUMMYFUNCTION("""COMPUTED_VALUE"""),1.0)</f>
        <v>1</v>
      </c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</row>
    <row r="303" ht="15.75" customHeight="1">
      <c r="A303" s="11">
        <f>IFERROR(__xludf.DUMMYFUNCTION("""COMPUTED_VALUE"""),44471.0)</f>
        <v>44471</v>
      </c>
      <c r="B303" s="9">
        <f>IFERROR(__xludf.DUMMYFUNCTION("""COMPUTED_VALUE"""),1003327.0)</f>
        <v>1003327</v>
      </c>
      <c r="C303" s="9">
        <f>IFERROR(__xludf.DUMMYFUNCTION("""COMPUTED_VALUE"""),41981.0)</f>
        <v>41981</v>
      </c>
      <c r="D303" s="9"/>
      <c r="E303" s="9"/>
      <c r="F303" s="9">
        <f>IFERROR(__xludf.DUMMYFUNCTION("""COMPUTED_VALUE"""),2.68)</f>
        <v>2.68</v>
      </c>
      <c r="G303" s="9">
        <f>IFERROR(__xludf.DUMMYFUNCTION("""COMPUTED_VALUE"""),2.68)</f>
        <v>2.68</v>
      </c>
      <c r="H303" s="9">
        <f>IFERROR(__xludf.DUMMYFUNCTION("""COMPUTED_VALUE"""),1.0)</f>
        <v>1</v>
      </c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</row>
    <row r="304" ht="15.75" customHeight="1">
      <c r="A304" s="11">
        <f>IFERROR(__xludf.DUMMYFUNCTION("""COMPUTED_VALUE"""),44471.0)</f>
        <v>44471</v>
      </c>
      <c r="B304" s="9">
        <f>IFERROR(__xludf.DUMMYFUNCTION("""COMPUTED_VALUE"""),1003327.0)</f>
        <v>1003327</v>
      </c>
      <c r="C304" s="9">
        <f>IFERROR(__xludf.DUMMYFUNCTION("""COMPUTED_VALUE"""),120628.0)</f>
        <v>120628</v>
      </c>
      <c r="D304" s="10" t="str">
        <f>IFERROR(__xludf.DUMMYFUNCTION("""COMPUTED_VALUE"""),"Offre speciale")</f>
        <v>Offre speciale</v>
      </c>
      <c r="E304" s="10"/>
      <c r="F304" s="9">
        <f>IFERROR(__xludf.DUMMYFUNCTION("""COMPUTED_VALUE"""),3.85555555555555)</f>
        <v>3.855555556</v>
      </c>
      <c r="G304" s="9">
        <f>IFERROR(__xludf.DUMMYFUNCTION("""COMPUTED_VALUE"""),3.47)</f>
        <v>3.47</v>
      </c>
      <c r="H304" s="9">
        <f>IFERROR(__xludf.DUMMYFUNCTION("""COMPUTED_VALUE"""),1.0)</f>
        <v>1</v>
      </c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</row>
    <row r="305" ht="15.75" customHeight="1">
      <c r="A305" s="11">
        <f>IFERROR(__xludf.DUMMYFUNCTION("""COMPUTED_VALUE"""),44471.0)</f>
        <v>44471</v>
      </c>
      <c r="B305" s="9">
        <f>IFERROR(__xludf.DUMMYFUNCTION("""COMPUTED_VALUE"""),1003327.0)</f>
        <v>1003327</v>
      </c>
      <c r="C305" s="9">
        <f>IFERROR(__xludf.DUMMYFUNCTION("""COMPUTED_VALUE"""),6877.0)</f>
        <v>6877</v>
      </c>
      <c r="D305" s="9"/>
      <c r="E305" s="9"/>
      <c r="F305" s="9">
        <f>IFERROR(__xludf.DUMMYFUNCTION("""COMPUTED_VALUE"""),2.57)</f>
        <v>2.57</v>
      </c>
      <c r="G305" s="9">
        <f>IFERROR(__xludf.DUMMYFUNCTION("""COMPUTED_VALUE"""),2.57)</f>
        <v>2.57</v>
      </c>
      <c r="H305" s="9">
        <f>IFERROR(__xludf.DUMMYFUNCTION("""COMPUTED_VALUE"""),1.0)</f>
        <v>1</v>
      </c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</row>
    <row r="306" ht="15.75" customHeight="1">
      <c r="A306" s="11">
        <f>IFERROR(__xludf.DUMMYFUNCTION("""COMPUTED_VALUE"""),44471.0)</f>
        <v>44471</v>
      </c>
      <c r="B306" s="9">
        <f>IFERROR(__xludf.DUMMYFUNCTION("""COMPUTED_VALUE"""),1003327.0)</f>
        <v>1003327</v>
      </c>
      <c r="C306" s="9">
        <f>IFERROR(__xludf.DUMMYFUNCTION("""COMPUTED_VALUE"""),88020.0)</f>
        <v>88020</v>
      </c>
      <c r="D306" s="9"/>
      <c r="E306" s="9"/>
      <c r="F306" s="9">
        <f>IFERROR(__xludf.DUMMYFUNCTION("""COMPUTED_VALUE"""),3.32)</f>
        <v>3.32</v>
      </c>
      <c r="G306" s="9">
        <f>IFERROR(__xludf.DUMMYFUNCTION("""COMPUTED_VALUE"""),3.32)</f>
        <v>3.32</v>
      </c>
      <c r="H306" s="9">
        <f>IFERROR(__xludf.DUMMYFUNCTION("""COMPUTED_VALUE"""),1.0)</f>
        <v>1</v>
      </c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</row>
    <row r="307" ht="15.75" customHeight="1">
      <c r="A307" s="11">
        <f>IFERROR(__xludf.DUMMYFUNCTION("""COMPUTED_VALUE"""),44471.0)</f>
        <v>44471</v>
      </c>
      <c r="B307" s="9">
        <f>IFERROR(__xludf.DUMMYFUNCTION("""COMPUTED_VALUE"""),1003327.0)</f>
        <v>1003327</v>
      </c>
      <c r="C307" s="9">
        <f>IFERROR(__xludf.DUMMYFUNCTION("""COMPUTED_VALUE"""),76813.0)</f>
        <v>76813</v>
      </c>
      <c r="D307" s="10" t="str">
        <f>IFERROR(__xludf.DUMMYFUNCTION("""COMPUTED_VALUE"""),"Offre speciale")</f>
        <v>Offre speciale</v>
      </c>
      <c r="E307" s="10"/>
      <c r="F307" s="9">
        <f>IFERROR(__xludf.DUMMYFUNCTION("""COMPUTED_VALUE"""),3.07058823529411)</f>
        <v>3.070588235</v>
      </c>
      <c r="G307" s="9">
        <f>IFERROR(__xludf.DUMMYFUNCTION("""COMPUTED_VALUE"""),2.61)</f>
        <v>2.61</v>
      </c>
      <c r="H307" s="9">
        <f>IFERROR(__xludf.DUMMYFUNCTION("""COMPUTED_VALUE"""),1.0)</f>
        <v>1</v>
      </c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</row>
    <row r="308" ht="15.75" customHeight="1">
      <c r="A308" s="11">
        <f>IFERROR(__xludf.DUMMYFUNCTION("""COMPUTED_VALUE"""),44471.0)</f>
        <v>44471</v>
      </c>
      <c r="B308" s="9">
        <f>IFERROR(__xludf.DUMMYFUNCTION("""COMPUTED_VALUE"""),1003327.0)</f>
        <v>1003327</v>
      </c>
      <c r="C308" s="9">
        <f>IFERROR(__xludf.DUMMYFUNCTION("""COMPUTED_VALUE"""),79430.0)</f>
        <v>79430</v>
      </c>
      <c r="D308" s="9"/>
      <c r="E308" s="9"/>
      <c r="F308" s="9">
        <f>IFERROR(__xludf.DUMMYFUNCTION("""COMPUTED_VALUE"""),2.21)</f>
        <v>2.21</v>
      </c>
      <c r="G308" s="9">
        <f>IFERROR(__xludf.DUMMYFUNCTION("""COMPUTED_VALUE"""),2.21)</f>
        <v>2.21</v>
      </c>
      <c r="H308" s="9">
        <f>IFERROR(__xludf.DUMMYFUNCTION("""COMPUTED_VALUE"""),1.0)</f>
        <v>1</v>
      </c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</row>
    <row r="309" ht="15.75" customHeight="1">
      <c r="A309" s="11">
        <f>IFERROR(__xludf.DUMMYFUNCTION("""COMPUTED_VALUE"""),44471.0)</f>
        <v>44471</v>
      </c>
      <c r="B309" s="9">
        <f>IFERROR(__xludf.DUMMYFUNCTION("""COMPUTED_VALUE"""),1003327.0)</f>
        <v>1003327</v>
      </c>
      <c r="C309" s="9">
        <f>IFERROR(__xludf.DUMMYFUNCTION("""COMPUTED_VALUE"""),5646.0)</f>
        <v>5646</v>
      </c>
      <c r="D309" s="10" t="str">
        <f>IFERROR(__xludf.DUMMYFUNCTION("""COMPUTED_VALUE"""),"Vive le bio")</f>
        <v>Vive le bio</v>
      </c>
      <c r="E309" s="10"/>
      <c r="F309" s="9">
        <f>IFERROR(__xludf.DUMMYFUNCTION("""COMPUTED_VALUE"""),1.44444444444444)</f>
        <v>1.444444444</v>
      </c>
      <c r="G309" s="9">
        <f>IFERROR(__xludf.DUMMYFUNCTION("""COMPUTED_VALUE"""),1.3)</f>
        <v>1.3</v>
      </c>
      <c r="H309" s="9">
        <f>IFERROR(__xludf.DUMMYFUNCTION("""COMPUTED_VALUE"""),1.0)</f>
        <v>1</v>
      </c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</row>
    <row r="310" ht="15.75" customHeight="1">
      <c r="A310" s="11">
        <f>IFERROR(__xludf.DUMMYFUNCTION("""COMPUTED_VALUE"""),44471.0)</f>
        <v>44471</v>
      </c>
      <c r="B310" s="9">
        <f>IFERROR(__xludf.DUMMYFUNCTION("""COMPUTED_VALUE"""),1003327.0)</f>
        <v>1003327</v>
      </c>
      <c r="C310" s="9">
        <f>IFERROR(__xludf.DUMMYFUNCTION("""COMPUTED_VALUE"""),44824.0)</f>
        <v>44824</v>
      </c>
      <c r="D310" s="9"/>
      <c r="E310" s="9"/>
      <c r="F310" s="9">
        <f>IFERROR(__xludf.DUMMYFUNCTION("""COMPUTED_VALUE"""),1.99)</f>
        <v>1.99</v>
      </c>
      <c r="G310" s="9">
        <f>IFERROR(__xludf.DUMMYFUNCTION("""COMPUTED_VALUE"""),1.99)</f>
        <v>1.99</v>
      </c>
      <c r="H310" s="9">
        <f>IFERROR(__xludf.DUMMYFUNCTION("""COMPUTED_VALUE"""),1.0)</f>
        <v>1</v>
      </c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</row>
    <row r="311" ht="15.75" customHeight="1">
      <c r="A311" s="11">
        <f>IFERROR(__xludf.DUMMYFUNCTION("""COMPUTED_VALUE"""),44471.0)</f>
        <v>44471</v>
      </c>
      <c r="B311" s="9">
        <f>IFERROR(__xludf.DUMMYFUNCTION("""COMPUTED_VALUE"""),1003327.0)</f>
        <v>1003327</v>
      </c>
      <c r="C311" s="9">
        <f>IFERROR(__xludf.DUMMYFUNCTION("""COMPUTED_VALUE"""),4905.0)</f>
        <v>4905</v>
      </c>
      <c r="D311" s="9"/>
      <c r="E311" s="9"/>
      <c r="F311" s="9">
        <f>IFERROR(__xludf.DUMMYFUNCTION("""COMPUTED_VALUE"""),1.68)</f>
        <v>1.68</v>
      </c>
      <c r="G311" s="9">
        <f>IFERROR(__xludf.DUMMYFUNCTION("""COMPUTED_VALUE"""),1.68)</f>
        <v>1.68</v>
      </c>
      <c r="H311" s="9">
        <f>IFERROR(__xludf.DUMMYFUNCTION("""COMPUTED_VALUE"""),1.0)</f>
        <v>1</v>
      </c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</row>
    <row r="312" ht="15.75" customHeight="1">
      <c r="A312" s="11">
        <f>IFERROR(__xludf.DUMMYFUNCTION("""COMPUTED_VALUE"""),44471.0)</f>
        <v>44471</v>
      </c>
      <c r="B312" s="9">
        <f>IFERROR(__xludf.DUMMYFUNCTION("""COMPUTED_VALUE"""),1003327.0)</f>
        <v>1003327</v>
      </c>
      <c r="C312" s="9">
        <f>IFERROR(__xludf.DUMMYFUNCTION("""COMPUTED_VALUE"""),68866.0)</f>
        <v>68866</v>
      </c>
      <c r="D312" s="10" t="str">
        <f>IFERROR(__xludf.DUMMYFUNCTION("""COMPUTED_VALUE"""),"Offre speciale")</f>
        <v>Offre speciale</v>
      </c>
      <c r="E312" s="10"/>
      <c r="F312" s="9">
        <f>IFERROR(__xludf.DUMMYFUNCTION("""COMPUTED_VALUE"""),2.98823529411764)</f>
        <v>2.988235294</v>
      </c>
      <c r="G312" s="9">
        <f>IFERROR(__xludf.DUMMYFUNCTION("""COMPUTED_VALUE"""),2.54)</f>
        <v>2.54</v>
      </c>
      <c r="H312" s="9">
        <f>IFERROR(__xludf.DUMMYFUNCTION("""COMPUTED_VALUE"""),1.0)</f>
        <v>1</v>
      </c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</row>
    <row r="313" ht="15.75" customHeight="1">
      <c r="A313" s="11">
        <f>IFERROR(__xludf.DUMMYFUNCTION("""COMPUTED_VALUE"""),44471.0)</f>
        <v>44471</v>
      </c>
      <c r="B313" s="9">
        <f>IFERROR(__xludf.DUMMYFUNCTION("""COMPUTED_VALUE"""),1003327.0)</f>
        <v>1003327</v>
      </c>
      <c r="C313" s="9">
        <f>IFERROR(__xludf.DUMMYFUNCTION("""COMPUTED_VALUE"""),4267.0)</f>
        <v>4267</v>
      </c>
      <c r="D313" s="9"/>
      <c r="E313" s="9"/>
      <c r="F313" s="9">
        <f>IFERROR(__xludf.DUMMYFUNCTION("""COMPUTED_VALUE"""),2.74)</f>
        <v>2.74</v>
      </c>
      <c r="G313" s="9">
        <f>IFERROR(__xludf.DUMMYFUNCTION("""COMPUTED_VALUE"""),2.74)</f>
        <v>2.74</v>
      </c>
      <c r="H313" s="9">
        <f>IFERROR(__xludf.DUMMYFUNCTION("""COMPUTED_VALUE"""),1.0)</f>
        <v>1</v>
      </c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</row>
    <row r="314" ht="15.75" customHeight="1">
      <c r="A314" s="11">
        <f>IFERROR(__xludf.DUMMYFUNCTION("""COMPUTED_VALUE"""),44471.0)</f>
        <v>44471</v>
      </c>
      <c r="B314" s="9">
        <f>IFERROR(__xludf.DUMMYFUNCTION("""COMPUTED_VALUE"""),1003327.0)</f>
        <v>1003327</v>
      </c>
      <c r="C314" s="9">
        <f>IFERROR(__xludf.DUMMYFUNCTION("""COMPUTED_VALUE"""),119088.0)</f>
        <v>119088</v>
      </c>
      <c r="D314" s="9"/>
      <c r="E314" s="9"/>
      <c r="F314" s="9">
        <f>IFERROR(__xludf.DUMMYFUNCTION("""COMPUTED_VALUE"""),4.23)</f>
        <v>4.23</v>
      </c>
      <c r="G314" s="9">
        <f>IFERROR(__xludf.DUMMYFUNCTION("""COMPUTED_VALUE"""),4.23)</f>
        <v>4.23</v>
      </c>
      <c r="H314" s="9">
        <f>IFERROR(__xludf.DUMMYFUNCTION("""COMPUTED_VALUE"""),1.0)</f>
        <v>1</v>
      </c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</row>
    <row r="315" ht="15.75" customHeight="1">
      <c r="A315" s="11">
        <f>IFERROR(__xludf.DUMMYFUNCTION("""COMPUTED_VALUE"""),44471.0)</f>
        <v>44471</v>
      </c>
      <c r="B315" s="9">
        <f>IFERROR(__xludf.DUMMYFUNCTION("""COMPUTED_VALUE"""),1003327.0)</f>
        <v>1003327</v>
      </c>
      <c r="C315" s="9">
        <f>IFERROR(__xludf.DUMMYFUNCTION("""COMPUTED_VALUE"""),76818.0)</f>
        <v>76818</v>
      </c>
      <c r="D315" s="10" t="str">
        <f>IFERROR(__xludf.DUMMYFUNCTION("""COMPUTED_VALUE"""),"Offre speciale")</f>
        <v>Offre speciale</v>
      </c>
      <c r="E315" s="10"/>
      <c r="F315" s="9">
        <f>IFERROR(__xludf.DUMMYFUNCTION("""COMPUTED_VALUE"""),3.11764705882352)</f>
        <v>3.117647059</v>
      </c>
      <c r="G315" s="9">
        <f>IFERROR(__xludf.DUMMYFUNCTION("""COMPUTED_VALUE"""),2.65)</f>
        <v>2.65</v>
      </c>
      <c r="H315" s="9">
        <f>IFERROR(__xludf.DUMMYFUNCTION("""COMPUTED_VALUE"""),1.0)</f>
        <v>1</v>
      </c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</row>
    <row r="316" ht="15.75" customHeight="1">
      <c r="A316" s="11">
        <f>IFERROR(__xludf.DUMMYFUNCTION("""COMPUTED_VALUE"""),44471.0)</f>
        <v>44471</v>
      </c>
      <c r="B316" s="9">
        <f>IFERROR(__xludf.DUMMYFUNCTION("""COMPUTED_VALUE"""),1003327.0)</f>
        <v>1003327</v>
      </c>
      <c r="C316" s="9">
        <f>IFERROR(__xludf.DUMMYFUNCTION("""COMPUTED_VALUE"""),110772.0)</f>
        <v>110772</v>
      </c>
      <c r="D316" s="10" t="str">
        <f>IFERROR(__xludf.DUMMYFUNCTION("""COMPUTED_VALUE"""),"Vive le bio")</f>
        <v>Vive le bio</v>
      </c>
      <c r="E316" s="10"/>
      <c r="F316" s="9">
        <f>IFERROR(__xludf.DUMMYFUNCTION("""COMPUTED_VALUE"""),1.78888888888888)</f>
        <v>1.788888889</v>
      </c>
      <c r="G316" s="9">
        <f>IFERROR(__xludf.DUMMYFUNCTION("""COMPUTED_VALUE"""),1.61)</f>
        <v>1.61</v>
      </c>
      <c r="H316" s="9">
        <f>IFERROR(__xludf.DUMMYFUNCTION("""COMPUTED_VALUE"""),1.0)</f>
        <v>1</v>
      </c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</row>
    <row r="317" ht="15.75" customHeight="1">
      <c r="A317" s="11">
        <f>IFERROR(__xludf.DUMMYFUNCTION("""COMPUTED_VALUE"""),44471.0)</f>
        <v>44471</v>
      </c>
      <c r="B317" s="9">
        <f>IFERROR(__xludf.DUMMYFUNCTION("""COMPUTED_VALUE"""),1003327.0)</f>
        <v>1003327</v>
      </c>
      <c r="C317" s="9">
        <f>IFERROR(__xludf.DUMMYFUNCTION("""COMPUTED_VALUE"""),11065.0)</f>
        <v>11065</v>
      </c>
      <c r="D317" s="10" t="str">
        <f>IFERROR(__xludf.DUMMYFUNCTION("""COMPUTED_VALUE"""),"Vive le bio")</f>
        <v>Vive le bio</v>
      </c>
      <c r="E317" s="10"/>
      <c r="F317" s="9">
        <f>IFERROR(__xludf.DUMMYFUNCTION("""COMPUTED_VALUE"""),5.42222222222222)</f>
        <v>5.422222222</v>
      </c>
      <c r="G317" s="9">
        <f>IFERROR(__xludf.DUMMYFUNCTION("""COMPUTED_VALUE"""),4.88)</f>
        <v>4.88</v>
      </c>
      <c r="H317" s="9">
        <f>IFERROR(__xludf.DUMMYFUNCTION("""COMPUTED_VALUE"""),2.0)</f>
        <v>2</v>
      </c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</row>
    <row r="318" ht="15.75" customHeight="1">
      <c r="A318" s="11">
        <f>IFERROR(__xludf.DUMMYFUNCTION("""COMPUTED_VALUE"""),44471.0)</f>
        <v>44471</v>
      </c>
      <c r="B318" s="9">
        <f>IFERROR(__xludf.DUMMYFUNCTION("""COMPUTED_VALUE"""),1003327.0)</f>
        <v>1003327</v>
      </c>
      <c r="C318" s="9">
        <f>IFERROR(__xludf.DUMMYFUNCTION("""COMPUTED_VALUE"""),101270.0)</f>
        <v>101270</v>
      </c>
      <c r="D318" s="10" t="str">
        <f>IFERROR(__xludf.DUMMYFUNCTION("""COMPUTED_VALUE"""),"Vive le bio")</f>
        <v>Vive le bio</v>
      </c>
      <c r="E318" s="10"/>
      <c r="F318" s="9">
        <f>IFERROR(__xludf.DUMMYFUNCTION("""COMPUTED_VALUE"""),2.84444444444444)</f>
        <v>2.844444444</v>
      </c>
      <c r="G318" s="9">
        <f>IFERROR(__xludf.DUMMYFUNCTION("""COMPUTED_VALUE"""),2.56)</f>
        <v>2.56</v>
      </c>
      <c r="H318" s="9">
        <f>IFERROR(__xludf.DUMMYFUNCTION("""COMPUTED_VALUE"""),2.0)</f>
        <v>2</v>
      </c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</row>
    <row r="319" ht="15.75" customHeight="1">
      <c r="A319" s="11">
        <f>IFERROR(__xludf.DUMMYFUNCTION("""COMPUTED_VALUE"""),44471.0)</f>
        <v>44471</v>
      </c>
      <c r="B319" s="9">
        <f>IFERROR(__xludf.DUMMYFUNCTION("""COMPUTED_VALUE"""),1003327.0)</f>
        <v>1003327</v>
      </c>
      <c r="C319" s="9">
        <f>IFERROR(__xludf.DUMMYFUNCTION("""COMPUTED_VALUE"""),68509.0)</f>
        <v>68509</v>
      </c>
      <c r="D319" s="9"/>
      <c r="E319" s="9"/>
      <c r="F319" s="9">
        <f>IFERROR(__xludf.DUMMYFUNCTION("""COMPUTED_VALUE"""),4.09)</f>
        <v>4.09</v>
      </c>
      <c r="G319" s="9">
        <f>IFERROR(__xludf.DUMMYFUNCTION("""COMPUTED_VALUE"""),4.09)</f>
        <v>4.09</v>
      </c>
      <c r="H319" s="9">
        <f>IFERROR(__xludf.DUMMYFUNCTION("""COMPUTED_VALUE"""),2.0)</f>
        <v>2</v>
      </c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</row>
    <row r="320" ht="15.75" customHeight="1">
      <c r="A320" s="11">
        <f>IFERROR(__xludf.DUMMYFUNCTION("""COMPUTED_VALUE"""),44471.0)</f>
        <v>44471</v>
      </c>
      <c r="B320" s="9">
        <f>IFERROR(__xludf.DUMMYFUNCTION("""COMPUTED_VALUE"""),1003327.0)</f>
        <v>1003327</v>
      </c>
      <c r="C320" s="9">
        <f>IFERROR(__xludf.DUMMYFUNCTION("""COMPUTED_VALUE"""),101282.0)</f>
        <v>101282</v>
      </c>
      <c r="D320" s="9"/>
      <c r="E320" s="9"/>
      <c r="F320" s="9">
        <f>IFERROR(__xludf.DUMMYFUNCTION("""COMPUTED_VALUE"""),2.85)</f>
        <v>2.85</v>
      </c>
      <c r="G320" s="9">
        <f>IFERROR(__xludf.DUMMYFUNCTION("""COMPUTED_VALUE"""),2.85)</f>
        <v>2.85</v>
      </c>
      <c r="H320" s="9">
        <f>IFERROR(__xludf.DUMMYFUNCTION("""COMPUTED_VALUE"""),2.0)</f>
        <v>2</v>
      </c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</row>
    <row r="321" ht="15.75" customHeight="1">
      <c r="A321" s="11">
        <f>IFERROR(__xludf.DUMMYFUNCTION("""COMPUTED_VALUE"""),44471.0)</f>
        <v>44471</v>
      </c>
      <c r="B321" s="9">
        <f>IFERROR(__xludf.DUMMYFUNCTION("""COMPUTED_VALUE"""),1003327.0)</f>
        <v>1003327</v>
      </c>
      <c r="C321" s="9">
        <f>IFERROR(__xludf.DUMMYFUNCTION("""COMPUTED_VALUE"""),101279.0)</f>
        <v>101279</v>
      </c>
      <c r="D321" s="9"/>
      <c r="E321" s="9"/>
      <c r="F321" s="9">
        <f>IFERROR(__xludf.DUMMYFUNCTION("""COMPUTED_VALUE"""),2.85)</f>
        <v>2.85</v>
      </c>
      <c r="G321" s="9">
        <f>IFERROR(__xludf.DUMMYFUNCTION("""COMPUTED_VALUE"""),2.85)</f>
        <v>2.85</v>
      </c>
      <c r="H321" s="9">
        <f>IFERROR(__xludf.DUMMYFUNCTION("""COMPUTED_VALUE"""),2.0)</f>
        <v>2</v>
      </c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</row>
    <row r="322" ht="15.75" customHeight="1">
      <c r="A322" s="11">
        <f>IFERROR(__xludf.DUMMYFUNCTION("""COMPUTED_VALUE"""),44471.0)</f>
        <v>44471</v>
      </c>
      <c r="B322" s="9">
        <f>IFERROR(__xludf.DUMMYFUNCTION("""COMPUTED_VALUE"""),1003328.0)</f>
        <v>1003328</v>
      </c>
      <c r="C322" s="9">
        <f>IFERROR(__xludf.DUMMYFUNCTION("""COMPUTED_VALUE"""),109201.0)</f>
        <v>109201</v>
      </c>
      <c r="D322" s="9"/>
      <c r="E322" s="9"/>
      <c r="F322" s="9">
        <f>IFERROR(__xludf.DUMMYFUNCTION("""COMPUTED_VALUE"""),3.95)</f>
        <v>3.95</v>
      </c>
      <c r="G322" s="9">
        <f>IFERROR(__xludf.DUMMYFUNCTION("""COMPUTED_VALUE"""),3.95)</f>
        <v>3.95</v>
      </c>
      <c r="H322" s="9">
        <f>IFERROR(__xludf.DUMMYFUNCTION("""COMPUTED_VALUE"""),1.0)</f>
        <v>1</v>
      </c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</row>
    <row r="323" ht="15.75" customHeight="1">
      <c r="A323" s="11">
        <f>IFERROR(__xludf.DUMMYFUNCTION("""COMPUTED_VALUE"""),44471.0)</f>
        <v>44471</v>
      </c>
      <c r="B323" s="9">
        <f>IFERROR(__xludf.DUMMYFUNCTION("""COMPUTED_VALUE"""),1003328.0)</f>
        <v>1003328</v>
      </c>
      <c r="C323" s="9">
        <f>IFERROR(__xludf.DUMMYFUNCTION("""COMPUTED_VALUE"""),109202.0)</f>
        <v>109202</v>
      </c>
      <c r="D323" s="9"/>
      <c r="E323" s="9"/>
      <c r="F323" s="9">
        <f>IFERROR(__xludf.DUMMYFUNCTION("""COMPUTED_VALUE"""),3.95)</f>
        <v>3.95</v>
      </c>
      <c r="G323" s="9">
        <f>IFERROR(__xludf.DUMMYFUNCTION("""COMPUTED_VALUE"""),3.95)</f>
        <v>3.95</v>
      </c>
      <c r="H323" s="9">
        <f>IFERROR(__xludf.DUMMYFUNCTION("""COMPUTED_VALUE"""),1.0)</f>
        <v>1</v>
      </c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</row>
    <row r="324" ht="15.75" customHeight="1">
      <c r="A324" s="11">
        <f>IFERROR(__xludf.DUMMYFUNCTION("""COMPUTED_VALUE"""),44471.0)</f>
        <v>44471</v>
      </c>
      <c r="B324" s="9">
        <f>IFERROR(__xludf.DUMMYFUNCTION("""COMPUTED_VALUE"""),1003328.0)</f>
        <v>1003328</v>
      </c>
      <c r="C324" s="9">
        <f>IFERROR(__xludf.DUMMYFUNCTION("""COMPUTED_VALUE"""),109188.0)</f>
        <v>109188</v>
      </c>
      <c r="D324" s="9"/>
      <c r="E324" s="9"/>
      <c r="F324" s="9">
        <f>IFERROR(__xludf.DUMMYFUNCTION("""COMPUTED_VALUE"""),2.21)</f>
        <v>2.21</v>
      </c>
      <c r="G324" s="9">
        <f>IFERROR(__xludf.DUMMYFUNCTION("""COMPUTED_VALUE"""),2.21)</f>
        <v>2.21</v>
      </c>
      <c r="H324" s="9">
        <f>IFERROR(__xludf.DUMMYFUNCTION("""COMPUTED_VALUE"""),1.0)</f>
        <v>1</v>
      </c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</row>
    <row r="325" ht="15.75" customHeight="1">
      <c r="A325" s="11">
        <f>IFERROR(__xludf.DUMMYFUNCTION("""COMPUTED_VALUE"""),44471.0)</f>
        <v>44471</v>
      </c>
      <c r="B325" s="9">
        <f>IFERROR(__xludf.DUMMYFUNCTION("""COMPUTED_VALUE"""),1003328.0)</f>
        <v>1003328</v>
      </c>
      <c r="C325" s="9">
        <f>IFERROR(__xludf.DUMMYFUNCTION("""COMPUTED_VALUE"""),109200.0)</f>
        <v>109200</v>
      </c>
      <c r="D325" s="9"/>
      <c r="E325" s="9"/>
      <c r="F325" s="9">
        <f>IFERROR(__xludf.DUMMYFUNCTION("""COMPUTED_VALUE"""),21.85)</f>
        <v>21.85</v>
      </c>
      <c r="G325" s="9">
        <f>IFERROR(__xludf.DUMMYFUNCTION("""COMPUTED_VALUE"""),21.85)</f>
        <v>21.85</v>
      </c>
      <c r="H325" s="9">
        <f>IFERROR(__xludf.DUMMYFUNCTION("""COMPUTED_VALUE"""),6.0)</f>
        <v>6</v>
      </c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</row>
    <row r="326" ht="15.75" customHeight="1">
      <c r="A326" s="11">
        <f>IFERROR(__xludf.DUMMYFUNCTION("""COMPUTED_VALUE"""),44471.0)</f>
        <v>44471</v>
      </c>
      <c r="B326" s="9">
        <f>IFERROR(__xludf.DUMMYFUNCTION("""COMPUTED_VALUE"""),1003328.0)</f>
        <v>1003328</v>
      </c>
      <c r="C326" s="9">
        <f>IFERROR(__xludf.DUMMYFUNCTION("""COMPUTED_VALUE"""),79366.0)</f>
        <v>79366</v>
      </c>
      <c r="D326" s="10" t="str">
        <f>IFERROR(__xludf.DUMMYFUNCTION("""COMPUTED_VALUE"""),"Vive le bio")</f>
        <v>Vive le bio</v>
      </c>
      <c r="E326" s="10"/>
      <c r="F326" s="9">
        <f>IFERROR(__xludf.DUMMYFUNCTION("""COMPUTED_VALUE"""),35.2333333333333)</f>
        <v>35.23333333</v>
      </c>
      <c r="G326" s="9">
        <f>IFERROR(__xludf.DUMMYFUNCTION("""COMPUTED_VALUE"""),31.71)</f>
        <v>31.71</v>
      </c>
      <c r="H326" s="9">
        <f>IFERROR(__xludf.DUMMYFUNCTION("""COMPUTED_VALUE"""),8.0)</f>
        <v>8</v>
      </c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</row>
    <row r="327" ht="15.75" customHeight="1">
      <c r="A327" s="11">
        <f>IFERROR(__xludf.DUMMYFUNCTION("""COMPUTED_VALUE"""),44471.0)</f>
        <v>44471</v>
      </c>
      <c r="B327" s="9">
        <f>IFERROR(__xludf.DUMMYFUNCTION("""COMPUTED_VALUE"""),1003329.0)</f>
        <v>1003329</v>
      </c>
      <c r="C327" s="9">
        <f>IFERROR(__xludf.DUMMYFUNCTION("""COMPUTED_VALUE"""),10566.0)</f>
        <v>10566</v>
      </c>
      <c r="D327" s="10" t="str">
        <f>IFERROR(__xludf.DUMMYFUNCTION("""COMPUTED_VALUE"""),"Vive le bio")</f>
        <v>Vive le bio</v>
      </c>
      <c r="E327" s="10" t="str">
        <f>IFERROR(__xludf.DUMMYFUNCTION("""COMPUTED_VALUE"""),"HAPPEEZ")</f>
        <v>HAPPEEZ</v>
      </c>
      <c r="F327" s="10">
        <f>IFERROR(__xludf.DUMMYFUNCTION("""COMPUTED_VALUE"""),9.0)</f>
        <v>9</v>
      </c>
      <c r="G327" s="9">
        <f>IFERROR(__xludf.DUMMYFUNCTION("""COMPUTED_VALUE"""),8.1)</f>
        <v>8.1</v>
      </c>
      <c r="H327" s="9">
        <f>IFERROR(__xludf.DUMMYFUNCTION("""COMPUTED_VALUE"""),1.0)</f>
        <v>1</v>
      </c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</row>
    <row r="328" ht="15.75" customHeight="1">
      <c r="A328" s="11">
        <f>IFERROR(__xludf.DUMMYFUNCTION("""COMPUTED_VALUE"""),44471.0)</f>
        <v>44471</v>
      </c>
      <c r="B328" s="9">
        <f>IFERROR(__xludf.DUMMYFUNCTION("""COMPUTED_VALUE"""),1003329.0)</f>
        <v>1003329</v>
      </c>
      <c r="C328" s="9">
        <f>IFERROR(__xludf.DUMMYFUNCTION("""COMPUTED_VALUE"""),12804.0)</f>
        <v>12804</v>
      </c>
      <c r="D328" s="9"/>
      <c r="E328" s="10" t="str">
        <f>IFERROR(__xludf.DUMMYFUNCTION("""COMPUTED_VALUE"""),"HAPPEEZ")</f>
        <v>HAPPEEZ</v>
      </c>
      <c r="F328" s="10">
        <f>IFERROR(__xludf.DUMMYFUNCTION("""COMPUTED_VALUE"""),2.38)</f>
        <v>2.38</v>
      </c>
      <c r="G328" s="9">
        <f>IFERROR(__xludf.DUMMYFUNCTION("""COMPUTED_VALUE"""),2.38)</f>
        <v>2.38</v>
      </c>
      <c r="H328" s="9">
        <f>IFERROR(__xludf.DUMMYFUNCTION("""COMPUTED_VALUE"""),1.0)</f>
        <v>1</v>
      </c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</row>
    <row r="329" ht="15.75" customHeight="1">
      <c r="A329" s="11">
        <f>IFERROR(__xludf.DUMMYFUNCTION("""COMPUTED_VALUE"""),44471.0)</f>
        <v>44471</v>
      </c>
      <c r="B329" s="9">
        <f>IFERROR(__xludf.DUMMYFUNCTION("""COMPUTED_VALUE"""),1003329.0)</f>
        <v>1003329</v>
      </c>
      <c r="C329" s="9">
        <f>IFERROR(__xludf.DUMMYFUNCTION("""COMPUTED_VALUE"""),68371.0)</f>
        <v>68371</v>
      </c>
      <c r="D329" s="9"/>
      <c r="E329" s="10" t="str">
        <f>IFERROR(__xludf.DUMMYFUNCTION("""COMPUTED_VALUE"""),"HAPPEEZ")</f>
        <v>HAPPEEZ</v>
      </c>
      <c r="F329" s="10">
        <f>IFERROR(__xludf.DUMMYFUNCTION("""COMPUTED_VALUE"""),2.88)</f>
        <v>2.88</v>
      </c>
      <c r="G329" s="9">
        <f>IFERROR(__xludf.DUMMYFUNCTION("""COMPUTED_VALUE"""),2.88)</f>
        <v>2.88</v>
      </c>
      <c r="H329" s="9">
        <f>IFERROR(__xludf.DUMMYFUNCTION("""COMPUTED_VALUE"""),1.0)</f>
        <v>1</v>
      </c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</row>
    <row r="330" ht="15.75" customHeight="1">
      <c r="A330" s="11">
        <f>IFERROR(__xludf.DUMMYFUNCTION("""COMPUTED_VALUE"""),44471.0)</f>
        <v>44471</v>
      </c>
      <c r="B330" s="9">
        <f>IFERROR(__xludf.DUMMYFUNCTION("""COMPUTED_VALUE"""),1003329.0)</f>
        <v>1003329</v>
      </c>
      <c r="C330" s="9">
        <f>IFERROR(__xludf.DUMMYFUNCTION("""COMPUTED_VALUE"""),133914.0)</f>
        <v>133914</v>
      </c>
      <c r="D330" s="9"/>
      <c r="E330" s="10" t="str">
        <f>IFERROR(__xludf.DUMMYFUNCTION("""COMPUTED_VALUE"""),"HAPPEEZ")</f>
        <v>HAPPEEZ</v>
      </c>
      <c r="F330" s="10">
        <f>IFERROR(__xludf.DUMMYFUNCTION("""COMPUTED_VALUE"""),2.89)</f>
        <v>2.89</v>
      </c>
      <c r="G330" s="9">
        <f>IFERROR(__xludf.DUMMYFUNCTION("""COMPUTED_VALUE"""),2.89)</f>
        <v>2.89</v>
      </c>
      <c r="H330" s="9">
        <f>IFERROR(__xludf.DUMMYFUNCTION("""COMPUTED_VALUE"""),1.0)</f>
        <v>1</v>
      </c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</row>
    <row r="331" ht="15.75" customHeight="1">
      <c r="A331" s="11">
        <f>IFERROR(__xludf.DUMMYFUNCTION("""COMPUTED_VALUE"""),44471.0)</f>
        <v>44471</v>
      </c>
      <c r="B331" s="9">
        <f>IFERROR(__xludf.DUMMYFUNCTION("""COMPUTED_VALUE"""),1003329.0)</f>
        <v>1003329</v>
      </c>
      <c r="C331" s="9">
        <f>IFERROR(__xludf.DUMMYFUNCTION("""COMPUTED_VALUE"""),133908.0)</f>
        <v>133908</v>
      </c>
      <c r="D331" s="9"/>
      <c r="E331" s="10" t="str">
        <f>IFERROR(__xludf.DUMMYFUNCTION("""COMPUTED_VALUE"""),"HAPPEEZ")</f>
        <v>HAPPEEZ</v>
      </c>
      <c r="F331" s="10">
        <f>IFERROR(__xludf.DUMMYFUNCTION("""COMPUTED_VALUE"""),2.89)</f>
        <v>2.89</v>
      </c>
      <c r="G331" s="9">
        <f>IFERROR(__xludf.DUMMYFUNCTION("""COMPUTED_VALUE"""),2.89)</f>
        <v>2.89</v>
      </c>
      <c r="H331" s="9">
        <f>IFERROR(__xludf.DUMMYFUNCTION("""COMPUTED_VALUE"""),1.0)</f>
        <v>1</v>
      </c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</row>
    <row r="332" ht="15.75" customHeight="1">
      <c r="A332" s="11">
        <f>IFERROR(__xludf.DUMMYFUNCTION("""COMPUTED_VALUE"""),44471.0)</f>
        <v>44471</v>
      </c>
      <c r="B332" s="9">
        <f>IFERROR(__xludf.DUMMYFUNCTION("""COMPUTED_VALUE"""),1003329.0)</f>
        <v>1003329</v>
      </c>
      <c r="C332" s="9">
        <f>IFERROR(__xludf.DUMMYFUNCTION("""COMPUTED_VALUE"""),108108.0)</f>
        <v>108108</v>
      </c>
      <c r="D332" s="9"/>
      <c r="E332" s="10" t="str">
        <f>IFERROR(__xludf.DUMMYFUNCTION("""COMPUTED_VALUE"""),"HAPPEEZ")</f>
        <v>HAPPEEZ</v>
      </c>
      <c r="F332" s="10">
        <f>IFERROR(__xludf.DUMMYFUNCTION("""COMPUTED_VALUE"""),1.26)</f>
        <v>1.26</v>
      </c>
      <c r="G332" s="9">
        <f>IFERROR(__xludf.DUMMYFUNCTION("""COMPUTED_VALUE"""),1.26)</f>
        <v>1.26</v>
      </c>
      <c r="H332" s="9">
        <f>IFERROR(__xludf.DUMMYFUNCTION("""COMPUTED_VALUE"""),1.0)</f>
        <v>1</v>
      </c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</row>
    <row r="333" ht="15.75" customHeight="1">
      <c r="A333" s="11">
        <f>IFERROR(__xludf.DUMMYFUNCTION("""COMPUTED_VALUE"""),44471.0)</f>
        <v>44471</v>
      </c>
      <c r="B333" s="9">
        <f>IFERROR(__xludf.DUMMYFUNCTION("""COMPUTED_VALUE"""),1003329.0)</f>
        <v>1003329</v>
      </c>
      <c r="C333" s="9">
        <f>IFERROR(__xludf.DUMMYFUNCTION("""COMPUTED_VALUE"""),108091.0)</f>
        <v>108091</v>
      </c>
      <c r="D333" s="9"/>
      <c r="E333" s="10" t="str">
        <f>IFERROR(__xludf.DUMMYFUNCTION("""COMPUTED_VALUE"""),"HAPPEEZ")</f>
        <v>HAPPEEZ</v>
      </c>
      <c r="F333" s="10">
        <f>IFERROR(__xludf.DUMMYFUNCTION("""COMPUTED_VALUE"""),1.26)</f>
        <v>1.26</v>
      </c>
      <c r="G333" s="9">
        <f>IFERROR(__xludf.DUMMYFUNCTION("""COMPUTED_VALUE"""),1.26)</f>
        <v>1.26</v>
      </c>
      <c r="H333" s="9">
        <f>IFERROR(__xludf.DUMMYFUNCTION("""COMPUTED_VALUE"""),1.0)</f>
        <v>1</v>
      </c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</row>
    <row r="334" ht="15.75" customHeight="1">
      <c r="A334" s="11">
        <f>IFERROR(__xludf.DUMMYFUNCTION("""COMPUTED_VALUE"""),44471.0)</f>
        <v>44471</v>
      </c>
      <c r="B334" s="9">
        <f>IFERROR(__xludf.DUMMYFUNCTION("""COMPUTED_VALUE"""),1003329.0)</f>
        <v>1003329</v>
      </c>
      <c r="C334" s="9">
        <f>IFERROR(__xludf.DUMMYFUNCTION("""COMPUTED_VALUE"""),12794.0)</f>
        <v>12794</v>
      </c>
      <c r="D334" s="9"/>
      <c r="E334" s="10" t="str">
        <f>IFERROR(__xludf.DUMMYFUNCTION("""COMPUTED_VALUE"""),"HAPPEEZ")</f>
        <v>HAPPEEZ</v>
      </c>
      <c r="F334" s="10">
        <f>IFERROR(__xludf.DUMMYFUNCTION("""COMPUTED_VALUE"""),3.04)</f>
        <v>3.04</v>
      </c>
      <c r="G334" s="9">
        <f>IFERROR(__xludf.DUMMYFUNCTION("""COMPUTED_VALUE"""),3.04)</f>
        <v>3.04</v>
      </c>
      <c r="H334" s="9">
        <f>IFERROR(__xludf.DUMMYFUNCTION("""COMPUTED_VALUE"""),1.0)</f>
        <v>1</v>
      </c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</row>
    <row r="335" ht="15.75" customHeight="1">
      <c r="A335" s="11">
        <f>IFERROR(__xludf.DUMMYFUNCTION("""COMPUTED_VALUE"""),44471.0)</f>
        <v>44471</v>
      </c>
      <c r="B335" s="9">
        <f>IFERROR(__xludf.DUMMYFUNCTION("""COMPUTED_VALUE"""),1003329.0)</f>
        <v>1003329</v>
      </c>
      <c r="C335" s="9">
        <f>IFERROR(__xludf.DUMMYFUNCTION("""COMPUTED_VALUE"""),90799.0)</f>
        <v>90799</v>
      </c>
      <c r="D335" s="9"/>
      <c r="E335" s="10" t="str">
        <f>IFERROR(__xludf.DUMMYFUNCTION("""COMPUTED_VALUE"""),"HAPPEEZ")</f>
        <v>HAPPEEZ</v>
      </c>
      <c r="F335" s="10">
        <f>IFERROR(__xludf.DUMMYFUNCTION("""COMPUTED_VALUE"""),1.21)</f>
        <v>1.21</v>
      </c>
      <c r="G335" s="9">
        <f>IFERROR(__xludf.DUMMYFUNCTION("""COMPUTED_VALUE"""),1.21)</f>
        <v>1.21</v>
      </c>
      <c r="H335" s="9">
        <f>IFERROR(__xludf.DUMMYFUNCTION("""COMPUTED_VALUE"""),1.0)</f>
        <v>1</v>
      </c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</row>
    <row r="336" ht="15.75" customHeight="1">
      <c r="A336" s="11">
        <f>IFERROR(__xludf.DUMMYFUNCTION("""COMPUTED_VALUE"""),44471.0)</f>
        <v>44471</v>
      </c>
      <c r="B336" s="9">
        <f>IFERROR(__xludf.DUMMYFUNCTION("""COMPUTED_VALUE"""),1003329.0)</f>
        <v>1003329</v>
      </c>
      <c r="C336" s="9">
        <f>IFERROR(__xludf.DUMMYFUNCTION("""COMPUTED_VALUE"""),46896.0)</f>
        <v>46896</v>
      </c>
      <c r="D336" s="9"/>
      <c r="E336" s="10" t="str">
        <f>IFERROR(__xludf.DUMMYFUNCTION("""COMPUTED_VALUE"""),"HAPPEEZ")</f>
        <v>HAPPEEZ</v>
      </c>
      <c r="F336" s="10">
        <f>IFERROR(__xludf.DUMMYFUNCTION("""COMPUTED_VALUE"""),4.87)</f>
        <v>4.87</v>
      </c>
      <c r="G336" s="9">
        <f>IFERROR(__xludf.DUMMYFUNCTION("""COMPUTED_VALUE"""),4.87)</f>
        <v>4.87</v>
      </c>
      <c r="H336" s="9">
        <f>IFERROR(__xludf.DUMMYFUNCTION("""COMPUTED_VALUE"""),1.0)</f>
        <v>1</v>
      </c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</row>
    <row r="337" ht="15.75" customHeight="1">
      <c r="A337" s="11">
        <f>IFERROR(__xludf.DUMMYFUNCTION("""COMPUTED_VALUE"""),44471.0)</f>
        <v>44471</v>
      </c>
      <c r="B337" s="9">
        <f>IFERROR(__xludf.DUMMYFUNCTION("""COMPUTED_VALUE"""),1003329.0)</f>
        <v>1003329</v>
      </c>
      <c r="C337" s="9">
        <f>IFERROR(__xludf.DUMMYFUNCTION("""COMPUTED_VALUE"""),46895.0)</f>
        <v>46895</v>
      </c>
      <c r="D337" s="9"/>
      <c r="E337" s="10" t="str">
        <f>IFERROR(__xludf.DUMMYFUNCTION("""COMPUTED_VALUE"""),"HAPPEEZ")</f>
        <v>HAPPEEZ</v>
      </c>
      <c r="F337" s="10">
        <f>IFERROR(__xludf.DUMMYFUNCTION("""COMPUTED_VALUE"""),7.64)</f>
        <v>7.64</v>
      </c>
      <c r="G337" s="9">
        <f>IFERROR(__xludf.DUMMYFUNCTION("""COMPUTED_VALUE"""),7.64)</f>
        <v>7.64</v>
      </c>
      <c r="H337" s="9">
        <f>IFERROR(__xludf.DUMMYFUNCTION("""COMPUTED_VALUE"""),1.0)</f>
        <v>1</v>
      </c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</row>
    <row r="338" ht="15.75" customHeight="1">
      <c r="A338" s="11">
        <f>IFERROR(__xludf.DUMMYFUNCTION("""COMPUTED_VALUE"""),44471.0)</f>
        <v>44471</v>
      </c>
      <c r="B338" s="9">
        <f>IFERROR(__xludf.DUMMYFUNCTION("""COMPUTED_VALUE"""),1003329.0)</f>
        <v>1003329</v>
      </c>
      <c r="C338" s="9">
        <f>IFERROR(__xludf.DUMMYFUNCTION("""COMPUTED_VALUE"""),79421.0)</f>
        <v>79421</v>
      </c>
      <c r="D338" s="9"/>
      <c r="E338" s="10" t="str">
        <f>IFERROR(__xludf.DUMMYFUNCTION("""COMPUTED_VALUE"""),"HAPPEEZ")</f>
        <v>HAPPEEZ</v>
      </c>
      <c r="F338" s="10">
        <f>IFERROR(__xludf.DUMMYFUNCTION("""COMPUTED_VALUE"""),2.09)</f>
        <v>2.09</v>
      </c>
      <c r="G338" s="9">
        <f>IFERROR(__xludf.DUMMYFUNCTION("""COMPUTED_VALUE"""),2.09)</f>
        <v>2.09</v>
      </c>
      <c r="H338" s="9">
        <f>IFERROR(__xludf.DUMMYFUNCTION("""COMPUTED_VALUE"""),1.0)</f>
        <v>1</v>
      </c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</row>
    <row r="339" ht="15.75" customHeight="1">
      <c r="A339" s="11">
        <f>IFERROR(__xludf.DUMMYFUNCTION("""COMPUTED_VALUE"""),44471.0)</f>
        <v>44471</v>
      </c>
      <c r="B339" s="9">
        <f>IFERROR(__xludf.DUMMYFUNCTION("""COMPUTED_VALUE"""),1003329.0)</f>
        <v>1003329</v>
      </c>
      <c r="C339" s="9">
        <f>IFERROR(__xludf.DUMMYFUNCTION("""COMPUTED_VALUE"""),87421.0)</f>
        <v>87421</v>
      </c>
      <c r="D339" s="9"/>
      <c r="E339" s="10" t="str">
        <f>IFERROR(__xludf.DUMMYFUNCTION("""COMPUTED_VALUE"""),"HAPPEEZ")</f>
        <v>HAPPEEZ</v>
      </c>
      <c r="F339" s="10">
        <f>IFERROR(__xludf.DUMMYFUNCTION("""COMPUTED_VALUE"""),2.6)</f>
        <v>2.6</v>
      </c>
      <c r="G339" s="9">
        <f>IFERROR(__xludf.DUMMYFUNCTION("""COMPUTED_VALUE"""),2.6)</f>
        <v>2.6</v>
      </c>
      <c r="H339" s="9">
        <f>IFERROR(__xludf.DUMMYFUNCTION("""COMPUTED_VALUE"""),1.0)</f>
        <v>1</v>
      </c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</row>
    <row r="340" ht="15.75" customHeight="1">
      <c r="A340" s="11">
        <f>IFERROR(__xludf.DUMMYFUNCTION("""COMPUTED_VALUE"""),44471.0)</f>
        <v>44471</v>
      </c>
      <c r="B340" s="9">
        <f>IFERROR(__xludf.DUMMYFUNCTION("""COMPUTED_VALUE"""),1003329.0)</f>
        <v>1003329</v>
      </c>
      <c r="C340" s="9">
        <f>IFERROR(__xludf.DUMMYFUNCTION("""COMPUTED_VALUE"""),108087.0)</f>
        <v>108087</v>
      </c>
      <c r="D340" s="9"/>
      <c r="E340" s="10" t="str">
        <f>IFERROR(__xludf.DUMMYFUNCTION("""COMPUTED_VALUE"""),"HAPPEEZ")</f>
        <v>HAPPEEZ</v>
      </c>
      <c r="F340" s="10">
        <f>IFERROR(__xludf.DUMMYFUNCTION("""COMPUTED_VALUE"""),1.24)</f>
        <v>1.24</v>
      </c>
      <c r="G340" s="9">
        <f>IFERROR(__xludf.DUMMYFUNCTION("""COMPUTED_VALUE"""),1.24)</f>
        <v>1.24</v>
      </c>
      <c r="H340" s="9">
        <f>IFERROR(__xludf.DUMMYFUNCTION("""COMPUTED_VALUE"""),1.0)</f>
        <v>1</v>
      </c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</row>
    <row r="341" ht="15.75" customHeight="1">
      <c r="A341" s="11">
        <f>IFERROR(__xludf.DUMMYFUNCTION("""COMPUTED_VALUE"""),44471.0)</f>
        <v>44471</v>
      </c>
      <c r="B341" s="9">
        <f>IFERROR(__xludf.DUMMYFUNCTION("""COMPUTED_VALUE"""),1003329.0)</f>
        <v>1003329</v>
      </c>
      <c r="C341" s="9">
        <f>IFERROR(__xludf.DUMMYFUNCTION("""COMPUTED_VALUE"""),108090.0)</f>
        <v>108090</v>
      </c>
      <c r="D341" s="9"/>
      <c r="E341" s="10" t="str">
        <f>IFERROR(__xludf.DUMMYFUNCTION("""COMPUTED_VALUE"""),"HAPPEEZ")</f>
        <v>HAPPEEZ</v>
      </c>
      <c r="F341" s="10">
        <f>IFERROR(__xludf.DUMMYFUNCTION("""COMPUTED_VALUE"""),1.49)</f>
        <v>1.49</v>
      </c>
      <c r="G341" s="9">
        <f>IFERROR(__xludf.DUMMYFUNCTION("""COMPUTED_VALUE"""),1.49)</f>
        <v>1.49</v>
      </c>
      <c r="H341" s="9">
        <f>IFERROR(__xludf.DUMMYFUNCTION("""COMPUTED_VALUE"""),1.0)</f>
        <v>1</v>
      </c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</row>
    <row r="342" ht="15.75" customHeight="1">
      <c r="A342" s="11">
        <f>IFERROR(__xludf.DUMMYFUNCTION("""COMPUTED_VALUE"""),44471.0)</f>
        <v>44471</v>
      </c>
      <c r="B342" s="9">
        <f>IFERROR(__xludf.DUMMYFUNCTION("""COMPUTED_VALUE"""),1003329.0)</f>
        <v>1003329</v>
      </c>
      <c r="C342" s="9">
        <f>IFERROR(__xludf.DUMMYFUNCTION("""COMPUTED_VALUE"""),9643.0)</f>
        <v>9643</v>
      </c>
      <c r="D342" s="9"/>
      <c r="E342" s="10" t="str">
        <f>IFERROR(__xludf.DUMMYFUNCTION("""COMPUTED_VALUE"""),"HAPPEEZ")</f>
        <v>HAPPEEZ</v>
      </c>
      <c r="F342" s="10">
        <f>IFERROR(__xludf.DUMMYFUNCTION("""COMPUTED_VALUE"""),1.99)</f>
        <v>1.99</v>
      </c>
      <c r="G342" s="9">
        <f>IFERROR(__xludf.DUMMYFUNCTION("""COMPUTED_VALUE"""),1.99)</f>
        <v>1.99</v>
      </c>
      <c r="H342" s="9">
        <f>IFERROR(__xludf.DUMMYFUNCTION("""COMPUTED_VALUE"""),1.0)</f>
        <v>1</v>
      </c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</row>
    <row r="343" ht="15.75" customHeight="1">
      <c r="A343" s="11">
        <f>IFERROR(__xludf.DUMMYFUNCTION("""COMPUTED_VALUE"""),44471.0)</f>
        <v>44471</v>
      </c>
      <c r="B343" s="9">
        <f>IFERROR(__xludf.DUMMYFUNCTION("""COMPUTED_VALUE"""),1003329.0)</f>
        <v>1003329</v>
      </c>
      <c r="C343" s="9">
        <f>IFERROR(__xludf.DUMMYFUNCTION("""COMPUTED_VALUE"""),108084.0)</f>
        <v>108084</v>
      </c>
      <c r="D343" s="9"/>
      <c r="E343" s="10" t="str">
        <f>IFERROR(__xludf.DUMMYFUNCTION("""COMPUTED_VALUE"""),"HAPPEEZ")</f>
        <v>HAPPEEZ</v>
      </c>
      <c r="F343" s="10">
        <f>IFERROR(__xludf.DUMMYFUNCTION("""COMPUTED_VALUE"""),1.18)</f>
        <v>1.18</v>
      </c>
      <c r="G343" s="9">
        <f>IFERROR(__xludf.DUMMYFUNCTION("""COMPUTED_VALUE"""),1.18)</f>
        <v>1.18</v>
      </c>
      <c r="H343" s="9">
        <f>IFERROR(__xludf.DUMMYFUNCTION("""COMPUTED_VALUE"""),1.0)</f>
        <v>1</v>
      </c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</row>
    <row r="344" ht="15.75" customHeight="1">
      <c r="A344" s="11">
        <f>IFERROR(__xludf.DUMMYFUNCTION("""COMPUTED_VALUE"""),44471.0)</f>
        <v>44471</v>
      </c>
      <c r="B344" s="9">
        <f>IFERROR(__xludf.DUMMYFUNCTION("""COMPUTED_VALUE"""),1003329.0)</f>
        <v>1003329</v>
      </c>
      <c r="C344" s="9">
        <f>IFERROR(__xludf.DUMMYFUNCTION("""COMPUTED_VALUE"""),128336.0)</f>
        <v>128336</v>
      </c>
      <c r="D344" s="9"/>
      <c r="E344" s="10" t="str">
        <f>IFERROR(__xludf.DUMMYFUNCTION("""COMPUTED_VALUE"""),"HAPPEEZ")</f>
        <v>HAPPEEZ</v>
      </c>
      <c r="F344" s="10">
        <f>IFERROR(__xludf.DUMMYFUNCTION("""COMPUTED_VALUE"""),2.74)</f>
        <v>2.74</v>
      </c>
      <c r="G344" s="9">
        <f>IFERROR(__xludf.DUMMYFUNCTION("""COMPUTED_VALUE"""),2.74)</f>
        <v>2.74</v>
      </c>
      <c r="H344" s="9">
        <f>IFERROR(__xludf.DUMMYFUNCTION("""COMPUTED_VALUE"""),1.0)</f>
        <v>1</v>
      </c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</row>
    <row r="345" ht="15.75" customHeight="1">
      <c r="A345" s="11">
        <f>IFERROR(__xludf.DUMMYFUNCTION("""COMPUTED_VALUE"""),44471.0)</f>
        <v>44471</v>
      </c>
      <c r="B345" s="9">
        <f>IFERROR(__xludf.DUMMYFUNCTION("""COMPUTED_VALUE"""),1003329.0)</f>
        <v>1003329</v>
      </c>
      <c r="C345" s="9">
        <f>IFERROR(__xludf.DUMMYFUNCTION("""COMPUTED_VALUE"""),68345.0)</f>
        <v>68345</v>
      </c>
      <c r="D345" s="9"/>
      <c r="E345" s="10" t="str">
        <f>IFERROR(__xludf.DUMMYFUNCTION("""COMPUTED_VALUE"""),"HAPPEEZ")</f>
        <v>HAPPEEZ</v>
      </c>
      <c r="F345" s="10">
        <f>IFERROR(__xludf.DUMMYFUNCTION("""COMPUTED_VALUE"""),4.27)</f>
        <v>4.27</v>
      </c>
      <c r="G345" s="9">
        <f>IFERROR(__xludf.DUMMYFUNCTION("""COMPUTED_VALUE"""),4.27)</f>
        <v>4.27</v>
      </c>
      <c r="H345" s="9">
        <f>IFERROR(__xludf.DUMMYFUNCTION("""COMPUTED_VALUE"""),2.0)</f>
        <v>2</v>
      </c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</row>
    <row r="346" ht="15.75" customHeight="1">
      <c r="A346" s="11">
        <f>IFERROR(__xludf.DUMMYFUNCTION("""COMPUTED_VALUE"""),44471.0)</f>
        <v>44471</v>
      </c>
      <c r="B346" s="9">
        <f>IFERROR(__xludf.DUMMYFUNCTION("""COMPUTED_VALUE"""),1003329.0)</f>
        <v>1003329</v>
      </c>
      <c r="C346" s="9">
        <f>IFERROR(__xludf.DUMMYFUNCTION("""COMPUTED_VALUE"""),122746.0)</f>
        <v>122746</v>
      </c>
      <c r="D346" s="9"/>
      <c r="E346" s="10" t="str">
        <f>IFERROR(__xludf.DUMMYFUNCTION("""COMPUTED_VALUE"""),"HAPPEEZ")</f>
        <v>HAPPEEZ</v>
      </c>
      <c r="F346" s="10">
        <f>IFERROR(__xludf.DUMMYFUNCTION("""COMPUTED_VALUE"""),35.03)</f>
        <v>35.03</v>
      </c>
      <c r="G346" s="9">
        <f>IFERROR(__xludf.DUMMYFUNCTION("""COMPUTED_VALUE"""),35.03)</f>
        <v>35.03</v>
      </c>
      <c r="H346" s="9">
        <f>IFERROR(__xludf.DUMMYFUNCTION("""COMPUTED_VALUE"""),2.0)</f>
        <v>2</v>
      </c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</row>
    <row r="347" ht="15.75" customHeight="1">
      <c r="A347" s="11">
        <f>IFERROR(__xludf.DUMMYFUNCTION("""COMPUTED_VALUE"""),44471.0)</f>
        <v>44471</v>
      </c>
      <c r="B347" s="9">
        <f>IFERROR(__xludf.DUMMYFUNCTION("""COMPUTED_VALUE"""),1003329.0)</f>
        <v>1003329</v>
      </c>
      <c r="C347" s="9">
        <f>IFERROR(__xludf.DUMMYFUNCTION("""COMPUTED_VALUE"""),70377.0)</f>
        <v>70377</v>
      </c>
      <c r="D347" s="10" t="str">
        <f>IFERROR(__xludf.DUMMYFUNCTION("""COMPUTED_VALUE"""),"Vive le bio")</f>
        <v>Vive le bio</v>
      </c>
      <c r="E347" s="10" t="str">
        <f>IFERROR(__xludf.DUMMYFUNCTION("""COMPUTED_VALUE"""),"HAPPEEZ")</f>
        <v>HAPPEEZ</v>
      </c>
      <c r="F347" s="10">
        <f>IFERROR(__xludf.DUMMYFUNCTION("""COMPUTED_VALUE"""),4.27777777777777)</f>
        <v>4.277777778</v>
      </c>
      <c r="G347" s="9">
        <f>IFERROR(__xludf.DUMMYFUNCTION("""COMPUTED_VALUE"""),3.85)</f>
        <v>3.85</v>
      </c>
      <c r="H347" s="9">
        <f>IFERROR(__xludf.DUMMYFUNCTION("""COMPUTED_VALUE"""),2.0)</f>
        <v>2</v>
      </c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</row>
    <row r="348" ht="15.75" customHeight="1">
      <c r="A348" s="11">
        <f>IFERROR(__xludf.DUMMYFUNCTION("""COMPUTED_VALUE"""),44471.0)</f>
        <v>44471</v>
      </c>
      <c r="B348" s="9">
        <f>IFERROR(__xludf.DUMMYFUNCTION("""COMPUTED_VALUE"""),1003329.0)</f>
        <v>1003329</v>
      </c>
      <c r="C348" s="9">
        <f>IFERROR(__xludf.DUMMYFUNCTION("""COMPUTED_VALUE"""),122747.0)</f>
        <v>122747</v>
      </c>
      <c r="D348" s="9"/>
      <c r="E348" s="10" t="str">
        <f>IFERROR(__xludf.DUMMYFUNCTION("""COMPUTED_VALUE"""),"HAPPEEZ")</f>
        <v>HAPPEEZ</v>
      </c>
      <c r="F348" s="10">
        <f>IFERROR(__xludf.DUMMYFUNCTION("""COMPUTED_VALUE"""),52.02)</f>
        <v>52.02</v>
      </c>
      <c r="G348" s="9">
        <f>IFERROR(__xludf.DUMMYFUNCTION("""COMPUTED_VALUE"""),52.02)</f>
        <v>52.02</v>
      </c>
      <c r="H348" s="9">
        <f>IFERROR(__xludf.DUMMYFUNCTION("""COMPUTED_VALUE"""),3.0)</f>
        <v>3</v>
      </c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</row>
    <row r="349" ht="15.75" customHeight="1">
      <c r="A349" s="11">
        <f>IFERROR(__xludf.DUMMYFUNCTION("""COMPUTED_VALUE"""),44471.0)</f>
        <v>44471</v>
      </c>
      <c r="B349" s="9">
        <f>IFERROR(__xludf.DUMMYFUNCTION("""COMPUTED_VALUE"""),1003330.0)</f>
        <v>1003330</v>
      </c>
      <c r="C349" s="9">
        <f>IFERROR(__xludf.DUMMYFUNCTION("""COMPUTED_VALUE"""),81235.0)</f>
        <v>81235</v>
      </c>
      <c r="D349" s="9"/>
      <c r="E349" s="10" t="str">
        <f>IFERROR(__xludf.DUMMYFUNCTION("""COMPUTED_VALUE"""),"GREENRELAIS")</f>
        <v>GREENRELAIS</v>
      </c>
      <c r="F349" s="10">
        <f>IFERROR(__xludf.DUMMYFUNCTION("""COMPUTED_VALUE"""),6.5)</f>
        <v>6.5</v>
      </c>
      <c r="G349" s="9">
        <f>IFERROR(__xludf.DUMMYFUNCTION("""COMPUTED_VALUE"""),6.5)</f>
        <v>6.5</v>
      </c>
      <c r="H349" s="9">
        <f>IFERROR(__xludf.DUMMYFUNCTION("""COMPUTED_VALUE"""),1.0)</f>
        <v>1</v>
      </c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</row>
    <row r="350" ht="15.75" customHeight="1">
      <c r="A350" s="11">
        <f>IFERROR(__xludf.DUMMYFUNCTION("""COMPUTED_VALUE"""),44471.0)</f>
        <v>44471</v>
      </c>
      <c r="B350" s="9">
        <f>IFERROR(__xludf.DUMMYFUNCTION("""COMPUTED_VALUE"""),1003330.0)</f>
        <v>1003330</v>
      </c>
      <c r="C350" s="9">
        <f>IFERROR(__xludf.DUMMYFUNCTION("""COMPUTED_VALUE"""),81771.0)</f>
        <v>81771</v>
      </c>
      <c r="D350" s="10" t="str">
        <f>IFERROR(__xludf.DUMMYFUNCTION("""COMPUTED_VALUE"""),"Vive le bio")</f>
        <v>Vive le bio</v>
      </c>
      <c r="E350" s="10" t="str">
        <f>IFERROR(__xludf.DUMMYFUNCTION("""COMPUTED_VALUE"""),"GREENRELAIS")</f>
        <v>GREENRELAIS</v>
      </c>
      <c r="F350" s="10">
        <f>IFERROR(__xludf.DUMMYFUNCTION("""COMPUTED_VALUE"""),2.21111111111111)</f>
        <v>2.211111111</v>
      </c>
      <c r="G350" s="9">
        <f>IFERROR(__xludf.DUMMYFUNCTION("""COMPUTED_VALUE"""),1.99)</f>
        <v>1.99</v>
      </c>
      <c r="H350" s="9">
        <f>IFERROR(__xludf.DUMMYFUNCTION("""COMPUTED_VALUE"""),1.0)</f>
        <v>1</v>
      </c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</row>
    <row r="351" ht="15.75" customHeight="1">
      <c r="A351" s="11">
        <f>IFERROR(__xludf.DUMMYFUNCTION("""COMPUTED_VALUE"""),44471.0)</f>
        <v>44471</v>
      </c>
      <c r="B351" s="9">
        <f>IFERROR(__xludf.DUMMYFUNCTION("""COMPUTED_VALUE"""),1003330.0)</f>
        <v>1003330</v>
      </c>
      <c r="C351" s="9">
        <f>IFERROR(__xludf.DUMMYFUNCTION("""COMPUTED_VALUE"""),109309.0)</f>
        <v>109309</v>
      </c>
      <c r="D351" s="9"/>
      <c r="E351" s="10" t="str">
        <f>IFERROR(__xludf.DUMMYFUNCTION("""COMPUTED_VALUE"""),"GREENRELAIS")</f>
        <v>GREENRELAIS</v>
      </c>
      <c r="F351" s="10">
        <f>IFERROR(__xludf.DUMMYFUNCTION("""COMPUTED_VALUE"""),8.27)</f>
        <v>8.27</v>
      </c>
      <c r="G351" s="9">
        <f>IFERROR(__xludf.DUMMYFUNCTION("""COMPUTED_VALUE"""),8.27)</f>
        <v>8.27</v>
      </c>
      <c r="H351" s="9">
        <f>IFERROR(__xludf.DUMMYFUNCTION("""COMPUTED_VALUE"""),1.0)</f>
        <v>1</v>
      </c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</row>
    <row r="352" ht="15.75" customHeight="1">
      <c r="A352" s="11">
        <f>IFERROR(__xludf.DUMMYFUNCTION("""COMPUTED_VALUE"""),44471.0)</f>
        <v>44471</v>
      </c>
      <c r="B352" s="9">
        <f>IFERROR(__xludf.DUMMYFUNCTION("""COMPUTED_VALUE"""),1003330.0)</f>
        <v>1003330</v>
      </c>
      <c r="C352" s="9">
        <f>IFERROR(__xludf.DUMMYFUNCTION("""COMPUTED_VALUE"""),87365.0)</f>
        <v>87365</v>
      </c>
      <c r="D352" s="9"/>
      <c r="E352" s="10" t="str">
        <f>IFERROR(__xludf.DUMMYFUNCTION("""COMPUTED_VALUE"""),"GREENRELAIS")</f>
        <v>GREENRELAIS</v>
      </c>
      <c r="F352" s="10">
        <f>IFERROR(__xludf.DUMMYFUNCTION("""COMPUTED_VALUE"""),4.28)</f>
        <v>4.28</v>
      </c>
      <c r="G352" s="9">
        <f>IFERROR(__xludf.DUMMYFUNCTION("""COMPUTED_VALUE"""),4.28)</f>
        <v>4.28</v>
      </c>
      <c r="H352" s="9">
        <f>IFERROR(__xludf.DUMMYFUNCTION("""COMPUTED_VALUE"""),1.0)</f>
        <v>1</v>
      </c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</row>
    <row r="353" ht="15.75" customHeight="1">
      <c r="A353" s="11">
        <f>IFERROR(__xludf.DUMMYFUNCTION("""COMPUTED_VALUE"""),44471.0)</f>
        <v>44471</v>
      </c>
      <c r="B353" s="9">
        <f>IFERROR(__xludf.DUMMYFUNCTION("""COMPUTED_VALUE"""),1003330.0)</f>
        <v>1003330</v>
      </c>
      <c r="C353" s="9">
        <f>IFERROR(__xludf.DUMMYFUNCTION("""COMPUTED_VALUE"""),73245.0)</f>
        <v>73245</v>
      </c>
      <c r="D353" s="9"/>
      <c r="E353" s="10" t="str">
        <f>IFERROR(__xludf.DUMMYFUNCTION("""COMPUTED_VALUE"""),"GREENRELAIS")</f>
        <v>GREENRELAIS</v>
      </c>
      <c r="F353" s="10">
        <f>IFERROR(__xludf.DUMMYFUNCTION("""COMPUTED_VALUE"""),1.46)</f>
        <v>1.46</v>
      </c>
      <c r="G353" s="9">
        <f>IFERROR(__xludf.DUMMYFUNCTION("""COMPUTED_VALUE"""),1.46)</f>
        <v>1.46</v>
      </c>
      <c r="H353" s="9">
        <f>IFERROR(__xludf.DUMMYFUNCTION("""COMPUTED_VALUE"""),1.0)</f>
        <v>1</v>
      </c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</row>
    <row r="354" ht="15.75" customHeight="1">
      <c r="A354" s="11">
        <f>IFERROR(__xludf.DUMMYFUNCTION("""COMPUTED_VALUE"""),44471.0)</f>
        <v>44471</v>
      </c>
      <c r="B354" s="9">
        <f>IFERROR(__xludf.DUMMYFUNCTION("""COMPUTED_VALUE"""),1003330.0)</f>
        <v>1003330</v>
      </c>
      <c r="C354" s="9">
        <f>IFERROR(__xludf.DUMMYFUNCTION("""COMPUTED_VALUE"""),98394.0)</f>
        <v>98394</v>
      </c>
      <c r="D354" s="9"/>
      <c r="E354" s="10" t="str">
        <f>IFERROR(__xludf.DUMMYFUNCTION("""COMPUTED_VALUE"""),"GREENRELAIS")</f>
        <v>GREENRELAIS</v>
      </c>
      <c r="F354" s="10">
        <f>IFERROR(__xludf.DUMMYFUNCTION("""COMPUTED_VALUE"""),1.97)</f>
        <v>1.97</v>
      </c>
      <c r="G354" s="9">
        <f>IFERROR(__xludf.DUMMYFUNCTION("""COMPUTED_VALUE"""),1.97)</f>
        <v>1.97</v>
      </c>
      <c r="H354" s="9">
        <f>IFERROR(__xludf.DUMMYFUNCTION("""COMPUTED_VALUE"""),1.0)</f>
        <v>1</v>
      </c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</row>
    <row r="355" ht="15.75" customHeight="1">
      <c r="A355" s="11">
        <f>IFERROR(__xludf.DUMMYFUNCTION("""COMPUTED_VALUE"""),44471.0)</f>
        <v>44471</v>
      </c>
      <c r="B355" s="9">
        <f>IFERROR(__xludf.DUMMYFUNCTION("""COMPUTED_VALUE"""),1003330.0)</f>
        <v>1003330</v>
      </c>
      <c r="C355" s="9">
        <f>IFERROR(__xludf.DUMMYFUNCTION("""COMPUTED_VALUE"""),16959.0)</f>
        <v>16959</v>
      </c>
      <c r="D355" s="9"/>
      <c r="E355" s="10" t="str">
        <f>IFERROR(__xludf.DUMMYFUNCTION("""COMPUTED_VALUE"""),"GREENRELAIS")</f>
        <v>GREENRELAIS</v>
      </c>
      <c r="F355" s="10">
        <f>IFERROR(__xludf.DUMMYFUNCTION("""COMPUTED_VALUE"""),7.66)</f>
        <v>7.66</v>
      </c>
      <c r="G355" s="9">
        <f>IFERROR(__xludf.DUMMYFUNCTION("""COMPUTED_VALUE"""),7.66)</f>
        <v>7.66</v>
      </c>
      <c r="H355" s="9">
        <f>IFERROR(__xludf.DUMMYFUNCTION("""COMPUTED_VALUE"""),1.0)</f>
        <v>1</v>
      </c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</row>
    <row r="356" ht="15.75" customHeight="1">
      <c r="A356" s="11">
        <f>IFERROR(__xludf.DUMMYFUNCTION("""COMPUTED_VALUE"""),44471.0)</f>
        <v>44471</v>
      </c>
      <c r="B356" s="9">
        <f>IFERROR(__xludf.DUMMYFUNCTION("""COMPUTED_VALUE"""),1003330.0)</f>
        <v>1003330</v>
      </c>
      <c r="C356" s="9">
        <f>IFERROR(__xludf.DUMMYFUNCTION("""COMPUTED_VALUE"""),112246.0)</f>
        <v>112246</v>
      </c>
      <c r="D356" s="9"/>
      <c r="E356" s="10" t="str">
        <f>IFERROR(__xludf.DUMMYFUNCTION("""COMPUTED_VALUE"""),"GREENRELAIS")</f>
        <v>GREENRELAIS</v>
      </c>
      <c r="F356" s="10">
        <f>IFERROR(__xludf.DUMMYFUNCTION("""COMPUTED_VALUE"""),1.73)</f>
        <v>1.73</v>
      </c>
      <c r="G356" s="9">
        <f>IFERROR(__xludf.DUMMYFUNCTION("""COMPUTED_VALUE"""),1.73)</f>
        <v>1.73</v>
      </c>
      <c r="H356" s="9">
        <f>IFERROR(__xludf.DUMMYFUNCTION("""COMPUTED_VALUE"""),1.0)</f>
        <v>1</v>
      </c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</row>
    <row r="357" ht="15.75" customHeight="1">
      <c r="A357" s="11">
        <f>IFERROR(__xludf.DUMMYFUNCTION("""COMPUTED_VALUE"""),44471.0)</f>
        <v>44471</v>
      </c>
      <c r="B357" s="9">
        <f>IFERROR(__xludf.DUMMYFUNCTION("""COMPUTED_VALUE"""),1003330.0)</f>
        <v>1003330</v>
      </c>
      <c r="C357" s="9">
        <f>IFERROR(__xludf.DUMMYFUNCTION("""COMPUTED_VALUE"""),26148.0)</f>
        <v>26148</v>
      </c>
      <c r="D357" s="9"/>
      <c r="E357" s="10" t="str">
        <f>IFERROR(__xludf.DUMMYFUNCTION("""COMPUTED_VALUE"""),"GREENRELAIS")</f>
        <v>GREENRELAIS</v>
      </c>
      <c r="F357" s="10">
        <f>IFERROR(__xludf.DUMMYFUNCTION("""COMPUTED_VALUE"""),3.85)</f>
        <v>3.85</v>
      </c>
      <c r="G357" s="9">
        <f>IFERROR(__xludf.DUMMYFUNCTION("""COMPUTED_VALUE"""),3.85)</f>
        <v>3.85</v>
      </c>
      <c r="H357" s="9">
        <f>IFERROR(__xludf.DUMMYFUNCTION("""COMPUTED_VALUE"""),1.0)</f>
        <v>1</v>
      </c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</row>
    <row r="358" ht="15.75" customHeight="1">
      <c r="A358" s="11">
        <f>IFERROR(__xludf.DUMMYFUNCTION("""COMPUTED_VALUE"""),44471.0)</f>
        <v>44471</v>
      </c>
      <c r="B358" s="9">
        <f>IFERROR(__xludf.DUMMYFUNCTION("""COMPUTED_VALUE"""),1003330.0)</f>
        <v>1003330</v>
      </c>
      <c r="C358" s="9">
        <f>IFERROR(__xludf.DUMMYFUNCTION("""COMPUTED_VALUE"""),80785.0)</f>
        <v>80785</v>
      </c>
      <c r="D358" s="9"/>
      <c r="E358" s="10" t="str">
        <f>IFERROR(__xludf.DUMMYFUNCTION("""COMPUTED_VALUE"""),"GREENRELAIS")</f>
        <v>GREENRELAIS</v>
      </c>
      <c r="F358" s="10">
        <f>IFERROR(__xludf.DUMMYFUNCTION("""COMPUTED_VALUE"""),1.49)</f>
        <v>1.49</v>
      </c>
      <c r="G358" s="9">
        <f>IFERROR(__xludf.DUMMYFUNCTION("""COMPUTED_VALUE"""),1.49)</f>
        <v>1.49</v>
      </c>
      <c r="H358" s="9">
        <f>IFERROR(__xludf.DUMMYFUNCTION("""COMPUTED_VALUE"""),1.0)</f>
        <v>1</v>
      </c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</row>
    <row r="359" ht="15.75" customHeight="1">
      <c r="A359" s="11">
        <f>IFERROR(__xludf.DUMMYFUNCTION("""COMPUTED_VALUE"""),44471.0)</f>
        <v>44471</v>
      </c>
      <c r="B359" s="9">
        <f>IFERROR(__xludf.DUMMYFUNCTION("""COMPUTED_VALUE"""),1003330.0)</f>
        <v>1003330</v>
      </c>
      <c r="C359" s="9">
        <f>IFERROR(__xludf.DUMMYFUNCTION("""COMPUTED_VALUE"""),121461.0)</f>
        <v>121461</v>
      </c>
      <c r="D359" s="9"/>
      <c r="E359" s="10" t="str">
        <f>IFERROR(__xludf.DUMMYFUNCTION("""COMPUTED_VALUE"""),"GREENRELAIS")</f>
        <v>GREENRELAIS</v>
      </c>
      <c r="F359" s="10">
        <f>IFERROR(__xludf.DUMMYFUNCTION("""COMPUTED_VALUE"""),1.37)</f>
        <v>1.37</v>
      </c>
      <c r="G359" s="9">
        <f>IFERROR(__xludf.DUMMYFUNCTION("""COMPUTED_VALUE"""),1.37)</f>
        <v>1.37</v>
      </c>
      <c r="H359" s="9">
        <f>IFERROR(__xludf.DUMMYFUNCTION("""COMPUTED_VALUE"""),1.0)</f>
        <v>1</v>
      </c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</row>
    <row r="360" ht="15.75" customHeight="1">
      <c r="A360" s="11">
        <f>IFERROR(__xludf.DUMMYFUNCTION("""COMPUTED_VALUE"""),44471.0)</f>
        <v>44471</v>
      </c>
      <c r="B360" s="9">
        <f>IFERROR(__xludf.DUMMYFUNCTION("""COMPUTED_VALUE"""),1003330.0)</f>
        <v>1003330</v>
      </c>
      <c r="C360" s="9">
        <f>IFERROR(__xludf.DUMMYFUNCTION("""COMPUTED_VALUE"""),86481.0)</f>
        <v>86481</v>
      </c>
      <c r="D360" s="10" t="str">
        <f>IFERROR(__xludf.DUMMYFUNCTION("""COMPUTED_VALUE"""),"Vive le bio")</f>
        <v>Vive le bio</v>
      </c>
      <c r="E360" s="10" t="str">
        <f>IFERROR(__xludf.DUMMYFUNCTION("""COMPUTED_VALUE"""),"GREENRELAIS")</f>
        <v>GREENRELAIS</v>
      </c>
      <c r="F360" s="10">
        <f>IFERROR(__xludf.DUMMYFUNCTION("""COMPUTED_VALUE"""),6.15555555555555)</f>
        <v>6.155555556</v>
      </c>
      <c r="G360" s="9">
        <f>IFERROR(__xludf.DUMMYFUNCTION("""COMPUTED_VALUE"""),5.54)</f>
        <v>5.54</v>
      </c>
      <c r="H360" s="9">
        <f>IFERROR(__xludf.DUMMYFUNCTION("""COMPUTED_VALUE"""),1.0)</f>
        <v>1</v>
      </c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</row>
    <row r="361" ht="15.75" customHeight="1">
      <c r="A361" s="11">
        <f>IFERROR(__xludf.DUMMYFUNCTION("""COMPUTED_VALUE"""),44471.0)</f>
        <v>44471</v>
      </c>
      <c r="B361" s="9">
        <f>IFERROR(__xludf.DUMMYFUNCTION("""COMPUTED_VALUE"""),1003330.0)</f>
        <v>1003330</v>
      </c>
      <c r="C361" s="9">
        <f>IFERROR(__xludf.DUMMYFUNCTION("""COMPUTED_VALUE"""),16546.0)</f>
        <v>16546</v>
      </c>
      <c r="D361" s="9"/>
      <c r="E361" s="10" t="str">
        <f>IFERROR(__xludf.DUMMYFUNCTION("""COMPUTED_VALUE"""),"GREENRELAIS")</f>
        <v>GREENRELAIS</v>
      </c>
      <c r="F361" s="10">
        <f>IFERROR(__xludf.DUMMYFUNCTION("""COMPUTED_VALUE"""),2.8)</f>
        <v>2.8</v>
      </c>
      <c r="G361" s="9">
        <f>IFERROR(__xludf.DUMMYFUNCTION("""COMPUTED_VALUE"""),2.8)</f>
        <v>2.8</v>
      </c>
      <c r="H361" s="9">
        <f>IFERROR(__xludf.DUMMYFUNCTION("""COMPUTED_VALUE"""),2.0)</f>
        <v>2</v>
      </c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</row>
    <row r="362" ht="15.75" customHeight="1">
      <c r="A362" s="11">
        <f>IFERROR(__xludf.DUMMYFUNCTION("""COMPUTED_VALUE"""),44471.0)</f>
        <v>44471</v>
      </c>
      <c r="B362" s="9">
        <f>IFERROR(__xludf.DUMMYFUNCTION("""COMPUTED_VALUE"""),1003330.0)</f>
        <v>1003330</v>
      </c>
      <c r="C362" s="9">
        <f>IFERROR(__xludf.DUMMYFUNCTION("""COMPUTED_VALUE"""),109565.0)</f>
        <v>109565</v>
      </c>
      <c r="D362" s="9"/>
      <c r="E362" s="10" t="str">
        <f>IFERROR(__xludf.DUMMYFUNCTION("""COMPUTED_VALUE"""),"GREENRELAIS")</f>
        <v>GREENRELAIS</v>
      </c>
      <c r="F362" s="10">
        <f>IFERROR(__xludf.DUMMYFUNCTION("""COMPUTED_VALUE"""),14.08)</f>
        <v>14.08</v>
      </c>
      <c r="G362" s="9">
        <f>IFERROR(__xludf.DUMMYFUNCTION("""COMPUTED_VALUE"""),14.08)</f>
        <v>14.08</v>
      </c>
      <c r="H362" s="9">
        <f>IFERROR(__xludf.DUMMYFUNCTION("""COMPUTED_VALUE"""),3.0)</f>
        <v>3</v>
      </c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</row>
    <row r="363" ht="15.75" customHeight="1">
      <c r="A363" s="11">
        <f>IFERROR(__xludf.DUMMYFUNCTION("""COMPUTED_VALUE"""),44471.0)</f>
        <v>44471</v>
      </c>
      <c r="B363" s="9">
        <f>IFERROR(__xludf.DUMMYFUNCTION("""COMPUTED_VALUE"""),1003330.0)</f>
        <v>1003330</v>
      </c>
      <c r="C363" s="9">
        <f>IFERROR(__xludf.DUMMYFUNCTION("""COMPUTED_VALUE"""),116202.0)</f>
        <v>116202</v>
      </c>
      <c r="D363" s="9"/>
      <c r="E363" s="10" t="str">
        <f>IFERROR(__xludf.DUMMYFUNCTION("""COMPUTED_VALUE"""),"GREENRELAIS")</f>
        <v>GREENRELAIS</v>
      </c>
      <c r="F363" s="10">
        <f>IFERROR(__xludf.DUMMYFUNCTION("""COMPUTED_VALUE"""),4.98)</f>
        <v>4.98</v>
      </c>
      <c r="G363" s="9">
        <f>IFERROR(__xludf.DUMMYFUNCTION("""COMPUTED_VALUE"""),4.98)</f>
        <v>4.98</v>
      </c>
      <c r="H363" s="9">
        <f>IFERROR(__xludf.DUMMYFUNCTION("""COMPUTED_VALUE"""),4.0)</f>
        <v>4</v>
      </c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</row>
    <row r="364" ht="15.75" customHeight="1">
      <c r="A364" s="11">
        <f>IFERROR(__xludf.DUMMYFUNCTION("""COMPUTED_VALUE"""),44471.0)</f>
        <v>44471</v>
      </c>
      <c r="B364" s="9">
        <f>IFERROR(__xludf.DUMMYFUNCTION("""COMPUTED_VALUE"""),1003332.0)</f>
        <v>1003332</v>
      </c>
      <c r="C364" s="9">
        <f>IFERROR(__xludf.DUMMYFUNCTION("""COMPUTED_VALUE"""),117275.0)</f>
        <v>117275</v>
      </c>
      <c r="D364" s="9"/>
      <c r="E364" s="9"/>
      <c r="F364" s="9">
        <f>IFERROR(__xludf.DUMMYFUNCTION("""COMPUTED_VALUE"""),34.99)</f>
        <v>34.99</v>
      </c>
      <c r="G364" s="9">
        <f>IFERROR(__xludf.DUMMYFUNCTION("""COMPUTED_VALUE"""),34.99)</f>
        <v>34.99</v>
      </c>
      <c r="H364" s="9">
        <f>IFERROR(__xludf.DUMMYFUNCTION("""COMPUTED_VALUE"""),1.0)</f>
        <v>1</v>
      </c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</row>
    <row r="365" ht="15.75" customHeight="1">
      <c r="A365" s="11">
        <f>IFERROR(__xludf.DUMMYFUNCTION("""COMPUTED_VALUE"""),44471.0)</f>
        <v>44471</v>
      </c>
      <c r="B365" s="9">
        <f>IFERROR(__xludf.DUMMYFUNCTION("""COMPUTED_VALUE"""),1003333.0)</f>
        <v>1003333</v>
      </c>
      <c r="C365" s="9">
        <f>IFERROR(__xludf.DUMMYFUNCTION("""COMPUTED_VALUE"""),158671.0)</f>
        <v>158671</v>
      </c>
      <c r="D365" s="9"/>
      <c r="E365" s="10" t="str">
        <f>IFERROR(__xludf.DUMMYFUNCTION("""COMPUTED_VALUE"""),"GREENRELAIS")</f>
        <v>GREENRELAIS</v>
      </c>
      <c r="F365" s="10">
        <f>IFERROR(__xludf.DUMMYFUNCTION("""COMPUTED_VALUE"""),8.7)</f>
        <v>8.7</v>
      </c>
      <c r="G365" s="9">
        <f>IFERROR(__xludf.DUMMYFUNCTION("""COMPUTED_VALUE"""),8.7)</f>
        <v>8.7</v>
      </c>
      <c r="H365" s="9">
        <f>IFERROR(__xludf.DUMMYFUNCTION("""COMPUTED_VALUE"""),1.0)</f>
        <v>1</v>
      </c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</row>
    <row r="366" ht="15.75" customHeight="1">
      <c r="A366" s="11">
        <f>IFERROR(__xludf.DUMMYFUNCTION("""COMPUTED_VALUE"""),44471.0)</f>
        <v>44471</v>
      </c>
      <c r="B366" s="9">
        <f>IFERROR(__xludf.DUMMYFUNCTION("""COMPUTED_VALUE"""),1003333.0)</f>
        <v>1003333</v>
      </c>
      <c r="C366" s="9">
        <f>IFERROR(__xludf.DUMMYFUNCTION("""COMPUTED_VALUE"""),109184.0)</f>
        <v>109184</v>
      </c>
      <c r="D366" s="9"/>
      <c r="E366" s="10" t="str">
        <f>IFERROR(__xludf.DUMMYFUNCTION("""COMPUTED_VALUE"""),"GREENRELAIS")</f>
        <v>GREENRELAIS</v>
      </c>
      <c r="F366" s="10">
        <f>IFERROR(__xludf.DUMMYFUNCTION("""COMPUTED_VALUE"""),7.87)</f>
        <v>7.87</v>
      </c>
      <c r="G366" s="9">
        <f>IFERROR(__xludf.DUMMYFUNCTION("""COMPUTED_VALUE"""),7.87)</f>
        <v>7.87</v>
      </c>
      <c r="H366" s="9">
        <f>IFERROR(__xludf.DUMMYFUNCTION("""COMPUTED_VALUE"""),1.0)</f>
        <v>1</v>
      </c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</row>
    <row r="367" ht="15.75" customHeight="1">
      <c r="A367" s="11">
        <f>IFERROR(__xludf.DUMMYFUNCTION("""COMPUTED_VALUE"""),44471.0)</f>
        <v>44471</v>
      </c>
      <c r="B367" s="9">
        <f>IFERROR(__xludf.DUMMYFUNCTION("""COMPUTED_VALUE"""),1003333.0)</f>
        <v>1003333</v>
      </c>
      <c r="C367" s="9">
        <f>IFERROR(__xludf.DUMMYFUNCTION("""COMPUTED_VALUE"""),79107.0)</f>
        <v>79107</v>
      </c>
      <c r="D367" s="9"/>
      <c r="E367" s="10" t="str">
        <f>IFERROR(__xludf.DUMMYFUNCTION("""COMPUTED_VALUE"""),"GREENRELAIS")</f>
        <v>GREENRELAIS</v>
      </c>
      <c r="F367" s="10">
        <f>IFERROR(__xludf.DUMMYFUNCTION("""COMPUTED_VALUE"""),9.85)</f>
        <v>9.85</v>
      </c>
      <c r="G367" s="9">
        <f>IFERROR(__xludf.DUMMYFUNCTION("""COMPUTED_VALUE"""),9.85)</f>
        <v>9.85</v>
      </c>
      <c r="H367" s="9">
        <f>IFERROR(__xludf.DUMMYFUNCTION("""COMPUTED_VALUE"""),3.0)</f>
        <v>3</v>
      </c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</row>
    <row r="368" ht="15.75" customHeight="1">
      <c r="A368" s="11">
        <f>IFERROR(__xludf.DUMMYFUNCTION("""COMPUTED_VALUE"""),44471.0)</f>
        <v>44471</v>
      </c>
      <c r="B368" s="9">
        <f>IFERROR(__xludf.DUMMYFUNCTION("""COMPUTED_VALUE"""),1003333.0)</f>
        <v>1003333</v>
      </c>
      <c r="C368" s="9">
        <f>IFERROR(__xludf.DUMMYFUNCTION("""COMPUTED_VALUE"""),117237.0)</f>
        <v>117237</v>
      </c>
      <c r="D368" s="10" t="str">
        <f>IFERROR(__xludf.DUMMYFUNCTION("""COMPUTED_VALUE"""),"Vive le bio")</f>
        <v>Vive le bio</v>
      </c>
      <c r="E368" s="10" t="str">
        <f>IFERROR(__xludf.DUMMYFUNCTION("""COMPUTED_VALUE"""),"GREENRELAIS")</f>
        <v>GREENRELAIS</v>
      </c>
      <c r="F368" s="10">
        <f>IFERROR(__xludf.DUMMYFUNCTION("""COMPUTED_VALUE"""),19.1333333333333)</f>
        <v>19.13333333</v>
      </c>
      <c r="G368" s="9">
        <f>IFERROR(__xludf.DUMMYFUNCTION("""COMPUTED_VALUE"""),17.22)</f>
        <v>17.22</v>
      </c>
      <c r="H368" s="9">
        <f>IFERROR(__xludf.DUMMYFUNCTION("""COMPUTED_VALUE"""),4.0)</f>
        <v>4</v>
      </c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</row>
    <row r="369" ht="15.75" customHeight="1">
      <c r="A369" s="11">
        <f>IFERROR(__xludf.DUMMYFUNCTION("""COMPUTED_VALUE"""),44471.0)</f>
        <v>44471</v>
      </c>
      <c r="B369" s="9">
        <f>IFERROR(__xludf.DUMMYFUNCTION("""COMPUTED_VALUE"""),1003333.0)</f>
        <v>1003333</v>
      </c>
      <c r="C369" s="9">
        <f>IFERROR(__xludf.DUMMYFUNCTION("""COMPUTED_VALUE"""),103865.0)</f>
        <v>103865</v>
      </c>
      <c r="D369" s="9"/>
      <c r="E369" s="10" t="str">
        <f>IFERROR(__xludf.DUMMYFUNCTION("""COMPUTED_VALUE"""),"GREENRELAIS")</f>
        <v>GREENRELAIS</v>
      </c>
      <c r="F369" s="10">
        <f>IFERROR(__xludf.DUMMYFUNCTION("""COMPUTED_VALUE"""),10.7)</f>
        <v>10.7</v>
      </c>
      <c r="G369" s="9">
        <f>IFERROR(__xludf.DUMMYFUNCTION("""COMPUTED_VALUE"""),10.7)</f>
        <v>10.7</v>
      </c>
      <c r="H369" s="9">
        <f>IFERROR(__xludf.DUMMYFUNCTION("""COMPUTED_VALUE"""),4.0)</f>
        <v>4</v>
      </c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</row>
    <row r="370" ht="15.75" customHeight="1">
      <c r="A370" s="11">
        <f>IFERROR(__xludf.DUMMYFUNCTION("""COMPUTED_VALUE"""),44471.0)</f>
        <v>44471</v>
      </c>
      <c r="B370" s="9">
        <f>IFERROR(__xludf.DUMMYFUNCTION("""COMPUTED_VALUE"""),1003333.0)</f>
        <v>1003333</v>
      </c>
      <c r="C370" s="9">
        <f>IFERROR(__xludf.DUMMYFUNCTION("""COMPUTED_VALUE"""),83054.0)</f>
        <v>83054</v>
      </c>
      <c r="D370" s="9"/>
      <c r="E370" s="10" t="str">
        <f>IFERROR(__xludf.DUMMYFUNCTION("""COMPUTED_VALUE"""),"GREENRELAIS")</f>
        <v>GREENRELAIS</v>
      </c>
      <c r="F370" s="10">
        <f>IFERROR(__xludf.DUMMYFUNCTION("""COMPUTED_VALUE"""),14.11)</f>
        <v>14.11</v>
      </c>
      <c r="G370" s="9">
        <f>IFERROR(__xludf.DUMMYFUNCTION("""COMPUTED_VALUE"""),14.11)</f>
        <v>14.11</v>
      </c>
      <c r="H370" s="9">
        <f>IFERROR(__xludf.DUMMYFUNCTION("""COMPUTED_VALUE"""),10.0)</f>
        <v>10</v>
      </c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</row>
    <row r="371" ht="15.75" customHeight="1">
      <c r="A371" s="11">
        <f>IFERROR(__xludf.DUMMYFUNCTION("""COMPUTED_VALUE"""),44471.0)</f>
        <v>44471</v>
      </c>
      <c r="B371" s="9">
        <f>IFERROR(__xludf.DUMMYFUNCTION("""COMPUTED_VALUE"""),1003334.0)</f>
        <v>1003334</v>
      </c>
      <c r="C371" s="9">
        <f>IFERROR(__xludf.DUMMYFUNCTION("""COMPUTED_VALUE"""),118154.0)</f>
        <v>118154</v>
      </c>
      <c r="D371" s="9"/>
      <c r="E371" s="10" t="str">
        <f>IFERROR(__xludf.DUMMYFUNCTION("""COMPUTED_VALUE"""),"PREMIERE")</f>
        <v>PREMIERE</v>
      </c>
      <c r="F371" s="10">
        <f>IFERROR(__xludf.DUMMYFUNCTION("""COMPUTED_VALUE"""),6.0)</f>
        <v>6</v>
      </c>
      <c r="G371" s="9">
        <f>IFERROR(__xludf.DUMMYFUNCTION("""COMPUTED_VALUE"""),6.0)</f>
        <v>6</v>
      </c>
      <c r="H371" s="9">
        <f>IFERROR(__xludf.DUMMYFUNCTION("""COMPUTED_VALUE"""),2.0)</f>
        <v>2</v>
      </c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</row>
    <row r="372" ht="15.75" customHeight="1">
      <c r="A372" s="11">
        <f>IFERROR(__xludf.DUMMYFUNCTION("""COMPUTED_VALUE"""),44471.0)</f>
        <v>44471</v>
      </c>
      <c r="B372" s="9">
        <f>IFERROR(__xludf.DUMMYFUNCTION("""COMPUTED_VALUE"""),1003334.0)</f>
        <v>1003334</v>
      </c>
      <c r="C372" s="9">
        <f>IFERROR(__xludf.DUMMYFUNCTION("""COMPUTED_VALUE"""),30501.0)</f>
        <v>30501</v>
      </c>
      <c r="D372" s="9"/>
      <c r="E372" s="10" t="str">
        <f>IFERROR(__xludf.DUMMYFUNCTION("""COMPUTED_VALUE"""),"PREMIERE")</f>
        <v>PREMIERE</v>
      </c>
      <c r="F372" s="10">
        <f>IFERROR(__xludf.DUMMYFUNCTION("""COMPUTED_VALUE"""),18.82)</f>
        <v>18.82</v>
      </c>
      <c r="G372" s="9">
        <f>IFERROR(__xludf.DUMMYFUNCTION("""COMPUTED_VALUE"""),18.82)</f>
        <v>18.82</v>
      </c>
      <c r="H372" s="9">
        <f>IFERROR(__xludf.DUMMYFUNCTION("""COMPUTED_VALUE"""),2.0)</f>
        <v>2</v>
      </c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</row>
    <row r="373" ht="15.75" customHeight="1">
      <c r="A373" s="11">
        <f>IFERROR(__xludf.DUMMYFUNCTION("""COMPUTED_VALUE"""),44471.0)</f>
        <v>44471</v>
      </c>
      <c r="B373" s="9">
        <f>IFERROR(__xludf.DUMMYFUNCTION("""COMPUTED_VALUE"""),1003334.0)</f>
        <v>1003334</v>
      </c>
      <c r="C373" s="9">
        <f>IFERROR(__xludf.DUMMYFUNCTION("""COMPUTED_VALUE"""),20053.0)</f>
        <v>20053</v>
      </c>
      <c r="D373" s="9"/>
      <c r="E373" s="10" t="str">
        <f>IFERROR(__xludf.DUMMYFUNCTION("""COMPUTED_VALUE"""),"PREMIERE")</f>
        <v>PREMIERE</v>
      </c>
      <c r="F373" s="10">
        <f>IFERROR(__xludf.DUMMYFUNCTION("""COMPUTED_VALUE"""),11.89)</f>
        <v>11.89</v>
      </c>
      <c r="G373" s="9">
        <f>IFERROR(__xludf.DUMMYFUNCTION("""COMPUTED_VALUE"""),11.89)</f>
        <v>11.89</v>
      </c>
      <c r="H373" s="9">
        <f>IFERROR(__xludf.DUMMYFUNCTION("""COMPUTED_VALUE"""),4.0)</f>
        <v>4</v>
      </c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</row>
    <row r="374" ht="15.75" customHeight="1">
      <c r="A374" s="11">
        <f>IFERROR(__xludf.DUMMYFUNCTION("""COMPUTED_VALUE"""),44471.0)</f>
        <v>44471</v>
      </c>
      <c r="B374" s="9">
        <f>IFERROR(__xludf.DUMMYFUNCTION("""COMPUTED_VALUE"""),1003334.0)</f>
        <v>1003334</v>
      </c>
      <c r="C374" s="9">
        <f>IFERROR(__xludf.DUMMYFUNCTION("""COMPUTED_VALUE"""),103592.0)</f>
        <v>103592</v>
      </c>
      <c r="D374" s="10" t="str">
        <f>IFERROR(__xludf.DUMMYFUNCTION("""COMPUTED_VALUE"""),"Love &amp; Green Couches et Culottes sept 2021")</f>
        <v>Love &amp; Green Couches et Culottes sept 2021</v>
      </c>
      <c r="E374" s="10" t="str">
        <f>IFERROR(__xludf.DUMMYFUNCTION("""COMPUTED_VALUE"""),"PREMIERE")</f>
        <v>PREMIERE</v>
      </c>
      <c r="F374" s="10">
        <f>IFERROR(__xludf.DUMMYFUNCTION("""COMPUTED_VALUE"""),124.042857142857)</f>
        <v>124.0428571</v>
      </c>
      <c r="G374" s="9">
        <f>IFERROR(__xludf.DUMMYFUNCTION("""COMPUTED_VALUE"""),86.83)</f>
        <v>86.83</v>
      </c>
      <c r="H374" s="9">
        <f>IFERROR(__xludf.DUMMYFUNCTION("""COMPUTED_VALUE"""),8.0)</f>
        <v>8</v>
      </c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</row>
    <row r="375" ht="15.75" customHeight="1">
      <c r="A375" s="11">
        <f>IFERROR(__xludf.DUMMYFUNCTION("""COMPUTED_VALUE"""),44471.0)</f>
        <v>44471</v>
      </c>
      <c r="B375" s="9">
        <f>IFERROR(__xludf.DUMMYFUNCTION("""COMPUTED_VALUE"""),1003334.0)</f>
        <v>1003334</v>
      </c>
      <c r="C375" s="9">
        <f>IFERROR(__xludf.DUMMYFUNCTION("""COMPUTED_VALUE"""),46760.0)</f>
        <v>46760</v>
      </c>
      <c r="D375" s="10" t="str">
        <f>IFERROR(__xludf.DUMMYFUNCTION("""COMPUTED_VALUE"""),"Vive le bio")</f>
        <v>Vive le bio</v>
      </c>
      <c r="E375" s="10" t="str">
        <f>IFERROR(__xludf.DUMMYFUNCTION("""COMPUTED_VALUE"""),"PREMIERE")</f>
        <v>PREMIERE</v>
      </c>
      <c r="F375" s="10">
        <f>IFERROR(__xludf.DUMMYFUNCTION("""COMPUTED_VALUE"""),30.6631578947368)</f>
        <v>30.66315789</v>
      </c>
      <c r="G375" s="9">
        <f>IFERROR(__xludf.DUMMYFUNCTION("""COMPUTED_VALUE"""),29.13)</f>
        <v>29.13</v>
      </c>
      <c r="H375" s="9">
        <f>IFERROR(__xludf.DUMMYFUNCTION("""COMPUTED_VALUE"""),12.0)</f>
        <v>12</v>
      </c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</row>
    <row r="376" ht="15.75" customHeight="1">
      <c r="A376" s="11">
        <f>IFERROR(__xludf.DUMMYFUNCTION("""COMPUTED_VALUE"""),44471.0)</f>
        <v>44471</v>
      </c>
      <c r="B376" s="9">
        <f>IFERROR(__xludf.DUMMYFUNCTION("""COMPUTED_VALUE"""),1003335.0)</f>
        <v>1003335</v>
      </c>
      <c r="C376" s="9">
        <f>IFERROR(__xludf.DUMMYFUNCTION("""COMPUTED_VALUE"""),86420.0)</f>
        <v>86420</v>
      </c>
      <c r="D376" s="10" t="str">
        <f>IFERROR(__xludf.DUMMYFUNCTION("""COMPUTED_VALUE"""),"Vive le bio")</f>
        <v>Vive le bio</v>
      </c>
      <c r="E376" s="10"/>
      <c r="F376" s="9">
        <f>IFERROR(__xludf.DUMMYFUNCTION("""COMPUTED_VALUE"""),13.9333333333333)</f>
        <v>13.93333333</v>
      </c>
      <c r="G376" s="9">
        <f>IFERROR(__xludf.DUMMYFUNCTION("""COMPUTED_VALUE"""),12.54)</f>
        <v>12.54</v>
      </c>
      <c r="H376" s="9">
        <f>IFERROR(__xludf.DUMMYFUNCTION("""COMPUTED_VALUE"""),6.0)</f>
        <v>6</v>
      </c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</row>
    <row r="377" ht="15.75" customHeight="1">
      <c r="A377" s="11">
        <f>IFERROR(__xludf.DUMMYFUNCTION("""COMPUTED_VALUE"""),44471.0)</f>
        <v>44471</v>
      </c>
      <c r="B377" s="9">
        <f>IFERROR(__xludf.DUMMYFUNCTION("""COMPUTED_VALUE"""),1003336.0)</f>
        <v>1003336</v>
      </c>
      <c r="C377" s="9">
        <f>IFERROR(__xludf.DUMMYFUNCTION("""COMPUTED_VALUE"""),121249.0)</f>
        <v>121249</v>
      </c>
      <c r="D377" s="9"/>
      <c r="E377" s="9"/>
      <c r="F377" s="9">
        <f>IFERROR(__xludf.DUMMYFUNCTION("""COMPUTED_VALUE"""),29.75)</f>
        <v>29.75</v>
      </c>
      <c r="G377" s="9">
        <f>IFERROR(__xludf.DUMMYFUNCTION("""COMPUTED_VALUE"""),29.75)</f>
        <v>29.75</v>
      </c>
      <c r="H377" s="9">
        <f>IFERROR(__xludf.DUMMYFUNCTION("""COMPUTED_VALUE"""),1.0)</f>
        <v>1</v>
      </c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</row>
    <row r="378" ht="15.75" customHeight="1">
      <c r="A378" s="11">
        <f>IFERROR(__xludf.DUMMYFUNCTION("""COMPUTED_VALUE"""),44471.0)</f>
        <v>44471</v>
      </c>
      <c r="B378" s="9">
        <f>IFERROR(__xludf.DUMMYFUNCTION("""COMPUTED_VALUE"""),1003336.0)</f>
        <v>1003336</v>
      </c>
      <c r="C378" s="9">
        <f>IFERROR(__xludf.DUMMYFUNCTION("""COMPUTED_VALUE"""),121095.0)</f>
        <v>121095</v>
      </c>
      <c r="D378" s="9"/>
      <c r="E378" s="9"/>
      <c r="F378" s="9">
        <f>IFERROR(__xludf.DUMMYFUNCTION("""COMPUTED_VALUE"""),38.41)</f>
        <v>38.41</v>
      </c>
      <c r="G378" s="9">
        <f>IFERROR(__xludf.DUMMYFUNCTION("""COMPUTED_VALUE"""),38.41)</f>
        <v>38.41</v>
      </c>
      <c r="H378" s="9">
        <f>IFERROR(__xludf.DUMMYFUNCTION("""COMPUTED_VALUE"""),1.0)</f>
        <v>1</v>
      </c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</row>
    <row r="379" ht="15.75" customHeight="1">
      <c r="A379" s="11">
        <f>IFERROR(__xludf.DUMMYFUNCTION("""COMPUTED_VALUE"""),44471.0)</f>
        <v>44471</v>
      </c>
      <c r="B379" s="9">
        <f>IFERROR(__xludf.DUMMYFUNCTION("""COMPUTED_VALUE"""),1003336.0)</f>
        <v>1003336</v>
      </c>
      <c r="C379" s="9">
        <f>IFERROR(__xludf.DUMMYFUNCTION("""COMPUTED_VALUE"""),74331.0)</f>
        <v>74331</v>
      </c>
      <c r="D379" s="9"/>
      <c r="E379" s="9"/>
      <c r="F379" s="9">
        <f>IFERROR(__xludf.DUMMYFUNCTION("""COMPUTED_VALUE"""),17.41)</f>
        <v>17.41</v>
      </c>
      <c r="G379" s="9">
        <f>IFERROR(__xludf.DUMMYFUNCTION("""COMPUTED_VALUE"""),17.41)</f>
        <v>17.41</v>
      </c>
      <c r="H379" s="9">
        <f>IFERROR(__xludf.DUMMYFUNCTION("""COMPUTED_VALUE"""),1.0)</f>
        <v>1</v>
      </c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</row>
    <row r="380" ht="15.75" customHeight="1">
      <c r="A380" s="11">
        <f>IFERROR(__xludf.DUMMYFUNCTION("""COMPUTED_VALUE"""),44471.0)</f>
        <v>44471</v>
      </c>
      <c r="B380" s="9">
        <f>IFERROR(__xludf.DUMMYFUNCTION("""COMPUTED_VALUE"""),1003338.0)</f>
        <v>1003338</v>
      </c>
      <c r="C380" s="9">
        <f>IFERROR(__xludf.DUMMYFUNCTION("""COMPUTED_VALUE"""),87099.0)</f>
        <v>87099</v>
      </c>
      <c r="D380" s="9"/>
      <c r="E380" s="10" t="str">
        <f>IFERROR(__xludf.DUMMYFUNCTION("""COMPUTED_VALUE"""),"GWZPC2")</f>
        <v>GWZPC2</v>
      </c>
      <c r="F380" s="10">
        <f>IFERROR(__xludf.DUMMYFUNCTION("""COMPUTED_VALUE"""),2.03)</f>
        <v>2.03</v>
      </c>
      <c r="G380" s="9">
        <f>IFERROR(__xludf.DUMMYFUNCTION("""COMPUTED_VALUE"""),2.03)</f>
        <v>2.03</v>
      </c>
      <c r="H380" s="9">
        <f>IFERROR(__xludf.DUMMYFUNCTION("""COMPUTED_VALUE"""),1.0)</f>
        <v>1</v>
      </c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</row>
    <row r="381" ht="15.75" customHeight="1">
      <c r="A381" s="11">
        <f>IFERROR(__xludf.DUMMYFUNCTION("""COMPUTED_VALUE"""),44471.0)</f>
        <v>44471</v>
      </c>
      <c r="B381" s="9">
        <f>IFERROR(__xludf.DUMMYFUNCTION("""COMPUTED_VALUE"""),1003338.0)</f>
        <v>1003338</v>
      </c>
      <c r="C381" s="9">
        <f>IFERROR(__xludf.DUMMYFUNCTION("""COMPUTED_VALUE"""),90868.0)</f>
        <v>90868</v>
      </c>
      <c r="D381" s="9"/>
      <c r="E381" s="10" t="str">
        <f>IFERROR(__xludf.DUMMYFUNCTION("""COMPUTED_VALUE"""),"GWZPC2")</f>
        <v>GWZPC2</v>
      </c>
      <c r="F381" s="10">
        <f>IFERROR(__xludf.DUMMYFUNCTION("""COMPUTED_VALUE"""),9.18)</f>
        <v>9.18</v>
      </c>
      <c r="G381" s="9">
        <f>IFERROR(__xludf.DUMMYFUNCTION("""COMPUTED_VALUE"""),9.18)</f>
        <v>9.18</v>
      </c>
      <c r="H381" s="9">
        <f>IFERROR(__xludf.DUMMYFUNCTION("""COMPUTED_VALUE"""),1.0)</f>
        <v>1</v>
      </c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</row>
    <row r="382" ht="15.75" customHeight="1">
      <c r="A382" s="11">
        <f>IFERROR(__xludf.DUMMYFUNCTION("""COMPUTED_VALUE"""),44471.0)</f>
        <v>44471</v>
      </c>
      <c r="B382" s="9">
        <f>IFERROR(__xludf.DUMMYFUNCTION("""COMPUTED_VALUE"""),1003338.0)</f>
        <v>1003338</v>
      </c>
      <c r="C382" s="9">
        <f>IFERROR(__xludf.DUMMYFUNCTION("""COMPUTED_VALUE"""),77491.0)</f>
        <v>77491</v>
      </c>
      <c r="D382" s="9"/>
      <c r="E382" s="10" t="str">
        <f>IFERROR(__xludf.DUMMYFUNCTION("""COMPUTED_VALUE"""),"GWZPC2")</f>
        <v>GWZPC2</v>
      </c>
      <c r="F382" s="10">
        <f>IFERROR(__xludf.DUMMYFUNCTION("""COMPUTED_VALUE"""),17.64)</f>
        <v>17.64</v>
      </c>
      <c r="G382" s="9">
        <f>IFERROR(__xludf.DUMMYFUNCTION("""COMPUTED_VALUE"""),17.64)</f>
        <v>17.64</v>
      </c>
      <c r="H382" s="9">
        <f>IFERROR(__xludf.DUMMYFUNCTION("""COMPUTED_VALUE"""),1.0)</f>
        <v>1</v>
      </c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</row>
    <row r="383" ht="15.75" customHeight="1">
      <c r="A383" s="11">
        <f>IFERROR(__xludf.DUMMYFUNCTION("""COMPUTED_VALUE"""),44471.0)</f>
        <v>44471</v>
      </c>
      <c r="B383" s="9">
        <f>IFERROR(__xludf.DUMMYFUNCTION("""COMPUTED_VALUE"""),1003338.0)</f>
        <v>1003338</v>
      </c>
      <c r="C383" s="9">
        <f>IFERROR(__xludf.DUMMYFUNCTION("""COMPUTED_VALUE"""),110948.0)</f>
        <v>110948</v>
      </c>
      <c r="D383" s="10" t="str">
        <f>IFERROR(__xludf.DUMMYFUNCTION("""COMPUTED_VALUE"""),"Offre speciale")</f>
        <v>Offre speciale</v>
      </c>
      <c r="E383" s="10" t="str">
        <f>IFERROR(__xludf.DUMMYFUNCTION("""COMPUTED_VALUE"""),"GWZPC2")</f>
        <v>GWZPC2</v>
      </c>
      <c r="F383" s="10">
        <f>IFERROR(__xludf.DUMMYFUNCTION("""COMPUTED_VALUE"""),4.45882352941176)</f>
        <v>4.458823529</v>
      </c>
      <c r="G383" s="9">
        <f>IFERROR(__xludf.DUMMYFUNCTION("""COMPUTED_VALUE"""),3.79)</f>
        <v>3.79</v>
      </c>
      <c r="H383" s="9">
        <f>IFERROR(__xludf.DUMMYFUNCTION("""COMPUTED_VALUE"""),1.0)</f>
        <v>1</v>
      </c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</row>
    <row r="384" ht="15.75" customHeight="1">
      <c r="A384" s="11">
        <f>IFERROR(__xludf.DUMMYFUNCTION("""COMPUTED_VALUE"""),44471.0)</f>
        <v>44471</v>
      </c>
      <c r="B384" s="9">
        <f>IFERROR(__xludf.DUMMYFUNCTION("""COMPUTED_VALUE"""),1003338.0)</f>
        <v>1003338</v>
      </c>
      <c r="C384" s="9">
        <f>IFERROR(__xludf.DUMMYFUNCTION("""COMPUTED_VALUE"""),108047.0)</f>
        <v>108047</v>
      </c>
      <c r="D384" s="9"/>
      <c r="E384" s="10" t="str">
        <f>IFERROR(__xludf.DUMMYFUNCTION("""COMPUTED_VALUE"""),"GWZPC2")</f>
        <v>GWZPC2</v>
      </c>
      <c r="F384" s="10">
        <f>IFERROR(__xludf.DUMMYFUNCTION("""COMPUTED_VALUE"""),44.59)</f>
        <v>44.59</v>
      </c>
      <c r="G384" s="9">
        <f>IFERROR(__xludf.DUMMYFUNCTION("""COMPUTED_VALUE"""),44.59)</f>
        <v>44.59</v>
      </c>
      <c r="H384" s="9">
        <f>IFERROR(__xludf.DUMMYFUNCTION("""COMPUTED_VALUE"""),1.0)</f>
        <v>1</v>
      </c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</row>
    <row r="385" ht="15.75" customHeight="1">
      <c r="A385" s="11">
        <f>IFERROR(__xludf.DUMMYFUNCTION("""COMPUTED_VALUE"""),44471.0)</f>
        <v>44471</v>
      </c>
      <c r="B385" s="9">
        <f>IFERROR(__xludf.DUMMYFUNCTION("""COMPUTED_VALUE"""),1003338.0)</f>
        <v>1003338</v>
      </c>
      <c r="C385" s="9">
        <f>IFERROR(__xludf.DUMMYFUNCTION("""COMPUTED_VALUE"""),122379.0)</f>
        <v>122379</v>
      </c>
      <c r="D385" s="9"/>
      <c r="E385" s="10" t="str">
        <f>IFERROR(__xludf.DUMMYFUNCTION("""COMPUTED_VALUE"""),"GWZPC2")</f>
        <v>GWZPC2</v>
      </c>
      <c r="F385" s="10">
        <f>IFERROR(__xludf.DUMMYFUNCTION("""COMPUTED_VALUE"""),22.96)</f>
        <v>22.96</v>
      </c>
      <c r="G385" s="9">
        <f>IFERROR(__xludf.DUMMYFUNCTION("""COMPUTED_VALUE"""),22.96)</f>
        <v>22.96</v>
      </c>
      <c r="H385" s="9">
        <f>IFERROR(__xludf.DUMMYFUNCTION("""COMPUTED_VALUE"""),1.0)</f>
        <v>1</v>
      </c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</row>
    <row r="386" ht="15.75" customHeight="1">
      <c r="A386" s="11">
        <f>IFERROR(__xludf.DUMMYFUNCTION("""COMPUTED_VALUE"""),44471.0)</f>
        <v>44471</v>
      </c>
      <c r="B386" s="9">
        <f>IFERROR(__xludf.DUMMYFUNCTION("""COMPUTED_VALUE"""),1003339.0)</f>
        <v>1003339</v>
      </c>
      <c r="C386" s="9">
        <f>IFERROR(__xludf.DUMMYFUNCTION("""COMPUTED_VALUE"""),69296.0)</f>
        <v>69296</v>
      </c>
      <c r="D386" s="9"/>
      <c r="E386" s="9"/>
      <c r="F386" s="9">
        <f>IFERROR(__xludf.DUMMYFUNCTION("""COMPUTED_VALUE"""),2.02)</f>
        <v>2.02</v>
      </c>
      <c r="G386" s="9">
        <f>IFERROR(__xludf.DUMMYFUNCTION("""COMPUTED_VALUE"""),2.02)</f>
        <v>2.02</v>
      </c>
      <c r="H386" s="9">
        <f>IFERROR(__xludf.DUMMYFUNCTION("""COMPUTED_VALUE"""),1.0)</f>
        <v>1</v>
      </c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</row>
    <row r="387" ht="15.75" customHeight="1">
      <c r="A387" s="11">
        <f>IFERROR(__xludf.DUMMYFUNCTION("""COMPUTED_VALUE"""),44471.0)</f>
        <v>44471</v>
      </c>
      <c r="B387" s="9">
        <f>IFERROR(__xludf.DUMMYFUNCTION("""COMPUTED_VALUE"""),1003339.0)</f>
        <v>1003339</v>
      </c>
      <c r="C387" s="9">
        <f>IFERROR(__xludf.DUMMYFUNCTION("""COMPUTED_VALUE"""),87061.0)</f>
        <v>87061</v>
      </c>
      <c r="D387" s="9"/>
      <c r="E387" s="9"/>
      <c r="F387" s="9">
        <f>IFERROR(__xludf.DUMMYFUNCTION("""COMPUTED_VALUE"""),13.95)</f>
        <v>13.95</v>
      </c>
      <c r="G387" s="9">
        <f>IFERROR(__xludf.DUMMYFUNCTION("""COMPUTED_VALUE"""),13.95)</f>
        <v>13.95</v>
      </c>
      <c r="H387" s="9">
        <f>IFERROR(__xludf.DUMMYFUNCTION("""COMPUTED_VALUE"""),1.0)</f>
        <v>1</v>
      </c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</row>
    <row r="388" ht="15.75" customHeight="1">
      <c r="A388" s="11">
        <f>IFERROR(__xludf.DUMMYFUNCTION("""COMPUTED_VALUE"""),44471.0)</f>
        <v>44471</v>
      </c>
      <c r="B388" s="9">
        <f>IFERROR(__xludf.DUMMYFUNCTION("""COMPUTED_VALUE"""),1003339.0)</f>
        <v>1003339</v>
      </c>
      <c r="C388" s="9">
        <f>IFERROR(__xludf.DUMMYFUNCTION("""COMPUTED_VALUE"""),28009.0)</f>
        <v>28009</v>
      </c>
      <c r="D388" s="9"/>
      <c r="E388" s="9"/>
      <c r="F388" s="9">
        <f>IFERROR(__xludf.DUMMYFUNCTION("""COMPUTED_VALUE"""),13.09)</f>
        <v>13.09</v>
      </c>
      <c r="G388" s="9">
        <f>IFERROR(__xludf.DUMMYFUNCTION("""COMPUTED_VALUE"""),13.09)</f>
        <v>13.09</v>
      </c>
      <c r="H388" s="9">
        <f>IFERROR(__xludf.DUMMYFUNCTION("""COMPUTED_VALUE"""),1.0)</f>
        <v>1</v>
      </c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</row>
    <row r="389" ht="15.75" customHeight="1">
      <c r="A389" s="11">
        <f>IFERROR(__xludf.DUMMYFUNCTION("""COMPUTED_VALUE"""),44471.0)</f>
        <v>44471</v>
      </c>
      <c r="B389" s="9">
        <f>IFERROR(__xludf.DUMMYFUNCTION("""COMPUTED_VALUE"""),1003339.0)</f>
        <v>1003339</v>
      </c>
      <c r="C389" s="9">
        <f>IFERROR(__xludf.DUMMYFUNCTION("""COMPUTED_VALUE"""),119246.0)</f>
        <v>119246</v>
      </c>
      <c r="D389" s="9"/>
      <c r="E389" s="9"/>
      <c r="F389" s="9">
        <f>IFERROR(__xludf.DUMMYFUNCTION("""COMPUTED_VALUE"""),36.2)</f>
        <v>36.2</v>
      </c>
      <c r="G389" s="9">
        <f>IFERROR(__xludf.DUMMYFUNCTION("""COMPUTED_VALUE"""),36.2)</f>
        <v>36.2</v>
      </c>
      <c r="H389" s="9">
        <f>IFERROR(__xludf.DUMMYFUNCTION("""COMPUTED_VALUE"""),3.0)</f>
        <v>3</v>
      </c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</row>
    <row r="390" ht="15.75" customHeight="1">
      <c r="A390" s="11">
        <f>IFERROR(__xludf.DUMMYFUNCTION("""COMPUTED_VALUE"""),44471.0)</f>
        <v>44471</v>
      </c>
      <c r="B390" s="9">
        <f>IFERROR(__xludf.DUMMYFUNCTION("""COMPUTED_VALUE"""),1003339.0)</f>
        <v>1003339</v>
      </c>
      <c r="C390" s="9">
        <f>IFERROR(__xludf.DUMMYFUNCTION("""COMPUTED_VALUE"""),149506.0)</f>
        <v>149506</v>
      </c>
      <c r="D390" s="10" t="str">
        <f>IFERROR(__xludf.DUMMYFUNCTION("""COMPUTED_VALUE"""),"Vive le bio")</f>
        <v>Vive le bio</v>
      </c>
      <c r="E390" s="10"/>
      <c r="F390" s="9">
        <f>IFERROR(__xludf.DUMMYFUNCTION("""COMPUTED_VALUE"""),13.5333333333333)</f>
        <v>13.53333333</v>
      </c>
      <c r="G390" s="9">
        <f>IFERROR(__xludf.DUMMYFUNCTION("""COMPUTED_VALUE"""),12.18)</f>
        <v>12.18</v>
      </c>
      <c r="H390" s="9">
        <f>IFERROR(__xludf.DUMMYFUNCTION("""COMPUTED_VALUE"""),4.0)</f>
        <v>4</v>
      </c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</row>
    <row r="391" ht="15.75" customHeight="1">
      <c r="A391" s="11">
        <f>IFERROR(__xludf.DUMMYFUNCTION("""COMPUTED_VALUE"""),44471.0)</f>
        <v>44471</v>
      </c>
      <c r="B391" s="9">
        <f>IFERROR(__xludf.DUMMYFUNCTION("""COMPUTED_VALUE"""),1003339.0)</f>
        <v>1003339</v>
      </c>
      <c r="C391" s="9">
        <f>IFERROR(__xludf.DUMMYFUNCTION("""COMPUTED_VALUE"""),119239.0)</f>
        <v>119239</v>
      </c>
      <c r="D391" s="9"/>
      <c r="E391" s="9"/>
      <c r="F391" s="9">
        <f>IFERROR(__xludf.DUMMYFUNCTION("""COMPUTED_VALUE"""),10.63)</f>
        <v>10.63</v>
      </c>
      <c r="G391" s="9">
        <f>IFERROR(__xludf.DUMMYFUNCTION("""COMPUTED_VALUE"""),10.63)</f>
        <v>10.63</v>
      </c>
      <c r="H391" s="9">
        <f>IFERROR(__xludf.DUMMYFUNCTION("""COMPUTED_VALUE"""),4.0)</f>
        <v>4</v>
      </c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</row>
    <row r="392" ht="15.75" customHeight="1">
      <c r="A392" s="11">
        <f>IFERROR(__xludf.DUMMYFUNCTION("""COMPUTED_VALUE"""),44471.0)</f>
        <v>44471</v>
      </c>
      <c r="B392" s="9">
        <f>IFERROR(__xludf.DUMMYFUNCTION("""COMPUTED_VALUE"""),1003340.0)</f>
        <v>1003340</v>
      </c>
      <c r="C392" s="9">
        <f>IFERROR(__xludf.DUMMYFUNCTION("""COMPUTED_VALUE"""),116964.0)</f>
        <v>116964</v>
      </c>
      <c r="D392" s="9"/>
      <c r="E392" s="10" t="str">
        <f>IFERROR(__xludf.DUMMYFUNCTION("""COMPUTED_VALUE"""),"PREMIERE")</f>
        <v>PREMIERE</v>
      </c>
      <c r="F392" s="10">
        <f>IFERROR(__xludf.DUMMYFUNCTION("""COMPUTED_VALUE"""),40.27)</f>
        <v>40.27</v>
      </c>
      <c r="G392" s="9">
        <f>IFERROR(__xludf.DUMMYFUNCTION("""COMPUTED_VALUE"""),40.27)</f>
        <v>40.27</v>
      </c>
      <c r="H392" s="9">
        <f>IFERROR(__xludf.DUMMYFUNCTION("""COMPUTED_VALUE"""),2.0)</f>
        <v>2</v>
      </c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</row>
    <row r="393" ht="15.75" customHeight="1">
      <c r="A393" s="11">
        <f>IFERROR(__xludf.DUMMYFUNCTION("""COMPUTED_VALUE"""),44471.0)</f>
        <v>44471</v>
      </c>
      <c r="B393" s="9">
        <f>IFERROR(__xludf.DUMMYFUNCTION("""COMPUTED_VALUE"""),1003342.0)</f>
        <v>1003342</v>
      </c>
      <c r="C393" s="9">
        <f>IFERROR(__xludf.DUMMYFUNCTION("""COMPUTED_VALUE"""),99040.0)</f>
        <v>99040</v>
      </c>
      <c r="D393" s="9"/>
      <c r="E393" s="10" t="str">
        <f>IFERROR(__xludf.DUMMYFUNCTION("""COMPUTED_VALUE"""),"GREENTIDOO")</f>
        <v>GREENTIDOO</v>
      </c>
      <c r="F393" s="10">
        <f>IFERROR(__xludf.DUMMYFUNCTION("""COMPUTED_VALUE"""),3.5)</f>
        <v>3.5</v>
      </c>
      <c r="G393" s="9">
        <f>IFERROR(__xludf.DUMMYFUNCTION("""COMPUTED_VALUE"""),3.5)</f>
        <v>3.5</v>
      </c>
      <c r="H393" s="9">
        <f>IFERROR(__xludf.DUMMYFUNCTION("""COMPUTED_VALUE"""),1.0)</f>
        <v>1</v>
      </c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</row>
    <row r="394" ht="15.75" customHeight="1">
      <c r="A394" s="11">
        <f>IFERROR(__xludf.DUMMYFUNCTION("""COMPUTED_VALUE"""),44471.0)</f>
        <v>44471</v>
      </c>
      <c r="B394" s="9">
        <f>IFERROR(__xludf.DUMMYFUNCTION("""COMPUTED_VALUE"""),1003342.0)</f>
        <v>1003342</v>
      </c>
      <c r="C394" s="9">
        <f>IFERROR(__xludf.DUMMYFUNCTION("""COMPUTED_VALUE"""),42002.0)</f>
        <v>42002</v>
      </c>
      <c r="D394" s="9"/>
      <c r="E394" s="10" t="str">
        <f>IFERROR(__xludf.DUMMYFUNCTION("""COMPUTED_VALUE"""),"GREENTIDOO")</f>
        <v>GREENTIDOO</v>
      </c>
      <c r="F394" s="10">
        <f>IFERROR(__xludf.DUMMYFUNCTION("""COMPUTED_VALUE"""),2.89)</f>
        <v>2.89</v>
      </c>
      <c r="G394" s="9">
        <f>IFERROR(__xludf.DUMMYFUNCTION("""COMPUTED_VALUE"""),2.89)</f>
        <v>2.89</v>
      </c>
      <c r="H394" s="9">
        <f>IFERROR(__xludf.DUMMYFUNCTION("""COMPUTED_VALUE"""),1.0)</f>
        <v>1</v>
      </c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</row>
    <row r="395" ht="15.75" customHeight="1">
      <c r="A395" s="11">
        <f>IFERROR(__xludf.DUMMYFUNCTION("""COMPUTED_VALUE"""),44471.0)</f>
        <v>44471</v>
      </c>
      <c r="B395" s="9">
        <f>IFERROR(__xludf.DUMMYFUNCTION("""COMPUTED_VALUE"""),1003342.0)</f>
        <v>1003342</v>
      </c>
      <c r="C395" s="9">
        <f>IFERROR(__xludf.DUMMYFUNCTION("""COMPUTED_VALUE"""),99039.0)</f>
        <v>99039</v>
      </c>
      <c r="D395" s="9"/>
      <c r="E395" s="10" t="str">
        <f>IFERROR(__xludf.DUMMYFUNCTION("""COMPUTED_VALUE"""),"GREENTIDOO")</f>
        <v>GREENTIDOO</v>
      </c>
      <c r="F395" s="10">
        <f>IFERROR(__xludf.DUMMYFUNCTION("""COMPUTED_VALUE"""),2.89)</f>
        <v>2.89</v>
      </c>
      <c r="G395" s="9">
        <f>IFERROR(__xludf.DUMMYFUNCTION("""COMPUTED_VALUE"""),2.89)</f>
        <v>2.89</v>
      </c>
      <c r="H395" s="9">
        <f>IFERROR(__xludf.DUMMYFUNCTION("""COMPUTED_VALUE"""),1.0)</f>
        <v>1</v>
      </c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</row>
    <row r="396" ht="15.75" customHeight="1">
      <c r="A396" s="11">
        <f>IFERROR(__xludf.DUMMYFUNCTION("""COMPUTED_VALUE"""),44471.0)</f>
        <v>44471</v>
      </c>
      <c r="B396" s="9">
        <f>IFERROR(__xludf.DUMMYFUNCTION("""COMPUTED_VALUE"""),1003342.0)</f>
        <v>1003342</v>
      </c>
      <c r="C396" s="9">
        <f>IFERROR(__xludf.DUMMYFUNCTION("""COMPUTED_VALUE"""),79263.0)</f>
        <v>79263</v>
      </c>
      <c r="D396" s="9"/>
      <c r="E396" s="10" t="str">
        <f>IFERROR(__xludf.DUMMYFUNCTION("""COMPUTED_VALUE"""),"GREENTIDOO")</f>
        <v>GREENTIDOO</v>
      </c>
      <c r="F396" s="10">
        <f>IFERROR(__xludf.DUMMYFUNCTION("""COMPUTED_VALUE"""),3.39)</f>
        <v>3.39</v>
      </c>
      <c r="G396" s="9">
        <f>IFERROR(__xludf.DUMMYFUNCTION("""COMPUTED_VALUE"""),3.39)</f>
        <v>3.39</v>
      </c>
      <c r="H396" s="9">
        <f>IFERROR(__xludf.DUMMYFUNCTION("""COMPUTED_VALUE"""),1.0)</f>
        <v>1</v>
      </c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</row>
    <row r="397" ht="15.75" customHeight="1">
      <c r="A397" s="11">
        <f>IFERROR(__xludf.DUMMYFUNCTION("""COMPUTED_VALUE"""),44471.0)</f>
        <v>44471</v>
      </c>
      <c r="B397" s="9">
        <f>IFERROR(__xludf.DUMMYFUNCTION("""COMPUTED_VALUE"""),1003342.0)</f>
        <v>1003342</v>
      </c>
      <c r="C397" s="9">
        <f>IFERROR(__xludf.DUMMYFUNCTION("""COMPUTED_VALUE"""),106572.0)</f>
        <v>106572</v>
      </c>
      <c r="D397" s="9"/>
      <c r="E397" s="10" t="str">
        <f>IFERROR(__xludf.DUMMYFUNCTION("""COMPUTED_VALUE"""),"GREENTIDOO")</f>
        <v>GREENTIDOO</v>
      </c>
      <c r="F397" s="10">
        <f>IFERROR(__xludf.DUMMYFUNCTION("""COMPUTED_VALUE"""),21.22)</f>
        <v>21.22</v>
      </c>
      <c r="G397" s="9">
        <f>IFERROR(__xludf.DUMMYFUNCTION("""COMPUTED_VALUE"""),21.22)</f>
        <v>21.22</v>
      </c>
      <c r="H397" s="9">
        <f>IFERROR(__xludf.DUMMYFUNCTION("""COMPUTED_VALUE"""),1.0)</f>
        <v>1</v>
      </c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</row>
    <row r="398" ht="15.75" customHeight="1">
      <c r="A398" s="11">
        <f>IFERROR(__xludf.DUMMYFUNCTION("""COMPUTED_VALUE"""),44471.0)</f>
        <v>44471</v>
      </c>
      <c r="B398" s="9">
        <f>IFERROR(__xludf.DUMMYFUNCTION("""COMPUTED_VALUE"""),1003342.0)</f>
        <v>1003342</v>
      </c>
      <c r="C398" s="9">
        <f>IFERROR(__xludf.DUMMYFUNCTION("""COMPUTED_VALUE"""),106566.0)</f>
        <v>106566</v>
      </c>
      <c r="D398" s="9"/>
      <c r="E398" s="10" t="str">
        <f>IFERROR(__xludf.DUMMYFUNCTION("""COMPUTED_VALUE"""),"GREENTIDOO")</f>
        <v>GREENTIDOO</v>
      </c>
      <c r="F398" s="10">
        <f>IFERROR(__xludf.DUMMYFUNCTION("""COMPUTED_VALUE"""),19.8)</f>
        <v>19.8</v>
      </c>
      <c r="G398" s="9">
        <f>IFERROR(__xludf.DUMMYFUNCTION("""COMPUTED_VALUE"""),19.8)</f>
        <v>19.8</v>
      </c>
      <c r="H398" s="9">
        <f>IFERROR(__xludf.DUMMYFUNCTION("""COMPUTED_VALUE"""),1.0)</f>
        <v>1</v>
      </c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</row>
    <row r="399" ht="15.75" customHeight="1">
      <c r="A399" s="11">
        <f>IFERROR(__xludf.DUMMYFUNCTION("""COMPUTED_VALUE"""),44471.0)</f>
        <v>44471</v>
      </c>
      <c r="B399" s="9">
        <f>IFERROR(__xludf.DUMMYFUNCTION("""COMPUTED_VALUE"""),1003342.0)</f>
        <v>1003342</v>
      </c>
      <c r="C399" s="9">
        <f>IFERROR(__xludf.DUMMYFUNCTION("""COMPUTED_VALUE"""),86119.0)</f>
        <v>86119</v>
      </c>
      <c r="D399" s="9"/>
      <c r="E399" s="10" t="str">
        <f>IFERROR(__xludf.DUMMYFUNCTION("""COMPUTED_VALUE"""),"GREENTIDOO")</f>
        <v>GREENTIDOO</v>
      </c>
      <c r="F399" s="10">
        <f>IFERROR(__xludf.DUMMYFUNCTION("""COMPUTED_VALUE"""),2.86)</f>
        <v>2.86</v>
      </c>
      <c r="G399" s="9">
        <f>IFERROR(__xludf.DUMMYFUNCTION("""COMPUTED_VALUE"""),2.86)</f>
        <v>2.86</v>
      </c>
      <c r="H399" s="9">
        <f>IFERROR(__xludf.DUMMYFUNCTION("""COMPUTED_VALUE"""),1.0)</f>
        <v>1</v>
      </c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</row>
    <row r="400" ht="15.75" customHeight="1">
      <c r="A400" s="11">
        <f>IFERROR(__xludf.DUMMYFUNCTION("""COMPUTED_VALUE"""),44471.0)</f>
        <v>44471</v>
      </c>
      <c r="B400" s="9">
        <f>IFERROR(__xludf.DUMMYFUNCTION("""COMPUTED_VALUE"""),1003342.0)</f>
        <v>1003342</v>
      </c>
      <c r="C400" s="9">
        <f>IFERROR(__xludf.DUMMYFUNCTION("""COMPUTED_VALUE"""),42008.0)</f>
        <v>42008</v>
      </c>
      <c r="D400" s="9"/>
      <c r="E400" s="10" t="str">
        <f>IFERROR(__xludf.DUMMYFUNCTION("""COMPUTED_VALUE"""),"GREENTIDOO")</f>
        <v>GREENTIDOO</v>
      </c>
      <c r="F400" s="10">
        <f>IFERROR(__xludf.DUMMYFUNCTION("""COMPUTED_VALUE"""),5.78)</f>
        <v>5.78</v>
      </c>
      <c r="G400" s="9">
        <f>IFERROR(__xludf.DUMMYFUNCTION("""COMPUTED_VALUE"""),5.78)</f>
        <v>5.78</v>
      </c>
      <c r="H400" s="9">
        <f>IFERROR(__xludf.DUMMYFUNCTION("""COMPUTED_VALUE"""),2.0)</f>
        <v>2</v>
      </c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</row>
    <row r="401" ht="15.75" customHeight="1">
      <c r="A401" s="11">
        <f>IFERROR(__xludf.DUMMYFUNCTION("""COMPUTED_VALUE"""),44471.0)</f>
        <v>44471</v>
      </c>
      <c r="B401" s="9">
        <f>IFERROR(__xludf.DUMMYFUNCTION("""COMPUTED_VALUE"""),1003342.0)</f>
        <v>1003342</v>
      </c>
      <c r="C401" s="9">
        <f>IFERROR(__xludf.DUMMYFUNCTION("""COMPUTED_VALUE"""),85159.0)</f>
        <v>85159</v>
      </c>
      <c r="D401" s="9"/>
      <c r="E401" s="10" t="str">
        <f>IFERROR(__xludf.DUMMYFUNCTION("""COMPUTED_VALUE"""),"GREENTIDOO")</f>
        <v>GREENTIDOO</v>
      </c>
      <c r="F401" s="10">
        <f>IFERROR(__xludf.DUMMYFUNCTION("""COMPUTED_VALUE"""),8.06)</f>
        <v>8.06</v>
      </c>
      <c r="G401" s="9">
        <f>IFERROR(__xludf.DUMMYFUNCTION("""COMPUTED_VALUE"""),8.06)</f>
        <v>8.06</v>
      </c>
      <c r="H401" s="9">
        <f>IFERROR(__xludf.DUMMYFUNCTION("""COMPUTED_VALUE"""),3.0)</f>
        <v>3</v>
      </c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</row>
    <row r="402" ht="15.75" customHeight="1">
      <c r="A402" s="11">
        <f>IFERROR(__xludf.DUMMYFUNCTION("""COMPUTED_VALUE"""),44471.0)</f>
        <v>44471</v>
      </c>
      <c r="B402" s="9">
        <f>IFERROR(__xludf.DUMMYFUNCTION("""COMPUTED_VALUE"""),1003342.0)</f>
        <v>1003342</v>
      </c>
      <c r="C402" s="9">
        <f>IFERROR(__xludf.DUMMYFUNCTION("""COMPUTED_VALUE"""),64185.0)</f>
        <v>64185</v>
      </c>
      <c r="D402" s="9"/>
      <c r="E402" s="10" t="str">
        <f>IFERROR(__xludf.DUMMYFUNCTION("""COMPUTED_VALUE"""),"GREENTIDOO")</f>
        <v>GREENTIDOO</v>
      </c>
      <c r="F402" s="10">
        <f>IFERROR(__xludf.DUMMYFUNCTION("""COMPUTED_VALUE"""),49.12)</f>
        <v>49.12</v>
      </c>
      <c r="G402" s="9">
        <f>IFERROR(__xludf.DUMMYFUNCTION("""COMPUTED_VALUE"""),49.12)</f>
        <v>49.12</v>
      </c>
      <c r="H402" s="9">
        <f>IFERROR(__xludf.DUMMYFUNCTION("""COMPUTED_VALUE"""),3.0)</f>
        <v>3</v>
      </c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</row>
    <row r="403" ht="15.75" customHeight="1">
      <c r="A403" s="11">
        <f>IFERROR(__xludf.DUMMYFUNCTION("""COMPUTED_VALUE"""),44471.0)</f>
        <v>44471</v>
      </c>
      <c r="B403" s="9">
        <f>IFERROR(__xludf.DUMMYFUNCTION("""COMPUTED_VALUE"""),1003342.0)</f>
        <v>1003342</v>
      </c>
      <c r="C403" s="9">
        <f>IFERROR(__xludf.DUMMYFUNCTION("""COMPUTED_VALUE"""),110633.0)</f>
        <v>110633</v>
      </c>
      <c r="D403" s="9"/>
      <c r="E403" s="10" t="str">
        <f>IFERROR(__xludf.DUMMYFUNCTION("""COMPUTED_VALUE"""),"GREENTIDOO")</f>
        <v>GREENTIDOO</v>
      </c>
      <c r="F403" s="10">
        <f>IFERROR(__xludf.DUMMYFUNCTION("""COMPUTED_VALUE"""),18.12)</f>
        <v>18.12</v>
      </c>
      <c r="G403" s="9">
        <f>IFERROR(__xludf.DUMMYFUNCTION("""COMPUTED_VALUE"""),18.12)</f>
        <v>18.12</v>
      </c>
      <c r="H403" s="9">
        <f>IFERROR(__xludf.DUMMYFUNCTION("""COMPUTED_VALUE"""),4.0)</f>
        <v>4</v>
      </c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</row>
    <row r="404" ht="15.75" customHeight="1">
      <c r="A404" s="11">
        <f>IFERROR(__xludf.DUMMYFUNCTION("""COMPUTED_VALUE"""),44471.0)</f>
        <v>44471</v>
      </c>
      <c r="B404" s="9">
        <f>IFERROR(__xludf.DUMMYFUNCTION("""COMPUTED_VALUE"""),1003343.0)</f>
        <v>1003343</v>
      </c>
      <c r="C404" s="9">
        <f>IFERROR(__xludf.DUMMYFUNCTION("""COMPUTED_VALUE"""),82454.0)</f>
        <v>82454</v>
      </c>
      <c r="D404" s="9"/>
      <c r="E404" s="9"/>
      <c r="F404" s="9">
        <f>IFERROR(__xludf.DUMMYFUNCTION("""COMPUTED_VALUE"""),2.5)</f>
        <v>2.5</v>
      </c>
      <c r="G404" s="9">
        <f>IFERROR(__xludf.DUMMYFUNCTION("""COMPUTED_VALUE"""),2.5)</f>
        <v>2.5</v>
      </c>
      <c r="H404" s="9">
        <f>IFERROR(__xludf.DUMMYFUNCTION("""COMPUTED_VALUE"""),1.0)</f>
        <v>1</v>
      </c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</row>
    <row r="405" ht="15.75" customHeight="1">
      <c r="A405" s="11">
        <f>IFERROR(__xludf.DUMMYFUNCTION("""COMPUTED_VALUE"""),44471.0)</f>
        <v>44471</v>
      </c>
      <c r="B405" s="9">
        <f>IFERROR(__xludf.DUMMYFUNCTION("""COMPUTED_VALUE"""),1003343.0)</f>
        <v>1003343</v>
      </c>
      <c r="C405" s="9">
        <f>IFERROR(__xludf.DUMMYFUNCTION("""COMPUTED_VALUE"""),82453.0)</f>
        <v>82453</v>
      </c>
      <c r="D405" s="9"/>
      <c r="E405" s="9"/>
      <c r="F405" s="9">
        <f>IFERROR(__xludf.DUMMYFUNCTION("""COMPUTED_VALUE"""),2.5)</f>
        <v>2.5</v>
      </c>
      <c r="G405" s="9">
        <f>IFERROR(__xludf.DUMMYFUNCTION("""COMPUTED_VALUE"""),2.5)</f>
        <v>2.5</v>
      </c>
      <c r="H405" s="9">
        <f>IFERROR(__xludf.DUMMYFUNCTION("""COMPUTED_VALUE"""),1.0)</f>
        <v>1</v>
      </c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</row>
    <row r="406" ht="15.75" customHeight="1">
      <c r="A406" s="11">
        <f>IFERROR(__xludf.DUMMYFUNCTION("""COMPUTED_VALUE"""),44471.0)</f>
        <v>44471</v>
      </c>
      <c r="B406" s="9">
        <f>IFERROR(__xludf.DUMMYFUNCTION("""COMPUTED_VALUE"""),1003343.0)</f>
        <v>1003343</v>
      </c>
      <c r="C406" s="9">
        <f>IFERROR(__xludf.DUMMYFUNCTION("""COMPUTED_VALUE"""),128329.0)</f>
        <v>128329</v>
      </c>
      <c r="D406" s="9"/>
      <c r="E406" s="9"/>
      <c r="F406" s="9">
        <f>IFERROR(__xludf.DUMMYFUNCTION("""COMPUTED_VALUE"""),4.89)</f>
        <v>4.89</v>
      </c>
      <c r="G406" s="9">
        <f>IFERROR(__xludf.DUMMYFUNCTION("""COMPUTED_VALUE"""),4.89)</f>
        <v>4.89</v>
      </c>
      <c r="H406" s="9">
        <f>IFERROR(__xludf.DUMMYFUNCTION("""COMPUTED_VALUE"""),1.0)</f>
        <v>1</v>
      </c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</row>
    <row r="407" ht="15.75" customHeight="1">
      <c r="A407" s="11">
        <f>IFERROR(__xludf.DUMMYFUNCTION("""COMPUTED_VALUE"""),44471.0)</f>
        <v>44471</v>
      </c>
      <c r="B407" s="9">
        <f>IFERROR(__xludf.DUMMYFUNCTION("""COMPUTED_VALUE"""),1003343.0)</f>
        <v>1003343</v>
      </c>
      <c r="C407" s="9">
        <f>IFERROR(__xludf.DUMMYFUNCTION("""COMPUTED_VALUE"""),128325.0)</f>
        <v>128325</v>
      </c>
      <c r="D407" s="9"/>
      <c r="E407" s="9"/>
      <c r="F407" s="9">
        <f>IFERROR(__xludf.DUMMYFUNCTION("""COMPUTED_VALUE"""),4.89)</f>
        <v>4.89</v>
      </c>
      <c r="G407" s="9">
        <f>IFERROR(__xludf.DUMMYFUNCTION("""COMPUTED_VALUE"""),4.89)</f>
        <v>4.89</v>
      </c>
      <c r="H407" s="9">
        <f>IFERROR(__xludf.DUMMYFUNCTION("""COMPUTED_VALUE"""),1.0)</f>
        <v>1</v>
      </c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</row>
    <row r="408" ht="15.75" customHeight="1">
      <c r="A408" s="11">
        <f>IFERROR(__xludf.DUMMYFUNCTION("""COMPUTED_VALUE"""),44471.0)</f>
        <v>44471</v>
      </c>
      <c r="B408" s="9">
        <f>IFERROR(__xludf.DUMMYFUNCTION("""COMPUTED_VALUE"""),1003343.0)</f>
        <v>1003343</v>
      </c>
      <c r="C408" s="9">
        <f>IFERROR(__xludf.DUMMYFUNCTION("""COMPUTED_VALUE"""),111677.0)</f>
        <v>111677</v>
      </c>
      <c r="D408" s="9"/>
      <c r="E408" s="9"/>
      <c r="F408" s="9">
        <f>IFERROR(__xludf.DUMMYFUNCTION("""COMPUTED_VALUE"""),15.28)</f>
        <v>15.28</v>
      </c>
      <c r="G408" s="9">
        <f>IFERROR(__xludf.DUMMYFUNCTION("""COMPUTED_VALUE"""),15.28)</f>
        <v>15.28</v>
      </c>
      <c r="H408" s="9">
        <f>IFERROR(__xludf.DUMMYFUNCTION("""COMPUTED_VALUE"""),1.0)</f>
        <v>1</v>
      </c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</row>
    <row r="409" ht="15.75" customHeight="1">
      <c r="A409" s="11">
        <f>IFERROR(__xludf.DUMMYFUNCTION("""COMPUTED_VALUE"""),44471.0)</f>
        <v>44471</v>
      </c>
      <c r="B409" s="9">
        <f>IFERROR(__xludf.DUMMYFUNCTION("""COMPUTED_VALUE"""),1003343.0)</f>
        <v>1003343</v>
      </c>
      <c r="C409" s="9">
        <f>IFERROR(__xludf.DUMMYFUNCTION("""COMPUTED_VALUE"""),30712.0)</f>
        <v>30712</v>
      </c>
      <c r="D409" s="9"/>
      <c r="E409" s="9"/>
      <c r="F409" s="9">
        <f>IFERROR(__xludf.DUMMYFUNCTION("""COMPUTED_VALUE"""),7.19)</f>
        <v>7.19</v>
      </c>
      <c r="G409" s="9">
        <f>IFERROR(__xludf.DUMMYFUNCTION("""COMPUTED_VALUE"""),7.19)</f>
        <v>7.19</v>
      </c>
      <c r="H409" s="9">
        <f>IFERROR(__xludf.DUMMYFUNCTION("""COMPUTED_VALUE"""),1.0)</f>
        <v>1</v>
      </c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</row>
    <row r="410" ht="15.75" customHeight="1">
      <c r="A410" s="11">
        <f>IFERROR(__xludf.DUMMYFUNCTION("""COMPUTED_VALUE"""),44471.0)</f>
        <v>44471</v>
      </c>
      <c r="B410" s="9">
        <f>IFERROR(__xludf.DUMMYFUNCTION("""COMPUTED_VALUE"""),1003343.0)</f>
        <v>1003343</v>
      </c>
      <c r="C410" s="9">
        <f>IFERROR(__xludf.DUMMYFUNCTION("""COMPUTED_VALUE"""),79107.0)</f>
        <v>79107</v>
      </c>
      <c r="D410" s="9"/>
      <c r="E410" s="9"/>
      <c r="F410" s="9">
        <f>IFERROR(__xludf.DUMMYFUNCTION("""COMPUTED_VALUE"""),9.85)</f>
        <v>9.85</v>
      </c>
      <c r="G410" s="9">
        <f>IFERROR(__xludf.DUMMYFUNCTION("""COMPUTED_VALUE"""),9.85)</f>
        <v>9.85</v>
      </c>
      <c r="H410" s="9">
        <f>IFERROR(__xludf.DUMMYFUNCTION("""COMPUTED_VALUE"""),3.0)</f>
        <v>3</v>
      </c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</row>
    <row r="411" ht="15.75" customHeight="1">
      <c r="A411" s="11">
        <f>IFERROR(__xludf.DUMMYFUNCTION("""COMPUTED_VALUE"""),44471.0)</f>
        <v>44471</v>
      </c>
      <c r="B411" s="9">
        <f>IFERROR(__xludf.DUMMYFUNCTION("""COMPUTED_VALUE"""),1003344.0)</f>
        <v>1003344</v>
      </c>
      <c r="C411" s="9">
        <f>IFERROR(__xludf.DUMMYFUNCTION("""COMPUTED_VALUE"""),113620.0)</f>
        <v>113620</v>
      </c>
      <c r="D411" s="9"/>
      <c r="E411" s="10" t="str">
        <f>IFERROR(__xludf.DUMMYFUNCTION("""COMPUTED_VALUE"""),"GREENRELAIS")</f>
        <v>GREENRELAIS</v>
      </c>
      <c r="F411" s="10">
        <f>IFERROR(__xludf.DUMMYFUNCTION("""COMPUTED_VALUE"""),11.45)</f>
        <v>11.45</v>
      </c>
      <c r="G411" s="9">
        <f>IFERROR(__xludf.DUMMYFUNCTION("""COMPUTED_VALUE"""),11.45)</f>
        <v>11.45</v>
      </c>
      <c r="H411" s="9">
        <f>IFERROR(__xludf.DUMMYFUNCTION("""COMPUTED_VALUE"""),1.0)</f>
        <v>1</v>
      </c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</row>
    <row r="412" ht="15.75" customHeight="1">
      <c r="A412" s="11">
        <f>IFERROR(__xludf.DUMMYFUNCTION("""COMPUTED_VALUE"""),44471.0)</f>
        <v>44471</v>
      </c>
      <c r="B412" s="9">
        <f>IFERROR(__xludf.DUMMYFUNCTION("""COMPUTED_VALUE"""),1003344.0)</f>
        <v>1003344</v>
      </c>
      <c r="C412" s="9">
        <f>IFERROR(__xludf.DUMMYFUNCTION("""COMPUTED_VALUE"""),82296.0)</f>
        <v>82296</v>
      </c>
      <c r="D412" s="10" t="str">
        <f>IFERROR(__xludf.DUMMYFUNCTION("""COMPUTED_VALUE"""),"Offre Speciale")</f>
        <v>Offre Speciale</v>
      </c>
      <c r="E412" s="10" t="str">
        <f>IFERROR(__xludf.DUMMYFUNCTION("""COMPUTED_VALUE"""),"GREENRELAIS")</f>
        <v>GREENRELAIS</v>
      </c>
      <c r="F412" s="10">
        <f>IFERROR(__xludf.DUMMYFUNCTION("""COMPUTED_VALUE"""),32.2533333333333)</f>
        <v>32.25333333</v>
      </c>
      <c r="G412" s="9">
        <f>IFERROR(__xludf.DUMMYFUNCTION("""COMPUTED_VALUE"""),24.19)</f>
        <v>24.19</v>
      </c>
      <c r="H412" s="9">
        <f>IFERROR(__xludf.DUMMYFUNCTION("""COMPUTED_VALUE"""),1.0)</f>
        <v>1</v>
      </c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</row>
    <row r="413" ht="15.75" customHeight="1">
      <c r="A413" s="11">
        <f>IFERROR(__xludf.DUMMYFUNCTION("""COMPUTED_VALUE"""),44471.0)</f>
        <v>44471</v>
      </c>
      <c r="B413" s="9">
        <f>IFERROR(__xludf.DUMMYFUNCTION("""COMPUTED_VALUE"""),1003344.0)</f>
        <v>1003344</v>
      </c>
      <c r="C413" s="9">
        <f>IFERROR(__xludf.DUMMYFUNCTION("""COMPUTED_VALUE"""),76450.0)</f>
        <v>76450</v>
      </c>
      <c r="D413" s="10" t="str">
        <f>IFERROR(__xludf.DUMMYFUNCTION("""COMPUTED_VALUE"""),"Vive le bio")</f>
        <v>Vive le bio</v>
      </c>
      <c r="E413" s="10" t="str">
        <f>IFERROR(__xludf.DUMMYFUNCTION("""COMPUTED_VALUE"""),"GREENRELAIS")</f>
        <v>GREENRELAIS</v>
      </c>
      <c r="F413" s="10">
        <f>IFERROR(__xludf.DUMMYFUNCTION("""COMPUTED_VALUE"""),20.9999999999999)</f>
        <v>21</v>
      </c>
      <c r="G413" s="9">
        <f>IFERROR(__xludf.DUMMYFUNCTION("""COMPUTED_VALUE"""),18.9)</f>
        <v>18.9</v>
      </c>
      <c r="H413" s="9">
        <f>IFERROR(__xludf.DUMMYFUNCTION("""COMPUTED_VALUE"""),1.0)</f>
        <v>1</v>
      </c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</row>
    <row r="414" ht="15.75" customHeight="1">
      <c r="A414" s="11">
        <f>IFERROR(__xludf.DUMMYFUNCTION("""COMPUTED_VALUE"""),44471.0)</f>
        <v>44471</v>
      </c>
      <c r="B414" s="9">
        <f>IFERROR(__xludf.DUMMYFUNCTION("""COMPUTED_VALUE"""),1003345.0)</f>
        <v>1003345</v>
      </c>
      <c r="C414" s="9">
        <f>IFERROR(__xludf.DUMMYFUNCTION("""COMPUTED_VALUE"""),14043.0)</f>
        <v>14043</v>
      </c>
      <c r="D414" s="10" t="str">
        <f>IFERROR(__xludf.DUMMYFUNCTION("""COMPUTED_VALUE"""),"Vive le bio")</f>
        <v>Vive le bio</v>
      </c>
      <c r="E414" s="10"/>
      <c r="F414" s="9">
        <f>IFERROR(__xludf.DUMMYFUNCTION("""COMPUTED_VALUE"""),2.68888888888888)</f>
        <v>2.688888889</v>
      </c>
      <c r="G414" s="9">
        <f>IFERROR(__xludf.DUMMYFUNCTION("""COMPUTED_VALUE"""),2.42)</f>
        <v>2.42</v>
      </c>
      <c r="H414" s="9">
        <f>IFERROR(__xludf.DUMMYFUNCTION("""COMPUTED_VALUE"""),1.0)</f>
        <v>1</v>
      </c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</row>
    <row r="415" ht="15.75" customHeight="1">
      <c r="A415" s="11">
        <f>IFERROR(__xludf.DUMMYFUNCTION("""COMPUTED_VALUE"""),44471.0)</f>
        <v>44471</v>
      </c>
      <c r="B415" s="9">
        <f>IFERROR(__xludf.DUMMYFUNCTION("""COMPUTED_VALUE"""),1003345.0)</f>
        <v>1003345</v>
      </c>
      <c r="C415" s="9">
        <f>IFERROR(__xludf.DUMMYFUNCTION("""COMPUTED_VALUE"""),81914.0)</f>
        <v>81914</v>
      </c>
      <c r="D415" s="10" t="str">
        <f>IFERROR(__xludf.DUMMYFUNCTION("""COMPUTED_VALUE"""),"Vive le bio")</f>
        <v>Vive le bio</v>
      </c>
      <c r="E415" s="10"/>
      <c r="F415" s="9">
        <f>IFERROR(__xludf.DUMMYFUNCTION("""COMPUTED_VALUE"""),6.41111111111111)</f>
        <v>6.411111111</v>
      </c>
      <c r="G415" s="9">
        <f>IFERROR(__xludf.DUMMYFUNCTION("""COMPUTED_VALUE"""),5.77)</f>
        <v>5.77</v>
      </c>
      <c r="H415" s="9">
        <f>IFERROR(__xludf.DUMMYFUNCTION("""COMPUTED_VALUE"""),1.0)</f>
        <v>1</v>
      </c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</row>
    <row r="416" ht="15.75" customHeight="1">
      <c r="A416" s="11">
        <f>IFERROR(__xludf.DUMMYFUNCTION("""COMPUTED_VALUE"""),44471.0)</f>
        <v>44471</v>
      </c>
      <c r="B416" s="9">
        <f>IFERROR(__xludf.DUMMYFUNCTION("""COMPUTED_VALUE"""),1003345.0)</f>
        <v>1003345</v>
      </c>
      <c r="C416" s="9">
        <f>IFERROR(__xludf.DUMMYFUNCTION("""COMPUTED_VALUE"""),18671.0)</f>
        <v>18671</v>
      </c>
      <c r="D416" s="10" t="str">
        <f>IFERROR(__xludf.DUMMYFUNCTION("""COMPUTED_VALUE"""),"Offre Speciale")</f>
        <v>Offre Speciale</v>
      </c>
      <c r="E416" s="10"/>
      <c r="F416" s="9">
        <f>IFERROR(__xludf.DUMMYFUNCTION("""COMPUTED_VALUE"""),22.8526315789473)</f>
        <v>22.85263158</v>
      </c>
      <c r="G416" s="9">
        <f>IFERROR(__xludf.DUMMYFUNCTION("""COMPUTED_VALUE"""),21.71)</f>
        <v>21.71</v>
      </c>
      <c r="H416" s="9">
        <f>IFERROR(__xludf.DUMMYFUNCTION("""COMPUTED_VALUE"""),1.0)</f>
        <v>1</v>
      </c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</row>
    <row r="417" ht="15.75" customHeight="1">
      <c r="A417" s="11">
        <f>IFERROR(__xludf.DUMMYFUNCTION("""COMPUTED_VALUE"""),44471.0)</f>
        <v>44471</v>
      </c>
      <c r="B417" s="9">
        <f>IFERROR(__xludf.DUMMYFUNCTION("""COMPUTED_VALUE"""),1003345.0)</f>
        <v>1003345</v>
      </c>
      <c r="C417" s="9">
        <f>IFERROR(__xludf.DUMMYFUNCTION("""COMPUTED_VALUE"""),87042.0)</f>
        <v>87042</v>
      </c>
      <c r="D417" s="10" t="str">
        <f>IFERROR(__xludf.DUMMYFUNCTION("""COMPUTED_VALUE"""),"Vive le bio")</f>
        <v>Vive le bio</v>
      </c>
      <c r="E417" s="10"/>
      <c r="F417" s="9">
        <f>IFERROR(__xludf.DUMMYFUNCTION("""COMPUTED_VALUE"""),10.4333333333333)</f>
        <v>10.43333333</v>
      </c>
      <c r="G417" s="9">
        <f>IFERROR(__xludf.DUMMYFUNCTION("""COMPUTED_VALUE"""),9.39)</f>
        <v>9.39</v>
      </c>
      <c r="H417" s="9">
        <f>IFERROR(__xludf.DUMMYFUNCTION("""COMPUTED_VALUE"""),1.0)</f>
        <v>1</v>
      </c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</row>
    <row r="418" ht="15.75" customHeight="1">
      <c r="A418" s="11">
        <f>IFERROR(__xludf.DUMMYFUNCTION("""COMPUTED_VALUE"""),44471.0)</f>
        <v>44471</v>
      </c>
      <c r="B418" s="9">
        <f>IFERROR(__xludf.DUMMYFUNCTION("""COMPUTED_VALUE"""),1003345.0)</f>
        <v>1003345</v>
      </c>
      <c r="C418" s="9">
        <f>IFERROR(__xludf.DUMMYFUNCTION("""COMPUTED_VALUE"""),88722.0)</f>
        <v>88722</v>
      </c>
      <c r="D418" s="9"/>
      <c r="E418" s="9"/>
      <c r="F418" s="9">
        <f>IFERROR(__xludf.DUMMYFUNCTION("""COMPUTED_VALUE"""),19.78)</f>
        <v>19.78</v>
      </c>
      <c r="G418" s="9">
        <f>IFERROR(__xludf.DUMMYFUNCTION("""COMPUTED_VALUE"""),19.78)</f>
        <v>19.78</v>
      </c>
      <c r="H418" s="9">
        <f>IFERROR(__xludf.DUMMYFUNCTION("""COMPUTED_VALUE"""),12.0)</f>
        <v>12</v>
      </c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</row>
    <row r="419" ht="15.75" customHeight="1">
      <c r="A419" s="11">
        <f>IFERROR(__xludf.DUMMYFUNCTION("""COMPUTED_VALUE"""),44471.0)</f>
        <v>44471</v>
      </c>
      <c r="B419" s="9">
        <f>IFERROR(__xludf.DUMMYFUNCTION("""COMPUTED_VALUE"""),1003346.0)</f>
        <v>1003346</v>
      </c>
      <c r="C419" s="9">
        <f>IFERROR(__xludf.DUMMYFUNCTION("""COMPUTED_VALUE"""),101297.0)</f>
        <v>101297</v>
      </c>
      <c r="D419" s="10" t="str">
        <f>IFERROR(__xludf.DUMMYFUNCTION("""COMPUTED_VALUE"""),"Natur'vox Carryboo couches Sept 21")</f>
        <v>Natur'vox Carryboo couches Sept 21</v>
      </c>
      <c r="E419" s="10" t="str">
        <f>IFERROR(__xludf.DUMMYFUNCTION("""COMPUTED_VALUE"""),"PREMIERE")</f>
        <v>PREMIERE</v>
      </c>
      <c r="F419" s="10">
        <f>IFERROR(__xludf.DUMMYFUNCTION("""COMPUTED_VALUE"""),49.12)</f>
        <v>49.12</v>
      </c>
      <c r="G419" s="9">
        <f>IFERROR(__xludf.DUMMYFUNCTION("""COMPUTED_VALUE"""),36.84)</f>
        <v>36.84</v>
      </c>
      <c r="H419" s="9">
        <f>IFERROR(__xludf.DUMMYFUNCTION("""COMPUTED_VALUE"""),3.0)</f>
        <v>3</v>
      </c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</row>
    <row r="420" ht="15.75" customHeight="1">
      <c r="A420" s="11">
        <f>IFERROR(__xludf.DUMMYFUNCTION("""COMPUTED_VALUE"""),44471.0)</f>
        <v>44471</v>
      </c>
      <c r="B420" s="9">
        <f>IFERROR(__xludf.DUMMYFUNCTION("""COMPUTED_VALUE"""),1003347.0)</f>
        <v>1003347</v>
      </c>
      <c r="C420" s="9">
        <f>IFERROR(__xludf.DUMMYFUNCTION("""COMPUTED_VALUE"""),82249.0)</f>
        <v>82249</v>
      </c>
      <c r="D420" s="10" t="str">
        <f>IFERROR(__xludf.DUMMYFUNCTION("""COMPUTED_VALUE"""),"Vive le bio")</f>
        <v>Vive le bio</v>
      </c>
      <c r="E420" s="10"/>
      <c r="F420" s="9">
        <f>IFERROR(__xludf.DUMMYFUNCTION("""COMPUTED_VALUE"""),95.8)</f>
        <v>95.8</v>
      </c>
      <c r="G420" s="9">
        <f>IFERROR(__xludf.DUMMYFUNCTION("""COMPUTED_VALUE"""),91.01)</f>
        <v>91.01</v>
      </c>
      <c r="H420" s="9">
        <f>IFERROR(__xludf.DUMMYFUNCTION("""COMPUTED_VALUE"""),2.0)</f>
        <v>2</v>
      </c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</row>
    <row r="421" ht="15.75" customHeight="1">
      <c r="A421" s="11">
        <f>IFERROR(__xludf.DUMMYFUNCTION("""COMPUTED_VALUE"""),44471.0)</f>
        <v>44471</v>
      </c>
      <c r="B421" s="9">
        <f>IFERROR(__xludf.DUMMYFUNCTION("""COMPUTED_VALUE"""),1003347.0)</f>
        <v>1003347</v>
      </c>
      <c r="C421" s="9">
        <f>IFERROR(__xludf.DUMMYFUNCTION("""COMPUTED_VALUE"""),83607.0)</f>
        <v>83607</v>
      </c>
      <c r="D421" s="10" t="str">
        <f>IFERROR(__xludf.DUMMYFUNCTION("""COMPUTED_VALUE"""),"Vive le bio")</f>
        <v>Vive le bio</v>
      </c>
      <c r="E421" s="10"/>
      <c r="F421" s="9">
        <f>IFERROR(__xludf.DUMMYFUNCTION("""COMPUTED_VALUE"""),89.3333333333333)</f>
        <v>89.33333333</v>
      </c>
      <c r="G421" s="9">
        <f>IFERROR(__xludf.DUMMYFUNCTION("""COMPUTED_VALUE"""),80.4)</f>
        <v>80.4</v>
      </c>
      <c r="H421" s="9">
        <f>IFERROR(__xludf.DUMMYFUNCTION("""COMPUTED_VALUE"""),2.0)</f>
        <v>2</v>
      </c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</row>
    <row r="422" ht="15.75" customHeight="1">
      <c r="A422" s="11">
        <f>IFERROR(__xludf.DUMMYFUNCTION("""COMPUTED_VALUE"""),44471.0)</f>
        <v>44471</v>
      </c>
      <c r="B422" s="9">
        <f>IFERROR(__xludf.DUMMYFUNCTION("""COMPUTED_VALUE"""),1003348.0)</f>
        <v>1003348</v>
      </c>
      <c r="C422" s="9">
        <f>IFERROR(__xludf.DUMMYFUNCTION("""COMPUTED_VALUE"""),89130.0)</f>
        <v>89130</v>
      </c>
      <c r="D422" s="9"/>
      <c r="E422" s="9"/>
      <c r="F422" s="9">
        <f>IFERROR(__xludf.DUMMYFUNCTION("""COMPUTED_VALUE"""),23.86)</f>
        <v>23.86</v>
      </c>
      <c r="G422" s="9">
        <f>IFERROR(__xludf.DUMMYFUNCTION("""COMPUTED_VALUE"""),23.86)</f>
        <v>23.86</v>
      </c>
      <c r="H422" s="9">
        <f>IFERROR(__xludf.DUMMYFUNCTION("""COMPUTED_VALUE"""),6.0)</f>
        <v>6</v>
      </c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</row>
    <row r="423" ht="15.75" customHeight="1">
      <c r="A423" s="11">
        <f>IFERROR(__xludf.DUMMYFUNCTION("""COMPUTED_VALUE"""),44471.0)</f>
        <v>44471</v>
      </c>
      <c r="B423" s="9">
        <f>IFERROR(__xludf.DUMMYFUNCTION("""COMPUTED_VALUE"""),1003349.0)</f>
        <v>1003349</v>
      </c>
      <c r="C423" s="9">
        <f>IFERROR(__xludf.DUMMYFUNCTION("""COMPUTED_VALUE"""),80578.0)</f>
        <v>80578</v>
      </c>
      <c r="D423" s="9"/>
      <c r="E423" s="10" t="str">
        <f>IFERROR(__xludf.DUMMYFUNCTION("""COMPUTED_VALUE"""),"HAPPEEZ")</f>
        <v>HAPPEEZ</v>
      </c>
      <c r="F423" s="10">
        <f>IFERROR(__xludf.DUMMYFUNCTION("""COMPUTED_VALUE"""),12.06)</f>
        <v>12.06</v>
      </c>
      <c r="G423" s="9">
        <f>IFERROR(__xludf.DUMMYFUNCTION("""COMPUTED_VALUE"""),12.06)</f>
        <v>12.06</v>
      </c>
      <c r="H423" s="9">
        <f>IFERROR(__xludf.DUMMYFUNCTION("""COMPUTED_VALUE"""),1.0)</f>
        <v>1</v>
      </c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</row>
    <row r="424" ht="15.75" customHeight="1">
      <c r="A424" s="11">
        <f>IFERROR(__xludf.DUMMYFUNCTION("""COMPUTED_VALUE"""),44471.0)</f>
        <v>44471</v>
      </c>
      <c r="B424" s="9">
        <f>IFERROR(__xludf.DUMMYFUNCTION("""COMPUTED_VALUE"""),1003349.0)</f>
        <v>1003349</v>
      </c>
      <c r="C424" s="9">
        <f>IFERROR(__xludf.DUMMYFUNCTION("""COMPUTED_VALUE"""),109984.0)</f>
        <v>109984</v>
      </c>
      <c r="D424" s="10" t="str">
        <f>IFERROR(__xludf.DUMMYFUNCTION("""COMPUTED_VALUE"""),"Carryboo soin bebe 2021")</f>
        <v>Carryboo soin bebe 2021</v>
      </c>
      <c r="E424" s="10" t="str">
        <f>IFERROR(__xludf.DUMMYFUNCTION("""COMPUTED_VALUE"""),"HAPPEEZ")</f>
        <v>HAPPEEZ</v>
      </c>
      <c r="F424" s="10">
        <f>IFERROR(__xludf.DUMMYFUNCTION("""COMPUTED_VALUE"""),2.4)</f>
        <v>2.4</v>
      </c>
      <c r="G424" s="9">
        <f>IFERROR(__xludf.DUMMYFUNCTION("""COMPUTED_VALUE"""),1.8)</f>
        <v>1.8</v>
      </c>
      <c r="H424" s="9">
        <f>IFERROR(__xludf.DUMMYFUNCTION("""COMPUTED_VALUE"""),1.0)</f>
        <v>1</v>
      </c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</row>
    <row r="425" ht="15.75" customHeight="1">
      <c r="A425" s="11">
        <f>IFERROR(__xludf.DUMMYFUNCTION("""COMPUTED_VALUE"""),44471.0)</f>
        <v>44471</v>
      </c>
      <c r="B425" s="9">
        <f>IFERROR(__xludf.DUMMYFUNCTION("""COMPUTED_VALUE"""),1003349.0)</f>
        <v>1003349</v>
      </c>
      <c r="C425" s="9">
        <f>IFERROR(__xludf.DUMMYFUNCTION("""COMPUTED_VALUE"""),122712.0)</f>
        <v>122712</v>
      </c>
      <c r="D425" s="9"/>
      <c r="E425" s="10" t="str">
        <f>IFERROR(__xludf.DUMMYFUNCTION("""COMPUTED_VALUE"""),"HAPPEEZ")</f>
        <v>HAPPEEZ</v>
      </c>
      <c r="F425" s="10">
        <f>IFERROR(__xludf.DUMMYFUNCTION("""COMPUTED_VALUE"""),2.53)</f>
        <v>2.53</v>
      </c>
      <c r="G425" s="9">
        <f>IFERROR(__xludf.DUMMYFUNCTION("""COMPUTED_VALUE"""),2.53)</f>
        <v>2.53</v>
      </c>
      <c r="H425" s="9">
        <f>IFERROR(__xludf.DUMMYFUNCTION("""COMPUTED_VALUE"""),1.0)</f>
        <v>1</v>
      </c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</row>
    <row r="426" ht="15.75" customHeight="1">
      <c r="A426" s="11">
        <f>IFERROR(__xludf.DUMMYFUNCTION("""COMPUTED_VALUE"""),44471.0)</f>
        <v>44471</v>
      </c>
      <c r="B426" s="9">
        <f>IFERROR(__xludf.DUMMYFUNCTION("""COMPUTED_VALUE"""),1003349.0)</f>
        <v>1003349</v>
      </c>
      <c r="C426" s="9">
        <f>IFERROR(__xludf.DUMMYFUNCTION("""COMPUTED_VALUE"""),89564.0)</f>
        <v>89564</v>
      </c>
      <c r="D426" s="10" t="str">
        <f>IFERROR(__xludf.DUMMYFUNCTION("""COMPUTED_VALUE"""),"Vive le bio")</f>
        <v>Vive le bio</v>
      </c>
      <c r="E426" s="10" t="str">
        <f>IFERROR(__xludf.DUMMYFUNCTION("""COMPUTED_VALUE"""),"HAPPEEZ")</f>
        <v>HAPPEEZ</v>
      </c>
      <c r="F426" s="10">
        <f>IFERROR(__xludf.DUMMYFUNCTION("""COMPUTED_VALUE"""),2.32222222222222)</f>
        <v>2.322222222</v>
      </c>
      <c r="G426" s="9">
        <f>IFERROR(__xludf.DUMMYFUNCTION("""COMPUTED_VALUE"""),2.09)</f>
        <v>2.09</v>
      </c>
      <c r="H426" s="9">
        <f>IFERROR(__xludf.DUMMYFUNCTION("""COMPUTED_VALUE"""),1.0)</f>
        <v>1</v>
      </c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</row>
    <row r="427" ht="15.75" customHeight="1">
      <c r="A427" s="11">
        <f>IFERROR(__xludf.DUMMYFUNCTION("""COMPUTED_VALUE"""),44471.0)</f>
        <v>44471</v>
      </c>
      <c r="B427" s="9">
        <f>IFERROR(__xludf.DUMMYFUNCTION("""COMPUTED_VALUE"""),1003349.0)</f>
        <v>1003349</v>
      </c>
      <c r="C427" s="9">
        <f>IFERROR(__xludf.DUMMYFUNCTION("""COMPUTED_VALUE"""),11818.0)</f>
        <v>11818</v>
      </c>
      <c r="D427" s="10" t="str">
        <f>IFERROR(__xludf.DUMMYFUNCTION("""COMPUTED_VALUE"""),"Offre Speciale")</f>
        <v>Offre Speciale</v>
      </c>
      <c r="E427" s="10" t="str">
        <f>IFERROR(__xludf.DUMMYFUNCTION("""COMPUTED_VALUE"""),"HAPPEEZ")</f>
        <v>HAPPEEZ</v>
      </c>
      <c r="F427" s="10">
        <f>IFERROR(__xludf.DUMMYFUNCTION("""COMPUTED_VALUE"""),7.0379746835443)</f>
        <v>7.037974684</v>
      </c>
      <c r="G427" s="9">
        <f>IFERROR(__xludf.DUMMYFUNCTION("""COMPUTED_VALUE"""),5.56)</f>
        <v>5.56</v>
      </c>
      <c r="H427" s="9">
        <f>IFERROR(__xludf.DUMMYFUNCTION("""COMPUTED_VALUE"""),1.0)</f>
        <v>1</v>
      </c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</row>
    <row r="428" ht="15.75" customHeight="1">
      <c r="A428" s="11">
        <f>IFERROR(__xludf.DUMMYFUNCTION("""COMPUTED_VALUE"""),44471.0)</f>
        <v>44471</v>
      </c>
      <c r="B428" s="9">
        <f>IFERROR(__xludf.DUMMYFUNCTION("""COMPUTED_VALUE"""),1003349.0)</f>
        <v>1003349</v>
      </c>
      <c r="C428" s="9">
        <f>IFERROR(__xludf.DUMMYFUNCTION("""COMPUTED_VALUE"""),73244.0)</f>
        <v>73244</v>
      </c>
      <c r="D428" s="9"/>
      <c r="E428" s="10" t="str">
        <f>IFERROR(__xludf.DUMMYFUNCTION("""COMPUTED_VALUE"""),"HAPPEEZ")</f>
        <v>HAPPEEZ</v>
      </c>
      <c r="F428" s="10">
        <f>IFERROR(__xludf.DUMMYFUNCTION("""COMPUTED_VALUE"""),1.46)</f>
        <v>1.46</v>
      </c>
      <c r="G428" s="9">
        <f>IFERROR(__xludf.DUMMYFUNCTION("""COMPUTED_VALUE"""),1.46)</f>
        <v>1.46</v>
      </c>
      <c r="H428" s="9">
        <f>IFERROR(__xludf.DUMMYFUNCTION("""COMPUTED_VALUE"""),1.0)</f>
        <v>1</v>
      </c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</row>
    <row r="429" ht="15.75" customHeight="1">
      <c r="A429" s="11">
        <f>IFERROR(__xludf.DUMMYFUNCTION("""COMPUTED_VALUE"""),44471.0)</f>
        <v>44471</v>
      </c>
      <c r="B429" s="9">
        <f>IFERROR(__xludf.DUMMYFUNCTION("""COMPUTED_VALUE"""),1003349.0)</f>
        <v>1003349</v>
      </c>
      <c r="C429" s="9">
        <f>IFERROR(__xludf.DUMMYFUNCTION("""COMPUTED_VALUE"""),90004.0)</f>
        <v>90004</v>
      </c>
      <c r="D429" s="10" t="str">
        <f>IFERROR(__xludf.DUMMYFUNCTION("""COMPUTED_VALUE"""),"Vive le bio")</f>
        <v>Vive le bio</v>
      </c>
      <c r="E429" s="10" t="str">
        <f>IFERROR(__xludf.DUMMYFUNCTION("""COMPUTED_VALUE"""),"HAPPEEZ")</f>
        <v>HAPPEEZ</v>
      </c>
      <c r="F429" s="10">
        <f>IFERROR(__xludf.DUMMYFUNCTION("""COMPUTED_VALUE"""),11.5444444444444)</f>
        <v>11.54444444</v>
      </c>
      <c r="G429" s="9">
        <f>IFERROR(__xludf.DUMMYFUNCTION("""COMPUTED_VALUE"""),10.39)</f>
        <v>10.39</v>
      </c>
      <c r="H429" s="9">
        <f>IFERROR(__xludf.DUMMYFUNCTION("""COMPUTED_VALUE"""),1.0)</f>
        <v>1</v>
      </c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</row>
    <row r="430" ht="15.75" customHeight="1">
      <c r="A430" s="11">
        <f>IFERROR(__xludf.DUMMYFUNCTION("""COMPUTED_VALUE"""),44471.0)</f>
        <v>44471</v>
      </c>
      <c r="B430" s="9">
        <f>IFERROR(__xludf.DUMMYFUNCTION("""COMPUTED_VALUE"""),1003349.0)</f>
        <v>1003349</v>
      </c>
      <c r="C430" s="9">
        <f>IFERROR(__xludf.DUMMYFUNCTION("""COMPUTED_VALUE"""),117907.0)</f>
        <v>117907</v>
      </c>
      <c r="D430" s="9"/>
      <c r="E430" s="10" t="str">
        <f>IFERROR(__xludf.DUMMYFUNCTION("""COMPUTED_VALUE"""),"HAPPEEZ")</f>
        <v>HAPPEEZ</v>
      </c>
      <c r="F430" s="10">
        <f>IFERROR(__xludf.DUMMYFUNCTION("""COMPUTED_VALUE"""),5.11)</f>
        <v>5.11</v>
      </c>
      <c r="G430" s="9">
        <f>IFERROR(__xludf.DUMMYFUNCTION("""COMPUTED_VALUE"""),5.11)</f>
        <v>5.11</v>
      </c>
      <c r="H430" s="9">
        <f>IFERROR(__xludf.DUMMYFUNCTION("""COMPUTED_VALUE"""),1.0)</f>
        <v>1</v>
      </c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</row>
    <row r="431" ht="15.75" customHeight="1">
      <c r="A431" s="11">
        <f>IFERROR(__xludf.DUMMYFUNCTION("""COMPUTED_VALUE"""),44471.0)</f>
        <v>44471</v>
      </c>
      <c r="B431" s="9">
        <f>IFERROR(__xludf.DUMMYFUNCTION("""COMPUTED_VALUE"""),1003349.0)</f>
        <v>1003349</v>
      </c>
      <c r="C431" s="9">
        <f>IFERROR(__xludf.DUMMYFUNCTION("""COMPUTED_VALUE"""),11817.0)</f>
        <v>11817</v>
      </c>
      <c r="D431" s="10" t="str">
        <f>IFERROR(__xludf.DUMMYFUNCTION("""COMPUTED_VALUE"""),"Offre Speciale")</f>
        <v>Offre Speciale</v>
      </c>
      <c r="E431" s="10" t="str">
        <f>IFERROR(__xludf.DUMMYFUNCTION("""COMPUTED_VALUE"""),"HAPPEEZ")</f>
        <v>HAPPEEZ</v>
      </c>
      <c r="F431" s="10">
        <f>IFERROR(__xludf.DUMMYFUNCTION("""COMPUTED_VALUE"""),9.18987341772151)</f>
        <v>9.189873418</v>
      </c>
      <c r="G431" s="9">
        <f>IFERROR(__xludf.DUMMYFUNCTION("""COMPUTED_VALUE"""),7.26)</f>
        <v>7.26</v>
      </c>
      <c r="H431" s="9">
        <f>IFERROR(__xludf.DUMMYFUNCTION("""COMPUTED_VALUE"""),1.0)</f>
        <v>1</v>
      </c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</row>
    <row r="432" ht="15.75" customHeight="1">
      <c r="A432" s="11">
        <f>IFERROR(__xludf.DUMMYFUNCTION("""COMPUTED_VALUE"""),44471.0)</f>
        <v>44471</v>
      </c>
      <c r="B432" s="9">
        <f>IFERROR(__xludf.DUMMYFUNCTION("""COMPUTED_VALUE"""),1003349.0)</f>
        <v>1003349</v>
      </c>
      <c r="C432" s="9">
        <f>IFERROR(__xludf.DUMMYFUNCTION("""COMPUTED_VALUE"""),44750.0)</f>
        <v>44750</v>
      </c>
      <c r="D432" s="9"/>
      <c r="E432" s="10" t="str">
        <f>IFERROR(__xludf.DUMMYFUNCTION("""COMPUTED_VALUE"""),"HAPPEEZ")</f>
        <v>HAPPEEZ</v>
      </c>
      <c r="F432" s="10">
        <f>IFERROR(__xludf.DUMMYFUNCTION("""COMPUTED_VALUE"""),10.13)</f>
        <v>10.13</v>
      </c>
      <c r="G432" s="9">
        <f>IFERROR(__xludf.DUMMYFUNCTION("""COMPUTED_VALUE"""),10.13)</f>
        <v>10.13</v>
      </c>
      <c r="H432" s="9">
        <f>IFERROR(__xludf.DUMMYFUNCTION("""COMPUTED_VALUE"""),1.0)</f>
        <v>1</v>
      </c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</row>
    <row r="433" ht="15.75" customHeight="1">
      <c r="A433" s="11">
        <f>IFERROR(__xludf.DUMMYFUNCTION("""COMPUTED_VALUE"""),44471.0)</f>
        <v>44471</v>
      </c>
      <c r="B433" s="9">
        <f>IFERROR(__xludf.DUMMYFUNCTION("""COMPUTED_VALUE"""),1003349.0)</f>
        <v>1003349</v>
      </c>
      <c r="C433" s="9">
        <f>IFERROR(__xludf.DUMMYFUNCTION("""COMPUTED_VALUE"""),106773.0)</f>
        <v>106773</v>
      </c>
      <c r="D433" s="9"/>
      <c r="E433" s="10" t="str">
        <f>IFERROR(__xludf.DUMMYFUNCTION("""COMPUTED_VALUE"""),"HAPPEEZ")</f>
        <v>HAPPEEZ</v>
      </c>
      <c r="F433" s="10">
        <f>IFERROR(__xludf.DUMMYFUNCTION("""COMPUTED_VALUE"""),2.6)</f>
        <v>2.6</v>
      </c>
      <c r="G433" s="9">
        <f>IFERROR(__xludf.DUMMYFUNCTION("""COMPUTED_VALUE"""),2.6)</f>
        <v>2.6</v>
      </c>
      <c r="H433" s="9">
        <f>IFERROR(__xludf.DUMMYFUNCTION("""COMPUTED_VALUE"""),1.0)</f>
        <v>1</v>
      </c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</row>
    <row r="434" ht="15.75" customHeight="1">
      <c r="A434" s="11">
        <f>IFERROR(__xludf.DUMMYFUNCTION("""COMPUTED_VALUE"""),44471.0)</f>
        <v>44471</v>
      </c>
      <c r="B434" s="9">
        <f>IFERROR(__xludf.DUMMYFUNCTION("""COMPUTED_VALUE"""),1003349.0)</f>
        <v>1003349</v>
      </c>
      <c r="C434" s="9">
        <f>IFERROR(__xludf.DUMMYFUNCTION("""COMPUTED_VALUE"""),80785.0)</f>
        <v>80785</v>
      </c>
      <c r="D434" s="9"/>
      <c r="E434" s="10" t="str">
        <f>IFERROR(__xludf.DUMMYFUNCTION("""COMPUTED_VALUE"""),"HAPPEEZ")</f>
        <v>HAPPEEZ</v>
      </c>
      <c r="F434" s="10">
        <f>IFERROR(__xludf.DUMMYFUNCTION("""COMPUTED_VALUE"""),1.49)</f>
        <v>1.49</v>
      </c>
      <c r="G434" s="9">
        <f>IFERROR(__xludf.DUMMYFUNCTION("""COMPUTED_VALUE"""),1.49)</f>
        <v>1.49</v>
      </c>
      <c r="H434" s="9">
        <f>IFERROR(__xludf.DUMMYFUNCTION("""COMPUTED_VALUE"""),1.0)</f>
        <v>1</v>
      </c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</row>
    <row r="435" ht="15.75" customHeight="1">
      <c r="A435" s="11">
        <f>IFERROR(__xludf.DUMMYFUNCTION("""COMPUTED_VALUE"""),44471.0)</f>
        <v>44471</v>
      </c>
      <c r="B435" s="9">
        <f>IFERROR(__xludf.DUMMYFUNCTION("""COMPUTED_VALUE"""),1003349.0)</f>
        <v>1003349</v>
      </c>
      <c r="C435" s="9">
        <f>IFERROR(__xludf.DUMMYFUNCTION("""COMPUTED_VALUE"""),122700.0)</f>
        <v>122700</v>
      </c>
      <c r="D435" s="9"/>
      <c r="E435" s="10" t="str">
        <f>IFERROR(__xludf.DUMMYFUNCTION("""COMPUTED_VALUE"""),"HAPPEEZ")</f>
        <v>HAPPEEZ</v>
      </c>
      <c r="F435" s="10">
        <f>IFERROR(__xludf.DUMMYFUNCTION("""COMPUTED_VALUE"""),3.55)</f>
        <v>3.55</v>
      </c>
      <c r="G435" s="9">
        <f>IFERROR(__xludf.DUMMYFUNCTION("""COMPUTED_VALUE"""),3.55)</f>
        <v>3.55</v>
      </c>
      <c r="H435" s="9">
        <f>IFERROR(__xludf.DUMMYFUNCTION("""COMPUTED_VALUE"""),2.0)</f>
        <v>2</v>
      </c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</row>
    <row r="436" ht="15.75" customHeight="1">
      <c r="A436" s="11">
        <f>IFERROR(__xludf.DUMMYFUNCTION("""COMPUTED_VALUE"""),44471.0)</f>
        <v>44471</v>
      </c>
      <c r="B436" s="9">
        <f>IFERROR(__xludf.DUMMYFUNCTION("""COMPUTED_VALUE"""),1003349.0)</f>
        <v>1003349</v>
      </c>
      <c r="C436" s="9">
        <f>IFERROR(__xludf.DUMMYFUNCTION("""COMPUTED_VALUE"""),101586.0)</f>
        <v>101586</v>
      </c>
      <c r="D436" s="9"/>
      <c r="E436" s="10" t="str">
        <f>IFERROR(__xludf.DUMMYFUNCTION("""COMPUTED_VALUE"""),"HAPPEEZ")</f>
        <v>HAPPEEZ</v>
      </c>
      <c r="F436" s="10">
        <f>IFERROR(__xludf.DUMMYFUNCTION("""COMPUTED_VALUE"""),8.72)</f>
        <v>8.72</v>
      </c>
      <c r="G436" s="9">
        <f>IFERROR(__xludf.DUMMYFUNCTION("""COMPUTED_VALUE"""),8.72)</f>
        <v>8.72</v>
      </c>
      <c r="H436" s="9">
        <f>IFERROR(__xludf.DUMMYFUNCTION("""COMPUTED_VALUE"""),2.0)</f>
        <v>2</v>
      </c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</row>
    <row r="437" ht="15.75" customHeight="1">
      <c r="A437" s="11">
        <f>IFERROR(__xludf.DUMMYFUNCTION("""COMPUTED_VALUE"""),44471.0)</f>
        <v>44471</v>
      </c>
      <c r="B437" s="9">
        <f>IFERROR(__xludf.DUMMYFUNCTION("""COMPUTED_VALUE"""),1003350.0)</f>
        <v>1003350</v>
      </c>
      <c r="C437" s="9">
        <f>IFERROR(__xludf.DUMMYFUNCTION("""COMPUTED_VALUE"""),122645.0)</f>
        <v>122645</v>
      </c>
      <c r="D437" s="9"/>
      <c r="E437" s="9"/>
      <c r="F437" s="9">
        <f>IFERROR(__xludf.DUMMYFUNCTION("""COMPUTED_VALUE"""),34.26)</f>
        <v>34.26</v>
      </c>
      <c r="G437" s="9">
        <f>IFERROR(__xludf.DUMMYFUNCTION("""COMPUTED_VALUE"""),34.26)</f>
        <v>34.26</v>
      </c>
      <c r="H437" s="9">
        <f>IFERROR(__xludf.DUMMYFUNCTION("""COMPUTED_VALUE"""),4.0)</f>
        <v>4</v>
      </c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</row>
    <row r="438" ht="15.75" customHeight="1">
      <c r="A438" s="11">
        <f>IFERROR(__xludf.DUMMYFUNCTION("""COMPUTED_VALUE"""),44471.0)</f>
        <v>44471</v>
      </c>
      <c r="B438" s="9">
        <f>IFERROR(__xludf.DUMMYFUNCTION("""COMPUTED_VALUE"""),1003351.0)</f>
        <v>1003351</v>
      </c>
      <c r="C438" s="9">
        <f>IFERROR(__xludf.DUMMYFUNCTION("""COMPUTED_VALUE"""),46309.0)</f>
        <v>46309</v>
      </c>
      <c r="D438" s="9"/>
      <c r="E438" s="10" t="str">
        <f>IFERROR(__xludf.DUMMYFUNCTION("""COMPUTED_VALUE"""),"PREMIERE")</f>
        <v>PREMIERE</v>
      </c>
      <c r="F438" s="10">
        <f>IFERROR(__xludf.DUMMYFUNCTION("""COMPUTED_VALUE"""),10.47)</f>
        <v>10.47</v>
      </c>
      <c r="G438" s="9">
        <f>IFERROR(__xludf.DUMMYFUNCTION("""COMPUTED_VALUE"""),10.47)</f>
        <v>10.47</v>
      </c>
      <c r="H438" s="9">
        <f>IFERROR(__xludf.DUMMYFUNCTION("""COMPUTED_VALUE"""),1.0)</f>
        <v>1</v>
      </c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</row>
    <row r="439" ht="15.75" customHeight="1">
      <c r="A439" s="11">
        <f>IFERROR(__xludf.DUMMYFUNCTION("""COMPUTED_VALUE"""),44471.0)</f>
        <v>44471</v>
      </c>
      <c r="B439" s="9">
        <f>IFERROR(__xludf.DUMMYFUNCTION("""COMPUTED_VALUE"""),1003351.0)</f>
        <v>1003351</v>
      </c>
      <c r="C439" s="9">
        <f>IFERROR(__xludf.DUMMYFUNCTION("""COMPUTED_VALUE"""),122331.0)</f>
        <v>122331</v>
      </c>
      <c r="D439" s="9"/>
      <c r="E439" s="10" t="str">
        <f>IFERROR(__xludf.DUMMYFUNCTION("""COMPUTED_VALUE"""),"PREMIERE")</f>
        <v>PREMIERE</v>
      </c>
      <c r="F439" s="10">
        <f>IFERROR(__xludf.DUMMYFUNCTION("""COMPUTED_VALUE"""),11.32)</f>
        <v>11.32</v>
      </c>
      <c r="G439" s="9">
        <f>IFERROR(__xludf.DUMMYFUNCTION("""COMPUTED_VALUE"""),11.32)</f>
        <v>11.32</v>
      </c>
      <c r="H439" s="9">
        <f>IFERROR(__xludf.DUMMYFUNCTION("""COMPUTED_VALUE"""),1.0)</f>
        <v>1</v>
      </c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</row>
    <row r="440" ht="15.75" customHeight="1">
      <c r="A440" s="11">
        <f>IFERROR(__xludf.DUMMYFUNCTION("""COMPUTED_VALUE"""),44471.0)</f>
        <v>44471</v>
      </c>
      <c r="B440" s="9">
        <f>IFERROR(__xludf.DUMMYFUNCTION("""COMPUTED_VALUE"""),1003351.0)</f>
        <v>1003351</v>
      </c>
      <c r="C440" s="9">
        <f>IFERROR(__xludf.DUMMYFUNCTION("""COMPUTED_VALUE"""),68599.0)</f>
        <v>68599</v>
      </c>
      <c r="D440" s="9"/>
      <c r="E440" s="10" t="str">
        <f>IFERROR(__xludf.DUMMYFUNCTION("""COMPUTED_VALUE"""),"PREMIERE")</f>
        <v>PREMIERE</v>
      </c>
      <c r="F440" s="10">
        <f>IFERROR(__xludf.DUMMYFUNCTION("""COMPUTED_VALUE"""),3.96)</f>
        <v>3.96</v>
      </c>
      <c r="G440" s="9">
        <f>IFERROR(__xludf.DUMMYFUNCTION("""COMPUTED_VALUE"""),3.96)</f>
        <v>3.96</v>
      </c>
      <c r="H440" s="9">
        <f>IFERROR(__xludf.DUMMYFUNCTION("""COMPUTED_VALUE"""),1.0)</f>
        <v>1</v>
      </c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</row>
    <row r="441" ht="15.75" customHeight="1">
      <c r="A441" s="11">
        <f>IFERROR(__xludf.DUMMYFUNCTION("""COMPUTED_VALUE"""),44471.0)</f>
        <v>44471</v>
      </c>
      <c r="B441" s="9">
        <f>IFERROR(__xludf.DUMMYFUNCTION("""COMPUTED_VALUE"""),1003351.0)</f>
        <v>1003351</v>
      </c>
      <c r="C441" s="9">
        <f>IFERROR(__xludf.DUMMYFUNCTION("""COMPUTED_VALUE"""),9702.0)</f>
        <v>9702</v>
      </c>
      <c r="D441" s="9"/>
      <c r="E441" s="10" t="str">
        <f>IFERROR(__xludf.DUMMYFUNCTION("""COMPUTED_VALUE"""),"PREMIERE")</f>
        <v>PREMIERE</v>
      </c>
      <c r="F441" s="10">
        <f>IFERROR(__xludf.DUMMYFUNCTION("""COMPUTED_VALUE"""),4.44)</f>
        <v>4.44</v>
      </c>
      <c r="G441" s="9">
        <f>IFERROR(__xludf.DUMMYFUNCTION("""COMPUTED_VALUE"""),4.44)</f>
        <v>4.44</v>
      </c>
      <c r="H441" s="9">
        <f>IFERROR(__xludf.DUMMYFUNCTION("""COMPUTED_VALUE"""),1.0)</f>
        <v>1</v>
      </c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</row>
    <row r="442" ht="15.75" customHeight="1">
      <c r="A442" s="11">
        <f>IFERROR(__xludf.DUMMYFUNCTION("""COMPUTED_VALUE"""),44471.0)</f>
        <v>44471</v>
      </c>
      <c r="B442" s="9">
        <f>IFERROR(__xludf.DUMMYFUNCTION("""COMPUTED_VALUE"""),1003351.0)</f>
        <v>1003351</v>
      </c>
      <c r="C442" s="9">
        <f>IFERROR(__xludf.DUMMYFUNCTION("""COMPUTED_VALUE"""),99264.0)</f>
        <v>99264</v>
      </c>
      <c r="D442" s="9"/>
      <c r="E442" s="10" t="str">
        <f>IFERROR(__xludf.DUMMYFUNCTION("""COMPUTED_VALUE"""),"PREMIERE")</f>
        <v>PREMIERE</v>
      </c>
      <c r="F442" s="10">
        <f>IFERROR(__xludf.DUMMYFUNCTION("""COMPUTED_VALUE"""),1.74)</f>
        <v>1.74</v>
      </c>
      <c r="G442" s="9">
        <f>IFERROR(__xludf.DUMMYFUNCTION("""COMPUTED_VALUE"""),1.74)</f>
        <v>1.74</v>
      </c>
      <c r="H442" s="9">
        <f>IFERROR(__xludf.DUMMYFUNCTION("""COMPUTED_VALUE"""),1.0)</f>
        <v>1</v>
      </c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</row>
    <row r="443" ht="15.75" customHeight="1">
      <c r="A443" s="11">
        <f>IFERROR(__xludf.DUMMYFUNCTION("""COMPUTED_VALUE"""),44471.0)</f>
        <v>44471</v>
      </c>
      <c r="B443" s="9">
        <f>IFERROR(__xludf.DUMMYFUNCTION("""COMPUTED_VALUE"""),1003353.0)</f>
        <v>1003353</v>
      </c>
      <c r="C443" s="9">
        <f>IFERROR(__xludf.DUMMYFUNCTION("""COMPUTED_VALUE"""),78338.0)</f>
        <v>78338</v>
      </c>
      <c r="D443" s="9"/>
      <c r="E443" s="9"/>
      <c r="F443" s="9">
        <f>IFERROR(__xludf.DUMMYFUNCTION("""COMPUTED_VALUE"""),19.0)</f>
        <v>19</v>
      </c>
      <c r="G443" s="9">
        <f>IFERROR(__xludf.DUMMYFUNCTION("""COMPUTED_VALUE"""),19.0)</f>
        <v>19</v>
      </c>
      <c r="H443" s="9">
        <f>IFERROR(__xludf.DUMMYFUNCTION("""COMPUTED_VALUE"""),1.0)</f>
        <v>1</v>
      </c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</row>
    <row r="444" ht="15.75" customHeight="1">
      <c r="A444" s="11">
        <f>IFERROR(__xludf.DUMMYFUNCTION("""COMPUTED_VALUE"""),44471.0)</f>
        <v>44471</v>
      </c>
      <c r="B444" s="9">
        <f>IFERROR(__xludf.DUMMYFUNCTION("""COMPUTED_VALUE"""),1003353.0)</f>
        <v>1003353</v>
      </c>
      <c r="C444" s="9">
        <f>IFERROR(__xludf.DUMMYFUNCTION("""COMPUTED_VALUE"""),121869.0)</f>
        <v>121869</v>
      </c>
      <c r="D444" s="9"/>
      <c r="E444" s="9"/>
      <c r="F444" s="9">
        <f>IFERROR(__xludf.DUMMYFUNCTION("""COMPUTED_VALUE"""),17.2)</f>
        <v>17.2</v>
      </c>
      <c r="G444" s="9">
        <f>IFERROR(__xludf.DUMMYFUNCTION("""COMPUTED_VALUE"""),17.2)</f>
        <v>17.2</v>
      </c>
      <c r="H444" s="9">
        <f>IFERROR(__xludf.DUMMYFUNCTION("""COMPUTED_VALUE"""),1.0)</f>
        <v>1</v>
      </c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</row>
    <row r="445" ht="15.75" customHeight="1">
      <c r="A445" s="11">
        <f>IFERROR(__xludf.DUMMYFUNCTION("""COMPUTED_VALUE"""),44471.0)</f>
        <v>44471</v>
      </c>
      <c r="B445" s="9">
        <f>IFERROR(__xludf.DUMMYFUNCTION("""COMPUTED_VALUE"""),1003353.0)</f>
        <v>1003353</v>
      </c>
      <c r="C445" s="9">
        <f>IFERROR(__xludf.DUMMYFUNCTION("""COMPUTED_VALUE"""),17594.0)</f>
        <v>17594</v>
      </c>
      <c r="D445" s="9"/>
      <c r="E445" s="9"/>
      <c r="F445" s="9">
        <f>IFERROR(__xludf.DUMMYFUNCTION("""COMPUTED_VALUE"""),6.31)</f>
        <v>6.31</v>
      </c>
      <c r="G445" s="9">
        <f>IFERROR(__xludf.DUMMYFUNCTION("""COMPUTED_VALUE"""),6.31)</f>
        <v>6.31</v>
      </c>
      <c r="H445" s="9">
        <f>IFERROR(__xludf.DUMMYFUNCTION("""COMPUTED_VALUE"""),1.0)</f>
        <v>1</v>
      </c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</row>
    <row r="446" ht="15.75" customHeight="1">
      <c r="A446" s="11">
        <f>IFERROR(__xludf.DUMMYFUNCTION("""COMPUTED_VALUE"""),44471.0)</f>
        <v>44471</v>
      </c>
      <c r="B446" s="9">
        <f>IFERROR(__xludf.DUMMYFUNCTION("""COMPUTED_VALUE"""),1003353.0)</f>
        <v>1003353</v>
      </c>
      <c r="C446" s="9">
        <f>IFERROR(__xludf.DUMMYFUNCTION("""COMPUTED_VALUE"""),90842.0)</f>
        <v>90842</v>
      </c>
      <c r="D446" s="9"/>
      <c r="E446" s="9"/>
      <c r="F446" s="9">
        <f>IFERROR(__xludf.DUMMYFUNCTION("""COMPUTED_VALUE"""),9.14)</f>
        <v>9.14</v>
      </c>
      <c r="G446" s="9">
        <f>IFERROR(__xludf.DUMMYFUNCTION("""COMPUTED_VALUE"""),9.14)</f>
        <v>9.14</v>
      </c>
      <c r="H446" s="9">
        <f>IFERROR(__xludf.DUMMYFUNCTION("""COMPUTED_VALUE"""),1.0)</f>
        <v>1</v>
      </c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</row>
    <row r="447" ht="15.75" customHeight="1">
      <c r="A447" s="11">
        <f>IFERROR(__xludf.DUMMYFUNCTION("""COMPUTED_VALUE"""),44471.0)</f>
        <v>44471</v>
      </c>
      <c r="B447" s="9">
        <f>IFERROR(__xludf.DUMMYFUNCTION("""COMPUTED_VALUE"""),1003353.0)</f>
        <v>1003353</v>
      </c>
      <c r="C447" s="9">
        <f>IFERROR(__xludf.DUMMYFUNCTION("""COMPUTED_VALUE"""),12500.0)</f>
        <v>12500</v>
      </c>
      <c r="D447" s="9"/>
      <c r="E447" s="9"/>
      <c r="F447" s="9">
        <f>IFERROR(__xludf.DUMMYFUNCTION("""COMPUTED_VALUE"""),2.93)</f>
        <v>2.93</v>
      </c>
      <c r="G447" s="9">
        <f>IFERROR(__xludf.DUMMYFUNCTION("""COMPUTED_VALUE"""),2.93)</f>
        <v>2.93</v>
      </c>
      <c r="H447" s="9">
        <f>IFERROR(__xludf.DUMMYFUNCTION("""COMPUTED_VALUE"""),1.0)</f>
        <v>1</v>
      </c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</row>
    <row r="448" ht="15.75" customHeight="1">
      <c r="A448" s="11">
        <f>IFERROR(__xludf.DUMMYFUNCTION("""COMPUTED_VALUE"""),44471.0)</f>
        <v>44471</v>
      </c>
      <c r="B448" s="9">
        <f>IFERROR(__xludf.DUMMYFUNCTION("""COMPUTED_VALUE"""),1003353.0)</f>
        <v>1003353</v>
      </c>
      <c r="C448" s="9">
        <f>IFERROR(__xludf.DUMMYFUNCTION("""COMPUTED_VALUE"""),90844.0)</f>
        <v>90844</v>
      </c>
      <c r="D448" s="9"/>
      <c r="E448" s="9"/>
      <c r="F448" s="9">
        <f>IFERROR(__xludf.DUMMYFUNCTION("""COMPUTED_VALUE"""),7.93)</f>
        <v>7.93</v>
      </c>
      <c r="G448" s="9">
        <f>IFERROR(__xludf.DUMMYFUNCTION("""COMPUTED_VALUE"""),7.93)</f>
        <v>7.93</v>
      </c>
      <c r="H448" s="9">
        <f>IFERROR(__xludf.DUMMYFUNCTION("""COMPUTED_VALUE"""),1.0)</f>
        <v>1</v>
      </c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</row>
    <row r="449" ht="15.75" customHeight="1">
      <c r="A449" s="11">
        <f>IFERROR(__xludf.DUMMYFUNCTION("""COMPUTED_VALUE"""),44471.0)</f>
        <v>44471</v>
      </c>
      <c r="B449" s="9">
        <f>IFERROR(__xludf.DUMMYFUNCTION("""COMPUTED_VALUE"""),1003353.0)</f>
        <v>1003353</v>
      </c>
      <c r="C449" s="9">
        <f>IFERROR(__xludf.DUMMYFUNCTION("""COMPUTED_VALUE"""),90848.0)</f>
        <v>90848</v>
      </c>
      <c r="D449" s="9"/>
      <c r="E449" s="9"/>
      <c r="F449" s="9">
        <f>IFERROR(__xludf.DUMMYFUNCTION("""COMPUTED_VALUE"""),7.98)</f>
        <v>7.98</v>
      </c>
      <c r="G449" s="9">
        <f>IFERROR(__xludf.DUMMYFUNCTION("""COMPUTED_VALUE"""),7.98)</f>
        <v>7.98</v>
      </c>
      <c r="H449" s="9">
        <f>IFERROR(__xludf.DUMMYFUNCTION("""COMPUTED_VALUE"""),1.0)</f>
        <v>1</v>
      </c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</row>
    <row r="450" ht="15.75" customHeight="1">
      <c r="A450" s="11">
        <f>IFERROR(__xludf.DUMMYFUNCTION("""COMPUTED_VALUE"""),44471.0)</f>
        <v>44471</v>
      </c>
      <c r="B450" s="9">
        <f>IFERROR(__xludf.DUMMYFUNCTION("""COMPUTED_VALUE"""),1003353.0)</f>
        <v>1003353</v>
      </c>
      <c r="C450" s="9">
        <f>IFERROR(__xludf.DUMMYFUNCTION("""COMPUTED_VALUE"""),2792.0)</f>
        <v>2792</v>
      </c>
      <c r="D450" s="9"/>
      <c r="E450" s="9"/>
      <c r="F450" s="9">
        <f>IFERROR(__xludf.DUMMYFUNCTION("""COMPUTED_VALUE"""),15.36)</f>
        <v>15.36</v>
      </c>
      <c r="G450" s="9">
        <f>IFERROR(__xludf.DUMMYFUNCTION("""COMPUTED_VALUE"""),15.36)</f>
        <v>15.36</v>
      </c>
      <c r="H450" s="9">
        <f>IFERROR(__xludf.DUMMYFUNCTION("""COMPUTED_VALUE"""),2.0)</f>
        <v>2</v>
      </c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</row>
    <row r="451" ht="15.75" customHeight="1">
      <c r="A451" s="11">
        <f>IFERROR(__xludf.DUMMYFUNCTION("""COMPUTED_VALUE"""),44471.0)</f>
        <v>44471</v>
      </c>
      <c r="B451" s="9">
        <f>IFERROR(__xludf.DUMMYFUNCTION("""COMPUTED_VALUE"""),1003354.0)</f>
        <v>1003354</v>
      </c>
      <c r="C451" s="9">
        <f>IFERROR(__xludf.DUMMYFUNCTION("""COMPUTED_VALUE"""),139304.0)</f>
        <v>139304</v>
      </c>
      <c r="D451" s="10" t="str">
        <f>IFERROR(__xludf.DUMMYFUNCTION("""COMPUTED_VALUE"""),"Good gout PP 2021 nouveautes")</f>
        <v>Good gout PP 2021 nouveautes</v>
      </c>
      <c r="E451" s="10"/>
      <c r="F451" s="9">
        <f>IFERROR(__xludf.DUMMYFUNCTION("""COMPUTED_VALUE"""),4.92222222222222)</f>
        <v>4.922222222</v>
      </c>
      <c r="G451" s="9">
        <f>IFERROR(__xludf.DUMMYFUNCTION("""COMPUTED_VALUE"""),4.43)</f>
        <v>4.43</v>
      </c>
      <c r="H451" s="9">
        <f>IFERROR(__xludf.DUMMYFUNCTION("""COMPUTED_VALUE"""),1.0)</f>
        <v>1</v>
      </c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</row>
    <row r="452" ht="15.75" customHeight="1">
      <c r="A452" s="11">
        <f>IFERROR(__xludf.DUMMYFUNCTION("""COMPUTED_VALUE"""),44471.0)</f>
        <v>44471</v>
      </c>
      <c r="B452" s="9">
        <f>IFERROR(__xludf.DUMMYFUNCTION("""COMPUTED_VALUE"""),1003354.0)</f>
        <v>1003354</v>
      </c>
      <c r="C452" s="9">
        <f>IFERROR(__xludf.DUMMYFUNCTION("""COMPUTED_VALUE"""),20405.0)</f>
        <v>20405</v>
      </c>
      <c r="D452" s="9"/>
      <c r="E452" s="9"/>
      <c r="F452" s="9">
        <f>IFERROR(__xludf.DUMMYFUNCTION("""COMPUTED_VALUE"""),2.39)</f>
        <v>2.39</v>
      </c>
      <c r="G452" s="9">
        <f>IFERROR(__xludf.DUMMYFUNCTION("""COMPUTED_VALUE"""),2.39)</f>
        <v>2.39</v>
      </c>
      <c r="H452" s="9">
        <f>IFERROR(__xludf.DUMMYFUNCTION("""COMPUTED_VALUE"""),1.0)</f>
        <v>1</v>
      </c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</row>
    <row r="453" ht="15.75" customHeight="1">
      <c r="A453" s="11">
        <f>IFERROR(__xludf.DUMMYFUNCTION("""COMPUTED_VALUE"""),44471.0)</f>
        <v>44471</v>
      </c>
      <c r="B453" s="9">
        <f>IFERROR(__xludf.DUMMYFUNCTION("""COMPUTED_VALUE"""),1003354.0)</f>
        <v>1003354</v>
      </c>
      <c r="C453" s="9">
        <f>IFERROR(__xludf.DUMMYFUNCTION("""COMPUTED_VALUE"""),118286.0)</f>
        <v>118286</v>
      </c>
      <c r="D453" s="9"/>
      <c r="E453" s="9"/>
      <c r="F453" s="9">
        <f>IFERROR(__xludf.DUMMYFUNCTION("""COMPUTED_VALUE"""),2.89)</f>
        <v>2.89</v>
      </c>
      <c r="G453" s="9">
        <f>IFERROR(__xludf.DUMMYFUNCTION("""COMPUTED_VALUE"""),2.89)</f>
        <v>2.89</v>
      </c>
      <c r="H453" s="9">
        <f>IFERROR(__xludf.DUMMYFUNCTION("""COMPUTED_VALUE"""),1.0)</f>
        <v>1</v>
      </c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</row>
    <row r="454" ht="15.75" customHeight="1">
      <c r="A454" s="11">
        <f>IFERROR(__xludf.DUMMYFUNCTION("""COMPUTED_VALUE"""),44471.0)</f>
        <v>44471</v>
      </c>
      <c r="B454" s="9">
        <f>IFERROR(__xludf.DUMMYFUNCTION("""COMPUTED_VALUE"""),1003354.0)</f>
        <v>1003354</v>
      </c>
      <c r="C454" s="9">
        <f>IFERROR(__xludf.DUMMYFUNCTION("""COMPUTED_VALUE"""),122747.0)</f>
        <v>122747</v>
      </c>
      <c r="D454" s="9"/>
      <c r="E454" s="9"/>
      <c r="F454" s="9">
        <f>IFERROR(__xludf.DUMMYFUNCTION("""COMPUTED_VALUE"""),52.02)</f>
        <v>52.02</v>
      </c>
      <c r="G454" s="9">
        <f>IFERROR(__xludf.DUMMYFUNCTION("""COMPUTED_VALUE"""),52.02)</f>
        <v>52.02</v>
      </c>
      <c r="H454" s="9">
        <f>IFERROR(__xludf.DUMMYFUNCTION("""COMPUTED_VALUE"""),3.0)</f>
        <v>3</v>
      </c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</row>
    <row r="455" ht="15.75" customHeight="1">
      <c r="A455" s="11">
        <f>IFERROR(__xludf.DUMMYFUNCTION("""COMPUTED_VALUE"""),44471.0)</f>
        <v>44471</v>
      </c>
      <c r="B455" s="9">
        <f>IFERROR(__xludf.DUMMYFUNCTION("""COMPUTED_VALUE"""),1003355.0)</f>
        <v>1003355</v>
      </c>
      <c r="C455" s="9">
        <f>IFERROR(__xludf.DUMMYFUNCTION("""COMPUTED_VALUE"""),118460.0)</f>
        <v>118460</v>
      </c>
      <c r="D455" s="9"/>
      <c r="E455" s="10" t="str">
        <f>IFERROR(__xludf.DUMMYFUNCTION("""COMPUTED_VALUE"""),"GREENRELAIS")</f>
        <v>GREENRELAIS</v>
      </c>
      <c r="F455" s="10">
        <f>IFERROR(__xludf.DUMMYFUNCTION("""COMPUTED_VALUE"""),32.18)</f>
        <v>32.18</v>
      </c>
      <c r="G455" s="9">
        <f>IFERROR(__xludf.DUMMYFUNCTION("""COMPUTED_VALUE"""),32.18)</f>
        <v>32.18</v>
      </c>
      <c r="H455" s="9">
        <f>IFERROR(__xludf.DUMMYFUNCTION("""COMPUTED_VALUE"""),1.0)</f>
        <v>1</v>
      </c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</row>
    <row r="456" ht="15.75" customHeight="1">
      <c r="A456" s="11">
        <f>IFERROR(__xludf.DUMMYFUNCTION("""COMPUTED_VALUE"""),44471.0)</f>
        <v>44471</v>
      </c>
      <c r="B456" s="9">
        <f>IFERROR(__xludf.DUMMYFUNCTION("""COMPUTED_VALUE"""),1003355.0)</f>
        <v>1003355</v>
      </c>
      <c r="C456" s="9">
        <f>IFERROR(__xludf.DUMMYFUNCTION("""COMPUTED_VALUE"""),86524.0)</f>
        <v>86524</v>
      </c>
      <c r="D456" s="9"/>
      <c r="E456" s="10" t="str">
        <f>IFERROR(__xludf.DUMMYFUNCTION("""COMPUTED_VALUE"""),"GREENRELAIS")</f>
        <v>GREENRELAIS</v>
      </c>
      <c r="F456" s="10">
        <f>IFERROR(__xludf.DUMMYFUNCTION("""COMPUTED_VALUE"""),1.24)</f>
        <v>1.24</v>
      </c>
      <c r="G456" s="9">
        <f>IFERROR(__xludf.DUMMYFUNCTION("""COMPUTED_VALUE"""),1.24)</f>
        <v>1.24</v>
      </c>
      <c r="H456" s="9">
        <f>IFERROR(__xludf.DUMMYFUNCTION("""COMPUTED_VALUE"""),1.0)</f>
        <v>1</v>
      </c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</row>
    <row r="457" ht="15.75" customHeight="1">
      <c r="A457" s="11">
        <f>IFERROR(__xludf.DUMMYFUNCTION("""COMPUTED_VALUE"""),44471.0)</f>
        <v>44471</v>
      </c>
      <c r="B457" s="9">
        <f>IFERROR(__xludf.DUMMYFUNCTION("""COMPUTED_VALUE"""),1003355.0)</f>
        <v>1003355</v>
      </c>
      <c r="C457" s="9">
        <f>IFERROR(__xludf.DUMMYFUNCTION("""COMPUTED_VALUE"""),111051.0)</f>
        <v>111051</v>
      </c>
      <c r="D457" s="10" t="str">
        <f>IFERROR(__xludf.DUMMYFUNCTION("""COMPUTED_VALUE"""),"Vive le bio")</f>
        <v>Vive le bio</v>
      </c>
      <c r="E457" s="10" t="str">
        <f>IFERROR(__xludf.DUMMYFUNCTION("""COMPUTED_VALUE"""),"GREENRELAIS")</f>
        <v>GREENRELAIS</v>
      </c>
      <c r="F457" s="10">
        <f>IFERROR(__xludf.DUMMYFUNCTION("""COMPUTED_VALUE"""),28.6888888888888)</f>
        <v>28.68888889</v>
      </c>
      <c r="G457" s="9">
        <f>IFERROR(__xludf.DUMMYFUNCTION("""COMPUTED_VALUE"""),25.82)</f>
        <v>25.82</v>
      </c>
      <c r="H457" s="9">
        <f>IFERROR(__xludf.DUMMYFUNCTION("""COMPUTED_VALUE"""),2.0)</f>
        <v>2</v>
      </c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</row>
    <row r="458" ht="15.75" customHeight="1">
      <c r="A458" s="11">
        <f>IFERROR(__xludf.DUMMYFUNCTION("""COMPUTED_VALUE"""),44471.0)</f>
        <v>44471</v>
      </c>
      <c r="B458" s="9">
        <f>IFERROR(__xludf.DUMMYFUNCTION("""COMPUTED_VALUE"""),1003355.0)</f>
        <v>1003355</v>
      </c>
      <c r="C458" s="9">
        <f>IFERROR(__xludf.DUMMYFUNCTION("""COMPUTED_VALUE"""),96068.0)</f>
        <v>96068</v>
      </c>
      <c r="D458" s="9"/>
      <c r="E458" s="10" t="str">
        <f>IFERROR(__xludf.DUMMYFUNCTION("""COMPUTED_VALUE"""),"GREENRELAIS")</f>
        <v>GREENRELAIS</v>
      </c>
      <c r="F458" s="10">
        <f>IFERROR(__xludf.DUMMYFUNCTION("""COMPUTED_VALUE"""),9.06)</f>
        <v>9.06</v>
      </c>
      <c r="G458" s="9">
        <f>IFERROR(__xludf.DUMMYFUNCTION("""COMPUTED_VALUE"""),9.06)</f>
        <v>9.06</v>
      </c>
      <c r="H458" s="9">
        <f>IFERROR(__xludf.DUMMYFUNCTION("""COMPUTED_VALUE"""),2.0)</f>
        <v>2</v>
      </c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</row>
    <row r="459" ht="15.75" customHeight="1">
      <c r="A459" s="11">
        <f>IFERROR(__xludf.DUMMYFUNCTION("""COMPUTED_VALUE"""),44471.0)</f>
        <v>44471</v>
      </c>
      <c r="B459" s="9">
        <f>IFERROR(__xludf.DUMMYFUNCTION("""COMPUTED_VALUE"""),1003355.0)</f>
        <v>1003355</v>
      </c>
      <c r="C459" s="9">
        <f>IFERROR(__xludf.DUMMYFUNCTION("""COMPUTED_VALUE"""),79107.0)</f>
        <v>79107</v>
      </c>
      <c r="D459" s="9"/>
      <c r="E459" s="10" t="str">
        <f>IFERROR(__xludf.DUMMYFUNCTION("""COMPUTED_VALUE"""),"GREENRELAIS")</f>
        <v>GREENRELAIS</v>
      </c>
      <c r="F459" s="10">
        <f>IFERROR(__xludf.DUMMYFUNCTION("""COMPUTED_VALUE"""),9.85)</f>
        <v>9.85</v>
      </c>
      <c r="G459" s="9">
        <f>IFERROR(__xludf.DUMMYFUNCTION("""COMPUTED_VALUE"""),9.85)</f>
        <v>9.85</v>
      </c>
      <c r="H459" s="9">
        <f>IFERROR(__xludf.DUMMYFUNCTION("""COMPUTED_VALUE"""),3.0)</f>
        <v>3</v>
      </c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</row>
    <row r="460" ht="15.75" customHeight="1">
      <c r="A460" s="11">
        <f>IFERROR(__xludf.DUMMYFUNCTION("""COMPUTED_VALUE"""),44471.0)</f>
        <v>44471</v>
      </c>
      <c r="B460" s="9">
        <f>IFERROR(__xludf.DUMMYFUNCTION("""COMPUTED_VALUE"""),1003355.0)</f>
        <v>1003355</v>
      </c>
      <c r="C460" s="9">
        <f>IFERROR(__xludf.DUMMYFUNCTION("""COMPUTED_VALUE"""),110002.0)</f>
        <v>110002</v>
      </c>
      <c r="D460" s="9"/>
      <c r="E460" s="10" t="str">
        <f>IFERROR(__xludf.DUMMYFUNCTION("""COMPUTED_VALUE"""),"GREENRELAIS")</f>
        <v>GREENRELAIS</v>
      </c>
      <c r="F460" s="10">
        <f>IFERROR(__xludf.DUMMYFUNCTION("""COMPUTED_VALUE"""),7.92)</f>
        <v>7.92</v>
      </c>
      <c r="G460" s="9">
        <f>IFERROR(__xludf.DUMMYFUNCTION("""COMPUTED_VALUE"""),7.92)</f>
        <v>7.92</v>
      </c>
      <c r="H460" s="9">
        <f>IFERROR(__xludf.DUMMYFUNCTION("""COMPUTED_VALUE"""),3.0)</f>
        <v>3</v>
      </c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</row>
    <row r="461" ht="15.75" customHeight="1">
      <c r="A461" s="11">
        <f>IFERROR(__xludf.DUMMYFUNCTION("""COMPUTED_VALUE"""),44471.0)</f>
        <v>44471</v>
      </c>
      <c r="B461" s="9">
        <f>IFERROR(__xludf.DUMMYFUNCTION("""COMPUTED_VALUE"""),1003355.0)</f>
        <v>1003355</v>
      </c>
      <c r="C461" s="9">
        <f>IFERROR(__xludf.DUMMYFUNCTION("""COMPUTED_VALUE"""),110001.0)</f>
        <v>110001</v>
      </c>
      <c r="D461" s="9"/>
      <c r="E461" s="10" t="str">
        <f>IFERROR(__xludf.DUMMYFUNCTION("""COMPUTED_VALUE"""),"GREENRELAIS")</f>
        <v>GREENRELAIS</v>
      </c>
      <c r="F461" s="10">
        <f>IFERROR(__xludf.DUMMYFUNCTION("""COMPUTED_VALUE"""),13.09)</f>
        <v>13.09</v>
      </c>
      <c r="G461" s="9">
        <f>IFERROR(__xludf.DUMMYFUNCTION("""COMPUTED_VALUE"""),13.09)</f>
        <v>13.09</v>
      </c>
      <c r="H461" s="9">
        <f>IFERROR(__xludf.DUMMYFUNCTION("""COMPUTED_VALUE"""),5.0)</f>
        <v>5</v>
      </c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</row>
    <row r="462" ht="15.75" customHeight="1">
      <c r="A462" s="11">
        <f>IFERROR(__xludf.DUMMYFUNCTION("""COMPUTED_VALUE"""),44471.0)</f>
        <v>44471</v>
      </c>
      <c r="B462" s="9">
        <f>IFERROR(__xludf.DUMMYFUNCTION("""COMPUTED_VALUE"""),1003356.0)</f>
        <v>1003356</v>
      </c>
      <c r="C462" s="9">
        <f>IFERROR(__xludf.DUMMYFUNCTION("""COMPUTED_VALUE"""),16386.0)</f>
        <v>16386</v>
      </c>
      <c r="D462" s="10" t="str">
        <f>IFERROR(__xludf.DUMMYFUNCTION("""COMPUTED_VALUE"""),"Vive le bio")</f>
        <v>Vive le bio</v>
      </c>
      <c r="E462" s="10"/>
      <c r="F462" s="9">
        <f>IFERROR(__xludf.DUMMYFUNCTION("""COMPUTED_VALUE"""),29.7666666666666)</f>
        <v>29.76666667</v>
      </c>
      <c r="G462" s="9">
        <f>IFERROR(__xludf.DUMMYFUNCTION("""COMPUTED_VALUE"""),26.79)</f>
        <v>26.79</v>
      </c>
      <c r="H462" s="9">
        <f>IFERROR(__xludf.DUMMYFUNCTION("""COMPUTED_VALUE"""),2.0)</f>
        <v>2</v>
      </c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</row>
    <row r="463" ht="15.75" customHeight="1">
      <c r="A463" s="11">
        <f>IFERROR(__xludf.DUMMYFUNCTION("""COMPUTED_VALUE"""),44471.0)</f>
        <v>44471</v>
      </c>
      <c r="B463" s="9">
        <f>IFERROR(__xludf.DUMMYFUNCTION("""COMPUTED_VALUE"""),1003357.0)</f>
        <v>1003357</v>
      </c>
      <c r="C463" s="9">
        <f>IFERROR(__xludf.DUMMYFUNCTION("""COMPUTED_VALUE"""),71744.0)</f>
        <v>71744</v>
      </c>
      <c r="D463" s="9"/>
      <c r="E463" s="9"/>
      <c r="F463" s="9">
        <f>IFERROR(__xludf.DUMMYFUNCTION("""COMPUTED_VALUE"""),2.75)</f>
        <v>2.75</v>
      </c>
      <c r="G463" s="9">
        <f>IFERROR(__xludf.DUMMYFUNCTION("""COMPUTED_VALUE"""),2.75)</f>
        <v>2.75</v>
      </c>
      <c r="H463" s="9">
        <f>IFERROR(__xludf.DUMMYFUNCTION("""COMPUTED_VALUE"""),1.0)</f>
        <v>1</v>
      </c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</row>
    <row r="464" ht="15.75" customHeight="1">
      <c r="A464" s="11">
        <f>IFERROR(__xludf.DUMMYFUNCTION("""COMPUTED_VALUE"""),44471.0)</f>
        <v>44471</v>
      </c>
      <c r="B464" s="9">
        <f>IFERROR(__xludf.DUMMYFUNCTION("""COMPUTED_VALUE"""),1003357.0)</f>
        <v>1003357</v>
      </c>
      <c r="C464" s="9">
        <f>IFERROR(__xludf.DUMMYFUNCTION("""COMPUTED_VALUE"""),81172.0)</f>
        <v>81172</v>
      </c>
      <c r="D464" s="9"/>
      <c r="E464" s="9"/>
      <c r="F464" s="9">
        <f>IFERROR(__xludf.DUMMYFUNCTION("""COMPUTED_VALUE"""),2.02)</f>
        <v>2.02</v>
      </c>
      <c r="G464" s="9">
        <f>IFERROR(__xludf.DUMMYFUNCTION("""COMPUTED_VALUE"""),2.02)</f>
        <v>2.02</v>
      </c>
      <c r="H464" s="9">
        <f>IFERROR(__xludf.DUMMYFUNCTION("""COMPUTED_VALUE"""),1.0)</f>
        <v>1</v>
      </c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</row>
    <row r="465" ht="15.75" customHeight="1">
      <c r="A465" s="11">
        <f>IFERROR(__xludf.DUMMYFUNCTION("""COMPUTED_VALUE"""),44471.0)</f>
        <v>44471</v>
      </c>
      <c r="B465" s="9">
        <f>IFERROR(__xludf.DUMMYFUNCTION("""COMPUTED_VALUE"""),1003357.0)</f>
        <v>1003357</v>
      </c>
      <c r="C465" s="9">
        <f>IFERROR(__xludf.DUMMYFUNCTION("""COMPUTED_VALUE"""),79505.0)</f>
        <v>79505</v>
      </c>
      <c r="D465" s="9"/>
      <c r="E465" s="9"/>
      <c r="F465" s="9">
        <f>IFERROR(__xludf.DUMMYFUNCTION("""COMPUTED_VALUE"""),2.77)</f>
        <v>2.77</v>
      </c>
      <c r="G465" s="9">
        <f>IFERROR(__xludf.DUMMYFUNCTION("""COMPUTED_VALUE"""),2.77)</f>
        <v>2.77</v>
      </c>
      <c r="H465" s="9">
        <f>IFERROR(__xludf.DUMMYFUNCTION("""COMPUTED_VALUE"""),1.0)</f>
        <v>1</v>
      </c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</row>
    <row r="466" ht="15.75" customHeight="1">
      <c r="A466" s="11">
        <f>IFERROR(__xludf.DUMMYFUNCTION("""COMPUTED_VALUE"""),44471.0)</f>
        <v>44471</v>
      </c>
      <c r="B466" s="9">
        <f>IFERROR(__xludf.DUMMYFUNCTION("""COMPUTED_VALUE"""),1003357.0)</f>
        <v>1003357</v>
      </c>
      <c r="C466" s="9">
        <f>IFERROR(__xludf.DUMMYFUNCTION("""COMPUTED_VALUE"""),19345.0)</f>
        <v>19345</v>
      </c>
      <c r="D466" s="9"/>
      <c r="E466" s="9"/>
      <c r="F466" s="9">
        <f>IFERROR(__xludf.DUMMYFUNCTION("""COMPUTED_VALUE"""),2.3)</f>
        <v>2.3</v>
      </c>
      <c r="G466" s="9">
        <f>IFERROR(__xludf.DUMMYFUNCTION("""COMPUTED_VALUE"""),2.3)</f>
        <v>2.3</v>
      </c>
      <c r="H466" s="9">
        <f>IFERROR(__xludf.DUMMYFUNCTION("""COMPUTED_VALUE"""),1.0)</f>
        <v>1</v>
      </c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</row>
    <row r="467" ht="15.75" customHeight="1">
      <c r="A467" s="11">
        <f>IFERROR(__xludf.DUMMYFUNCTION("""COMPUTED_VALUE"""),44471.0)</f>
        <v>44471</v>
      </c>
      <c r="B467" s="9">
        <f>IFERROR(__xludf.DUMMYFUNCTION("""COMPUTED_VALUE"""),1003357.0)</f>
        <v>1003357</v>
      </c>
      <c r="C467" s="9">
        <f>IFERROR(__xludf.DUMMYFUNCTION("""COMPUTED_VALUE"""),11422.0)</f>
        <v>11422</v>
      </c>
      <c r="D467" s="9"/>
      <c r="E467" s="9"/>
      <c r="F467" s="9">
        <f>IFERROR(__xludf.DUMMYFUNCTION("""COMPUTED_VALUE"""),5.86)</f>
        <v>5.86</v>
      </c>
      <c r="G467" s="9">
        <f>IFERROR(__xludf.DUMMYFUNCTION("""COMPUTED_VALUE"""),5.86)</f>
        <v>5.86</v>
      </c>
      <c r="H467" s="9">
        <f>IFERROR(__xludf.DUMMYFUNCTION("""COMPUTED_VALUE"""),1.0)</f>
        <v>1</v>
      </c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</row>
    <row r="468" ht="15.75" customHeight="1">
      <c r="A468" s="11">
        <f>IFERROR(__xludf.DUMMYFUNCTION("""COMPUTED_VALUE"""),44471.0)</f>
        <v>44471</v>
      </c>
      <c r="B468" s="9">
        <f>IFERROR(__xludf.DUMMYFUNCTION("""COMPUTED_VALUE"""),1003357.0)</f>
        <v>1003357</v>
      </c>
      <c r="C468" s="9">
        <f>IFERROR(__xludf.DUMMYFUNCTION("""COMPUTED_VALUE"""),48406.0)</f>
        <v>48406</v>
      </c>
      <c r="D468" s="9"/>
      <c r="E468" s="9"/>
      <c r="F468" s="9">
        <f>IFERROR(__xludf.DUMMYFUNCTION("""COMPUTED_VALUE"""),3.19)</f>
        <v>3.19</v>
      </c>
      <c r="G468" s="9">
        <f>IFERROR(__xludf.DUMMYFUNCTION("""COMPUTED_VALUE"""),3.19)</f>
        <v>3.19</v>
      </c>
      <c r="H468" s="9">
        <f>IFERROR(__xludf.DUMMYFUNCTION("""COMPUTED_VALUE"""),1.0)</f>
        <v>1</v>
      </c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</row>
    <row r="469" ht="15.75" customHeight="1">
      <c r="A469" s="11">
        <f>IFERROR(__xludf.DUMMYFUNCTION("""COMPUTED_VALUE"""),44471.0)</f>
        <v>44471</v>
      </c>
      <c r="B469" s="9">
        <f>IFERROR(__xludf.DUMMYFUNCTION("""COMPUTED_VALUE"""),1003357.0)</f>
        <v>1003357</v>
      </c>
      <c r="C469" s="9">
        <f>IFERROR(__xludf.DUMMYFUNCTION("""COMPUTED_VALUE"""),69324.0)</f>
        <v>69324</v>
      </c>
      <c r="D469" s="9"/>
      <c r="E469" s="9"/>
      <c r="F469" s="9">
        <f>IFERROR(__xludf.DUMMYFUNCTION("""COMPUTED_VALUE"""),2.32)</f>
        <v>2.32</v>
      </c>
      <c r="G469" s="9">
        <f>IFERROR(__xludf.DUMMYFUNCTION("""COMPUTED_VALUE"""),2.32)</f>
        <v>2.32</v>
      </c>
      <c r="H469" s="9">
        <f>IFERROR(__xludf.DUMMYFUNCTION("""COMPUTED_VALUE"""),1.0)</f>
        <v>1</v>
      </c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</row>
    <row r="470" ht="15.75" customHeight="1">
      <c r="A470" s="11">
        <f>IFERROR(__xludf.DUMMYFUNCTION("""COMPUTED_VALUE"""),44471.0)</f>
        <v>44471</v>
      </c>
      <c r="B470" s="9">
        <f>IFERROR(__xludf.DUMMYFUNCTION("""COMPUTED_VALUE"""),1003357.0)</f>
        <v>1003357</v>
      </c>
      <c r="C470" s="9">
        <f>IFERROR(__xludf.DUMMYFUNCTION("""COMPUTED_VALUE"""),104322.0)</f>
        <v>104322</v>
      </c>
      <c r="D470" s="9"/>
      <c r="E470" s="9"/>
      <c r="F470" s="9">
        <f>IFERROR(__xludf.DUMMYFUNCTION("""COMPUTED_VALUE"""),3.33)</f>
        <v>3.33</v>
      </c>
      <c r="G470" s="9">
        <f>IFERROR(__xludf.DUMMYFUNCTION("""COMPUTED_VALUE"""),3.33)</f>
        <v>3.33</v>
      </c>
      <c r="H470" s="9">
        <f>IFERROR(__xludf.DUMMYFUNCTION("""COMPUTED_VALUE"""),1.0)</f>
        <v>1</v>
      </c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</row>
    <row r="471" ht="15.75" customHeight="1">
      <c r="A471" s="11">
        <f>IFERROR(__xludf.DUMMYFUNCTION("""COMPUTED_VALUE"""),44471.0)</f>
        <v>44471</v>
      </c>
      <c r="B471" s="9">
        <f>IFERROR(__xludf.DUMMYFUNCTION("""COMPUTED_VALUE"""),1003357.0)</f>
        <v>1003357</v>
      </c>
      <c r="C471" s="9">
        <f>IFERROR(__xludf.DUMMYFUNCTION("""COMPUTED_VALUE"""),5692.0)</f>
        <v>5692</v>
      </c>
      <c r="D471" s="9"/>
      <c r="E471" s="9"/>
      <c r="F471" s="9">
        <f>IFERROR(__xludf.DUMMYFUNCTION("""COMPUTED_VALUE"""),4.43)</f>
        <v>4.43</v>
      </c>
      <c r="G471" s="9">
        <f>IFERROR(__xludf.DUMMYFUNCTION("""COMPUTED_VALUE"""),4.43)</f>
        <v>4.43</v>
      </c>
      <c r="H471" s="9">
        <f>IFERROR(__xludf.DUMMYFUNCTION("""COMPUTED_VALUE"""),1.0)</f>
        <v>1</v>
      </c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</row>
    <row r="472" ht="15.75" customHeight="1">
      <c r="A472" s="11">
        <f>IFERROR(__xludf.DUMMYFUNCTION("""COMPUTED_VALUE"""),44471.0)</f>
        <v>44471</v>
      </c>
      <c r="B472" s="9">
        <f>IFERROR(__xludf.DUMMYFUNCTION("""COMPUTED_VALUE"""),1003357.0)</f>
        <v>1003357</v>
      </c>
      <c r="C472" s="9">
        <f>IFERROR(__xludf.DUMMYFUNCTION("""COMPUTED_VALUE"""),4560.0)</f>
        <v>4560</v>
      </c>
      <c r="D472" s="10" t="str">
        <f>IFERROR(__xludf.DUMMYFUNCTION("""COMPUTED_VALUE"""),"Hygiene intime")</f>
        <v>Hygiene intime</v>
      </c>
      <c r="E472" s="10"/>
      <c r="F472" s="9">
        <f>IFERROR(__xludf.DUMMYFUNCTION("""COMPUTED_VALUE"""),7.88888888888888)</f>
        <v>7.888888889</v>
      </c>
      <c r="G472" s="9">
        <f>IFERROR(__xludf.DUMMYFUNCTION("""COMPUTED_VALUE"""),7.1)</f>
        <v>7.1</v>
      </c>
      <c r="H472" s="9">
        <f>IFERROR(__xludf.DUMMYFUNCTION("""COMPUTED_VALUE"""),1.0)</f>
        <v>1</v>
      </c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</row>
    <row r="473" ht="15.75" customHeight="1">
      <c r="A473" s="11">
        <f>IFERROR(__xludf.DUMMYFUNCTION("""COMPUTED_VALUE"""),44471.0)</f>
        <v>44471</v>
      </c>
      <c r="B473" s="9">
        <f>IFERROR(__xludf.DUMMYFUNCTION("""COMPUTED_VALUE"""),1003357.0)</f>
        <v>1003357</v>
      </c>
      <c r="C473" s="9">
        <f>IFERROR(__xludf.DUMMYFUNCTION("""COMPUTED_VALUE"""),82008.0)</f>
        <v>82008</v>
      </c>
      <c r="D473" s="9"/>
      <c r="E473" s="9"/>
      <c r="F473" s="9">
        <f>IFERROR(__xludf.DUMMYFUNCTION("""COMPUTED_VALUE"""),4.33)</f>
        <v>4.33</v>
      </c>
      <c r="G473" s="9">
        <f>IFERROR(__xludf.DUMMYFUNCTION("""COMPUTED_VALUE"""),4.33)</f>
        <v>4.33</v>
      </c>
      <c r="H473" s="9">
        <f>IFERROR(__xludf.DUMMYFUNCTION("""COMPUTED_VALUE"""),2.0)</f>
        <v>2</v>
      </c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</row>
    <row r="474" ht="15.75" customHeight="1">
      <c r="A474" s="11">
        <f>IFERROR(__xludf.DUMMYFUNCTION("""COMPUTED_VALUE"""),44471.0)</f>
        <v>44471</v>
      </c>
      <c r="B474" s="9">
        <f>IFERROR(__xludf.DUMMYFUNCTION("""COMPUTED_VALUE"""),1003357.0)</f>
        <v>1003357</v>
      </c>
      <c r="C474" s="9">
        <f>IFERROR(__xludf.DUMMYFUNCTION("""COMPUTED_VALUE"""),110943.0)</f>
        <v>110943</v>
      </c>
      <c r="D474" s="10" t="str">
        <f>IFERROR(__xludf.DUMMYFUNCTION("""COMPUTED_VALUE"""),"Offre speciale")</f>
        <v>Offre speciale</v>
      </c>
      <c r="E474" s="10"/>
      <c r="F474" s="9">
        <f>IFERROR(__xludf.DUMMYFUNCTION("""COMPUTED_VALUE"""),9.27058823529411)</f>
        <v>9.270588235</v>
      </c>
      <c r="G474" s="9">
        <f>IFERROR(__xludf.DUMMYFUNCTION("""COMPUTED_VALUE"""),7.88)</f>
        <v>7.88</v>
      </c>
      <c r="H474" s="9">
        <f>IFERROR(__xludf.DUMMYFUNCTION("""COMPUTED_VALUE"""),2.0)</f>
        <v>2</v>
      </c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</row>
    <row r="475" ht="15.75" customHeight="1">
      <c r="A475" s="11">
        <f>IFERROR(__xludf.DUMMYFUNCTION("""COMPUTED_VALUE"""),44471.0)</f>
        <v>44471</v>
      </c>
      <c r="B475" s="9">
        <f>IFERROR(__xludf.DUMMYFUNCTION("""COMPUTED_VALUE"""),1003358.0)</f>
        <v>1003358</v>
      </c>
      <c r="C475" s="9">
        <f>IFERROR(__xludf.DUMMYFUNCTION("""COMPUTED_VALUE"""),120751.0)</f>
        <v>120751</v>
      </c>
      <c r="D475" s="10" t="str">
        <f>IFERROR(__xludf.DUMMYFUNCTION("""COMPUTED_VALUE"""),"Vive le bio")</f>
        <v>Vive le bio</v>
      </c>
      <c r="E475" s="10"/>
      <c r="F475" s="9">
        <f>IFERROR(__xludf.DUMMYFUNCTION("""COMPUTED_VALUE"""),7.26315789473684)</f>
        <v>7.263157895</v>
      </c>
      <c r="G475" s="9">
        <f>IFERROR(__xludf.DUMMYFUNCTION("""COMPUTED_VALUE"""),6.9)</f>
        <v>6.9</v>
      </c>
      <c r="H475" s="9">
        <f>IFERROR(__xludf.DUMMYFUNCTION("""COMPUTED_VALUE"""),1.0)</f>
        <v>1</v>
      </c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</row>
    <row r="476" ht="15.75" customHeight="1">
      <c r="A476" s="11">
        <f>IFERROR(__xludf.DUMMYFUNCTION("""COMPUTED_VALUE"""),44471.0)</f>
        <v>44471</v>
      </c>
      <c r="B476" s="9">
        <f>IFERROR(__xludf.DUMMYFUNCTION("""COMPUTED_VALUE"""),1003358.0)</f>
        <v>1003358</v>
      </c>
      <c r="C476" s="9">
        <f>IFERROR(__xludf.DUMMYFUNCTION("""COMPUTED_VALUE"""),119801.0)</f>
        <v>119801</v>
      </c>
      <c r="D476" s="9"/>
      <c r="E476" s="9"/>
      <c r="F476" s="9">
        <f>IFERROR(__xludf.DUMMYFUNCTION("""COMPUTED_VALUE"""),52.27)</f>
        <v>52.27</v>
      </c>
      <c r="G476" s="9">
        <f>IFERROR(__xludf.DUMMYFUNCTION("""COMPUTED_VALUE"""),52.27)</f>
        <v>52.27</v>
      </c>
      <c r="H476" s="9">
        <f>IFERROR(__xludf.DUMMYFUNCTION("""COMPUTED_VALUE"""),3.0)</f>
        <v>3</v>
      </c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</row>
    <row r="477" ht="15.75" customHeight="1">
      <c r="A477" s="11">
        <f>IFERROR(__xludf.DUMMYFUNCTION("""COMPUTED_VALUE"""),44471.0)</f>
        <v>44471</v>
      </c>
      <c r="B477" s="9">
        <f>IFERROR(__xludf.DUMMYFUNCTION("""COMPUTED_VALUE"""),1003359.0)</f>
        <v>1003359</v>
      </c>
      <c r="C477" s="9">
        <f>IFERROR(__xludf.DUMMYFUNCTION("""COMPUTED_VALUE"""),118901.0)</f>
        <v>118901</v>
      </c>
      <c r="D477" s="9"/>
      <c r="E477" s="10" t="str">
        <f>IFERROR(__xludf.DUMMYFUNCTION("""COMPUTED_VALUE"""),"EQUIPEWEEZ")</f>
        <v>EQUIPEWEEZ</v>
      </c>
      <c r="F477" s="10">
        <f>IFERROR(__xludf.DUMMYFUNCTION("""COMPUTED_VALUE"""),3.64)</f>
        <v>3.64</v>
      </c>
      <c r="G477" s="9">
        <f>IFERROR(__xludf.DUMMYFUNCTION("""COMPUTED_VALUE"""),3.64)</f>
        <v>3.64</v>
      </c>
      <c r="H477" s="9">
        <f>IFERROR(__xludf.DUMMYFUNCTION("""COMPUTED_VALUE"""),1.0)</f>
        <v>1</v>
      </c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</row>
    <row r="478" ht="15.75" customHeight="1">
      <c r="A478" s="11">
        <f>IFERROR(__xludf.DUMMYFUNCTION("""COMPUTED_VALUE"""),44471.0)</f>
        <v>44471</v>
      </c>
      <c r="B478" s="9">
        <f>IFERROR(__xludf.DUMMYFUNCTION("""COMPUTED_VALUE"""),1003359.0)</f>
        <v>1003359</v>
      </c>
      <c r="C478" s="9">
        <f>IFERROR(__xludf.DUMMYFUNCTION("""COMPUTED_VALUE"""),96068.0)</f>
        <v>96068</v>
      </c>
      <c r="D478" s="9"/>
      <c r="E478" s="10" t="str">
        <f>IFERROR(__xludf.DUMMYFUNCTION("""COMPUTED_VALUE"""),"EQUIPEWEEZ")</f>
        <v>EQUIPEWEEZ</v>
      </c>
      <c r="F478" s="10">
        <f>IFERROR(__xludf.DUMMYFUNCTION("""COMPUTED_VALUE"""),4.53)</f>
        <v>4.53</v>
      </c>
      <c r="G478" s="9">
        <f>IFERROR(__xludf.DUMMYFUNCTION("""COMPUTED_VALUE"""),4.53)</f>
        <v>4.53</v>
      </c>
      <c r="H478" s="9">
        <f>IFERROR(__xludf.DUMMYFUNCTION("""COMPUTED_VALUE"""),1.0)</f>
        <v>1</v>
      </c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</row>
    <row r="479" ht="15.75" customHeight="1">
      <c r="A479" s="11">
        <f>IFERROR(__xludf.DUMMYFUNCTION("""COMPUTED_VALUE"""),44471.0)</f>
        <v>44471</v>
      </c>
      <c r="B479" s="9">
        <f>IFERROR(__xludf.DUMMYFUNCTION("""COMPUTED_VALUE"""),1003359.0)</f>
        <v>1003359</v>
      </c>
      <c r="C479" s="9">
        <f>IFERROR(__xludf.DUMMYFUNCTION("""COMPUTED_VALUE"""),121068.0)</f>
        <v>121068</v>
      </c>
      <c r="D479" s="10" t="str">
        <f>IFERROR(__xludf.DUMMYFUNCTION("""COMPUTED_VALUE"""),"Zero Dechet")</f>
        <v>Zero Dechet</v>
      </c>
      <c r="E479" s="10" t="str">
        <f>IFERROR(__xludf.DUMMYFUNCTION("""COMPUTED_VALUE"""),"EQUIPEWEEZ")</f>
        <v>EQUIPEWEEZ</v>
      </c>
      <c r="F479" s="10">
        <f>IFERROR(__xludf.DUMMYFUNCTION("""COMPUTED_VALUE"""),12.6705882352941)</f>
        <v>12.67058824</v>
      </c>
      <c r="G479" s="9">
        <f>IFERROR(__xludf.DUMMYFUNCTION("""COMPUTED_VALUE"""),10.77)</f>
        <v>10.77</v>
      </c>
      <c r="H479" s="9">
        <f>IFERROR(__xludf.DUMMYFUNCTION("""COMPUTED_VALUE"""),1.0)</f>
        <v>1</v>
      </c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</row>
    <row r="480" ht="15.75" customHeight="1">
      <c r="A480" s="11">
        <f>IFERROR(__xludf.DUMMYFUNCTION("""COMPUTED_VALUE"""),44471.0)</f>
        <v>44471</v>
      </c>
      <c r="B480" s="9">
        <f>IFERROR(__xludf.DUMMYFUNCTION("""COMPUTED_VALUE"""),1003359.0)</f>
        <v>1003359</v>
      </c>
      <c r="C480" s="9">
        <f>IFERROR(__xludf.DUMMYFUNCTION("""COMPUTED_VALUE"""),86524.0)</f>
        <v>86524</v>
      </c>
      <c r="D480" s="9"/>
      <c r="E480" s="10" t="str">
        <f>IFERROR(__xludf.DUMMYFUNCTION("""COMPUTED_VALUE"""),"EQUIPEWEEZ")</f>
        <v>EQUIPEWEEZ</v>
      </c>
      <c r="F480" s="10">
        <f>IFERROR(__xludf.DUMMYFUNCTION("""COMPUTED_VALUE"""),1.24)</f>
        <v>1.24</v>
      </c>
      <c r="G480" s="9">
        <f>IFERROR(__xludf.DUMMYFUNCTION("""COMPUTED_VALUE"""),1.24)</f>
        <v>1.24</v>
      </c>
      <c r="H480" s="9">
        <f>IFERROR(__xludf.DUMMYFUNCTION("""COMPUTED_VALUE"""),1.0)</f>
        <v>1</v>
      </c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</row>
    <row r="481" ht="15.75" customHeight="1">
      <c r="A481" s="11">
        <f>IFERROR(__xludf.DUMMYFUNCTION("""COMPUTED_VALUE"""),44471.0)</f>
        <v>44471</v>
      </c>
      <c r="B481" s="9">
        <f>IFERROR(__xludf.DUMMYFUNCTION("""COMPUTED_VALUE"""),1003359.0)</f>
        <v>1003359</v>
      </c>
      <c r="C481" s="9">
        <f>IFERROR(__xludf.DUMMYFUNCTION("""COMPUTED_VALUE"""),102286.0)</f>
        <v>102286</v>
      </c>
      <c r="D481" s="9"/>
      <c r="E481" s="10" t="str">
        <f>IFERROR(__xludf.DUMMYFUNCTION("""COMPUTED_VALUE"""),"EQUIPEWEEZ")</f>
        <v>EQUIPEWEEZ</v>
      </c>
      <c r="F481" s="10">
        <f>IFERROR(__xludf.DUMMYFUNCTION("""COMPUTED_VALUE"""),9.46)</f>
        <v>9.46</v>
      </c>
      <c r="G481" s="9">
        <f>IFERROR(__xludf.DUMMYFUNCTION("""COMPUTED_VALUE"""),9.46)</f>
        <v>9.46</v>
      </c>
      <c r="H481" s="9">
        <f>IFERROR(__xludf.DUMMYFUNCTION("""COMPUTED_VALUE"""),1.0)</f>
        <v>1</v>
      </c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</row>
    <row r="482" ht="15.75" customHeight="1">
      <c r="A482" s="11">
        <f>IFERROR(__xludf.DUMMYFUNCTION("""COMPUTED_VALUE"""),44471.0)</f>
        <v>44471</v>
      </c>
      <c r="B482" s="9">
        <f>IFERROR(__xludf.DUMMYFUNCTION("""COMPUTED_VALUE"""),1003360.0)</f>
        <v>1003360</v>
      </c>
      <c r="C482" s="9">
        <f>IFERROR(__xludf.DUMMYFUNCTION("""COMPUTED_VALUE"""),28533.0)</f>
        <v>28533</v>
      </c>
      <c r="D482" s="9"/>
      <c r="E482" s="9"/>
      <c r="F482" s="9">
        <f>IFERROR(__xludf.DUMMYFUNCTION("""COMPUTED_VALUE"""),6.02)</f>
        <v>6.02</v>
      </c>
      <c r="G482" s="9">
        <f>IFERROR(__xludf.DUMMYFUNCTION("""COMPUTED_VALUE"""),6.02)</f>
        <v>6.02</v>
      </c>
      <c r="H482" s="9">
        <f>IFERROR(__xludf.DUMMYFUNCTION("""COMPUTED_VALUE"""),1.0)</f>
        <v>1</v>
      </c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</row>
    <row r="483" ht="15.75" customHeight="1">
      <c r="A483" s="11">
        <f>IFERROR(__xludf.DUMMYFUNCTION("""COMPUTED_VALUE"""),44471.0)</f>
        <v>44471</v>
      </c>
      <c r="B483" s="9">
        <f>IFERROR(__xludf.DUMMYFUNCTION("""COMPUTED_VALUE"""),1003360.0)</f>
        <v>1003360</v>
      </c>
      <c r="C483" s="9">
        <f>IFERROR(__xludf.DUMMYFUNCTION("""COMPUTED_VALUE"""),109310.0)</f>
        <v>109310</v>
      </c>
      <c r="D483" s="9"/>
      <c r="E483" s="9"/>
      <c r="F483" s="9">
        <f>IFERROR(__xludf.DUMMYFUNCTION("""COMPUTED_VALUE"""),6.27)</f>
        <v>6.27</v>
      </c>
      <c r="G483" s="9">
        <f>IFERROR(__xludf.DUMMYFUNCTION("""COMPUTED_VALUE"""),6.27)</f>
        <v>6.27</v>
      </c>
      <c r="H483" s="9">
        <f>IFERROR(__xludf.DUMMYFUNCTION("""COMPUTED_VALUE"""),1.0)</f>
        <v>1</v>
      </c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</row>
    <row r="484" ht="15.75" customHeight="1">
      <c r="A484" s="11">
        <f>IFERROR(__xludf.DUMMYFUNCTION("""COMPUTED_VALUE"""),44471.0)</f>
        <v>44471</v>
      </c>
      <c r="B484" s="9">
        <f>IFERROR(__xludf.DUMMYFUNCTION("""COMPUTED_VALUE"""),1003360.0)</f>
        <v>1003360</v>
      </c>
      <c r="C484" s="9">
        <f>IFERROR(__xludf.DUMMYFUNCTION("""COMPUTED_VALUE"""),112169.0)</f>
        <v>112169</v>
      </c>
      <c r="D484" s="9"/>
      <c r="E484" s="9"/>
      <c r="F484" s="9">
        <f>IFERROR(__xludf.DUMMYFUNCTION("""COMPUTED_VALUE"""),1.63)</f>
        <v>1.63</v>
      </c>
      <c r="G484" s="9">
        <f>IFERROR(__xludf.DUMMYFUNCTION("""COMPUTED_VALUE"""),1.63)</f>
        <v>1.63</v>
      </c>
      <c r="H484" s="9">
        <f>IFERROR(__xludf.DUMMYFUNCTION("""COMPUTED_VALUE"""),1.0)</f>
        <v>1</v>
      </c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</row>
    <row r="485" ht="15.75" customHeight="1">
      <c r="A485" s="11">
        <f>IFERROR(__xludf.DUMMYFUNCTION("""COMPUTED_VALUE"""),44471.0)</f>
        <v>44471</v>
      </c>
      <c r="B485" s="9">
        <f>IFERROR(__xludf.DUMMYFUNCTION("""COMPUTED_VALUE"""),1003360.0)</f>
        <v>1003360</v>
      </c>
      <c r="C485" s="9">
        <f>IFERROR(__xludf.DUMMYFUNCTION("""COMPUTED_VALUE"""),44705.0)</f>
        <v>44705</v>
      </c>
      <c r="D485" s="9"/>
      <c r="E485" s="9"/>
      <c r="F485" s="9">
        <f>IFERROR(__xludf.DUMMYFUNCTION("""COMPUTED_VALUE"""),2.39)</f>
        <v>2.39</v>
      </c>
      <c r="G485" s="9">
        <f>IFERROR(__xludf.DUMMYFUNCTION("""COMPUTED_VALUE"""),2.39)</f>
        <v>2.39</v>
      </c>
      <c r="H485" s="9">
        <f>IFERROR(__xludf.DUMMYFUNCTION("""COMPUTED_VALUE"""),1.0)</f>
        <v>1</v>
      </c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</row>
    <row r="486" ht="15.75" customHeight="1">
      <c r="A486" s="11">
        <f>IFERROR(__xludf.DUMMYFUNCTION("""COMPUTED_VALUE"""),44471.0)</f>
        <v>44471</v>
      </c>
      <c r="B486" s="9">
        <f>IFERROR(__xludf.DUMMYFUNCTION("""COMPUTED_VALUE"""),1003360.0)</f>
        <v>1003360</v>
      </c>
      <c r="C486" s="9">
        <f>IFERROR(__xludf.DUMMYFUNCTION("""COMPUTED_VALUE"""),90858.0)</f>
        <v>90858</v>
      </c>
      <c r="D486" s="9"/>
      <c r="E486" s="9"/>
      <c r="F486" s="9">
        <f>IFERROR(__xludf.DUMMYFUNCTION("""COMPUTED_VALUE"""),18.66)</f>
        <v>18.66</v>
      </c>
      <c r="G486" s="9">
        <f>IFERROR(__xludf.DUMMYFUNCTION("""COMPUTED_VALUE"""),18.66)</f>
        <v>18.66</v>
      </c>
      <c r="H486" s="9">
        <f>IFERROR(__xludf.DUMMYFUNCTION("""COMPUTED_VALUE"""),1.0)</f>
        <v>1</v>
      </c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</row>
    <row r="487" ht="15.75" customHeight="1">
      <c r="A487" s="11">
        <f>IFERROR(__xludf.DUMMYFUNCTION("""COMPUTED_VALUE"""),44471.0)</f>
        <v>44471</v>
      </c>
      <c r="B487" s="9">
        <f>IFERROR(__xludf.DUMMYFUNCTION("""COMPUTED_VALUE"""),1003360.0)</f>
        <v>1003360</v>
      </c>
      <c r="C487" s="9">
        <f>IFERROR(__xludf.DUMMYFUNCTION("""COMPUTED_VALUE"""),42232.0)</f>
        <v>42232</v>
      </c>
      <c r="D487" s="10" t="str">
        <f>IFERROR(__xludf.DUMMYFUNCTION("""COMPUTED_VALUE"""),"Offre speciale")</f>
        <v>Offre speciale</v>
      </c>
      <c r="E487" s="10"/>
      <c r="F487" s="9">
        <f>IFERROR(__xludf.DUMMYFUNCTION("""COMPUTED_VALUE"""),3.65882352941176)</f>
        <v>3.658823529</v>
      </c>
      <c r="G487" s="9">
        <f>IFERROR(__xludf.DUMMYFUNCTION("""COMPUTED_VALUE"""),3.11)</f>
        <v>3.11</v>
      </c>
      <c r="H487" s="9">
        <f>IFERROR(__xludf.DUMMYFUNCTION("""COMPUTED_VALUE"""),1.0)</f>
        <v>1</v>
      </c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</row>
    <row r="488" ht="15.75" customHeight="1">
      <c r="A488" s="11">
        <f>IFERROR(__xludf.DUMMYFUNCTION("""COMPUTED_VALUE"""),44471.0)</f>
        <v>44471</v>
      </c>
      <c r="B488" s="9">
        <f>IFERROR(__xludf.DUMMYFUNCTION("""COMPUTED_VALUE"""),1003360.0)</f>
        <v>1003360</v>
      </c>
      <c r="C488" s="9">
        <f>IFERROR(__xludf.DUMMYFUNCTION("""COMPUTED_VALUE"""),77490.0)</f>
        <v>77490</v>
      </c>
      <c r="D488" s="10" t="str">
        <f>IFERROR(__xludf.DUMMYFUNCTION("""COMPUTED_VALUE"""),"Vive le bio")</f>
        <v>Vive le bio</v>
      </c>
      <c r="E488" s="10"/>
      <c r="F488" s="9">
        <f>IFERROR(__xludf.DUMMYFUNCTION("""COMPUTED_VALUE"""),4.17777777777777)</f>
        <v>4.177777778</v>
      </c>
      <c r="G488" s="9">
        <f>IFERROR(__xludf.DUMMYFUNCTION("""COMPUTED_VALUE"""),3.76)</f>
        <v>3.76</v>
      </c>
      <c r="H488" s="9">
        <f>IFERROR(__xludf.DUMMYFUNCTION("""COMPUTED_VALUE"""),1.0)</f>
        <v>1</v>
      </c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</row>
    <row r="489" ht="15.75" customHeight="1">
      <c r="A489" s="11">
        <f>IFERROR(__xludf.DUMMYFUNCTION("""COMPUTED_VALUE"""),44471.0)</f>
        <v>44471</v>
      </c>
      <c r="B489" s="9">
        <f>IFERROR(__xludf.DUMMYFUNCTION("""COMPUTED_VALUE"""),1003360.0)</f>
        <v>1003360</v>
      </c>
      <c r="C489" s="9">
        <f>IFERROR(__xludf.DUMMYFUNCTION("""COMPUTED_VALUE"""),17133.0)</f>
        <v>17133</v>
      </c>
      <c r="D489" s="9"/>
      <c r="E489" s="9"/>
      <c r="F489" s="9">
        <f>IFERROR(__xludf.DUMMYFUNCTION("""COMPUTED_VALUE"""),1.72)</f>
        <v>1.72</v>
      </c>
      <c r="G489" s="9">
        <f>IFERROR(__xludf.DUMMYFUNCTION("""COMPUTED_VALUE"""),1.72)</f>
        <v>1.72</v>
      </c>
      <c r="H489" s="9">
        <f>IFERROR(__xludf.DUMMYFUNCTION("""COMPUTED_VALUE"""),1.0)</f>
        <v>1</v>
      </c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</row>
    <row r="490" ht="15.75" customHeight="1">
      <c r="A490" s="11">
        <f>IFERROR(__xludf.DUMMYFUNCTION("""COMPUTED_VALUE"""),44471.0)</f>
        <v>44471</v>
      </c>
      <c r="B490" s="9">
        <f>IFERROR(__xludf.DUMMYFUNCTION("""COMPUTED_VALUE"""),1003360.0)</f>
        <v>1003360</v>
      </c>
      <c r="C490" s="9">
        <f>IFERROR(__xludf.DUMMYFUNCTION("""COMPUTED_VALUE"""),69468.0)</f>
        <v>69468</v>
      </c>
      <c r="D490" s="10" t="str">
        <f>IFERROR(__xludf.DUMMYFUNCTION("""COMPUTED_VALUE"""),"Vive le bio")</f>
        <v>Vive le bio</v>
      </c>
      <c r="E490" s="10"/>
      <c r="F490" s="9">
        <f>IFERROR(__xludf.DUMMYFUNCTION("""COMPUTED_VALUE"""),7.05555555555555)</f>
        <v>7.055555556</v>
      </c>
      <c r="G490" s="9">
        <f>IFERROR(__xludf.DUMMYFUNCTION("""COMPUTED_VALUE"""),6.35)</f>
        <v>6.35</v>
      </c>
      <c r="H490" s="9">
        <f>IFERROR(__xludf.DUMMYFUNCTION("""COMPUTED_VALUE"""),1.0)</f>
        <v>1</v>
      </c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</row>
    <row r="491" ht="15.75" customHeight="1">
      <c r="A491" s="11">
        <f>IFERROR(__xludf.DUMMYFUNCTION("""COMPUTED_VALUE"""),44471.0)</f>
        <v>44471</v>
      </c>
      <c r="B491" s="9">
        <f>IFERROR(__xludf.DUMMYFUNCTION("""COMPUTED_VALUE"""),1003360.0)</f>
        <v>1003360</v>
      </c>
      <c r="C491" s="9">
        <f>IFERROR(__xludf.DUMMYFUNCTION("""COMPUTED_VALUE"""),5526.0)</f>
        <v>5526</v>
      </c>
      <c r="D491" s="9"/>
      <c r="E491" s="9"/>
      <c r="F491" s="9">
        <f>IFERROR(__xludf.DUMMYFUNCTION("""COMPUTED_VALUE"""),4.64)</f>
        <v>4.64</v>
      </c>
      <c r="G491" s="9">
        <f>IFERROR(__xludf.DUMMYFUNCTION("""COMPUTED_VALUE"""),4.64)</f>
        <v>4.64</v>
      </c>
      <c r="H491" s="9">
        <f>IFERROR(__xludf.DUMMYFUNCTION("""COMPUTED_VALUE"""),1.0)</f>
        <v>1</v>
      </c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</row>
    <row r="492" ht="15.75" customHeight="1">
      <c r="A492" s="11">
        <f>IFERROR(__xludf.DUMMYFUNCTION("""COMPUTED_VALUE"""),44471.0)</f>
        <v>44471</v>
      </c>
      <c r="B492" s="9">
        <f>IFERROR(__xludf.DUMMYFUNCTION("""COMPUTED_VALUE"""),1003360.0)</f>
        <v>1003360</v>
      </c>
      <c r="C492" s="9">
        <f>IFERROR(__xludf.DUMMYFUNCTION("""COMPUTED_VALUE"""),121475.0)</f>
        <v>121475</v>
      </c>
      <c r="D492" s="9"/>
      <c r="E492" s="9"/>
      <c r="F492" s="9">
        <f>IFERROR(__xludf.DUMMYFUNCTION("""COMPUTED_VALUE"""),0.83)</f>
        <v>0.83</v>
      </c>
      <c r="G492" s="9">
        <f>IFERROR(__xludf.DUMMYFUNCTION("""COMPUTED_VALUE"""),0.83)</f>
        <v>0.83</v>
      </c>
      <c r="H492" s="9">
        <f>IFERROR(__xludf.DUMMYFUNCTION("""COMPUTED_VALUE"""),1.0)</f>
        <v>1</v>
      </c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</row>
    <row r="493" ht="15.75" customHeight="1">
      <c r="A493" s="11">
        <f>IFERROR(__xludf.DUMMYFUNCTION("""COMPUTED_VALUE"""),44471.0)</f>
        <v>44471</v>
      </c>
      <c r="B493" s="9">
        <f>IFERROR(__xludf.DUMMYFUNCTION("""COMPUTED_VALUE"""),1003360.0)</f>
        <v>1003360</v>
      </c>
      <c r="C493" s="9">
        <f>IFERROR(__xludf.DUMMYFUNCTION("""COMPUTED_VALUE"""),75033.0)</f>
        <v>75033</v>
      </c>
      <c r="D493" s="9"/>
      <c r="E493" s="9"/>
      <c r="F493" s="9">
        <f>IFERROR(__xludf.DUMMYFUNCTION("""COMPUTED_VALUE"""),4.16)</f>
        <v>4.16</v>
      </c>
      <c r="G493" s="9">
        <f>IFERROR(__xludf.DUMMYFUNCTION("""COMPUTED_VALUE"""),4.16)</f>
        <v>4.16</v>
      </c>
      <c r="H493" s="9">
        <f>IFERROR(__xludf.DUMMYFUNCTION("""COMPUTED_VALUE"""),1.0)</f>
        <v>1</v>
      </c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</row>
    <row r="494" ht="15.75" customHeight="1">
      <c r="A494" s="11">
        <f>IFERROR(__xludf.DUMMYFUNCTION("""COMPUTED_VALUE"""),44471.0)</f>
        <v>44471</v>
      </c>
      <c r="B494" s="9">
        <f>IFERROR(__xludf.DUMMYFUNCTION("""COMPUTED_VALUE"""),1003360.0)</f>
        <v>1003360</v>
      </c>
      <c r="C494" s="9">
        <f>IFERROR(__xludf.DUMMYFUNCTION("""COMPUTED_VALUE"""),101565.0)</f>
        <v>101565</v>
      </c>
      <c r="D494" s="9"/>
      <c r="E494" s="9"/>
      <c r="F494" s="9">
        <f>IFERROR(__xludf.DUMMYFUNCTION("""COMPUTED_VALUE"""),2.71)</f>
        <v>2.71</v>
      </c>
      <c r="G494" s="9">
        <f>IFERROR(__xludf.DUMMYFUNCTION("""COMPUTED_VALUE"""),2.71)</f>
        <v>2.71</v>
      </c>
      <c r="H494" s="9">
        <f>IFERROR(__xludf.DUMMYFUNCTION("""COMPUTED_VALUE"""),1.0)</f>
        <v>1</v>
      </c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</row>
    <row r="495" ht="15.75" customHeight="1">
      <c r="A495" s="11">
        <f>IFERROR(__xludf.DUMMYFUNCTION("""COMPUTED_VALUE"""),44471.0)</f>
        <v>44471</v>
      </c>
      <c r="B495" s="9">
        <f>IFERROR(__xludf.DUMMYFUNCTION("""COMPUTED_VALUE"""),1003360.0)</f>
        <v>1003360</v>
      </c>
      <c r="C495" s="9">
        <f>IFERROR(__xludf.DUMMYFUNCTION("""COMPUTED_VALUE"""),76281.0)</f>
        <v>76281</v>
      </c>
      <c r="D495" s="10" t="str">
        <f>IFERROR(__xludf.DUMMYFUNCTION("""COMPUTED_VALUE"""),"Vive le bio")</f>
        <v>Vive le bio</v>
      </c>
      <c r="E495" s="10"/>
      <c r="F495" s="9">
        <f>IFERROR(__xludf.DUMMYFUNCTION("""COMPUTED_VALUE"""),3.04444444444444)</f>
        <v>3.044444444</v>
      </c>
      <c r="G495" s="9">
        <f>IFERROR(__xludf.DUMMYFUNCTION("""COMPUTED_VALUE"""),2.74)</f>
        <v>2.74</v>
      </c>
      <c r="H495" s="9">
        <f>IFERROR(__xludf.DUMMYFUNCTION("""COMPUTED_VALUE"""),1.0)</f>
        <v>1</v>
      </c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</row>
    <row r="496" ht="15.75" customHeight="1">
      <c r="A496" s="11">
        <f>IFERROR(__xludf.DUMMYFUNCTION("""COMPUTED_VALUE"""),44471.0)</f>
        <v>44471</v>
      </c>
      <c r="B496" s="9">
        <f>IFERROR(__xludf.DUMMYFUNCTION("""COMPUTED_VALUE"""),1003360.0)</f>
        <v>1003360</v>
      </c>
      <c r="C496" s="9">
        <f>IFERROR(__xludf.DUMMYFUNCTION("""COMPUTED_VALUE"""),17143.0)</f>
        <v>17143</v>
      </c>
      <c r="D496" s="9"/>
      <c r="E496" s="9"/>
      <c r="F496" s="9">
        <f>IFERROR(__xludf.DUMMYFUNCTION("""COMPUTED_VALUE"""),1.86)</f>
        <v>1.86</v>
      </c>
      <c r="G496" s="9">
        <f>IFERROR(__xludf.DUMMYFUNCTION("""COMPUTED_VALUE"""),1.86)</f>
        <v>1.86</v>
      </c>
      <c r="H496" s="9">
        <f>IFERROR(__xludf.DUMMYFUNCTION("""COMPUTED_VALUE"""),1.0)</f>
        <v>1</v>
      </c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</row>
    <row r="497" ht="15.75" customHeight="1">
      <c r="A497" s="11">
        <f>IFERROR(__xludf.DUMMYFUNCTION("""COMPUTED_VALUE"""),44471.0)</f>
        <v>44471</v>
      </c>
      <c r="B497" s="9">
        <f>IFERROR(__xludf.DUMMYFUNCTION("""COMPUTED_VALUE"""),1003360.0)</f>
        <v>1003360</v>
      </c>
      <c r="C497" s="9">
        <f>IFERROR(__xludf.DUMMYFUNCTION("""COMPUTED_VALUE"""),10535.0)</f>
        <v>10535</v>
      </c>
      <c r="D497" s="10" t="str">
        <f>IFERROR(__xludf.DUMMYFUNCTION("""COMPUTED_VALUE"""),"Vive le bio")</f>
        <v>Vive le bio</v>
      </c>
      <c r="E497" s="10"/>
      <c r="F497" s="9">
        <f>IFERROR(__xludf.DUMMYFUNCTION("""COMPUTED_VALUE"""),4.27777777777777)</f>
        <v>4.277777778</v>
      </c>
      <c r="G497" s="9">
        <f>IFERROR(__xludf.DUMMYFUNCTION("""COMPUTED_VALUE"""),3.85)</f>
        <v>3.85</v>
      </c>
      <c r="H497" s="9">
        <f>IFERROR(__xludf.DUMMYFUNCTION("""COMPUTED_VALUE"""),1.0)</f>
        <v>1</v>
      </c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</row>
    <row r="498" ht="15.75" customHeight="1">
      <c r="A498" s="11">
        <f>IFERROR(__xludf.DUMMYFUNCTION("""COMPUTED_VALUE"""),44471.0)</f>
        <v>44471</v>
      </c>
      <c r="B498" s="9">
        <f>IFERROR(__xludf.DUMMYFUNCTION("""COMPUTED_VALUE"""),1003360.0)</f>
        <v>1003360</v>
      </c>
      <c r="C498" s="9">
        <f>IFERROR(__xludf.DUMMYFUNCTION("""COMPUTED_VALUE"""),122228.0)</f>
        <v>122228</v>
      </c>
      <c r="D498" s="9"/>
      <c r="E498" s="9"/>
      <c r="F498" s="9">
        <f>IFERROR(__xludf.DUMMYFUNCTION("""COMPUTED_VALUE"""),2.6)</f>
        <v>2.6</v>
      </c>
      <c r="G498" s="9">
        <f>IFERROR(__xludf.DUMMYFUNCTION("""COMPUTED_VALUE"""),2.6)</f>
        <v>2.6</v>
      </c>
      <c r="H498" s="9">
        <f>IFERROR(__xludf.DUMMYFUNCTION("""COMPUTED_VALUE"""),1.0)</f>
        <v>1</v>
      </c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</row>
    <row r="499" ht="15.75" customHeight="1">
      <c r="A499" s="11">
        <f>IFERROR(__xludf.DUMMYFUNCTION("""COMPUTED_VALUE"""),44471.0)</f>
        <v>44471</v>
      </c>
      <c r="B499" s="9">
        <f>IFERROR(__xludf.DUMMYFUNCTION("""COMPUTED_VALUE"""),1003360.0)</f>
        <v>1003360</v>
      </c>
      <c r="C499" s="9">
        <f>IFERROR(__xludf.DUMMYFUNCTION("""COMPUTED_VALUE"""),121462.0)</f>
        <v>121462</v>
      </c>
      <c r="D499" s="9"/>
      <c r="E499" s="9"/>
      <c r="F499" s="9">
        <f>IFERROR(__xludf.DUMMYFUNCTION("""COMPUTED_VALUE"""),1.55)</f>
        <v>1.55</v>
      </c>
      <c r="G499" s="9">
        <f>IFERROR(__xludf.DUMMYFUNCTION("""COMPUTED_VALUE"""),1.55)</f>
        <v>1.55</v>
      </c>
      <c r="H499" s="9">
        <f>IFERROR(__xludf.DUMMYFUNCTION("""COMPUTED_VALUE"""),1.0)</f>
        <v>1</v>
      </c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</row>
    <row r="500" ht="15.75" customHeight="1">
      <c r="A500" s="11">
        <f>IFERROR(__xludf.DUMMYFUNCTION("""COMPUTED_VALUE"""),44471.0)</f>
        <v>44471</v>
      </c>
      <c r="B500" s="9">
        <f>IFERROR(__xludf.DUMMYFUNCTION("""COMPUTED_VALUE"""),1003360.0)</f>
        <v>1003360</v>
      </c>
      <c r="C500" s="9">
        <f>IFERROR(__xludf.DUMMYFUNCTION("""COMPUTED_VALUE"""),115754.0)</f>
        <v>115754</v>
      </c>
      <c r="D500" s="10" t="str">
        <f>IFERROR(__xludf.DUMMYFUNCTION("""COMPUTED_VALUE"""),"Vive le bio")</f>
        <v>Vive le bio</v>
      </c>
      <c r="E500" s="10"/>
      <c r="F500" s="9">
        <f>IFERROR(__xludf.DUMMYFUNCTION("""COMPUTED_VALUE"""),1.15555555555555)</f>
        <v>1.155555556</v>
      </c>
      <c r="G500" s="9">
        <f>IFERROR(__xludf.DUMMYFUNCTION("""COMPUTED_VALUE"""),1.04)</f>
        <v>1.04</v>
      </c>
      <c r="H500" s="9">
        <f>IFERROR(__xludf.DUMMYFUNCTION("""COMPUTED_VALUE"""),1.0)</f>
        <v>1</v>
      </c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</row>
    <row r="501" ht="15.75" customHeight="1">
      <c r="A501" s="11">
        <f>IFERROR(__xludf.DUMMYFUNCTION("""COMPUTED_VALUE"""),44471.0)</f>
        <v>44471</v>
      </c>
      <c r="B501" s="9">
        <f>IFERROR(__xludf.DUMMYFUNCTION("""COMPUTED_VALUE"""),1003360.0)</f>
        <v>1003360</v>
      </c>
      <c r="C501" s="9">
        <f>IFERROR(__xludf.DUMMYFUNCTION("""COMPUTED_VALUE"""),158667.0)</f>
        <v>158667</v>
      </c>
      <c r="D501" s="9"/>
      <c r="E501" s="9"/>
      <c r="F501" s="9">
        <f>IFERROR(__xludf.DUMMYFUNCTION("""COMPUTED_VALUE"""),3.99)</f>
        <v>3.99</v>
      </c>
      <c r="G501" s="9">
        <f>IFERROR(__xludf.DUMMYFUNCTION("""COMPUTED_VALUE"""),3.99)</f>
        <v>3.99</v>
      </c>
      <c r="H501" s="9">
        <f>IFERROR(__xludf.DUMMYFUNCTION("""COMPUTED_VALUE"""),1.0)</f>
        <v>1</v>
      </c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</row>
    <row r="502" ht="15.75" customHeight="1">
      <c r="A502" s="11">
        <f>IFERROR(__xludf.DUMMYFUNCTION("""COMPUTED_VALUE"""),44471.0)</f>
        <v>44471</v>
      </c>
      <c r="B502" s="9">
        <f>IFERROR(__xludf.DUMMYFUNCTION("""COMPUTED_VALUE"""),1003361.0)</f>
        <v>1003361</v>
      </c>
      <c r="C502" s="9">
        <f>IFERROR(__xludf.DUMMYFUNCTION("""COMPUTED_VALUE"""),48484.0)</f>
        <v>48484</v>
      </c>
      <c r="D502" s="9"/>
      <c r="E502" s="9"/>
      <c r="F502" s="9">
        <f>IFERROR(__xludf.DUMMYFUNCTION("""COMPUTED_VALUE"""),35.55)</f>
        <v>35.55</v>
      </c>
      <c r="G502" s="9">
        <f>IFERROR(__xludf.DUMMYFUNCTION("""COMPUTED_VALUE"""),35.55)</f>
        <v>35.55</v>
      </c>
      <c r="H502" s="9">
        <f>IFERROR(__xludf.DUMMYFUNCTION("""COMPUTED_VALUE"""),1.0)</f>
        <v>1</v>
      </c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</row>
    <row r="503" ht="15.75" customHeight="1">
      <c r="A503" s="11">
        <f>IFERROR(__xludf.DUMMYFUNCTION("""COMPUTED_VALUE"""),44471.0)</f>
        <v>44471</v>
      </c>
      <c r="B503" s="9">
        <f>IFERROR(__xludf.DUMMYFUNCTION("""COMPUTED_VALUE"""),1003361.0)</f>
        <v>1003361</v>
      </c>
      <c r="C503" s="9">
        <f>IFERROR(__xludf.DUMMYFUNCTION("""COMPUTED_VALUE"""),122723.0)</f>
        <v>122723</v>
      </c>
      <c r="D503" s="10" t="str">
        <f>IFERROR(__xludf.DUMMYFUNCTION("""COMPUTED_VALUE"""),"Vive le bio")</f>
        <v>Vive le bio</v>
      </c>
      <c r="E503" s="10"/>
      <c r="F503" s="9">
        <f>IFERROR(__xludf.DUMMYFUNCTION("""COMPUTED_VALUE"""),33.9666666666666)</f>
        <v>33.96666667</v>
      </c>
      <c r="G503" s="9">
        <f>IFERROR(__xludf.DUMMYFUNCTION("""COMPUTED_VALUE"""),30.57)</f>
        <v>30.57</v>
      </c>
      <c r="H503" s="9">
        <f>IFERROR(__xludf.DUMMYFUNCTION("""COMPUTED_VALUE"""),1.0)</f>
        <v>1</v>
      </c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</row>
    <row r="504" ht="15.75" customHeight="1">
      <c r="A504" s="11">
        <f>IFERROR(__xludf.DUMMYFUNCTION("""COMPUTED_VALUE"""),44471.0)</f>
        <v>44471</v>
      </c>
      <c r="B504" s="9">
        <f>IFERROR(__xludf.DUMMYFUNCTION("""COMPUTED_VALUE"""),1003361.0)</f>
        <v>1003361</v>
      </c>
      <c r="C504" s="9">
        <f>IFERROR(__xludf.DUMMYFUNCTION("""COMPUTED_VALUE"""),48486.0)</f>
        <v>48486</v>
      </c>
      <c r="D504" s="9"/>
      <c r="E504" s="9"/>
      <c r="F504" s="9">
        <f>IFERROR(__xludf.DUMMYFUNCTION("""COMPUTED_VALUE"""),22.92)</f>
        <v>22.92</v>
      </c>
      <c r="G504" s="9">
        <f>IFERROR(__xludf.DUMMYFUNCTION("""COMPUTED_VALUE"""),22.92)</f>
        <v>22.92</v>
      </c>
      <c r="H504" s="9">
        <f>IFERROR(__xludf.DUMMYFUNCTION("""COMPUTED_VALUE"""),1.0)</f>
        <v>1</v>
      </c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</row>
    <row r="505" ht="15.75" customHeight="1">
      <c r="A505" s="11">
        <f>IFERROR(__xludf.DUMMYFUNCTION("""COMPUTED_VALUE"""),44471.0)</f>
        <v>44471</v>
      </c>
      <c r="B505" s="9">
        <f>IFERROR(__xludf.DUMMYFUNCTION("""COMPUTED_VALUE"""),1003362.0)</f>
        <v>1003362</v>
      </c>
      <c r="C505" s="9">
        <f>IFERROR(__xludf.DUMMYFUNCTION("""COMPUTED_VALUE"""),63864.0)</f>
        <v>63864</v>
      </c>
      <c r="D505" s="10" t="str">
        <f>IFERROR(__xludf.DUMMYFUNCTION("""COMPUTED_VALUE"""),"Offre speciale")</f>
        <v>Offre speciale</v>
      </c>
      <c r="E505" s="10" t="str">
        <f>IFERROR(__xludf.DUMMYFUNCTION("""COMPUTED_VALUE"""),"HAPPEEZ")</f>
        <v>HAPPEEZ</v>
      </c>
      <c r="F505" s="10">
        <f>IFERROR(__xludf.DUMMYFUNCTION("""COMPUTED_VALUE"""),5.0)</f>
        <v>5</v>
      </c>
      <c r="G505" s="9">
        <f>IFERROR(__xludf.DUMMYFUNCTION("""COMPUTED_VALUE"""),4.25)</f>
        <v>4.25</v>
      </c>
      <c r="H505" s="9">
        <f>IFERROR(__xludf.DUMMYFUNCTION("""COMPUTED_VALUE"""),1.0)</f>
        <v>1</v>
      </c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</row>
    <row r="506" ht="15.75" customHeight="1">
      <c r="A506" s="11">
        <f>IFERROR(__xludf.DUMMYFUNCTION("""COMPUTED_VALUE"""),44471.0)</f>
        <v>44471</v>
      </c>
      <c r="B506" s="9">
        <f>IFERROR(__xludf.DUMMYFUNCTION("""COMPUTED_VALUE"""),1003362.0)</f>
        <v>1003362</v>
      </c>
      <c r="C506" s="9">
        <f>IFERROR(__xludf.DUMMYFUNCTION("""COMPUTED_VALUE"""),110084.0)</f>
        <v>110084</v>
      </c>
      <c r="D506" s="9"/>
      <c r="E506" s="10" t="str">
        <f>IFERROR(__xludf.DUMMYFUNCTION("""COMPUTED_VALUE"""),"HAPPEEZ")</f>
        <v>HAPPEEZ</v>
      </c>
      <c r="F506" s="10">
        <f>IFERROR(__xludf.DUMMYFUNCTION("""COMPUTED_VALUE"""),1.69)</f>
        <v>1.69</v>
      </c>
      <c r="G506" s="9">
        <f>IFERROR(__xludf.DUMMYFUNCTION("""COMPUTED_VALUE"""),1.69)</f>
        <v>1.69</v>
      </c>
      <c r="H506" s="9">
        <f>IFERROR(__xludf.DUMMYFUNCTION("""COMPUTED_VALUE"""),1.0)</f>
        <v>1</v>
      </c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</row>
    <row r="507" ht="15.75" customHeight="1">
      <c r="A507" s="11">
        <f>IFERROR(__xludf.DUMMYFUNCTION("""COMPUTED_VALUE"""),44471.0)</f>
        <v>44471</v>
      </c>
      <c r="B507" s="9">
        <f>IFERROR(__xludf.DUMMYFUNCTION("""COMPUTED_VALUE"""),1003362.0)</f>
        <v>1003362</v>
      </c>
      <c r="C507" s="9">
        <f>IFERROR(__xludf.DUMMYFUNCTION("""COMPUTED_VALUE"""),113902.0)</f>
        <v>113902</v>
      </c>
      <c r="D507" s="9"/>
      <c r="E507" s="10" t="str">
        <f>IFERROR(__xludf.DUMMYFUNCTION("""COMPUTED_VALUE"""),"HAPPEEZ")</f>
        <v>HAPPEEZ</v>
      </c>
      <c r="F507" s="10">
        <f>IFERROR(__xludf.DUMMYFUNCTION("""COMPUTED_VALUE"""),2.51)</f>
        <v>2.51</v>
      </c>
      <c r="G507" s="9">
        <f>IFERROR(__xludf.DUMMYFUNCTION("""COMPUTED_VALUE"""),2.51)</f>
        <v>2.51</v>
      </c>
      <c r="H507" s="9">
        <f>IFERROR(__xludf.DUMMYFUNCTION("""COMPUTED_VALUE"""),1.0)</f>
        <v>1</v>
      </c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</row>
    <row r="508" ht="15.75" customHeight="1">
      <c r="A508" s="11">
        <f>IFERROR(__xludf.DUMMYFUNCTION("""COMPUTED_VALUE"""),44471.0)</f>
        <v>44471</v>
      </c>
      <c r="B508" s="9">
        <f>IFERROR(__xludf.DUMMYFUNCTION("""COMPUTED_VALUE"""),1003362.0)</f>
        <v>1003362</v>
      </c>
      <c r="C508" s="9">
        <f>IFERROR(__xludf.DUMMYFUNCTION("""COMPUTED_VALUE"""),47050.0)</f>
        <v>47050</v>
      </c>
      <c r="D508" s="9"/>
      <c r="E508" s="10" t="str">
        <f>IFERROR(__xludf.DUMMYFUNCTION("""COMPUTED_VALUE"""),"HAPPEEZ")</f>
        <v>HAPPEEZ</v>
      </c>
      <c r="F508" s="10">
        <f>IFERROR(__xludf.DUMMYFUNCTION("""COMPUTED_VALUE"""),2.51)</f>
        <v>2.51</v>
      </c>
      <c r="G508" s="9">
        <f>IFERROR(__xludf.DUMMYFUNCTION("""COMPUTED_VALUE"""),2.51)</f>
        <v>2.51</v>
      </c>
      <c r="H508" s="9">
        <f>IFERROR(__xludf.DUMMYFUNCTION("""COMPUTED_VALUE"""),1.0)</f>
        <v>1</v>
      </c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</row>
    <row r="509" ht="15.75" customHeight="1">
      <c r="A509" s="11">
        <f>IFERROR(__xludf.DUMMYFUNCTION("""COMPUTED_VALUE"""),44471.0)</f>
        <v>44471</v>
      </c>
      <c r="B509" s="9">
        <f>IFERROR(__xludf.DUMMYFUNCTION("""COMPUTED_VALUE"""),1003362.0)</f>
        <v>1003362</v>
      </c>
      <c r="C509" s="9">
        <f>IFERROR(__xludf.DUMMYFUNCTION("""COMPUTED_VALUE"""),6045.0)</f>
        <v>6045</v>
      </c>
      <c r="D509" s="9"/>
      <c r="E509" s="10" t="str">
        <f>IFERROR(__xludf.DUMMYFUNCTION("""COMPUTED_VALUE"""),"HAPPEEZ")</f>
        <v>HAPPEEZ</v>
      </c>
      <c r="F509" s="10">
        <f>IFERROR(__xludf.DUMMYFUNCTION("""COMPUTED_VALUE"""),6.52)</f>
        <v>6.52</v>
      </c>
      <c r="G509" s="9">
        <f>IFERROR(__xludf.DUMMYFUNCTION("""COMPUTED_VALUE"""),6.52)</f>
        <v>6.52</v>
      </c>
      <c r="H509" s="9">
        <f>IFERROR(__xludf.DUMMYFUNCTION("""COMPUTED_VALUE"""),1.0)</f>
        <v>1</v>
      </c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</row>
    <row r="510" ht="15.75" customHeight="1">
      <c r="A510" s="11">
        <f>IFERROR(__xludf.DUMMYFUNCTION("""COMPUTED_VALUE"""),44471.0)</f>
        <v>44471</v>
      </c>
      <c r="B510" s="9">
        <f>IFERROR(__xludf.DUMMYFUNCTION("""COMPUTED_VALUE"""),1003362.0)</f>
        <v>1003362</v>
      </c>
      <c r="C510" s="9">
        <f>IFERROR(__xludf.DUMMYFUNCTION("""COMPUTED_VALUE"""),93039.0)</f>
        <v>93039</v>
      </c>
      <c r="D510" s="9"/>
      <c r="E510" s="10" t="str">
        <f>IFERROR(__xludf.DUMMYFUNCTION("""COMPUTED_VALUE"""),"HAPPEEZ")</f>
        <v>HAPPEEZ</v>
      </c>
      <c r="F510" s="10">
        <f>IFERROR(__xludf.DUMMYFUNCTION("""COMPUTED_VALUE"""),3.89)</f>
        <v>3.89</v>
      </c>
      <c r="G510" s="9">
        <f>IFERROR(__xludf.DUMMYFUNCTION("""COMPUTED_VALUE"""),3.89)</f>
        <v>3.89</v>
      </c>
      <c r="H510" s="9">
        <f>IFERROR(__xludf.DUMMYFUNCTION("""COMPUTED_VALUE"""),1.0)</f>
        <v>1</v>
      </c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</row>
    <row r="511" ht="15.75" customHeight="1">
      <c r="A511" s="11">
        <f>IFERROR(__xludf.DUMMYFUNCTION("""COMPUTED_VALUE"""),44471.0)</f>
        <v>44471</v>
      </c>
      <c r="B511" s="9">
        <f>IFERROR(__xludf.DUMMYFUNCTION("""COMPUTED_VALUE"""),1003362.0)</f>
        <v>1003362</v>
      </c>
      <c r="C511" s="9">
        <f>IFERROR(__xludf.DUMMYFUNCTION("""COMPUTED_VALUE"""),71402.0)</f>
        <v>71402</v>
      </c>
      <c r="D511" s="9"/>
      <c r="E511" s="10" t="str">
        <f>IFERROR(__xludf.DUMMYFUNCTION("""COMPUTED_VALUE"""),"HAPPEEZ")</f>
        <v>HAPPEEZ</v>
      </c>
      <c r="F511" s="10">
        <f>IFERROR(__xludf.DUMMYFUNCTION("""COMPUTED_VALUE"""),4.78)</f>
        <v>4.78</v>
      </c>
      <c r="G511" s="9">
        <f>IFERROR(__xludf.DUMMYFUNCTION("""COMPUTED_VALUE"""),4.78)</f>
        <v>4.78</v>
      </c>
      <c r="H511" s="9">
        <f>IFERROR(__xludf.DUMMYFUNCTION("""COMPUTED_VALUE"""),1.0)</f>
        <v>1</v>
      </c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</row>
    <row r="512" ht="15.75" customHeight="1">
      <c r="A512" s="11">
        <f>IFERROR(__xludf.DUMMYFUNCTION("""COMPUTED_VALUE"""),44471.0)</f>
        <v>44471</v>
      </c>
      <c r="B512" s="9">
        <f>IFERROR(__xludf.DUMMYFUNCTION("""COMPUTED_VALUE"""),1003362.0)</f>
        <v>1003362</v>
      </c>
      <c r="C512" s="9">
        <f>IFERROR(__xludf.DUMMYFUNCTION("""COMPUTED_VALUE"""),83797.0)</f>
        <v>83797</v>
      </c>
      <c r="D512" s="9"/>
      <c r="E512" s="10" t="str">
        <f>IFERROR(__xludf.DUMMYFUNCTION("""COMPUTED_VALUE"""),"HAPPEEZ")</f>
        <v>HAPPEEZ</v>
      </c>
      <c r="F512" s="10">
        <f>IFERROR(__xludf.DUMMYFUNCTION("""COMPUTED_VALUE"""),6.78)</f>
        <v>6.78</v>
      </c>
      <c r="G512" s="9">
        <f>IFERROR(__xludf.DUMMYFUNCTION("""COMPUTED_VALUE"""),6.78)</f>
        <v>6.78</v>
      </c>
      <c r="H512" s="9">
        <f>IFERROR(__xludf.DUMMYFUNCTION("""COMPUTED_VALUE"""),1.0)</f>
        <v>1</v>
      </c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</row>
    <row r="513" ht="15.75" customHeight="1">
      <c r="A513" s="11">
        <f>IFERROR(__xludf.DUMMYFUNCTION("""COMPUTED_VALUE"""),44471.0)</f>
        <v>44471</v>
      </c>
      <c r="B513" s="9">
        <f>IFERROR(__xludf.DUMMYFUNCTION("""COMPUTED_VALUE"""),1003362.0)</f>
        <v>1003362</v>
      </c>
      <c r="C513" s="9">
        <f>IFERROR(__xludf.DUMMYFUNCTION("""COMPUTED_VALUE"""),100464.0)</f>
        <v>100464</v>
      </c>
      <c r="D513" s="9"/>
      <c r="E513" s="10" t="str">
        <f>IFERROR(__xludf.DUMMYFUNCTION("""COMPUTED_VALUE"""),"HAPPEEZ")</f>
        <v>HAPPEEZ</v>
      </c>
      <c r="F513" s="10">
        <f>IFERROR(__xludf.DUMMYFUNCTION("""COMPUTED_VALUE"""),16.62)</f>
        <v>16.62</v>
      </c>
      <c r="G513" s="9">
        <f>IFERROR(__xludf.DUMMYFUNCTION("""COMPUTED_VALUE"""),16.62)</f>
        <v>16.62</v>
      </c>
      <c r="H513" s="9">
        <f>IFERROR(__xludf.DUMMYFUNCTION("""COMPUTED_VALUE"""),1.0)</f>
        <v>1</v>
      </c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</row>
    <row r="514" ht="15.75" customHeight="1">
      <c r="A514" s="11">
        <f>IFERROR(__xludf.DUMMYFUNCTION("""COMPUTED_VALUE"""),44471.0)</f>
        <v>44471</v>
      </c>
      <c r="B514" s="9">
        <f>IFERROR(__xludf.DUMMYFUNCTION("""COMPUTED_VALUE"""),1003362.0)</f>
        <v>1003362</v>
      </c>
      <c r="C514" s="9">
        <f>IFERROR(__xludf.DUMMYFUNCTION("""COMPUTED_VALUE"""),120328.0)</f>
        <v>120328</v>
      </c>
      <c r="D514" s="9"/>
      <c r="E514" s="10" t="str">
        <f>IFERROR(__xludf.DUMMYFUNCTION("""COMPUTED_VALUE"""),"HAPPEEZ")</f>
        <v>HAPPEEZ</v>
      </c>
      <c r="F514" s="10">
        <f>IFERROR(__xludf.DUMMYFUNCTION("""COMPUTED_VALUE"""),4.55)</f>
        <v>4.55</v>
      </c>
      <c r="G514" s="9">
        <f>IFERROR(__xludf.DUMMYFUNCTION("""COMPUTED_VALUE"""),4.55)</f>
        <v>4.55</v>
      </c>
      <c r="H514" s="9">
        <f>IFERROR(__xludf.DUMMYFUNCTION("""COMPUTED_VALUE"""),1.0)</f>
        <v>1</v>
      </c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</row>
    <row r="515" ht="15.75" customHeight="1">
      <c r="A515" s="11">
        <f>IFERROR(__xludf.DUMMYFUNCTION("""COMPUTED_VALUE"""),44471.0)</f>
        <v>44471</v>
      </c>
      <c r="B515" s="9">
        <f>IFERROR(__xludf.DUMMYFUNCTION("""COMPUTED_VALUE"""),1003362.0)</f>
        <v>1003362</v>
      </c>
      <c r="C515" s="9">
        <f>IFERROR(__xludf.DUMMYFUNCTION("""COMPUTED_VALUE"""),73940.0)</f>
        <v>73940</v>
      </c>
      <c r="D515" s="9"/>
      <c r="E515" s="10" t="str">
        <f>IFERROR(__xludf.DUMMYFUNCTION("""COMPUTED_VALUE"""),"HAPPEEZ")</f>
        <v>HAPPEEZ</v>
      </c>
      <c r="F515" s="10">
        <f>IFERROR(__xludf.DUMMYFUNCTION("""COMPUTED_VALUE"""),3.67)</f>
        <v>3.67</v>
      </c>
      <c r="G515" s="9">
        <f>IFERROR(__xludf.DUMMYFUNCTION("""COMPUTED_VALUE"""),3.67)</f>
        <v>3.67</v>
      </c>
      <c r="H515" s="9">
        <f>IFERROR(__xludf.DUMMYFUNCTION("""COMPUTED_VALUE"""),1.0)</f>
        <v>1</v>
      </c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</row>
    <row r="516" ht="15.75" customHeight="1">
      <c r="A516" s="11">
        <f>IFERROR(__xludf.DUMMYFUNCTION("""COMPUTED_VALUE"""),44471.0)</f>
        <v>44471</v>
      </c>
      <c r="B516" s="9">
        <f>IFERROR(__xludf.DUMMYFUNCTION("""COMPUTED_VALUE"""),1003362.0)</f>
        <v>1003362</v>
      </c>
      <c r="C516" s="9">
        <f>IFERROR(__xludf.DUMMYFUNCTION("""COMPUTED_VALUE"""),86186.0)</f>
        <v>86186</v>
      </c>
      <c r="D516" s="9"/>
      <c r="E516" s="10" t="str">
        <f>IFERROR(__xludf.DUMMYFUNCTION("""COMPUTED_VALUE"""),"HAPPEEZ")</f>
        <v>HAPPEEZ</v>
      </c>
      <c r="F516" s="10">
        <f>IFERROR(__xludf.DUMMYFUNCTION("""COMPUTED_VALUE"""),12.18)</f>
        <v>12.18</v>
      </c>
      <c r="G516" s="9">
        <f>IFERROR(__xludf.DUMMYFUNCTION("""COMPUTED_VALUE"""),12.18)</f>
        <v>12.18</v>
      </c>
      <c r="H516" s="9">
        <f>IFERROR(__xludf.DUMMYFUNCTION("""COMPUTED_VALUE"""),1.0)</f>
        <v>1</v>
      </c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</row>
    <row r="517" ht="15.75" customHeight="1">
      <c r="A517" s="11">
        <f>IFERROR(__xludf.DUMMYFUNCTION("""COMPUTED_VALUE"""),44471.0)</f>
        <v>44471</v>
      </c>
      <c r="B517" s="9">
        <f>IFERROR(__xludf.DUMMYFUNCTION("""COMPUTED_VALUE"""),1003362.0)</f>
        <v>1003362</v>
      </c>
      <c r="C517" s="9">
        <f>IFERROR(__xludf.DUMMYFUNCTION("""COMPUTED_VALUE"""),5775.0)</f>
        <v>5775</v>
      </c>
      <c r="D517" s="10" t="str">
        <f>IFERROR(__xludf.DUMMYFUNCTION("""COMPUTED_VALUE"""),"Vive le bio")</f>
        <v>Vive le bio</v>
      </c>
      <c r="E517" s="10" t="str">
        <f>IFERROR(__xludf.DUMMYFUNCTION("""COMPUTED_VALUE"""),"HAPPEEZ")</f>
        <v>HAPPEEZ</v>
      </c>
      <c r="F517" s="10">
        <f>IFERROR(__xludf.DUMMYFUNCTION("""COMPUTED_VALUE"""),4.67777777777777)</f>
        <v>4.677777778</v>
      </c>
      <c r="G517" s="9">
        <f>IFERROR(__xludf.DUMMYFUNCTION("""COMPUTED_VALUE"""),4.21)</f>
        <v>4.21</v>
      </c>
      <c r="H517" s="9">
        <f>IFERROR(__xludf.DUMMYFUNCTION("""COMPUTED_VALUE"""),1.0)</f>
        <v>1</v>
      </c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</row>
    <row r="518" ht="15.75" customHeight="1">
      <c r="A518" s="11">
        <f>IFERROR(__xludf.DUMMYFUNCTION("""COMPUTED_VALUE"""),44471.0)</f>
        <v>44471</v>
      </c>
      <c r="B518" s="9">
        <f>IFERROR(__xludf.DUMMYFUNCTION("""COMPUTED_VALUE"""),1003362.0)</f>
        <v>1003362</v>
      </c>
      <c r="C518" s="9">
        <f>IFERROR(__xludf.DUMMYFUNCTION("""COMPUTED_VALUE"""),82913.0)</f>
        <v>82913</v>
      </c>
      <c r="D518" s="9"/>
      <c r="E518" s="10" t="str">
        <f>IFERROR(__xludf.DUMMYFUNCTION("""COMPUTED_VALUE"""),"HAPPEEZ")</f>
        <v>HAPPEEZ</v>
      </c>
      <c r="F518" s="10">
        <f>IFERROR(__xludf.DUMMYFUNCTION("""COMPUTED_VALUE"""),5.86)</f>
        <v>5.86</v>
      </c>
      <c r="G518" s="9">
        <f>IFERROR(__xludf.DUMMYFUNCTION("""COMPUTED_VALUE"""),5.86)</f>
        <v>5.86</v>
      </c>
      <c r="H518" s="9">
        <f>IFERROR(__xludf.DUMMYFUNCTION("""COMPUTED_VALUE"""),1.0)</f>
        <v>1</v>
      </c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</row>
    <row r="519" ht="15.75" customHeight="1">
      <c r="A519" s="11">
        <f>IFERROR(__xludf.DUMMYFUNCTION("""COMPUTED_VALUE"""),44471.0)</f>
        <v>44471</v>
      </c>
      <c r="B519" s="9">
        <f>IFERROR(__xludf.DUMMYFUNCTION("""COMPUTED_VALUE"""),1003362.0)</f>
        <v>1003362</v>
      </c>
      <c r="C519" s="9">
        <f>IFERROR(__xludf.DUMMYFUNCTION("""COMPUTED_VALUE"""),103872.0)</f>
        <v>103872</v>
      </c>
      <c r="D519" s="9"/>
      <c r="E519" s="10" t="str">
        <f>IFERROR(__xludf.DUMMYFUNCTION("""COMPUTED_VALUE"""),"HAPPEEZ")</f>
        <v>HAPPEEZ</v>
      </c>
      <c r="F519" s="10">
        <f>IFERROR(__xludf.DUMMYFUNCTION("""COMPUTED_VALUE"""),2.32)</f>
        <v>2.32</v>
      </c>
      <c r="G519" s="9">
        <f>IFERROR(__xludf.DUMMYFUNCTION("""COMPUTED_VALUE"""),2.32)</f>
        <v>2.32</v>
      </c>
      <c r="H519" s="9">
        <f>IFERROR(__xludf.DUMMYFUNCTION("""COMPUTED_VALUE"""),1.0)</f>
        <v>1</v>
      </c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</row>
    <row r="520" ht="15.75" customHeight="1">
      <c r="A520" s="11">
        <f>IFERROR(__xludf.DUMMYFUNCTION("""COMPUTED_VALUE"""),44471.0)</f>
        <v>44471</v>
      </c>
      <c r="B520" s="9">
        <f>IFERROR(__xludf.DUMMYFUNCTION("""COMPUTED_VALUE"""),1003362.0)</f>
        <v>1003362</v>
      </c>
      <c r="C520" s="9">
        <f>IFERROR(__xludf.DUMMYFUNCTION("""COMPUTED_VALUE"""),113093.0)</f>
        <v>113093</v>
      </c>
      <c r="D520" s="9"/>
      <c r="E520" s="10" t="str">
        <f>IFERROR(__xludf.DUMMYFUNCTION("""COMPUTED_VALUE"""),"HAPPEEZ")</f>
        <v>HAPPEEZ</v>
      </c>
      <c r="F520" s="10">
        <f>IFERROR(__xludf.DUMMYFUNCTION("""COMPUTED_VALUE"""),1.54)</f>
        <v>1.54</v>
      </c>
      <c r="G520" s="9">
        <f>IFERROR(__xludf.DUMMYFUNCTION("""COMPUTED_VALUE"""),1.54)</f>
        <v>1.54</v>
      </c>
      <c r="H520" s="9">
        <f>IFERROR(__xludf.DUMMYFUNCTION("""COMPUTED_VALUE"""),1.0)</f>
        <v>1</v>
      </c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</row>
    <row r="521" ht="15.75" customHeight="1">
      <c r="A521" s="11">
        <f>IFERROR(__xludf.DUMMYFUNCTION("""COMPUTED_VALUE"""),44471.0)</f>
        <v>44471</v>
      </c>
      <c r="B521" s="9">
        <f>IFERROR(__xludf.DUMMYFUNCTION("""COMPUTED_VALUE"""),1003362.0)</f>
        <v>1003362</v>
      </c>
      <c r="C521" s="9">
        <f>IFERROR(__xludf.DUMMYFUNCTION("""COMPUTED_VALUE"""),76301.0)</f>
        <v>76301</v>
      </c>
      <c r="D521" s="9"/>
      <c r="E521" s="10" t="str">
        <f>IFERROR(__xludf.DUMMYFUNCTION("""COMPUTED_VALUE"""),"HAPPEEZ")</f>
        <v>HAPPEEZ</v>
      </c>
      <c r="F521" s="10">
        <f>IFERROR(__xludf.DUMMYFUNCTION("""COMPUTED_VALUE"""),2.46)</f>
        <v>2.46</v>
      </c>
      <c r="G521" s="9">
        <f>IFERROR(__xludf.DUMMYFUNCTION("""COMPUTED_VALUE"""),2.46)</f>
        <v>2.46</v>
      </c>
      <c r="H521" s="9">
        <f>IFERROR(__xludf.DUMMYFUNCTION("""COMPUTED_VALUE"""),1.0)</f>
        <v>1</v>
      </c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</row>
    <row r="522" ht="15.75" customHeight="1">
      <c r="A522" s="11">
        <f>IFERROR(__xludf.DUMMYFUNCTION("""COMPUTED_VALUE"""),44471.0)</f>
        <v>44471</v>
      </c>
      <c r="B522" s="9">
        <f>IFERROR(__xludf.DUMMYFUNCTION("""COMPUTED_VALUE"""),1003362.0)</f>
        <v>1003362</v>
      </c>
      <c r="C522" s="9">
        <f>IFERROR(__xludf.DUMMYFUNCTION("""COMPUTED_VALUE"""),86985.0)</f>
        <v>86985</v>
      </c>
      <c r="D522" s="9"/>
      <c r="E522" s="10" t="str">
        <f>IFERROR(__xludf.DUMMYFUNCTION("""COMPUTED_VALUE"""),"HAPPEEZ")</f>
        <v>HAPPEEZ</v>
      </c>
      <c r="F522" s="10">
        <f>IFERROR(__xludf.DUMMYFUNCTION("""COMPUTED_VALUE"""),3.71)</f>
        <v>3.71</v>
      </c>
      <c r="G522" s="9">
        <f>IFERROR(__xludf.DUMMYFUNCTION("""COMPUTED_VALUE"""),3.71)</f>
        <v>3.71</v>
      </c>
      <c r="H522" s="9">
        <f>IFERROR(__xludf.DUMMYFUNCTION("""COMPUTED_VALUE"""),1.0)</f>
        <v>1</v>
      </c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</row>
    <row r="523" ht="15.75" customHeight="1">
      <c r="A523" s="11">
        <f>IFERROR(__xludf.DUMMYFUNCTION("""COMPUTED_VALUE"""),44471.0)</f>
        <v>44471</v>
      </c>
      <c r="B523" s="9">
        <f>IFERROR(__xludf.DUMMYFUNCTION("""COMPUTED_VALUE"""),1003362.0)</f>
        <v>1003362</v>
      </c>
      <c r="C523" s="9">
        <f>IFERROR(__xludf.DUMMYFUNCTION("""COMPUTED_VALUE"""),128213.0)</f>
        <v>128213</v>
      </c>
      <c r="D523" s="10" t="str">
        <f>IFERROR(__xludf.DUMMYFUNCTION("""COMPUTED_VALUE"""),"Offre speciale")</f>
        <v>Offre speciale</v>
      </c>
      <c r="E523" s="10" t="str">
        <f>IFERROR(__xludf.DUMMYFUNCTION("""COMPUTED_VALUE"""),"HAPPEEZ")</f>
        <v>HAPPEEZ</v>
      </c>
      <c r="F523" s="10">
        <f>IFERROR(__xludf.DUMMYFUNCTION("""COMPUTED_VALUE"""),6.92941176470588)</f>
        <v>6.929411765</v>
      </c>
      <c r="G523" s="9">
        <f>IFERROR(__xludf.DUMMYFUNCTION("""COMPUTED_VALUE"""),5.89)</f>
        <v>5.89</v>
      </c>
      <c r="H523" s="9">
        <f>IFERROR(__xludf.DUMMYFUNCTION("""COMPUTED_VALUE"""),1.0)</f>
        <v>1</v>
      </c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</row>
    <row r="524" ht="15.75" customHeight="1">
      <c r="A524" s="11">
        <f>IFERROR(__xludf.DUMMYFUNCTION("""COMPUTED_VALUE"""),44471.0)</f>
        <v>44471</v>
      </c>
      <c r="B524" s="9">
        <f>IFERROR(__xludf.DUMMYFUNCTION("""COMPUTED_VALUE"""),1003362.0)</f>
        <v>1003362</v>
      </c>
      <c r="C524" s="9">
        <f>IFERROR(__xludf.DUMMYFUNCTION("""COMPUTED_VALUE"""),73926.0)</f>
        <v>73926</v>
      </c>
      <c r="D524" s="9"/>
      <c r="E524" s="10" t="str">
        <f>IFERROR(__xludf.DUMMYFUNCTION("""COMPUTED_VALUE"""),"HAPPEEZ")</f>
        <v>HAPPEEZ</v>
      </c>
      <c r="F524" s="10">
        <f>IFERROR(__xludf.DUMMYFUNCTION("""COMPUTED_VALUE"""),1.92)</f>
        <v>1.92</v>
      </c>
      <c r="G524" s="9">
        <f>IFERROR(__xludf.DUMMYFUNCTION("""COMPUTED_VALUE"""),1.92)</f>
        <v>1.92</v>
      </c>
      <c r="H524" s="9">
        <f>IFERROR(__xludf.DUMMYFUNCTION("""COMPUTED_VALUE"""),1.0)</f>
        <v>1</v>
      </c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</row>
    <row r="525" ht="15.75" customHeight="1">
      <c r="A525" s="11">
        <f>IFERROR(__xludf.DUMMYFUNCTION("""COMPUTED_VALUE"""),44471.0)</f>
        <v>44471</v>
      </c>
      <c r="B525" s="9">
        <f>IFERROR(__xludf.DUMMYFUNCTION("""COMPUTED_VALUE"""),1003362.0)</f>
        <v>1003362</v>
      </c>
      <c r="C525" s="9">
        <f>IFERROR(__xludf.DUMMYFUNCTION("""COMPUTED_VALUE"""),80582.0)</f>
        <v>80582</v>
      </c>
      <c r="D525" s="9"/>
      <c r="E525" s="10" t="str">
        <f>IFERROR(__xludf.DUMMYFUNCTION("""COMPUTED_VALUE"""),"HAPPEEZ")</f>
        <v>HAPPEEZ</v>
      </c>
      <c r="F525" s="10">
        <f>IFERROR(__xludf.DUMMYFUNCTION("""COMPUTED_VALUE"""),11.13)</f>
        <v>11.13</v>
      </c>
      <c r="G525" s="9">
        <f>IFERROR(__xludf.DUMMYFUNCTION("""COMPUTED_VALUE"""),11.13)</f>
        <v>11.13</v>
      </c>
      <c r="H525" s="9">
        <f>IFERROR(__xludf.DUMMYFUNCTION("""COMPUTED_VALUE"""),1.0)</f>
        <v>1</v>
      </c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</row>
    <row r="526" ht="15.75" customHeight="1">
      <c r="A526" s="11">
        <f>IFERROR(__xludf.DUMMYFUNCTION("""COMPUTED_VALUE"""),44471.0)</f>
        <v>44471</v>
      </c>
      <c r="B526" s="9">
        <f>IFERROR(__xludf.DUMMYFUNCTION("""COMPUTED_VALUE"""),1003362.0)</f>
        <v>1003362</v>
      </c>
      <c r="C526" s="9">
        <f>IFERROR(__xludf.DUMMYFUNCTION("""COMPUTED_VALUE"""),106758.0)</f>
        <v>106758</v>
      </c>
      <c r="D526" s="9"/>
      <c r="E526" s="10" t="str">
        <f>IFERROR(__xludf.DUMMYFUNCTION("""COMPUTED_VALUE"""),"HAPPEEZ")</f>
        <v>HAPPEEZ</v>
      </c>
      <c r="F526" s="10">
        <f>IFERROR(__xludf.DUMMYFUNCTION("""COMPUTED_VALUE"""),4.44)</f>
        <v>4.44</v>
      </c>
      <c r="G526" s="9">
        <f>IFERROR(__xludf.DUMMYFUNCTION("""COMPUTED_VALUE"""),4.44)</f>
        <v>4.44</v>
      </c>
      <c r="H526" s="9">
        <f>IFERROR(__xludf.DUMMYFUNCTION("""COMPUTED_VALUE"""),1.0)</f>
        <v>1</v>
      </c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</row>
    <row r="527" ht="15.75" customHeight="1">
      <c r="A527" s="11">
        <f>IFERROR(__xludf.DUMMYFUNCTION("""COMPUTED_VALUE"""),44471.0)</f>
        <v>44471</v>
      </c>
      <c r="B527" s="9">
        <f>IFERROR(__xludf.DUMMYFUNCTION("""COMPUTED_VALUE"""),1003362.0)</f>
        <v>1003362</v>
      </c>
      <c r="C527" s="9">
        <f>IFERROR(__xludf.DUMMYFUNCTION("""COMPUTED_VALUE"""),47049.0)</f>
        <v>47049</v>
      </c>
      <c r="D527" s="9"/>
      <c r="E527" s="10" t="str">
        <f>IFERROR(__xludf.DUMMYFUNCTION("""COMPUTED_VALUE"""),"HAPPEEZ")</f>
        <v>HAPPEEZ</v>
      </c>
      <c r="F527" s="10">
        <f>IFERROR(__xludf.DUMMYFUNCTION("""COMPUTED_VALUE"""),2.23)</f>
        <v>2.23</v>
      </c>
      <c r="G527" s="9">
        <f>IFERROR(__xludf.DUMMYFUNCTION("""COMPUTED_VALUE"""),2.23)</f>
        <v>2.23</v>
      </c>
      <c r="H527" s="9">
        <f>IFERROR(__xludf.DUMMYFUNCTION("""COMPUTED_VALUE"""),1.0)</f>
        <v>1</v>
      </c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</row>
    <row r="528" ht="15.75" customHeight="1">
      <c r="A528" s="11">
        <f>IFERROR(__xludf.DUMMYFUNCTION("""COMPUTED_VALUE"""),44471.0)</f>
        <v>44471</v>
      </c>
      <c r="B528" s="9">
        <f>IFERROR(__xludf.DUMMYFUNCTION("""COMPUTED_VALUE"""),1003362.0)</f>
        <v>1003362</v>
      </c>
      <c r="C528" s="9">
        <f>IFERROR(__xludf.DUMMYFUNCTION("""COMPUTED_VALUE"""),113094.0)</f>
        <v>113094</v>
      </c>
      <c r="D528" s="9"/>
      <c r="E528" s="10" t="str">
        <f>IFERROR(__xludf.DUMMYFUNCTION("""COMPUTED_VALUE"""),"HAPPEEZ")</f>
        <v>HAPPEEZ</v>
      </c>
      <c r="F528" s="10">
        <f>IFERROR(__xludf.DUMMYFUNCTION("""COMPUTED_VALUE"""),1.74)</f>
        <v>1.74</v>
      </c>
      <c r="G528" s="9">
        <f>IFERROR(__xludf.DUMMYFUNCTION("""COMPUTED_VALUE"""),1.74)</f>
        <v>1.74</v>
      </c>
      <c r="H528" s="9">
        <f>IFERROR(__xludf.DUMMYFUNCTION("""COMPUTED_VALUE"""),1.0)</f>
        <v>1</v>
      </c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</row>
    <row r="529" ht="15.75" customHeight="1">
      <c r="A529" s="11">
        <f>IFERROR(__xludf.DUMMYFUNCTION("""COMPUTED_VALUE"""),44471.0)</f>
        <v>44471</v>
      </c>
      <c r="B529" s="9">
        <f>IFERROR(__xludf.DUMMYFUNCTION("""COMPUTED_VALUE"""),1003362.0)</f>
        <v>1003362</v>
      </c>
      <c r="C529" s="9">
        <f>IFERROR(__xludf.DUMMYFUNCTION("""COMPUTED_VALUE"""),77506.0)</f>
        <v>77506</v>
      </c>
      <c r="D529" s="10" t="str">
        <f>IFERROR(__xludf.DUMMYFUNCTION("""COMPUTED_VALUE"""),"Vive le bio")</f>
        <v>Vive le bio</v>
      </c>
      <c r="E529" s="10" t="str">
        <f>IFERROR(__xludf.DUMMYFUNCTION("""COMPUTED_VALUE"""),"HAPPEEZ")</f>
        <v>HAPPEEZ</v>
      </c>
      <c r="F529" s="10">
        <f>IFERROR(__xludf.DUMMYFUNCTION("""COMPUTED_VALUE"""),2.78888888888888)</f>
        <v>2.788888889</v>
      </c>
      <c r="G529" s="9">
        <f>IFERROR(__xludf.DUMMYFUNCTION("""COMPUTED_VALUE"""),2.51)</f>
        <v>2.51</v>
      </c>
      <c r="H529" s="9">
        <f>IFERROR(__xludf.DUMMYFUNCTION("""COMPUTED_VALUE"""),1.0)</f>
        <v>1</v>
      </c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</row>
    <row r="530" ht="15.75" customHeight="1">
      <c r="A530" s="11">
        <f>IFERROR(__xludf.DUMMYFUNCTION("""COMPUTED_VALUE"""),44471.0)</f>
        <v>44471</v>
      </c>
      <c r="B530" s="9">
        <f>IFERROR(__xludf.DUMMYFUNCTION("""COMPUTED_VALUE"""),1003362.0)</f>
        <v>1003362</v>
      </c>
      <c r="C530" s="9">
        <f>IFERROR(__xludf.DUMMYFUNCTION("""COMPUTED_VALUE"""),47400.0)</f>
        <v>47400</v>
      </c>
      <c r="D530" s="10" t="str">
        <f>IFERROR(__xludf.DUMMYFUNCTION("""COMPUTED_VALUE"""),"Vive le bio")</f>
        <v>Vive le bio</v>
      </c>
      <c r="E530" s="10" t="str">
        <f>IFERROR(__xludf.DUMMYFUNCTION("""COMPUTED_VALUE"""),"HAPPEEZ")</f>
        <v>HAPPEEZ</v>
      </c>
      <c r="F530" s="10">
        <f>IFERROR(__xludf.DUMMYFUNCTION("""COMPUTED_VALUE"""),4.07777777777777)</f>
        <v>4.077777778</v>
      </c>
      <c r="G530" s="9">
        <f>IFERROR(__xludf.DUMMYFUNCTION("""COMPUTED_VALUE"""),3.67)</f>
        <v>3.67</v>
      </c>
      <c r="H530" s="9">
        <f>IFERROR(__xludf.DUMMYFUNCTION("""COMPUTED_VALUE"""),1.0)</f>
        <v>1</v>
      </c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</row>
    <row r="531" ht="15.75" customHeight="1">
      <c r="A531" s="11">
        <f>IFERROR(__xludf.DUMMYFUNCTION("""COMPUTED_VALUE"""),44471.0)</f>
        <v>44471</v>
      </c>
      <c r="B531" s="9">
        <f>IFERROR(__xludf.DUMMYFUNCTION("""COMPUTED_VALUE"""),1003362.0)</f>
        <v>1003362</v>
      </c>
      <c r="C531" s="9">
        <f>IFERROR(__xludf.DUMMYFUNCTION("""COMPUTED_VALUE"""),20055.0)</f>
        <v>20055</v>
      </c>
      <c r="D531" s="9"/>
      <c r="E531" s="10" t="str">
        <f>IFERROR(__xludf.DUMMYFUNCTION("""COMPUTED_VALUE"""),"HAPPEEZ")</f>
        <v>HAPPEEZ</v>
      </c>
      <c r="F531" s="10">
        <f>IFERROR(__xludf.DUMMYFUNCTION("""COMPUTED_VALUE"""),3.65)</f>
        <v>3.65</v>
      </c>
      <c r="G531" s="9">
        <f>IFERROR(__xludf.DUMMYFUNCTION("""COMPUTED_VALUE"""),3.65)</f>
        <v>3.65</v>
      </c>
      <c r="H531" s="9">
        <f>IFERROR(__xludf.DUMMYFUNCTION("""COMPUTED_VALUE"""),2.0)</f>
        <v>2</v>
      </c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</row>
    <row r="532" ht="15.75" customHeight="1">
      <c r="A532" s="11">
        <f>IFERROR(__xludf.DUMMYFUNCTION("""COMPUTED_VALUE"""),44471.0)</f>
        <v>44471</v>
      </c>
      <c r="B532" s="9">
        <f>IFERROR(__xludf.DUMMYFUNCTION("""COMPUTED_VALUE"""),1003362.0)</f>
        <v>1003362</v>
      </c>
      <c r="C532" s="9">
        <f>IFERROR(__xludf.DUMMYFUNCTION("""COMPUTED_VALUE"""),70542.0)</f>
        <v>70542</v>
      </c>
      <c r="D532" s="9"/>
      <c r="E532" s="10" t="str">
        <f>IFERROR(__xludf.DUMMYFUNCTION("""COMPUTED_VALUE"""),"HAPPEEZ")</f>
        <v>HAPPEEZ</v>
      </c>
      <c r="F532" s="10">
        <f>IFERROR(__xludf.DUMMYFUNCTION("""COMPUTED_VALUE"""),22.22)</f>
        <v>22.22</v>
      </c>
      <c r="G532" s="9">
        <f>IFERROR(__xludf.DUMMYFUNCTION("""COMPUTED_VALUE"""),22.22)</f>
        <v>22.22</v>
      </c>
      <c r="H532" s="9">
        <f>IFERROR(__xludf.DUMMYFUNCTION("""COMPUTED_VALUE"""),2.0)</f>
        <v>2</v>
      </c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</row>
    <row r="533" ht="15.75" customHeight="1">
      <c r="A533" s="11">
        <f>IFERROR(__xludf.DUMMYFUNCTION("""COMPUTED_VALUE"""),44471.0)</f>
        <v>44471</v>
      </c>
      <c r="B533" s="9">
        <f>IFERROR(__xludf.DUMMYFUNCTION("""COMPUTED_VALUE"""),1003362.0)</f>
        <v>1003362</v>
      </c>
      <c r="C533" s="9">
        <f>IFERROR(__xludf.DUMMYFUNCTION("""COMPUTED_VALUE"""),12916.0)</f>
        <v>12916</v>
      </c>
      <c r="D533" s="10" t="str">
        <f>IFERROR(__xludf.DUMMYFUNCTION("""COMPUTED_VALUE"""),"Vive le bio")</f>
        <v>Vive le bio</v>
      </c>
      <c r="E533" s="10" t="str">
        <f>IFERROR(__xludf.DUMMYFUNCTION("""COMPUTED_VALUE"""),"HAPPEEZ")</f>
        <v>HAPPEEZ</v>
      </c>
      <c r="F533" s="10">
        <f>IFERROR(__xludf.DUMMYFUNCTION("""COMPUTED_VALUE"""),6.49999999999999)</f>
        <v>6.5</v>
      </c>
      <c r="G533" s="9">
        <f>IFERROR(__xludf.DUMMYFUNCTION("""COMPUTED_VALUE"""),5.85)</f>
        <v>5.85</v>
      </c>
      <c r="H533" s="9">
        <f>IFERROR(__xludf.DUMMYFUNCTION("""COMPUTED_VALUE"""),2.0)</f>
        <v>2</v>
      </c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</row>
    <row r="534" ht="15.75" customHeight="1">
      <c r="A534" s="11">
        <f>IFERROR(__xludf.DUMMYFUNCTION("""COMPUTED_VALUE"""),44471.0)</f>
        <v>44471</v>
      </c>
      <c r="B534" s="9">
        <f>IFERROR(__xludf.DUMMYFUNCTION("""COMPUTED_VALUE"""),1003362.0)</f>
        <v>1003362</v>
      </c>
      <c r="C534" s="9">
        <f>IFERROR(__xludf.DUMMYFUNCTION("""COMPUTED_VALUE"""),121611.0)</f>
        <v>121611</v>
      </c>
      <c r="D534" s="9"/>
      <c r="E534" s="10" t="str">
        <f>IFERROR(__xludf.DUMMYFUNCTION("""COMPUTED_VALUE"""),"HAPPEEZ")</f>
        <v>HAPPEEZ</v>
      </c>
      <c r="F534" s="10">
        <f>IFERROR(__xludf.DUMMYFUNCTION("""COMPUTED_VALUE"""),11.7)</f>
        <v>11.7</v>
      </c>
      <c r="G534" s="9">
        <f>IFERROR(__xludf.DUMMYFUNCTION("""COMPUTED_VALUE"""),11.7)</f>
        <v>11.7</v>
      </c>
      <c r="H534" s="9">
        <f>IFERROR(__xludf.DUMMYFUNCTION("""COMPUTED_VALUE"""),3.0)</f>
        <v>3</v>
      </c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</row>
    <row r="535" ht="15.75" customHeight="1">
      <c r="A535" s="11">
        <f>IFERROR(__xludf.DUMMYFUNCTION("""COMPUTED_VALUE"""),44471.0)</f>
        <v>44471</v>
      </c>
      <c r="B535" s="9">
        <f>IFERROR(__xludf.DUMMYFUNCTION("""COMPUTED_VALUE"""),1003362.0)</f>
        <v>1003362</v>
      </c>
      <c r="C535" s="9">
        <f>IFERROR(__xludf.DUMMYFUNCTION("""COMPUTED_VALUE"""),110393.0)</f>
        <v>110393</v>
      </c>
      <c r="D535" s="9"/>
      <c r="E535" s="10" t="str">
        <f>IFERROR(__xludf.DUMMYFUNCTION("""COMPUTED_VALUE"""),"HAPPEEZ")</f>
        <v>HAPPEEZ</v>
      </c>
      <c r="F535" s="10">
        <f>IFERROR(__xludf.DUMMYFUNCTION("""COMPUTED_VALUE"""),6.42)</f>
        <v>6.42</v>
      </c>
      <c r="G535" s="9">
        <f>IFERROR(__xludf.DUMMYFUNCTION("""COMPUTED_VALUE"""),6.42)</f>
        <v>6.42</v>
      </c>
      <c r="H535" s="9">
        <f>IFERROR(__xludf.DUMMYFUNCTION("""COMPUTED_VALUE"""),3.0)</f>
        <v>3</v>
      </c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</row>
    <row r="536" ht="15.75" customHeight="1">
      <c r="A536" s="11">
        <f>IFERROR(__xludf.DUMMYFUNCTION("""COMPUTED_VALUE"""),44471.0)</f>
        <v>44471</v>
      </c>
      <c r="B536" s="9">
        <f>IFERROR(__xludf.DUMMYFUNCTION("""COMPUTED_VALUE"""),1003362.0)</f>
        <v>1003362</v>
      </c>
      <c r="C536" s="9">
        <f>IFERROR(__xludf.DUMMYFUNCTION("""COMPUTED_VALUE"""),79775.0)</f>
        <v>79775</v>
      </c>
      <c r="D536" s="9"/>
      <c r="E536" s="10" t="str">
        <f>IFERROR(__xludf.DUMMYFUNCTION("""COMPUTED_VALUE"""),"HAPPEEZ")</f>
        <v>HAPPEEZ</v>
      </c>
      <c r="F536" s="10">
        <f>IFERROR(__xludf.DUMMYFUNCTION("""COMPUTED_VALUE"""),10.11)</f>
        <v>10.11</v>
      </c>
      <c r="G536" s="9">
        <f>IFERROR(__xludf.DUMMYFUNCTION("""COMPUTED_VALUE"""),10.11)</f>
        <v>10.11</v>
      </c>
      <c r="H536" s="9">
        <f>IFERROR(__xludf.DUMMYFUNCTION("""COMPUTED_VALUE"""),4.0)</f>
        <v>4</v>
      </c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</row>
    <row r="537" ht="15.75" customHeight="1">
      <c r="A537" s="11">
        <f>IFERROR(__xludf.DUMMYFUNCTION("""COMPUTED_VALUE"""),44471.0)</f>
        <v>44471</v>
      </c>
      <c r="B537" s="9">
        <f>IFERROR(__xludf.DUMMYFUNCTION("""COMPUTED_VALUE"""),1003363.0)</f>
        <v>1003363</v>
      </c>
      <c r="C537" s="9">
        <f>IFERROR(__xludf.DUMMYFUNCTION("""COMPUTED_VALUE"""),79005.0)</f>
        <v>79005</v>
      </c>
      <c r="D537" s="9"/>
      <c r="E537" s="10" t="str">
        <f>IFERROR(__xludf.DUMMYFUNCTION("""COMPUTED_VALUE"""),"GREENAMIS")</f>
        <v>GREENAMIS</v>
      </c>
      <c r="F537" s="10">
        <f>IFERROR(__xludf.DUMMYFUNCTION("""COMPUTED_VALUE"""),3.5)</f>
        <v>3.5</v>
      </c>
      <c r="G537" s="9">
        <f>IFERROR(__xludf.DUMMYFUNCTION("""COMPUTED_VALUE"""),3.5)</f>
        <v>3.5</v>
      </c>
      <c r="H537" s="9">
        <f>IFERROR(__xludf.DUMMYFUNCTION("""COMPUTED_VALUE"""),1.0)</f>
        <v>1</v>
      </c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</row>
    <row r="538" ht="15.75" customHeight="1">
      <c r="A538" s="11">
        <f>IFERROR(__xludf.DUMMYFUNCTION("""COMPUTED_VALUE"""),44471.0)</f>
        <v>44471</v>
      </c>
      <c r="B538" s="9">
        <f>IFERROR(__xludf.DUMMYFUNCTION("""COMPUTED_VALUE"""),1003363.0)</f>
        <v>1003363</v>
      </c>
      <c r="C538" s="9">
        <f>IFERROR(__xludf.DUMMYFUNCTION("""COMPUTED_VALUE"""),111504.0)</f>
        <v>111504</v>
      </c>
      <c r="D538" s="9"/>
      <c r="E538" s="10" t="str">
        <f>IFERROR(__xludf.DUMMYFUNCTION("""COMPUTED_VALUE"""),"GREENAMIS")</f>
        <v>GREENAMIS</v>
      </c>
      <c r="F538" s="10">
        <f>IFERROR(__xludf.DUMMYFUNCTION("""COMPUTED_VALUE"""),7.53)</f>
        <v>7.53</v>
      </c>
      <c r="G538" s="9">
        <f>IFERROR(__xludf.DUMMYFUNCTION("""COMPUTED_VALUE"""),7.53)</f>
        <v>7.53</v>
      </c>
      <c r="H538" s="9">
        <f>IFERROR(__xludf.DUMMYFUNCTION("""COMPUTED_VALUE"""),1.0)</f>
        <v>1</v>
      </c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</row>
    <row r="539" ht="15.75" customHeight="1">
      <c r="A539" s="11">
        <f>IFERROR(__xludf.DUMMYFUNCTION("""COMPUTED_VALUE"""),44471.0)</f>
        <v>44471</v>
      </c>
      <c r="B539" s="9">
        <f>IFERROR(__xludf.DUMMYFUNCTION("""COMPUTED_VALUE"""),1003363.0)</f>
        <v>1003363</v>
      </c>
      <c r="C539" s="9">
        <f>IFERROR(__xludf.DUMMYFUNCTION("""COMPUTED_VALUE"""),105901.0)</f>
        <v>105901</v>
      </c>
      <c r="D539" s="9"/>
      <c r="E539" s="10" t="str">
        <f>IFERROR(__xludf.DUMMYFUNCTION("""COMPUTED_VALUE"""),"GREENAMIS")</f>
        <v>GREENAMIS</v>
      </c>
      <c r="F539" s="10">
        <f>IFERROR(__xludf.DUMMYFUNCTION("""COMPUTED_VALUE"""),6.56)</f>
        <v>6.56</v>
      </c>
      <c r="G539" s="9">
        <f>IFERROR(__xludf.DUMMYFUNCTION("""COMPUTED_VALUE"""),6.56)</f>
        <v>6.56</v>
      </c>
      <c r="H539" s="9">
        <f>IFERROR(__xludf.DUMMYFUNCTION("""COMPUTED_VALUE"""),1.0)</f>
        <v>1</v>
      </c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</row>
    <row r="540" ht="15.75" customHeight="1">
      <c r="A540" s="11">
        <f>IFERROR(__xludf.DUMMYFUNCTION("""COMPUTED_VALUE"""),44471.0)</f>
        <v>44471</v>
      </c>
      <c r="B540" s="9">
        <f>IFERROR(__xludf.DUMMYFUNCTION("""COMPUTED_VALUE"""),1003363.0)</f>
        <v>1003363</v>
      </c>
      <c r="C540" s="9">
        <f>IFERROR(__xludf.DUMMYFUNCTION("""COMPUTED_VALUE"""),45642.0)</f>
        <v>45642</v>
      </c>
      <c r="D540" s="9"/>
      <c r="E540" s="10" t="str">
        <f>IFERROR(__xludf.DUMMYFUNCTION("""COMPUTED_VALUE"""),"GREENAMIS")</f>
        <v>GREENAMIS</v>
      </c>
      <c r="F540" s="10">
        <f>IFERROR(__xludf.DUMMYFUNCTION("""COMPUTED_VALUE"""),4.12)</f>
        <v>4.12</v>
      </c>
      <c r="G540" s="9">
        <f>IFERROR(__xludf.DUMMYFUNCTION("""COMPUTED_VALUE"""),4.12)</f>
        <v>4.12</v>
      </c>
      <c r="H540" s="9">
        <f>IFERROR(__xludf.DUMMYFUNCTION("""COMPUTED_VALUE"""),1.0)</f>
        <v>1</v>
      </c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</row>
    <row r="541" ht="15.75" customHeight="1">
      <c r="A541" s="11">
        <f>IFERROR(__xludf.DUMMYFUNCTION("""COMPUTED_VALUE"""),44471.0)</f>
        <v>44471</v>
      </c>
      <c r="B541" s="9">
        <f>IFERROR(__xludf.DUMMYFUNCTION("""COMPUTED_VALUE"""),1003363.0)</f>
        <v>1003363</v>
      </c>
      <c r="C541" s="9">
        <f>IFERROR(__xludf.DUMMYFUNCTION("""COMPUTED_VALUE"""),103604.0)</f>
        <v>103604</v>
      </c>
      <c r="D541" s="9"/>
      <c r="E541" s="10" t="str">
        <f>IFERROR(__xludf.DUMMYFUNCTION("""COMPUTED_VALUE"""),"GREENAMIS")</f>
        <v>GREENAMIS</v>
      </c>
      <c r="F541" s="10">
        <f>IFERROR(__xludf.DUMMYFUNCTION("""COMPUTED_VALUE"""),2.44)</f>
        <v>2.44</v>
      </c>
      <c r="G541" s="9">
        <f>IFERROR(__xludf.DUMMYFUNCTION("""COMPUTED_VALUE"""),2.44)</f>
        <v>2.44</v>
      </c>
      <c r="H541" s="9">
        <f>IFERROR(__xludf.DUMMYFUNCTION("""COMPUTED_VALUE"""),1.0)</f>
        <v>1</v>
      </c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</row>
    <row r="542" ht="15.75" customHeight="1">
      <c r="A542" s="11">
        <f>IFERROR(__xludf.DUMMYFUNCTION("""COMPUTED_VALUE"""),44471.0)</f>
        <v>44471</v>
      </c>
      <c r="B542" s="9">
        <f>IFERROR(__xludf.DUMMYFUNCTION("""COMPUTED_VALUE"""),1003363.0)</f>
        <v>1003363</v>
      </c>
      <c r="C542" s="9">
        <f>IFERROR(__xludf.DUMMYFUNCTION("""COMPUTED_VALUE"""),10525.0)</f>
        <v>10525</v>
      </c>
      <c r="D542" s="9"/>
      <c r="E542" s="10" t="str">
        <f>IFERROR(__xludf.DUMMYFUNCTION("""COMPUTED_VALUE"""),"GREENAMIS")</f>
        <v>GREENAMIS</v>
      </c>
      <c r="F542" s="10">
        <f>IFERROR(__xludf.DUMMYFUNCTION("""COMPUTED_VALUE"""),4.14)</f>
        <v>4.14</v>
      </c>
      <c r="G542" s="9">
        <f>IFERROR(__xludf.DUMMYFUNCTION("""COMPUTED_VALUE"""),4.14)</f>
        <v>4.14</v>
      </c>
      <c r="H542" s="9">
        <f>IFERROR(__xludf.DUMMYFUNCTION("""COMPUTED_VALUE"""),1.0)</f>
        <v>1</v>
      </c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</row>
    <row r="543" ht="15.75" customHeight="1">
      <c r="A543" s="11">
        <f>IFERROR(__xludf.DUMMYFUNCTION("""COMPUTED_VALUE"""),44471.0)</f>
        <v>44471</v>
      </c>
      <c r="B543" s="9">
        <f>IFERROR(__xludf.DUMMYFUNCTION("""COMPUTED_VALUE"""),1003363.0)</f>
        <v>1003363</v>
      </c>
      <c r="C543" s="9">
        <f>IFERROR(__xludf.DUMMYFUNCTION("""COMPUTED_VALUE"""),112365.0)</f>
        <v>112365</v>
      </c>
      <c r="D543" s="9"/>
      <c r="E543" s="10" t="str">
        <f>IFERROR(__xludf.DUMMYFUNCTION("""COMPUTED_VALUE"""),"GREENAMIS")</f>
        <v>GREENAMIS</v>
      </c>
      <c r="F543" s="10">
        <f>IFERROR(__xludf.DUMMYFUNCTION("""COMPUTED_VALUE"""),3.09)</f>
        <v>3.09</v>
      </c>
      <c r="G543" s="9">
        <f>IFERROR(__xludf.DUMMYFUNCTION("""COMPUTED_VALUE"""),3.09)</f>
        <v>3.09</v>
      </c>
      <c r="H543" s="9">
        <f>IFERROR(__xludf.DUMMYFUNCTION("""COMPUTED_VALUE"""),1.0)</f>
        <v>1</v>
      </c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</row>
    <row r="544" ht="15.75" customHeight="1">
      <c r="A544" s="11">
        <f>IFERROR(__xludf.DUMMYFUNCTION("""COMPUTED_VALUE"""),44471.0)</f>
        <v>44471</v>
      </c>
      <c r="B544" s="9">
        <f>IFERROR(__xludf.DUMMYFUNCTION("""COMPUTED_VALUE"""),1003363.0)</f>
        <v>1003363</v>
      </c>
      <c r="C544" s="9">
        <f>IFERROR(__xludf.DUMMYFUNCTION("""COMPUTED_VALUE"""),147288.0)</f>
        <v>147288</v>
      </c>
      <c r="D544" s="10" t="str">
        <f>IFERROR(__xludf.DUMMYFUNCTION("""COMPUTED_VALUE"""),"Hygiene intime")</f>
        <v>Hygiene intime</v>
      </c>
      <c r="E544" s="10" t="str">
        <f>IFERROR(__xludf.DUMMYFUNCTION("""COMPUTED_VALUE"""),"GREENAMIS")</f>
        <v>GREENAMIS</v>
      </c>
      <c r="F544" s="10">
        <f>IFERROR(__xludf.DUMMYFUNCTION("""COMPUTED_VALUE"""),5.7)</f>
        <v>5.7</v>
      </c>
      <c r="G544" s="9">
        <f>IFERROR(__xludf.DUMMYFUNCTION("""COMPUTED_VALUE"""),5.13)</f>
        <v>5.13</v>
      </c>
      <c r="H544" s="9">
        <f>IFERROR(__xludf.DUMMYFUNCTION("""COMPUTED_VALUE"""),1.0)</f>
        <v>1</v>
      </c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</row>
    <row r="545" ht="15.75" customHeight="1">
      <c r="A545" s="11">
        <f>IFERROR(__xludf.DUMMYFUNCTION("""COMPUTED_VALUE"""),44471.0)</f>
        <v>44471</v>
      </c>
      <c r="B545" s="9">
        <f>IFERROR(__xludf.DUMMYFUNCTION("""COMPUTED_VALUE"""),1003363.0)</f>
        <v>1003363</v>
      </c>
      <c r="C545" s="9">
        <f>IFERROR(__xludf.DUMMYFUNCTION("""COMPUTED_VALUE"""),121578.0)</f>
        <v>121578</v>
      </c>
      <c r="D545" s="9"/>
      <c r="E545" s="10" t="str">
        <f>IFERROR(__xludf.DUMMYFUNCTION("""COMPUTED_VALUE"""),"GREENAMIS")</f>
        <v>GREENAMIS</v>
      </c>
      <c r="F545" s="10">
        <f>IFERROR(__xludf.DUMMYFUNCTION("""COMPUTED_VALUE"""),6.46)</f>
        <v>6.46</v>
      </c>
      <c r="G545" s="9">
        <f>IFERROR(__xludf.DUMMYFUNCTION("""COMPUTED_VALUE"""),6.46)</f>
        <v>6.46</v>
      </c>
      <c r="H545" s="9">
        <f>IFERROR(__xludf.DUMMYFUNCTION("""COMPUTED_VALUE"""),1.0)</f>
        <v>1</v>
      </c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</row>
    <row r="546" ht="15.75" customHeight="1">
      <c r="A546" s="11">
        <f>IFERROR(__xludf.DUMMYFUNCTION("""COMPUTED_VALUE"""),44471.0)</f>
        <v>44471</v>
      </c>
      <c r="B546" s="9">
        <f>IFERROR(__xludf.DUMMYFUNCTION("""COMPUTED_VALUE"""),1003363.0)</f>
        <v>1003363</v>
      </c>
      <c r="C546" s="9">
        <f>IFERROR(__xludf.DUMMYFUNCTION("""COMPUTED_VALUE"""),7258.0)</f>
        <v>7258</v>
      </c>
      <c r="D546" s="10" t="str">
        <f>IFERROR(__xludf.DUMMYFUNCTION("""COMPUTED_VALUE"""),"Vive le bio")</f>
        <v>Vive le bio</v>
      </c>
      <c r="E546" s="10" t="str">
        <f>IFERROR(__xludf.DUMMYFUNCTION("""COMPUTED_VALUE"""),"GREENAMIS")</f>
        <v>GREENAMIS</v>
      </c>
      <c r="F546" s="10">
        <f>IFERROR(__xludf.DUMMYFUNCTION("""COMPUTED_VALUE"""),5.13684210526315)</f>
        <v>5.136842105</v>
      </c>
      <c r="G546" s="9">
        <f>IFERROR(__xludf.DUMMYFUNCTION("""COMPUTED_VALUE"""),4.88)</f>
        <v>4.88</v>
      </c>
      <c r="H546" s="9">
        <f>IFERROR(__xludf.DUMMYFUNCTION("""COMPUTED_VALUE"""),2.0)</f>
        <v>2</v>
      </c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</row>
    <row r="547" ht="15.75" customHeight="1">
      <c r="A547" s="11">
        <f>IFERROR(__xludf.DUMMYFUNCTION("""COMPUTED_VALUE"""),44471.0)</f>
        <v>44471</v>
      </c>
      <c r="B547" s="9">
        <f>IFERROR(__xludf.DUMMYFUNCTION("""COMPUTED_VALUE"""),1003363.0)</f>
        <v>1003363</v>
      </c>
      <c r="C547" s="9">
        <f>IFERROR(__xludf.DUMMYFUNCTION("""COMPUTED_VALUE"""),46963.0)</f>
        <v>46963</v>
      </c>
      <c r="D547" s="9"/>
      <c r="E547" s="10" t="str">
        <f>IFERROR(__xludf.DUMMYFUNCTION("""COMPUTED_VALUE"""),"GREENAMIS")</f>
        <v>GREENAMIS</v>
      </c>
      <c r="F547" s="10">
        <f>IFERROR(__xludf.DUMMYFUNCTION("""COMPUTED_VALUE"""),21.79)</f>
        <v>21.79</v>
      </c>
      <c r="G547" s="9">
        <f>IFERROR(__xludf.DUMMYFUNCTION("""COMPUTED_VALUE"""),21.79)</f>
        <v>21.79</v>
      </c>
      <c r="H547" s="9">
        <f>IFERROR(__xludf.DUMMYFUNCTION("""COMPUTED_VALUE"""),4.0)</f>
        <v>4</v>
      </c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</row>
    <row r="548" ht="15.75" customHeight="1">
      <c r="A548" s="11">
        <f>IFERROR(__xludf.DUMMYFUNCTION("""COMPUTED_VALUE"""),44471.0)</f>
        <v>44471</v>
      </c>
      <c r="B548" s="9">
        <f>IFERROR(__xludf.DUMMYFUNCTION("""COMPUTED_VALUE"""),1003364.0)</f>
        <v>1003364</v>
      </c>
      <c r="C548" s="9">
        <f>IFERROR(__xludf.DUMMYFUNCTION("""COMPUTED_VALUE"""),76421.0)</f>
        <v>76421</v>
      </c>
      <c r="D548" s="10" t="str">
        <f>IFERROR(__xludf.DUMMYFUNCTION("""COMPUTED_VALUE"""),"Vive le bio")</f>
        <v>Vive le bio</v>
      </c>
      <c r="E548" s="10"/>
      <c r="F548" s="9">
        <f>IFERROR(__xludf.DUMMYFUNCTION("""COMPUTED_VALUE"""),6.96666666666666)</f>
        <v>6.966666667</v>
      </c>
      <c r="G548" s="9">
        <f>IFERROR(__xludf.DUMMYFUNCTION("""COMPUTED_VALUE"""),6.27)</f>
        <v>6.27</v>
      </c>
      <c r="H548" s="9">
        <f>IFERROR(__xludf.DUMMYFUNCTION("""COMPUTED_VALUE"""),1.0)</f>
        <v>1</v>
      </c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</row>
    <row r="549" ht="15.75" customHeight="1">
      <c r="A549" s="11">
        <f>IFERROR(__xludf.DUMMYFUNCTION("""COMPUTED_VALUE"""),44471.0)</f>
        <v>44471</v>
      </c>
      <c r="B549" s="9">
        <f>IFERROR(__xludf.DUMMYFUNCTION("""COMPUTED_VALUE"""),1003364.0)</f>
        <v>1003364</v>
      </c>
      <c r="C549" s="9">
        <f>IFERROR(__xludf.DUMMYFUNCTION("""COMPUTED_VALUE"""),68322.0)</f>
        <v>68322</v>
      </c>
      <c r="D549" s="9"/>
      <c r="E549" s="9"/>
      <c r="F549" s="9">
        <f>IFERROR(__xludf.DUMMYFUNCTION("""COMPUTED_VALUE"""),4.06)</f>
        <v>4.06</v>
      </c>
      <c r="G549" s="9">
        <f>IFERROR(__xludf.DUMMYFUNCTION("""COMPUTED_VALUE"""),4.06)</f>
        <v>4.06</v>
      </c>
      <c r="H549" s="9">
        <f>IFERROR(__xludf.DUMMYFUNCTION("""COMPUTED_VALUE"""),2.0)</f>
        <v>2</v>
      </c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</row>
    <row r="550" ht="15.75" customHeight="1">
      <c r="A550" s="11">
        <f>IFERROR(__xludf.DUMMYFUNCTION("""COMPUTED_VALUE"""),44471.0)</f>
        <v>44471</v>
      </c>
      <c r="B550" s="9">
        <f>IFERROR(__xludf.DUMMYFUNCTION("""COMPUTED_VALUE"""),1003364.0)</f>
        <v>1003364</v>
      </c>
      <c r="C550" s="9">
        <f>IFERROR(__xludf.DUMMYFUNCTION("""COMPUTED_VALUE"""),89210.0)</f>
        <v>89210</v>
      </c>
      <c r="D550" s="9"/>
      <c r="E550" s="9"/>
      <c r="F550" s="9">
        <f>IFERROR(__xludf.DUMMYFUNCTION("""COMPUTED_VALUE"""),41.37)</f>
        <v>41.37</v>
      </c>
      <c r="G550" s="9">
        <f>IFERROR(__xludf.DUMMYFUNCTION("""COMPUTED_VALUE"""),41.37)</f>
        <v>41.37</v>
      </c>
      <c r="H550" s="9">
        <f>IFERROR(__xludf.DUMMYFUNCTION("""COMPUTED_VALUE"""),2.0)</f>
        <v>2</v>
      </c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</row>
    <row r="551" ht="15.75" customHeight="1">
      <c r="A551" s="11">
        <f>IFERROR(__xludf.DUMMYFUNCTION("""COMPUTED_VALUE"""),44471.0)</f>
        <v>44471</v>
      </c>
      <c r="B551" s="9">
        <f>IFERROR(__xludf.DUMMYFUNCTION("""COMPUTED_VALUE"""),1003364.0)</f>
        <v>1003364</v>
      </c>
      <c r="C551" s="9">
        <f>IFERROR(__xludf.DUMMYFUNCTION("""COMPUTED_VALUE"""),104427.0)</f>
        <v>104427</v>
      </c>
      <c r="D551" s="9"/>
      <c r="E551" s="9"/>
      <c r="F551" s="9">
        <f>IFERROR(__xludf.DUMMYFUNCTION("""COMPUTED_VALUE"""),12.3)</f>
        <v>12.3</v>
      </c>
      <c r="G551" s="9">
        <f>IFERROR(__xludf.DUMMYFUNCTION("""COMPUTED_VALUE"""),12.3)</f>
        <v>12.3</v>
      </c>
      <c r="H551" s="9">
        <f>IFERROR(__xludf.DUMMYFUNCTION("""COMPUTED_VALUE"""),2.0)</f>
        <v>2</v>
      </c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</row>
    <row r="552" ht="15.75" customHeight="1">
      <c r="A552" s="11">
        <f>IFERROR(__xludf.DUMMYFUNCTION("""COMPUTED_VALUE"""),44471.0)</f>
        <v>44471</v>
      </c>
      <c r="B552" s="9">
        <f>IFERROR(__xludf.DUMMYFUNCTION("""COMPUTED_VALUE"""),1003364.0)</f>
        <v>1003364</v>
      </c>
      <c r="C552" s="9">
        <f>IFERROR(__xludf.DUMMYFUNCTION("""COMPUTED_VALUE"""),48279.0)</f>
        <v>48279</v>
      </c>
      <c r="D552" s="9"/>
      <c r="E552" s="9"/>
      <c r="F552" s="9">
        <f>IFERROR(__xludf.DUMMYFUNCTION("""COMPUTED_VALUE"""),7.25)</f>
        <v>7.25</v>
      </c>
      <c r="G552" s="9">
        <f>IFERROR(__xludf.DUMMYFUNCTION("""COMPUTED_VALUE"""),7.25)</f>
        <v>7.25</v>
      </c>
      <c r="H552" s="9">
        <f>IFERROR(__xludf.DUMMYFUNCTION("""COMPUTED_VALUE"""),3.0)</f>
        <v>3</v>
      </c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</row>
    <row r="553" ht="15.75" customHeight="1">
      <c r="A553" s="11">
        <f>IFERROR(__xludf.DUMMYFUNCTION("""COMPUTED_VALUE"""),44471.0)</f>
        <v>44471</v>
      </c>
      <c r="B553" s="9">
        <f>IFERROR(__xludf.DUMMYFUNCTION("""COMPUTED_VALUE"""),1003365.0)</f>
        <v>1003365</v>
      </c>
      <c r="C553" s="9">
        <f>IFERROR(__xludf.DUMMYFUNCTION("""COMPUTED_VALUE"""),9546.0)</f>
        <v>9546</v>
      </c>
      <c r="D553" s="9"/>
      <c r="E553" s="10" t="str">
        <f>IFERROR(__xludf.DUMMYFUNCTION("""COMPUTED_VALUE"""),"HAPPEEZ")</f>
        <v>HAPPEEZ</v>
      </c>
      <c r="F553" s="10">
        <f>IFERROR(__xludf.DUMMYFUNCTION("""COMPUTED_VALUE"""),2.27)</f>
        <v>2.27</v>
      </c>
      <c r="G553" s="9">
        <f>IFERROR(__xludf.DUMMYFUNCTION("""COMPUTED_VALUE"""),2.27)</f>
        <v>2.27</v>
      </c>
      <c r="H553" s="9">
        <f>IFERROR(__xludf.DUMMYFUNCTION("""COMPUTED_VALUE"""),1.0)</f>
        <v>1</v>
      </c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</row>
    <row r="554" ht="15.75" customHeight="1">
      <c r="A554" s="11">
        <f>IFERROR(__xludf.DUMMYFUNCTION("""COMPUTED_VALUE"""),44471.0)</f>
        <v>44471</v>
      </c>
      <c r="B554" s="9">
        <f>IFERROR(__xludf.DUMMYFUNCTION("""COMPUTED_VALUE"""),1003365.0)</f>
        <v>1003365</v>
      </c>
      <c r="C554" s="9">
        <f>IFERROR(__xludf.DUMMYFUNCTION("""COMPUTED_VALUE"""),117595.0)</f>
        <v>117595</v>
      </c>
      <c r="D554" s="9"/>
      <c r="E554" s="10" t="str">
        <f>IFERROR(__xludf.DUMMYFUNCTION("""COMPUTED_VALUE"""),"HAPPEEZ")</f>
        <v>HAPPEEZ</v>
      </c>
      <c r="F554" s="10">
        <f>IFERROR(__xludf.DUMMYFUNCTION("""COMPUTED_VALUE"""),12.64)</f>
        <v>12.64</v>
      </c>
      <c r="G554" s="9">
        <f>IFERROR(__xludf.DUMMYFUNCTION("""COMPUTED_VALUE"""),12.64)</f>
        <v>12.64</v>
      </c>
      <c r="H554" s="9">
        <f>IFERROR(__xludf.DUMMYFUNCTION("""COMPUTED_VALUE"""),1.0)</f>
        <v>1</v>
      </c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</row>
    <row r="555" ht="15.75" customHeight="1">
      <c r="A555" s="11">
        <f>IFERROR(__xludf.DUMMYFUNCTION("""COMPUTED_VALUE"""),44471.0)</f>
        <v>44471</v>
      </c>
      <c r="B555" s="9">
        <f>IFERROR(__xludf.DUMMYFUNCTION("""COMPUTED_VALUE"""),1003365.0)</f>
        <v>1003365</v>
      </c>
      <c r="C555" s="9">
        <f>IFERROR(__xludf.DUMMYFUNCTION("""COMPUTED_VALUE"""),110854.0)</f>
        <v>110854</v>
      </c>
      <c r="D555" s="9"/>
      <c r="E555" s="10" t="str">
        <f>IFERROR(__xludf.DUMMYFUNCTION("""COMPUTED_VALUE"""),"HAPPEEZ")</f>
        <v>HAPPEEZ</v>
      </c>
      <c r="F555" s="10">
        <f>IFERROR(__xludf.DUMMYFUNCTION("""COMPUTED_VALUE"""),10.41)</f>
        <v>10.41</v>
      </c>
      <c r="G555" s="9">
        <f>IFERROR(__xludf.DUMMYFUNCTION("""COMPUTED_VALUE"""),10.41)</f>
        <v>10.41</v>
      </c>
      <c r="H555" s="9">
        <f>IFERROR(__xludf.DUMMYFUNCTION("""COMPUTED_VALUE"""),1.0)</f>
        <v>1</v>
      </c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</row>
    <row r="556" ht="15.75" customHeight="1">
      <c r="A556" s="11">
        <f>IFERROR(__xludf.DUMMYFUNCTION("""COMPUTED_VALUE"""),44471.0)</f>
        <v>44471</v>
      </c>
      <c r="B556" s="9">
        <f>IFERROR(__xludf.DUMMYFUNCTION("""COMPUTED_VALUE"""),1003365.0)</f>
        <v>1003365</v>
      </c>
      <c r="C556" s="9">
        <f>IFERROR(__xludf.DUMMYFUNCTION("""COMPUTED_VALUE"""),86852.0)</f>
        <v>86852</v>
      </c>
      <c r="D556" s="9"/>
      <c r="E556" s="10" t="str">
        <f>IFERROR(__xludf.DUMMYFUNCTION("""COMPUTED_VALUE"""),"HAPPEEZ")</f>
        <v>HAPPEEZ</v>
      </c>
      <c r="F556" s="10">
        <f>IFERROR(__xludf.DUMMYFUNCTION("""COMPUTED_VALUE"""),2.45)</f>
        <v>2.45</v>
      </c>
      <c r="G556" s="9">
        <f>IFERROR(__xludf.DUMMYFUNCTION("""COMPUTED_VALUE"""),2.45)</f>
        <v>2.45</v>
      </c>
      <c r="H556" s="9">
        <f>IFERROR(__xludf.DUMMYFUNCTION("""COMPUTED_VALUE"""),1.0)</f>
        <v>1</v>
      </c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</row>
    <row r="557" ht="15.75" customHeight="1">
      <c r="A557" s="11">
        <f>IFERROR(__xludf.DUMMYFUNCTION("""COMPUTED_VALUE"""),44471.0)</f>
        <v>44471</v>
      </c>
      <c r="B557" s="9">
        <f>IFERROR(__xludf.DUMMYFUNCTION("""COMPUTED_VALUE"""),1003365.0)</f>
        <v>1003365</v>
      </c>
      <c r="C557" s="9">
        <f>IFERROR(__xludf.DUMMYFUNCTION("""COMPUTED_VALUE"""),27765.0)</f>
        <v>27765</v>
      </c>
      <c r="D557" s="9"/>
      <c r="E557" s="10" t="str">
        <f>IFERROR(__xludf.DUMMYFUNCTION("""COMPUTED_VALUE"""),"HAPPEEZ")</f>
        <v>HAPPEEZ</v>
      </c>
      <c r="F557" s="10">
        <f>IFERROR(__xludf.DUMMYFUNCTION("""COMPUTED_VALUE"""),7.44)</f>
        <v>7.44</v>
      </c>
      <c r="G557" s="9">
        <f>IFERROR(__xludf.DUMMYFUNCTION("""COMPUTED_VALUE"""),7.44)</f>
        <v>7.44</v>
      </c>
      <c r="H557" s="9">
        <f>IFERROR(__xludf.DUMMYFUNCTION("""COMPUTED_VALUE"""),1.0)</f>
        <v>1</v>
      </c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</row>
    <row r="558" ht="15.75" customHeight="1">
      <c r="A558" s="11">
        <f>IFERROR(__xludf.DUMMYFUNCTION("""COMPUTED_VALUE"""),44471.0)</f>
        <v>44471</v>
      </c>
      <c r="B558" s="9">
        <f>IFERROR(__xludf.DUMMYFUNCTION("""COMPUTED_VALUE"""),1003365.0)</f>
        <v>1003365</v>
      </c>
      <c r="C558" s="9">
        <f>IFERROR(__xludf.DUMMYFUNCTION("""COMPUTED_VALUE"""),69329.0)</f>
        <v>69329</v>
      </c>
      <c r="D558" s="9"/>
      <c r="E558" s="10" t="str">
        <f>IFERROR(__xludf.DUMMYFUNCTION("""COMPUTED_VALUE"""),"HAPPEEZ")</f>
        <v>HAPPEEZ</v>
      </c>
      <c r="F558" s="10">
        <f>IFERROR(__xludf.DUMMYFUNCTION("""COMPUTED_VALUE"""),5.95)</f>
        <v>5.95</v>
      </c>
      <c r="G558" s="9">
        <f>IFERROR(__xludf.DUMMYFUNCTION("""COMPUTED_VALUE"""),5.95)</f>
        <v>5.95</v>
      </c>
      <c r="H558" s="9">
        <f>IFERROR(__xludf.DUMMYFUNCTION("""COMPUTED_VALUE"""),1.0)</f>
        <v>1</v>
      </c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</row>
    <row r="559" ht="15.75" customHeight="1">
      <c r="A559" s="11">
        <f>IFERROR(__xludf.DUMMYFUNCTION("""COMPUTED_VALUE"""),44471.0)</f>
        <v>44471</v>
      </c>
      <c r="B559" s="9">
        <f>IFERROR(__xludf.DUMMYFUNCTION("""COMPUTED_VALUE"""),1003365.0)</f>
        <v>1003365</v>
      </c>
      <c r="C559" s="9">
        <f>IFERROR(__xludf.DUMMYFUNCTION("""COMPUTED_VALUE"""),110436.0)</f>
        <v>110436</v>
      </c>
      <c r="D559" s="9"/>
      <c r="E559" s="10" t="str">
        <f>IFERROR(__xludf.DUMMYFUNCTION("""COMPUTED_VALUE"""),"HAPPEEZ")</f>
        <v>HAPPEEZ</v>
      </c>
      <c r="F559" s="10">
        <f>IFERROR(__xludf.DUMMYFUNCTION("""COMPUTED_VALUE"""),6.7)</f>
        <v>6.7</v>
      </c>
      <c r="G559" s="9">
        <f>IFERROR(__xludf.DUMMYFUNCTION("""COMPUTED_VALUE"""),6.7)</f>
        <v>6.7</v>
      </c>
      <c r="H559" s="9">
        <f>IFERROR(__xludf.DUMMYFUNCTION("""COMPUTED_VALUE"""),1.0)</f>
        <v>1</v>
      </c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</row>
    <row r="560" ht="15.75" customHeight="1">
      <c r="A560" s="11">
        <f>IFERROR(__xludf.DUMMYFUNCTION("""COMPUTED_VALUE"""),44471.0)</f>
        <v>44471</v>
      </c>
      <c r="B560" s="9">
        <f>IFERROR(__xludf.DUMMYFUNCTION("""COMPUTED_VALUE"""),1003365.0)</f>
        <v>1003365</v>
      </c>
      <c r="C560" s="9">
        <f>IFERROR(__xludf.DUMMYFUNCTION("""COMPUTED_VALUE"""),108841.0)</f>
        <v>108841</v>
      </c>
      <c r="D560" s="10" t="str">
        <f>IFERROR(__xludf.DUMMYFUNCTION("""COMPUTED_VALUE"""),"Offre Speciale")</f>
        <v>Offre Speciale</v>
      </c>
      <c r="E560" s="10" t="str">
        <f>IFERROR(__xludf.DUMMYFUNCTION("""COMPUTED_VALUE"""),"HAPPEEZ")</f>
        <v>HAPPEEZ</v>
      </c>
      <c r="F560" s="10">
        <f>IFERROR(__xludf.DUMMYFUNCTION("""COMPUTED_VALUE"""),6.47560975609756)</f>
        <v>6.475609756</v>
      </c>
      <c r="G560" s="9">
        <f>IFERROR(__xludf.DUMMYFUNCTION("""COMPUTED_VALUE"""),5.31)</f>
        <v>5.31</v>
      </c>
      <c r="H560" s="9">
        <f>IFERROR(__xludf.DUMMYFUNCTION("""COMPUTED_VALUE"""),1.0)</f>
        <v>1</v>
      </c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</row>
    <row r="561" ht="15.75" customHeight="1">
      <c r="A561" s="11">
        <f>IFERROR(__xludf.DUMMYFUNCTION("""COMPUTED_VALUE"""),44471.0)</f>
        <v>44471</v>
      </c>
      <c r="B561" s="9">
        <f>IFERROR(__xludf.DUMMYFUNCTION("""COMPUTED_VALUE"""),1003365.0)</f>
        <v>1003365</v>
      </c>
      <c r="C561" s="9">
        <f>IFERROR(__xludf.DUMMYFUNCTION("""COMPUTED_VALUE"""),108892.0)</f>
        <v>108892</v>
      </c>
      <c r="D561" s="9"/>
      <c r="E561" s="10" t="str">
        <f>IFERROR(__xludf.DUMMYFUNCTION("""COMPUTED_VALUE"""),"HAPPEEZ")</f>
        <v>HAPPEEZ</v>
      </c>
      <c r="F561" s="10">
        <f>IFERROR(__xludf.DUMMYFUNCTION("""COMPUTED_VALUE"""),7.43)</f>
        <v>7.43</v>
      </c>
      <c r="G561" s="9">
        <f>IFERROR(__xludf.DUMMYFUNCTION("""COMPUTED_VALUE"""),7.43)</f>
        <v>7.43</v>
      </c>
      <c r="H561" s="9">
        <f>IFERROR(__xludf.DUMMYFUNCTION("""COMPUTED_VALUE"""),3.0)</f>
        <v>3</v>
      </c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</row>
    <row r="562" ht="15.75" customHeight="1">
      <c r="A562" s="11">
        <f>IFERROR(__xludf.DUMMYFUNCTION("""COMPUTED_VALUE"""),44471.0)</f>
        <v>44471</v>
      </c>
      <c r="B562" s="9">
        <f>IFERROR(__xludf.DUMMYFUNCTION("""COMPUTED_VALUE"""),1003365.0)</f>
        <v>1003365</v>
      </c>
      <c r="C562" s="9">
        <f>IFERROR(__xludf.DUMMYFUNCTION("""COMPUTED_VALUE"""),108897.0)</f>
        <v>108897</v>
      </c>
      <c r="D562" s="9"/>
      <c r="E562" s="10" t="str">
        <f>IFERROR(__xludf.DUMMYFUNCTION("""COMPUTED_VALUE"""),"HAPPEEZ")</f>
        <v>HAPPEEZ</v>
      </c>
      <c r="F562" s="10">
        <f>IFERROR(__xludf.DUMMYFUNCTION("""COMPUTED_VALUE"""),5.73)</f>
        <v>5.73</v>
      </c>
      <c r="G562" s="9">
        <f>IFERROR(__xludf.DUMMYFUNCTION("""COMPUTED_VALUE"""),5.73)</f>
        <v>5.73</v>
      </c>
      <c r="H562" s="9">
        <f>IFERROR(__xludf.DUMMYFUNCTION("""COMPUTED_VALUE"""),3.0)</f>
        <v>3</v>
      </c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</row>
    <row r="563" ht="15.75" customHeight="1">
      <c r="A563" s="11">
        <f>IFERROR(__xludf.DUMMYFUNCTION("""COMPUTED_VALUE"""),44471.0)</f>
        <v>44471</v>
      </c>
      <c r="B563" s="9">
        <f>IFERROR(__xludf.DUMMYFUNCTION("""COMPUTED_VALUE"""),1003366.0)</f>
        <v>1003366</v>
      </c>
      <c r="C563" s="9">
        <f>IFERROR(__xludf.DUMMYFUNCTION("""COMPUTED_VALUE"""),156029.0)</f>
        <v>156029</v>
      </c>
      <c r="D563" s="9"/>
      <c r="E563" s="9"/>
      <c r="F563" s="9">
        <f>IFERROR(__xludf.DUMMYFUNCTION("""COMPUTED_VALUE"""),13.74)</f>
        <v>13.74</v>
      </c>
      <c r="G563" s="9">
        <f>IFERROR(__xludf.DUMMYFUNCTION("""COMPUTED_VALUE"""),13.74)</f>
        <v>13.74</v>
      </c>
      <c r="H563" s="9">
        <f>IFERROR(__xludf.DUMMYFUNCTION("""COMPUTED_VALUE"""),1.0)</f>
        <v>1</v>
      </c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</row>
    <row r="564" ht="15.75" customHeight="1">
      <c r="A564" s="11">
        <f>IFERROR(__xludf.DUMMYFUNCTION("""COMPUTED_VALUE"""),44471.0)</f>
        <v>44471</v>
      </c>
      <c r="B564" s="9">
        <f>IFERROR(__xludf.DUMMYFUNCTION("""COMPUTED_VALUE"""),1003366.0)</f>
        <v>1003366</v>
      </c>
      <c r="C564" s="9">
        <f>IFERROR(__xludf.DUMMYFUNCTION("""COMPUTED_VALUE"""),156019.0)</f>
        <v>156019</v>
      </c>
      <c r="D564" s="9"/>
      <c r="E564" s="9"/>
      <c r="F564" s="9">
        <f>IFERROR(__xludf.DUMMYFUNCTION("""COMPUTED_VALUE"""),9.09)</f>
        <v>9.09</v>
      </c>
      <c r="G564" s="9">
        <f>IFERROR(__xludf.DUMMYFUNCTION("""COMPUTED_VALUE"""),9.09)</f>
        <v>9.09</v>
      </c>
      <c r="H564" s="9">
        <f>IFERROR(__xludf.DUMMYFUNCTION("""COMPUTED_VALUE"""),1.0)</f>
        <v>1</v>
      </c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</row>
    <row r="565" ht="15.75" customHeight="1">
      <c r="A565" s="11">
        <f>IFERROR(__xludf.DUMMYFUNCTION("""COMPUTED_VALUE"""),44471.0)</f>
        <v>44471</v>
      </c>
      <c r="B565" s="9">
        <f>IFERROR(__xludf.DUMMYFUNCTION("""COMPUTED_VALUE"""),1003367.0)</f>
        <v>1003367</v>
      </c>
      <c r="C565" s="9">
        <f>IFERROR(__xludf.DUMMYFUNCTION("""COMPUTED_VALUE"""),47648.0)</f>
        <v>47648</v>
      </c>
      <c r="D565" s="10" t="str">
        <f>IFERROR(__xludf.DUMMYFUNCTION("""COMPUTED_VALUE"""),"Vive le bio")</f>
        <v>Vive le bio</v>
      </c>
      <c r="E565" s="10"/>
      <c r="F565" s="9">
        <f>IFERROR(__xludf.DUMMYFUNCTION("""COMPUTED_VALUE"""),1.76666666666666)</f>
        <v>1.766666667</v>
      </c>
      <c r="G565" s="9">
        <f>IFERROR(__xludf.DUMMYFUNCTION("""COMPUTED_VALUE"""),1.59)</f>
        <v>1.59</v>
      </c>
      <c r="H565" s="9">
        <f>IFERROR(__xludf.DUMMYFUNCTION("""COMPUTED_VALUE"""),1.0)</f>
        <v>1</v>
      </c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</row>
    <row r="566" ht="15.75" customHeight="1">
      <c r="A566" s="11">
        <f>IFERROR(__xludf.DUMMYFUNCTION("""COMPUTED_VALUE"""),44471.0)</f>
        <v>44471</v>
      </c>
      <c r="B566" s="9">
        <f>IFERROR(__xludf.DUMMYFUNCTION("""COMPUTED_VALUE"""),1003367.0)</f>
        <v>1003367</v>
      </c>
      <c r="C566" s="9">
        <f>IFERROR(__xludf.DUMMYFUNCTION("""COMPUTED_VALUE"""),119252.0)</f>
        <v>119252</v>
      </c>
      <c r="D566" s="9"/>
      <c r="E566" s="9"/>
      <c r="F566" s="9">
        <f>IFERROR(__xludf.DUMMYFUNCTION("""COMPUTED_VALUE"""),3.92)</f>
        <v>3.92</v>
      </c>
      <c r="G566" s="9">
        <f>IFERROR(__xludf.DUMMYFUNCTION("""COMPUTED_VALUE"""),3.92)</f>
        <v>3.92</v>
      </c>
      <c r="H566" s="9">
        <f>IFERROR(__xludf.DUMMYFUNCTION("""COMPUTED_VALUE"""),1.0)</f>
        <v>1</v>
      </c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</row>
    <row r="567" ht="15.75" customHeight="1">
      <c r="A567" s="11">
        <f>IFERROR(__xludf.DUMMYFUNCTION("""COMPUTED_VALUE"""),44471.0)</f>
        <v>44471</v>
      </c>
      <c r="B567" s="9">
        <f>IFERROR(__xludf.DUMMYFUNCTION("""COMPUTED_VALUE"""),1003367.0)</f>
        <v>1003367</v>
      </c>
      <c r="C567" s="9">
        <f>IFERROR(__xludf.DUMMYFUNCTION("""COMPUTED_VALUE"""),9599.0)</f>
        <v>9599</v>
      </c>
      <c r="D567" s="9"/>
      <c r="E567" s="9"/>
      <c r="F567" s="9">
        <f>IFERROR(__xludf.DUMMYFUNCTION("""COMPUTED_VALUE"""),3.05)</f>
        <v>3.05</v>
      </c>
      <c r="G567" s="9">
        <f>IFERROR(__xludf.DUMMYFUNCTION("""COMPUTED_VALUE"""),3.05)</f>
        <v>3.05</v>
      </c>
      <c r="H567" s="9">
        <f>IFERROR(__xludf.DUMMYFUNCTION("""COMPUTED_VALUE"""),1.0)</f>
        <v>1</v>
      </c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</row>
    <row r="568" ht="15.75" customHeight="1">
      <c r="A568" s="11">
        <f>IFERROR(__xludf.DUMMYFUNCTION("""COMPUTED_VALUE"""),44471.0)</f>
        <v>44471</v>
      </c>
      <c r="B568" s="9">
        <f>IFERROR(__xludf.DUMMYFUNCTION("""COMPUTED_VALUE"""),1003367.0)</f>
        <v>1003367</v>
      </c>
      <c r="C568" s="9">
        <f>IFERROR(__xludf.DUMMYFUNCTION("""COMPUTED_VALUE"""),9502.0)</f>
        <v>9502</v>
      </c>
      <c r="D568" s="9"/>
      <c r="E568" s="9"/>
      <c r="F568" s="9">
        <f>IFERROR(__xludf.DUMMYFUNCTION("""COMPUTED_VALUE"""),1.42)</f>
        <v>1.42</v>
      </c>
      <c r="G568" s="9">
        <f>IFERROR(__xludf.DUMMYFUNCTION("""COMPUTED_VALUE"""),1.42)</f>
        <v>1.42</v>
      </c>
      <c r="H568" s="9">
        <f>IFERROR(__xludf.DUMMYFUNCTION("""COMPUTED_VALUE"""),1.0)</f>
        <v>1</v>
      </c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</row>
    <row r="569" ht="15.75" customHeight="1">
      <c r="A569" s="11">
        <f>IFERROR(__xludf.DUMMYFUNCTION("""COMPUTED_VALUE"""),44471.0)</f>
        <v>44471</v>
      </c>
      <c r="B569" s="9">
        <f>IFERROR(__xludf.DUMMYFUNCTION("""COMPUTED_VALUE"""),1003367.0)</f>
        <v>1003367</v>
      </c>
      <c r="C569" s="9">
        <f>IFERROR(__xludf.DUMMYFUNCTION("""COMPUTED_VALUE"""),109579.0)</f>
        <v>109579</v>
      </c>
      <c r="D569" s="9"/>
      <c r="E569" s="9"/>
      <c r="F569" s="9">
        <f>IFERROR(__xludf.DUMMYFUNCTION("""COMPUTED_VALUE"""),17.88)</f>
        <v>17.88</v>
      </c>
      <c r="G569" s="9">
        <f>IFERROR(__xludf.DUMMYFUNCTION("""COMPUTED_VALUE"""),17.88)</f>
        <v>17.88</v>
      </c>
      <c r="H569" s="9">
        <f>IFERROR(__xludf.DUMMYFUNCTION("""COMPUTED_VALUE"""),1.0)</f>
        <v>1</v>
      </c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</row>
    <row r="570" ht="15.75" customHeight="1">
      <c r="A570" s="11">
        <f>IFERROR(__xludf.DUMMYFUNCTION("""COMPUTED_VALUE"""),44471.0)</f>
        <v>44471</v>
      </c>
      <c r="B570" s="9">
        <f>IFERROR(__xludf.DUMMYFUNCTION("""COMPUTED_VALUE"""),1003368.0)</f>
        <v>1003368</v>
      </c>
      <c r="C570" s="9">
        <f>IFERROR(__xludf.DUMMYFUNCTION("""COMPUTED_VALUE"""),102188.0)</f>
        <v>102188</v>
      </c>
      <c r="D570" s="9"/>
      <c r="E570" s="9"/>
      <c r="F570" s="9">
        <f>IFERROR(__xludf.DUMMYFUNCTION("""COMPUTED_VALUE"""),2.76)</f>
        <v>2.76</v>
      </c>
      <c r="G570" s="9">
        <f>IFERROR(__xludf.DUMMYFUNCTION("""COMPUTED_VALUE"""),2.76)</f>
        <v>2.76</v>
      </c>
      <c r="H570" s="9">
        <f>IFERROR(__xludf.DUMMYFUNCTION("""COMPUTED_VALUE"""),1.0)</f>
        <v>1</v>
      </c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</row>
    <row r="571" ht="15.75" customHeight="1">
      <c r="A571" s="11">
        <f>IFERROR(__xludf.DUMMYFUNCTION("""COMPUTED_VALUE"""),44471.0)</f>
        <v>44471</v>
      </c>
      <c r="B571" s="9">
        <f>IFERROR(__xludf.DUMMYFUNCTION("""COMPUTED_VALUE"""),1003368.0)</f>
        <v>1003368</v>
      </c>
      <c r="C571" s="9">
        <f>IFERROR(__xludf.DUMMYFUNCTION("""COMPUTED_VALUE"""),44705.0)</f>
        <v>44705</v>
      </c>
      <c r="D571" s="9"/>
      <c r="E571" s="9"/>
      <c r="F571" s="9">
        <f>IFERROR(__xludf.DUMMYFUNCTION("""COMPUTED_VALUE"""),2.39)</f>
        <v>2.39</v>
      </c>
      <c r="G571" s="9">
        <f>IFERROR(__xludf.DUMMYFUNCTION("""COMPUTED_VALUE"""),2.39)</f>
        <v>2.39</v>
      </c>
      <c r="H571" s="9">
        <f>IFERROR(__xludf.DUMMYFUNCTION("""COMPUTED_VALUE"""),1.0)</f>
        <v>1</v>
      </c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</row>
    <row r="572" ht="15.75" customHeight="1">
      <c r="A572" s="11">
        <f>IFERROR(__xludf.DUMMYFUNCTION("""COMPUTED_VALUE"""),44471.0)</f>
        <v>44471</v>
      </c>
      <c r="B572" s="9">
        <f>IFERROR(__xludf.DUMMYFUNCTION("""COMPUTED_VALUE"""),1003368.0)</f>
        <v>1003368</v>
      </c>
      <c r="C572" s="9">
        <f>IFERROR(__xludf.DUMMYFUNCTION("""COMPUTED_VALUE"""),8695.0)</f>
        <v>8695</v>
      </c>
      <c r="D572" s="10" t="str">
        <f>IFERROR(__xludf.DUMMYFUNCTION("""COMPUTED_VALUE"""),"Offre speciale")</f>
        <v>Offre speciale</v>
      </c>
      <c r="E572" s="10"/>
      <c r="F572" s="9">
        <f>IFERROR(__xludf.DUMMYFUNCTION("""COMPUTED_VALUE"""),2.14117647058823)</f>
        <v>2.141176471</v>
      </c>
      <c r="G572" s="9">
        <f>IFERROR(__xludf.DUMMYFUNCTION("""COMPUTED_VALUE"""),1.82)</f>
        <v>1.82</v>
      </c>
      <c r="H572" s="9">
        <f>IFERROR(__xludf.DUMMYFUNCTION("""COMPUTED_VALUE"""),1.0)</f>
        <v>1</v>
      </c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</row>
    <row r="573" ht="15.75" customHeight="1">
      <c r="A573" s="11">
        <f>IFERROR(__xludf.DUMMYFUNCTION("""COMPUTED_VALUE"""),44471.0)</f>
        <v>44471</v>
      </c>
      <c r="B573" s="9">
        <f>IFERROR(__xludf.DUMMYFUNCTION("""COMPUTED_VALUE"""),1003368.0)</f>
        <v>1003368</v>
      </c>
      <c r="C573" s="9">
        <f>IFERROR(__xludf.DUMMYFUNCTION("""COMPUTED_VALUE"""),85839.0)</f>
        <v>85839</v>
      </c>
      <c r="D573" s="9"/>
      <c r="E573" s="9"/>
      <c r="F573" s="9">
        <f>IFERROR(__xludf.DUMMYFUNCTION("""COMPUTED_VALUE"""),2.27)</f>
        <v>2.27</v>
      </c>
      <c r="G573" s="9">
        <f>IFERROR(__xludf.DUMMYFUNCTION("""COMPUTED_VALUE"""),2.27)</f>
        <v>2.27</v>
      </c>
      <c r="H573" s="9">
        <f>IFERROR(__xludf.DUMMYFUNCTION("""COMPUTED_VALUE"""),1.0)</f>
        <v>1</v>
      </c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</row>
    <row r="574" ht="15.75" customHeight="1">
      <c r="A574" s="11">
        <f>IFERROR(__xludf.DUMMYFUNCTION("""COMPUTED_VALUE"""),44471.0)</f>
        <v>44471</v>
      </c>
      <c r="B574" s="9">
        <f>IFERROR(__xludf.DUMMYFUNCTION("""COMPUTED_VALUE"""),1003368.0)</f>
        <v>1003368</v>
      </c>
      <c r="C574" s="9">
        <f>IFERROR(__xludf.DUMMYFUNCTION("""COMPUTED_VALUE"""),68322.0)</f>
        <v>68322</v>
      </c>
      <c r="D574" s="9"/>
      <c r="E574" s="9"/>
      <c r="F574" s="9">
        <f>IFERROR(__xludf.DUMMYFUNCTION("""COMPUTED_VALUE"""),2.03)</f>
        <v>2.03</v>
      </c>
      <c r="G574" s="9">
        <f>IFERROR(__xludf.DUMMYFUNCTION("""COMPUTED_VALUE"""),2.03)</f>
        <v>2.03</v>
      </c>
      <c r="H574" s="9">
        <f>IFERROR(__xludf.DUMMYFUNCTION("""COMPUTED_VALUE"""),1.0)</f>
        <v>1</v>
      </c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</row>
    <row r="575" ht="15.75" customHeight="1">
      <c r="A575" s="11">
        <f>IFERROR(__xludf.DUMMYFUNCTION("""COMPUTED_VALUE"""),44471.0)</f>
        <v>44471</v>
      </c>
      <c r="B575" s="9">
        <f>IFERROR(__xludf.DUMMYFUNCTION("""COMPUTED_VALUE"""),1003368.0)</f>
        <v>1003368</v>
      </c>
      <c r="C575" s="9">
        <f>IFERROR(__xludf.DUMMYFUNCTION("""COMPUTED_VALUE"""),182274.0)</f>
        <v>182274</v>
      </c>
      <c r="D575" s="9"/>
      <c r="E575" s="9"/>
      <c r="F575" s="9">
        <f>IFERROR(__xludf.DUMMYFUNCTION("""COMPUTED_VALUE"""),2.03)</f>
        <v>2.03</v>
      </c>
      <c r="G575" s="9">
        <f>IFERROR(__xludf.DUMMYFUNCTION("""COMPUTED_VALUE"""),2.03)</f>
        <v>2.03</v>
      </c>
      <c r="H575" s="9">
        <f>IFERROR(__xludf.DUMMYFUNCTION("""COMPUTED_VALUE"""),1.0)</f>
        <v>1</v>
      </c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</row>
    <row r="576" ht="15.75" customHeight="1">
      <c r="A576" s="11">
        <f>IFERROR(__xludf.DUMMYFUNCTION("""COMPUTED_VALUE"""),44471.0)</f>
        <v>44471</v>
      </c>
      <c r="B576" s="9">
        <f>IFERROR(__xludf.DUMMYFUNCTION("""COMPUTED_VALUE"""),1003368.0)</f>
        <v>1003368</v>
      </c>
      <c r="C576" s="9">
        <f>IFERROR(__xludf.DUMMYFUNCTION("""COMPUTED_VALUE"""),122081.0)</f>
        <v>122081</v>
      </c>
      <c r="D576" s="9"/>
      <c r="E576" s="9"/>
      <c r="F576" s="9">
        <f>IFERROR(__xludf.DUMMYFUNCTION("""COMPUTED_VALUE"""),1.64)</f>
        <v>1.64</v>
      </c>
      <c r="G576" s="9">
        <f>IFERROR(__xludf.DUMMYFUNCTION("""COMPUTED_VALUE"""),1.64)</f>
        <v>1.64</v>
      </c>
      <c r="H576" s="9">
        <f>IFERROR(__xludf.DUMMYFUNCTION("""COMPUTED_VALUE"""),1.0)</f>
        <v>1</v>
      </c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</row>
    <row r="577" ht="15.75" customHeight="1">
      <c r="A577" s="11">
        <f>IFERROR(__xludf.DUMMYFUNCTION("""COMPUTED_VALUE"""),44471.0)</f>
        <v>44471</v>
      </c>
      <c r="B577" s="9">
        <f>IFERROR(__xludf.DUMMYFUNCTION("""COMPUTED_VALUE"""),1003368.0)</f>
        <v>1003368</v>
      </c>
      <c r="C577" s="9">
        <f>IFERROR(__xludf.DUMMYFUNCTION("""COMPUTED_VALUE"""),68403.0)</f>
        <v>68403</v>
      </c>
      <c r="D577" s="9"/>
      <c r="E577" s="9"/>
      <c r="F577" s="9">
        <f>IFERROR(__xludf.DUMMYFUNCTION("""COMPUTED_VALUE"""),1.89)</f>
        <v>1.89</v>
      </c>
      <c r="G577" s="9">
        <f>IFERROR(__xludf.DUMMYFUNCTION("""COMPUTED_VALUE"""),1.89)</f>
        <v>1.89</v>
      </c>
      <c r="H577" s="9">
        <f>IFERROR(__xludf.DUMMYFUNCTION("""COMPUTED_VALUE"""),1.0)</f>
        <v>1</v>
      </c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</row>
    <row r="578" ht="15.75" customHeight="1">
      <c r="A578" s="11">
        <f>IFERROR(__xludf.DUMMYFUNCTION("""COMPUTED_VALUE"""),44471.0)</f>
        <v>44471</v>
      </c>
      <c r="B578" s="9">
        <f>IFERROR(__xludf.DUMMYFUNCTION("""COMPUTED_VALUE"""),1003368.0)</f>
        <v>1003368</v>
      </c>
      <c r="C578" s="9">
        <f>IFERROR(__xludf.DUMMYFUNCTION("""COMPUTED_VALUE"""),86420.0)</f>
        <v>86420</v>
      </c>
      <c r="D578" s="10" t="str">
        <f>IFERROR(__xludf.DUMMYFUNCTION("""COMPUTED_VALUE"""),"Vive le bio")</f>
        <v>Vive le bio</v>
      </c>
      <c r="E578" s="10"/>
      <c r="F578" s="9">
        <f>IFERROR(__xludf.DUMMYFUNCTION("""COMPUTED_VALUE"""),2.32222222222222)</f>
        <v>2.322222222</v>
      </c>
      <c r="G578" s="9">
        <f>IFERROR(__xludf.DUMMYFUNCTION("""COMPUTED_VALUE"""),2.09)</f>
        <v>2.09</v>
      </c>
      <c r="H578" s="9">
        <f>IFERROR(__xludf.DUMMYFUNCTION("""COMPUTED_VALUE"""),1.0)</f>
        <v>1</v>
      </c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</row>
    <row r="579" ht="15.75" customHeight="1">
      <c r="A579" s="11">
        <f>IFERROR(__xludf.DUMMYFUNCTION("""COMPUTED_VALUE"""),44471.0)</f>
        <v>44471</v>
      </c>
      <c r="B579" s="9">
        <f>IFERROR(__xludf.DUMMYFUNCTION("""COMPUTED_VALUE"""),1003368.0)</f>
        <v>1003368</v>
      </c>
      <c r="C579" s="9">
        <f>IFERROR(__xludf.DUMMYFUNCTION("""COMPUTED_VALUE"""),44125.0)</f>
        <v>44125</v>
      </c>
      <c r="D579" s="9"/>
      <c r="E579" s="9"/>
      <c r="F579" s="9">
        <f>IFERROR(__xludf.DUMMYFUNCTION("""COMPUTED_VALUE"""),2.16)</f>
        <v>2.16</v>
      </c>
      <c r="G579" s="9">
        <f>IFERROR(__xludf.DUMMYFUNCTION("""COMPUTED_VALUE"""),2.16)</f>
        <v>2.16</v>
      </c>
      <c r="H579" s="9">
        <f>IFERROR(__xludf.DUMMYFUNCTION("""COMPUTED_VALUE"""),1.0)</f>
        <v>1</v>
      </c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</row>
    <row r="580" ht="15.75" customHeight="1">
      <c r="A580" s="11">
        <f>IFERROR(__xludf.DUMMYFUNCTION("""COMPUTED_VALUE"""),44471.0)</f>
        <v>44471</v>
      </c>
      <c r="B580" s="9">
        <f>IFERROR(__xludf.DUMMYFUNCTION("""COMPUTED_VALUE"""),1003368.0)</f>
        <v>1003368</v>
      </c>
      <c r="C580" s="9">
        <f>IFERROR(__xludf.DUMMYFUNCTION("""COMPUTED_VALUE"""),73946.0)</f>
        <v>73946</v>
      </c>
      <c r="D580" s="9"/>
      <c r="E580" s="9"/>
      <c r="F580" s="9">
        <f>IFERROR(__xludf.DUMMYFUNCTION("""COMPUTED_VALUE"""),6.09)</f>
        <v>6.09</v>
      </c>
      <c r="G580" s="9">
        <f>IFERROR(__xludf.DUMMYFUNCTION("""COMPUTED_VALUE"""),6.09)</f>
        <v>6.09</v>
      </c>
      <c r="H580" s="9">
        <f>IFERROR(__xludf.DUMMYFUNCTION("""COMPUTED_VALUE"""),1.0)</f>
        <v>1</v>
      </c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</row>
    <row r="581" ht="15.75" customHeight="1">
      <c r="A581" s="11">
        <f>IFERROR(__xludf.DUMMYFUNCTION("""COMPUTED_VALUE"""),44471.0)</f>
        <v>44471</v>
      </c>
      <c r="B581" s="9">
        <f>IFERROR(__xludf.DUMMYFUNCTION("""COMPUTED_VALUE"""),1003368.0)</f>
        <v>1003368</v>
      </c>
      <c r="C581" s="9">
        <f>IFERROR(__xludf.DUMMYFUNCTION("""COMPUTED_VALUE"""),76671.0)</f>
        <v>76671</v>
      </c>
      <c r="D581" s="10" t="str">
        <f>IFERROR(__xludf.DUMMYFUNCTION("""COMPUTED_VALUE"""),"Vive le bio")</f>
        <v>Vive le bio</v>
      </c>
      <c r="E581" s="10"/>
      <c r="F581" s="9">
        <f>IFERROR(__xludf.DUMMYFUNCTION("""COMPUTED_VALUE"""),1.54444444444444)</f>
        <v>1.544444444</v>
      </c>
      <c r="G581" s="9">
        <f>IFERROR(__xludf.DUMMYFUNCTION("""COMPUTED_VALUE"""),1.39)</f>
        <v>1.39</v>
      </c>
      <c r="H581" s="9">
        <f>IFERROR(__xludf.DUMMYFUNCTION("""COMPUTED_VALUE"""),1.0)</f>
        <v>1</v>
      </c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</row>
    <row r="582" ht="15.75" customHeight="1">
      <c r="A582" s="11">
        <f>IFERROR(__xludf.DUMMYFUNCTION("""COMPUTED_VALUE"""),44471.0)</f>
        <v>44471</v>
      </c>
      <c r="B582" s="9">
        <f>IFERROR(__xludf.DUMMYFUNCTION("""COMPUTED_VALUE"""),1003368.0)</f>
        <v>1003368</v>
      </c>
      <c r="C582" s="9">
        <f>IFERROR(__xludf.DUMMYFUNCTION("""COMPUTED_VALUE"""),68329.0)</f>
        <v>68329</v>
      </c>
      <c r="D582" s="9"/>
      <c r="E582" s="9"/>
      <c r="F582" s="9">
        <f>IFERROR(__xludf.DUMMYFUNCTION("""COMPUTED_VALUE"""),1.09)</f>
        <v>1.09</v>
      </c>
      <c r="G582" s="9">
        <f>IFERROR(__xludf.DUMMYFUNCTION("""COMPUTED_VALUE"""),1.09)</f>
        <v>1.09</v>
      </c>
      <c r="H582" s="9">
        <f>IFERROR(__xludf.DUMMYFUNCTION("""COMPUTED_VALUE"""),1.0)</f>
        <v>1</v>
      </c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</row>
    <row r="583" ht="15.75" customHeight="1">
      <c r="A583" s="11">
        <f>IFERROR(__xludf.DUMMYFUNCTION("""COMPUTED_VALUE"""),44471.0)</f>
        <v>44471</v>
      </c>
      <c r="B583" s="9">
        <f>IFERROR(__xludf.DUMMYFUNCTION("""COMPUTED_VALUE"""),1003368.0)</f>
        <v>1003368</v>
      </c>
      <c r="C583" s="9">
        <f>IFERROR(__xludf.DUMMYFUNCTION("""COMPUTED_VALUE"""),76465.0)</f>
        <v>76465</v>
      </c>
      <c r="D583" s="9"/>
      <c r="E583" s="9"/>
      <c r="F583" s="9">
        <f>IFERROR(__xludf.DUMMYFUNCTION("""COMPUTED_VALUE"""),2.69)</f>
        <v>2.69</v>
      </c>
      <c r="G583" s="9">
        <f>IFERROR(__xludf.DUMMYFUNCTION("""COMPUTED_VALUE"""),2.69)</f>
        <v>2.69</v>
      </c>
      <c r="H583" s="9">
        <f>IFERROR(__xludf.DUMMYFUNCTION("""COMPUTED_VALUE"""),1.0)</f>
        <v>1</v>
      </c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</row>
    <row r="584" ht="15.75" customHeight="1">
      <c r="A584" s="11">
        <f>IFERROR(__xludf.DUMMYFUNCTION("""COMPUTED_VALUE"""),44471.0)</f>
        <v>44471</v>
      </c>
      <c r="B584" s="9">
        <f>IFERROR(__xludf.DUMMYFUNCTION("""COMPUTED_VALUE"""),1003368.0)</f>
        <v>1003368</v>
      </c>
      <c r="C584" s="9">
        <f>IFERROR(__xludf.DUMMYFUNCTION("""COMPUTED_VALUE"""),5652.0)</f>
        <v>5652</v>
      </c>
      <c r="D584" s="9"/>
      <c r="E584" s="9"/>
      <c r="F584" s="9">
        <f>IFERROR(__xludf.DUMMYFUNCTION("""COMPUTED_VALUE"""),3.19)</f>
        <v>3.19</v>
      </c>
      <c r="G584" s="9">
        <f>IFERROR(__xludf.DUMMYFUNCTION("""COMPUTED_VALUE"""),3.19)</f>
        <v>3.19</v>
      </c>
      <c r="H584" s="9">
        <f>IFERROR(__xludf.DUMMYFUNCTION("""COMPUTED_VALUE"""),1.0)</f>
        <v>1</v>
      </c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</row>
    <row r="585" ht="15.75" customHeight="1">
      <c r="A585" s="11">
        <f>IFERROR(__xludf.DUMMYFUNCTION("""COMPUTED_VALUE"""),44471.0)</f>
        <v>44471</v>
      </c>
      <c r="B585" s="9">
        <f>IFERROR(__xludf.DUMMYFUNCTION("""COMPUTED_VALUE"""),1003368.0)</f>
        <v>1003368</v>
      </c>
      <c r="C585" s="9">
        <f>IFERROR(__xludf.DUMMYFUNCTION("""COMPUTED_VALUE"""),96952.0)</f>
        <v>96952</v>
      </c>
      <c r="D585" s="9"/>
      <c r="E585" s="9"/>
      <c r="F585" s="9">
        <f>IFERROR(__xludf.DUMMYFUNCTION("""COMPUTED_VALUE"""),2.32)</f>
        <v>2.32</v>
      </c>
      <c r="G585" s="9">
        <f>IFERROR(__xludf.DUMMYFUNCTION("""COMPUTED_VALUE"""),2.32)</f>
        <v>2.32</v>
      </c>
      <c r="H585" s="9">
        <f>IFERROR(__xludf.DUMMYFUNCTION("""COMPUTED_VALUE"""),1.0)</f>
        <v>1</v>
      </c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</row>
    <row r="586" ht="15.75" customHeight="1">
      <c r="A586" s="11">
        <f>IFERROR(__xludf.DUMMYFUNCTION("""COMPUTED_VALUE"""),44471.0)</f>
        <v>44471</v>
      </c>
      <c r="B586" s="9">
        <f>IFERROR(__xludf.DUMMYFUNCTION("""COMPUTED_VALUE"""),1003368.0)</f>
        <v>1003368</v>
      </c>
      <c r="C586" s="9">
        <f>IFERROR(__xludf.DUMMYFUNCTION("""COMPUTED_VALUE"""),5615.0)</f>
        <v>5615</v>
      </c>
      <c r="D586" s="10" t="str">
        <f>IFERROR(__xludf.DUMMYFUNCTION("""COMPUTED_VALUE"""),"Vive le bio")</f>
        <v>Vive le bio</v>
      </c>
      <c r="E586" s="10"/>
      <c r="F586" s="9">
        <f>IFERROR(__xludf.DUMMYFUNCTION("""COMPUTED_VALUE"""),1.45555555555555)</f>
        <v>1.455555556</v>
      </c>
      <c r="G586" s="9">
        <f>IFERROR(__xludf.DUMMYFUNCTION("""COMPUTED_VALUE"""),1.31)</f>
        <v>1.31</v>
      </c>
      <c r="H586" s="9">
        <f>IFERROR(__xludf.DUMMYFUNCTION("""COMPUTED_VALUE"""),1.0)</f>
        <v>1</v>
      </c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</row>
    <row r="587" ht="15.75" customHeight="1">
      <c r="A587" s="11">
        <f>IFERROR(__xludf.DUMMYFUNCTION("""COMPUTED_VALUE"""),44471.0)</f>
        <v>44471</v>
      </c>
      <c r="B587" s="9">
        <f>IFERROR(__xludf.DUMMYFUNCTION("""COMPUTED_VALUE"""),1003368.0)</f>
        <v>1003368</v>
      </c>
      <c r="C587" s="9">
        <f>IFERROR(__xludf.DUMMYFUNCTION("""COMPUTED_VALUE"""),108473.0)</f>
        <v>108473</v>
      </c>
      <c r="D587" s="9"/>
      <c r="E587" s="9"/>
      <c r="F587" s="9">
        <f>IFERROR(__xludf.DUMMYFUNCTION("""COMPUTED_VALUE"""),3.47)</f>
        <v>3.47</v>
      </c>
      <c r="G587" s="9">
        <f>IFERROR(__xludf.DUMMYFUNCTION("""COMPUTED_VALUE"""),3.47)</f>
        <v>3.47</v>
      </c>
      <c r="H587" s="9">
        <f>IFERROR(__xludf.DUMMYFUNCTION("""COMPUTED_VALUE"""),1.0)</f>
        <v>1</v>
      </c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</row>
    <row r="588" ht="15.75" customHeight="1">
      <c r="A588" s="11">
        <f>IFERROR(__xludf.DUMMYFUNCTION("""COMPUTED_VALUE"""),44471.0)</f>
        <v>44471</v>
      </c>
      <c r="B588" s="9">
        <f>IFERROR(__xludf.DUMMYFUNCTION("""COMPUTED_VALUE"""),1003368.0)</f>
        <v>1003368</v>
      </c>
      <c r="C588" s="9">
        <f>IFERROR(__xludf.DUMMYFUNCTION("""COMPUTED_VALUE"""),87160.0)</f>
        <v>87160</v>
      </c>
      <c r="D588" s="9"/>
      <c r="E588" s="9"/>
      <c r="F588" s="9">
        <f>IFERROR(__xludf.DUMMYFUNCTION("""COMPUTED_VALUE"""),2.35)</f>
        <v>2.35</v>
      </c>
      <c r="G588" s="9">
        <f>IFERROR(__xludf.DUMMYFUNCTION("""COMPUTED_VALUE"""),2.35)</f>
        <v>2.35</v>
      </c>
      <c r="H588" s="9">
        <f>IFERROR(__xludf.DUMMYFUNCTION("""COMPUTED_VALUE"""),1.0)</f>
        <v>1</v>
      </c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</row>
    <row r="589" ht="15.75" customHeight="1">
      <c r="A589" s="11">
        <f>IFERROR(__xludf.DUMMYFUNCTION("""COMPUTED_VALUE"""),44471.0)</f>
        <v>44471</v>
      </c>
      <c r="B589" s="9">
        <f>IFERROR(__xludf.DUMMYFUNCTION("""COMPUTED_VALUE"""),1003368.0)</f>
        <v>1003368</v>
      </c>
      <c r="C589" s="9">
        <f>IFERROR(__xludf.DUMMYFUNCTION("""COMPUTED_VALUE"""),73572.0)</f>
        <v>73572</v>
      </c>
      <c r="D589" s="9"/>
      <c r="E589" s="9"/>
      <c r="F589" s="9">
        <f>IFERROR(__xludf.DUMMYFUNCTION("""COMPUTED_VALUE"""),1.49)</f>
        <v>1.49</v>
      </c>
      <c r="G589" s="9">
        <f>IFERROR(__xludf.DUMMYFUNCTION("""COMPUTED_VALUE"""),1.49)</f>
        <v>1.49</v>
      </c>
      <c r="H589" s="9">
        <f>IFERROR(__xludf.DUMMYFUNCTION("""COMPUTED_VALUE"""),1.0)</f>
        <v>1</v>
      </c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</row>
    <row r="590" ht="15.75" customHeight="1">
      <c r="A590" s="11">
        <f>IFERROR(__xludf.DUMMYFUNCTION("""COMPUTED_VALUE"""),44471.0)</f>
        <v>44471</v>
      </c>
      <c r="B590" s="9">
        <f>IFERROR(__xludf.DUMMYFUNCTION("""COMPUTED_VALUE"""),1003368.0)</f>
        <v>1003368</v>
      </c>
      <c r="C590" s="9">
        <f>IFERROR(__xludf.DUMMYFUNCTION("""COMPUTED_VALUE"""),44707.0)</f>
        <v>44707</v>
      </c>
      <c r="D590" s="9"/>
      <c r="E590" s="9"/>
      <c r="F590" s="9">
        <f>IFERROR(__xludf.DUMMYFUNCTION("""COMPUTED_VALUE"""),2.36)</f>
        <v>2.36</v>
      </c>
      <c r="G590" s="9">
        <f>IFERROR(__xludf.DUMMYFUNCTION("""COMPUTED_VALUE"""),2.36)</f>
        <v>2.36</v>
      </c>
      <c r="H590" s="9">
        <f>IFERROR(__xludf.DUMMYFUNCTION("""COMPUTED_VALUE"""),1.0)</f>
        <v>1</v>
      </c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</row>
    <row r="591" ht="15.75" customHeight="1">
      <c r="A591" s="11">
        <f>IFERROR(__xludf.DUMMYFUNCTION("""COMPUTED_VALUE"""),44471.0)</f>
        <v>44471</v>
      </c>
      <c r="B591" s="9">
        <f>IFERROR(__xludf.DUMMYFUNCTION("""COMPUTED_VALUE"""),1003368.0)</f>
        <v>1003368</v>
      </c>
      <c r="C591" s="9">
        <f>IFERROR(__xludf.DUMMYFUNCTION("""COMPUTED_VALUE"""),83625.0)</f>
        <v>83625</v>
      </c>
      <c r="D591" s="9"/>
      <c r="E591" s="9"/>
      <c r="F591" s="9">
        <f>IFERROR(__xludf.DUMMYFUNCTION("""COMPUTED_VALUE"""),3.24)</f>
        <v>3.24</v>
      </c>
      <c r="G591" s="9">
        <f>IFERROR(__xludf.DUMMYFUNCTION("""COMPUTED_VALUE"""),3.24)</f>
        <v>3.24</v>
      </c>
      <c r="H591" s="9">
        <f>IFERROR(__xludf.DUMMYFUNCTION("""COMPUTED_VALUE"""),1.0)</f>
        <v>1</v>
      </c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</row>
    <row r="592" ht="15.75" customHeight="1">
      <c r="A592" s="11">
        <f>IFERROR(__xludf.DUMMYFUNCTION("""COMPUTED_VALUE"""),44471.0)</f>
        <v>44471</v>
      </c>
      <c r="B592" s="9">
        <f>IFERROR(__xludf.DUMMYFUNCTION("""COMPUTED_VALUE"""),1003368.0)</f>
        <v>1003368</v>
      </c>
      <c r="C592" s="9">
        <f>IFERROR(__xludf.DUMMYFUNCTION("""COMPUTED_VALUE"""),101042.0)</f>
        <v>101042</v>
      </c>
      <c r="D592" s="9"/>
      <c r="E592" s="9"/>
      <c r="F592" s="9">
        <f>IFERROR(__xludf.DUMMYFUNCTION("""COMPUTED_VALUE"""),1.62)</f>
        <v>1.62</v>
      </c>
      <c r="G592" s="9">
        <f>IFERROR(__xludf.DUMMYFUNCTION("""COMPUTED_VALUE"""),1.62)</f>
        <v>1.62</v>
      </c>
      <c r="H592" s="9">
        <f>IFERROR(__xludf.DUMMYFUNCTION("""COMPUTED_VALUE"""),1.0)</f>
        <v>1</v>
      </c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</row>
    <row r="593" ht="15.75" customHeight="1">
      <c r="A593" s="11">
        <f>IFERROR(__xludf.DUMMYFUNCTION("""COMPUTED_VALUE"""),44471.0)</f>
        <v>44471</v>
      </c>
      <c r="B593" s="9">
        <f>IFERROR(__xludf.DUMMYFUNCTION("""COMPUTED_VALUE"""),1003368.0)</f>
        <v>1003368</v>
      </c>
      <c r="C593" s="9">
        <f>IFERROR(__xludf.DUMMYFUNCTION("""COMPUTED_VALUE"""),44706.0)</f>
        <v>44706</v>
      </c>
      <c r="D593" s="9"/>
      <c r="E593" s="9"/>
      <c r="F593" s="9">
        <f>IFERROR(__xludf.DUMMYFUNCTION("""COMPUTED_VALUE"""),2.37)</f>
        <v>2.37</v>
      </c>
      <c r="G593" s="9">
        <f>IFERROR(__xludf.DUMMYFUNCTION("""COMPUTED_VALUE"""),2.37)</f>
        <v>2.37</v>
      </c>
      <c r="H593" s="9">
        <f>IFERROR(__xludf.DUMMYFUNCTION("""COMPUTED_VALUE"""),1.0)</f>
        <v>1</v>
      </c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</row>
    <row r="594" ht="15.75" customHeight="1">
      <c r="A594" s="11">
        <f>IFERROR(__xludf.DUMMYFUNCTION("""COMPUTED_VALUE"""),44471.0)</f>
        <v>44471</v>
      </c>
      <c r="B594" s="9">
        <f>IFERROR(__xludf.DUMMYFUNCTION("""COMPUTED_VALUE"""),1003368.0)</f>
        <v>1003368</v>
      </c>
      <c r="C594" s="9">
        <f>IFERROR(__xludf.DUMMYFUNCTION("""COMPUTED_VALUE"""),46132.0)</f>
        <v>46132</v>
      </c>
      <c r="D594" s="9"/>
      <c r="E594" s="9"/>
      <c r="F594" s="9">
        <f>IFERROR(__xludf.DUMMYFUNCTION("""COMPUTED_VALUE"""),1.81)</f>
        <v>1.81</v>
      </c>
      <c r="G594" s="9">
        <f>IFERROR(__xludf.DUMMYFUNCTION("""COMPUTED_VALUE"""),1.81)</f>
        <v>1.81</v>
      </c>
      <c r="H594" s="9">
        <f>IFERROR(__xludf.DUMMYFUNCTION("""COMPUTED_VALUE"""),1.0)</f>
        <v>1</v>
      </c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</row>
    <row r="595" ht="15.75" customHeight="1">
      <c r="A595" s="11">
        <f>IFERROR(__xludf.DUMMYFUNCTION("""COMPUTED_VALUE"""),44471.0)</f>
        <v>44471</v>
      </c>
      <c r="B595" s="9">
        <f>IFERROR(__xludf.DUMMYFUNCTION("""COMPUTED_VALUE"""),1003370.0)</f>
        <v>1003370</v>
      </c>
      <c r="C595" s="9">
        <f>IFERROR(__xludf.DUMMYFUNCTION("""COMPUTED_VALUE"""),128297.0)</f>
        <v>128297</v>
      </c>
      <c r="D595" s="9"/>
      <c r="E595" s="9"/>
      <c r="F595" s="9">
        <f>IFERROR(__xludf.DUMMYFUNCTION("""COMPUTED_VALUE"""),12.81)</f>
        <v>12.81</v>
      </c>
      <c r="G595" s="9">
        <f>IFERROR(__xludf.DUMMYFUNCTION("""COMPUTED_VALUE"""),12.81)</f>
        <v>12.81</v>
      </c>
      <c r="H595" s="9">
        <f>IFERROR(__xludf.DUMMYFUNCTION("""COMPUTED_VALUE"""),1.0)</f>
        <v>1</v>
      </c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</row>
    <row r="596" ht="15.75" customHeight="1">
      <c r="A596" s="11">
        <f>IFERROR(__xludf.DUMMYFUNCTION("""COMPUTED_VALUE"""),44471.0)</f>
        <v>44471</v>
      </c>
      <c r="B596" s="9">
        <f>IFERROR(__xludf.DUMMYFUNCTION("""COMPUTED_VALUE"""),1003370.0)</f>
        <v>1003370</v>
      </c>
      <c r="C596" s="9">
        <f>IFERROR(__xludf.DUMMYFUNCTION("""COMPUTED_VALUE"""),114268.0)</f>
        <v>114268</v>
      </c>
      <c r="D596" s="9"/>
      <c r="E596" s="9"/>
      <c r="F596" s="9">
        <f>IFERROR(__xludf.DUMMYFUNCTION("""COMPUTED_VALUE"""),5.54)</f>
        <v>5.54</v>
      </c>
      <c r="G596" s="9">
        <f>IFERROR(__xludf.DUMMYFUNCTION("""COMPUTED_VALUE"""),5.54)</f>
        <v>5.54</v>
      </c>
      <c r="H596" s="9">
        <f>IFERROR(__xludf.DUMMYFUNCTION("""COMPUTED_VALUE"""),1.0)</f>
        <v>1</v>
      </c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</row>
    <row r="597" ht="15.75" customHeight="1">
      <c r="A597" s="11">
        <f>IFERROR(__xludf.DUMMYFUNCTION("""COMPUTED_VALUE"""),44471.0)</f>
        <v>44471</v>
      </c>
      <c r="B597" s="9">
        <f>IFERROR(__xludf.DUMMYFUNCTION("""COMPUTED_VALUE"""),1003370.0)</f>
        <v>1003370</v>
      </c>
      <c r="C597" s="9">
        <f>IFERROR(__xludf.DUMMYFUNCTION("""COMPUTED_VALUE"""),87769.0)</f>
        <v>87769</v>
      </c>
      <c r="D597" s="10" t="str">
        <f>IFERROR(__xludf.DUMMYFUNCTION("""COMPUTED_VALUE"""),"Zero Dechet")</f>
        <v>Zero Dechet</v>
      </c>
      <c r="E597" s="10"/>
      <c r="F597" s="9">
        <f>IFERROR(__xludf.DUMMYFUNCTION("""COMPUTED_VALUE"""),3.67058823529411)</f>
        <v>3.670588235</v>
      </c>
      <c r="G597" s="9">
        <f>IFERROR(__xludf.DUMMYFUNCTION("""COMPUTED_VALUE"""),3.12)</f>
        <v>3.12</v>
      </c>
      <c r="H597" s="9">
        <f>IFERROR(__xludf.DUMMYFUNCTION("""COMPUTED_VALUE"""),1.0)</f>
        <v>1</v>
      </c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</row>
    <row r="598" ht="15.75" customHeight="1">
      <c r="A598" s="11">
        <f>IFERROR(__xludf.DUMMYFUNCTION("""COMPUTED_VALUE"""),44471.0)</f>
        <v>44471</v>
      </c>
      <c r="B598" s="9">
        <f>IFERROR(__xludf.DUMMYFUNCTION("""COMPUTED_VALUE"""),1003370.0)</f>
        <v>1003370</v>
      </c>
      <c r="C598" s="9">
        <f>IFERROR(__xludf.DUMMYFUNCTION("""COMPUTED_VALUE"""),165917.0)</f>
        <v>165917</v>
      </c>
      <c r="D598" s="9"/>
      <c r="E598" s="9"/>
      <c r="F598" s="9">
        <f>IFERROR(__xludf.DUMMYFUNCTION("""COMPUTED_VALUE"""),7.11)</f>
        <v>7.11</v>
      </c>
      <c r="G598" s="9">
        <f>IFERROR(__xludf.DUMMYFUNCTION("""COMPUTED_VALUE"""),7.11)</f>
        <v>7.11</v>
      </c>
      <c r="H598" s="9">
        <f>IFERROR(__xludf.DUMMYFUNCTION("""COMPUTED_VALUE"""),1.0)</f>
        <v>1</v>
      </c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</row>
    <row r="599" ht="15.75" customHeight="1">
      <c r="A599" s="11">
        <f>IFERROR(__xludf.DUMMYFUNCTION("""COMPUTED_VALUE"""),44471.0)</f>
        <v>44471</v>
      </c>
      <c r="B599" s="9">
        <f>IFERROR(__xludf.DUMMYFUNCTION("""COMPUTED_VALUE"""),1003370.0)</f>
        <v>1003370</v>
      </c>
      <c r="C599" s="9">
        <f>IFERROR(__xludf.DUMMYFUNCTION("""COMPUTED_VALUE"""),87800.0)</f>
        <v>87800</v>
      </c>
      <c r="D599" s="9"/>
      <c r="E599" s="9"/>
      <c r="F599" s="9">
        <f>IFERROR(__xludf.DUMMYFUNCTION("""COMPUTED_VALUE"""),3.2)</f>
        <v>3.2</v>
      </c>
      <c r="G599" s="9">
        <f>IFERROR(__xludf.DUMMYFUNCTION("""COMPUTED_VALUE"""),3.2)</f>
        <v>3.2</v>
      </c>
      <c r="H599" s="9">
        <f>IFERROR(__xludf.DUMMYFUNCTION("""COMPUTED_VALUE"""),1.0)</f>
        <v>1</v>
      </c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</row>
    <row r="600" ht="15.75" customHeight="1">
      <c r="A600" s="11">
        <f>IFERROR(__xludf.DUMMYFUNCTION("""COMPUTED_VALUE"""),44471.0)</f>
        <v>44471</v>
      </c>
      <c r="B600" s="9">
        <f>IFERROR(__xludf.DUMMYFUNCTION("""COMPUTED_VALUE"""),1003370.0)</f>
        <v>1003370</v>
      </c>
      <c r="C600" s="9">
        <f>IFERROR(__xludf.DUMMYFUNCTION("""COMPUTED_VALUE"""),87758.0)</f>
        <v>87758</v>
      </c>
      <c r="D600" s="9"/>
      <c r="E600" s="9"/>
      <c r="F600" s="9">
        <f>IFERROR(__xludf.DUMMYFUNCTION("""COMPUTED_VALUE"""),2.96)</f>
        <v>2.96</v>
      </c>
      <c r="G600" s="9">
        <f>IFERROR(__xludf.DUMMYFUNCTION("""COMPUTED_VALUE"""),2.96)</f>
        <v>2.96</v>
      </c>
      <c r="H600" s="9">
        <f>IFERROR(__xludf.DUMMYFUNCTION("""COMPUTED_VALUE"""),1.0)</f>
        <v>1</v>
      </c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</row>
    <row r="601" ht="15.75" customHeight="1">
      <c r="A601" s="11">
        <f>IFERROR(__xludf.DUMMYFUNCTION("""COMPUTED_VALUE"""),44471.0)</f>
        <v>44471</v>
      </c>
      <c r="B601" s="9">
        <f>IFERROR(__xludf.DUMMYFUNCTION("""COMPUTED_VALUE"""),1003370.0)</f>
        <v>1003370</v>
      </c>
      <c r="C601" s="9">
        <f>IFERROR(__xludf.DUMMYFUNCTION("""COMPUTED_VALUE"""),9722.0)</f>
        <v>9722</v>
      </c>
      <c r="D601" s="9"/>
      <c r="E601" s="9"/>
      <c r="F601" s="9">
        <f>IFERROR(__xludf.DUMMYFUNCTION("""COMPUTED_VALUE"""),4.98)</f>
        <v>4.98</v>
      </c>
      <c r="G601" s="9">
        <f>IFERROR(__xludf.DUMMYFUNCTION("""COMPUTED_VALUE"""),4.98)</f>
        <v>4.98</v>
      </c>
      <c r="H601" s="9">
        <f>IFERROR(__xludf.DUMMYFUNCTION("""COMPUTED_VALUE"""),1.0)</f>
        <v>1</v>
      </c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</row>
    <row r="602" ht="15.75" customHeight="1">
      <c r="A602" s="11">
        <f>IFERROR(__xludf.DUMMYFUNCTION("""COMPUTED_VALUE"""),44471.0)</f>
        <v>44471</v>
      </c>
      <c r="B602" s="9">
        <f>IFERROR(__xludf.DUMMYFUNCTION("""COMPUTED_VALUE"""),1003370.0)</f>
        <v>1003370</v>
      </c>
      <c r="C602" s="9">
        <f>IFERROR(__xludf.DUMMYFUNCTION("""COMPUTED_VALUE"""),120695.0)</f>
        <v>120695</v>
      </c>
      <c r="D602" s="9"/>
      <c r="E602" s="9"/>
      <c r="F602" s="9">
        <f>IFERROR(__xludf.DUMMYFUNCTION("""COMPUTED_VALUE"""),46.32)</f>
        <v>46.32</v>
      </c>
      <c r="G602" s="9">
        <f>IFERROR(__xludf.DUMMYFUNCTION("""COMPUTED_VALUE"""),46.32)</f>
        <v>46.32</v>
      </c>
      <c r="H602" s="9">
        <f>IFERROR(__xludf.DUMMYFUNCTION("""COMPUTED_VALUE"""),2.0)</f>
        <v>2</v>
      </c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</row>
    <row r="603" ht="15.75" customHeight="1">
      <c r="A603" s="11">
        <f>IFERROR(__xludf.DUMMYFUNCTION("""COMPUTED_VALUE"""),44471.0)</f>
        <v>44471</v>
      </c>
      <c r="B603" s="9">
        <f>IFERROR(__xludf.DUMMYFUNCTION("""COMPUTED_VALUE"""),1003370.0)</f>
        <v>1003370</v>
      </c>
      <c r="C603" s="9">
        <f>IFERROR(__xludf.DUMMYFUNCTION("""COMPUTED_VALUE"""),2794.0)</f>
        <v>2794</v>
      </c>
      <c r="D603" s="9"/>
      <c r="E603" s="9"/>
      <c r="F603" s="9">
        <f>IFERROR(__xludf.DUMMYFUNCTION("""COMPUTED_VALUE"""),6.63)</f>
        <v>6.63</v>
      </c>
      <c r="G603" s="9">
        <f>IFERROR(__xludf.DUMMYFUNCTION("""COMPUTED_VALUE"""),6.63)</f>
        <v>6.63</v>
      </c>
      <c r="H603" s="9">
        <f>IFERROR(__xludf.DUMMYFUNCTION("""COMPUTED_VALUE"""),2.0)</f>
        <v>2</v>
      </c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</row>
    <row r="604" ht="15.75" customHeight="1">
      <c r="A604" s="11">
        <f>IFERROR(__xludf.DUMMYFUNCTION("""COMPUTED_VALUE"""),44471.0)</f>
        <v>44471</v>
      </c>
      <c r="B604" s="9">
        <f>IFERROR(__xludf.DUMMYFUNCTION("""COMPUTED_VALUE"""),1003370.0)</f>
        <v>1003370</v>
      </c>
      <c r="C604" s="9">
        <f>IFERROR(__xludf.DUMMYFUNCTION("""COMPUTED_VALUE"""),7995.0)</f>
        <v>7995</v>
      </c>
      <c r="D604" s="9"/>
      <c r="E604" s="9"/>
      <c r="F604" s="9">
        <f>IFERROR(__xludf.DUMMYFUNCTION("""COMPUTED_VALUE"""),7.68)</f>
        <v>7.68</v>
      </c>
      <c r="G604" s="9">
        <f>IFERROR(__xludf.DUMMYFUNCTION("""COMPUTED_VALUE"""),7.68)</f>
        <v>7.68</v>
      </c>
      <c r="H604" s="9">
        <f>IFERROR(__xludf.DUMMYFUNCTION("""COMPUTED_VALUE"""),2.0)</f>
        <v>2</v>
      </c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</row>
    <row r="605" ht="15.75" customHeight="1">
      <c r="A605" s="11">
        <f>IFERROR(__xludf.DUMMYFUNCTION("""COMPUTED_VALUE"""),44471.0)</f>
        <v>44471</v>
      </c>
      <c r="B605" s="9">
        <f>IFERROR(__xludf.DUMMYFUNCTION("""COMPUTED_VALUE"""),1003370.0)</f>
        <v>1003370</v>
      </c>
      <c r="C605" s="9">
        <f>IFERROR(__xludf.DUMMYFUNCTION("""COMPUTED_VALUE"""),80785.0)</f>
        <v>80785</v>
      </c>
      <c r="D605" s="9"/>
      <c r="E605" s="9"/>
      <c r="F605" s="9">
        <f>IFERROR(__xludf.DUMMYFUNCTION("""COMPUTED_VALUE"""),5.95)</f>
        <v>5.95</v>
      </c>
      <c r="G605" s="9">
        <f>IFERROR(__xludf.DUMMYFUNCTION("""COMPUTED_VALUE"""),5.95)</f>
        <v>5.95</v>
      </c>
      <c r="H605" s="9">
        <f>IFERROR(__xludf.DUMMYFUNCTION("""COMPUTED_VALUE"""),4.0)</f>
        <v>4</v>
      </c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</row>
    <row r="606" ht="15.75" customHeight="1">
      <c r="A606" s="11">
        <f>IFERROR(__xludf.DUMMYFUNCTION("""COMPUTED_VALUE"""),44471.0)</f>
        <v>44471</v>
      </c>
      <c r="B606" s="9">
        <f>IFERROR(__xludf.DUMMYFUNCTION("""COMPUTED_VALUE"""),1003370.0)</f>
        <v>1003370</v>
      </c>
      <c r="C606" s="9">
        <f>IFERROR(__xludf.DUMMYFUNCTION("""COMPUTED_VALUE"""),2799.0)</f>
        <v>2799</v>
      </c>
      <c r="D606" s="9"/>
      <c r="E606" s="9"/>
      <c r="F606" s="9">
        <f>IFERROR(__xludf.DUMMYFUNCTION("""COMPUTED_VALUE"""),49.65)</f>
        <v>49.65</v>
      </c>
      <c r="G606" s="9">
        <f>IFERROR(__xludf.DUMMYFUNCTION("""COMPUTED_VALUE"""),49.65)</f>
        <v>49.65</v>
      </c>
      <c r="H606" s="9">
        <f>IFERROR(__xludf.DUMMYFUNCTION("""COMPUTED_VALUE"""),6.0)</f>
        <v>6</v>
      </c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</row>
    <row r="607" ht="15.75" customHeight="1">
      <c r="A607" s="11">
        <f>IFERROR(__xludf.DUMMYFUNCTION("""COMPUTED_VALUE"""),44471.0)</f>
        <v>44471</v>
      </c>
      <c r="B607" s="9">
        <f>IFERROR(__xludf.DUMMYFUNCTION("""COMPUTED_VALUE"""),1003370.0)</f>
        <v>1003370</v>
      </c>
      <c r="C607" s="9">
        <f>IFERROR(__xludf.DUMMYFUNCTION("""COMPUTED_VALUE"""),118920.0)</f>
        <v>118920</v>
      </c>
      <c r="D607" s="9"/>
      <c r="E607" s="9"/>
      <c r="F607" s="9">
        <f>IFERROR(__xludf.DUMMYFUNCTION("""COMPUTED_VALUE"""),15.5)</f>
        <v>15.5</v>
      </c>
      <c r="G607" s="9">
        <f>IFERROR(__xludf.DUMMYFUNCTION("""COMPUTED_VALUE"""),15.5)</f>
        <v>15.5</v>
      </c>
      <c r="H607" s="9">
        <f>IFERROR(__xludf.DUMMYFUNCTION("""COMPUTED_VALUE"""),10.0)</f>
        <v>10</v>
      </c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</row>
    <row r="608" ht="15.75" customHeight="1">
      <c r="A608" s="11">
        <f>IFERROR(__xludf.DUMMYFUNCTION("""COMPUTED_VALUE"""),44471.0)</f>
        <v>44471</v>
      </c>
      <c r="B608" s="9">
        <f>IFERROR(__xludf.DUMMYFUNCTION("""COMPUTED_VALUE"""),1003371.0)</f>
        <v>1003371</v>
      </c>
      <c r="C608" s="9">
        <f>IFERROR(__xludf.DUMMYFUNCTION("""COMPUTED_VALUE"""),95063.0)</f>
        <v>95063</v>
      </c>
      <c r="D608" s="10" t="str">
        <f>IFERROR(__xludf.DUMMYFUNCTION("""COMPUTED_VALUE"""),"Offre Speciale")</f>
        <v>Offre Speciale</v>
      </c>
      <c r="E608" s="10"/>
      <c r="F608" s="9">
        <f>IFERROR(__xludf.DUMMYFUNCTION("""COMPUTED_VALUE"""),3.37647058823529)</f>
        <v>3.376470588</v>
      </c>
      <c r="G608" s="9">
        <f>IFERROR(__xludf.DUMMYFUNCTION("""COMPUTED_VALUE"""),2.87)</f>
        <v>2.87</v>
      </c>
      <c r="H608" s="9">
        <f>IFERROR(__xludf.DUMMYFUNCTION("""COMPUTED_VALUE"""),1.0)</f>
        <v>1</v>
      </c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</row>
    <row r="609" ht="15.75" customHeight="1">
      <c r="A609" s="11">
        <f>IFERROR(__xludf.DUMMYFUNCTION("""COMPUTED_VALUE"""),44471.0)</f>
        <v>44471</v>
      </c>
      <c r="B609" s="9">
        <f>IFERROR(__xludf.DUMMYFUNCTION("""COMPUTED_VALUE"""),1003371.0)</f>
        <v>1003371</v>
      </c>
      <c r="C609" s="9">
        <f>IFERROR(__xludf.DUMMYFUNCTION("""COMPUTED_VALUE"""),89503.0)</f>
        <v>89503</v>
      </c>
      <c r="D609" s="9"/>
      <c r="E609" s="9"/>
      <c r="F609" s="9">
        <f>IFERROR(__xludf.DUMMYFUNCTION("""COMPUTED_VALUE"""),5.26)</f>
        <v>5.26</v>
      </c>
      <c r="G609" s="9">
        <f>IFERROR(__xludf.DUMMYFUNCTION("""COMPUTED_VALUE"""),5.26)</f>
        <v>5.26</v>
      </c>
      <c r="H609" s="9">
        <f>IFERROR(__xludf.DUMMYFUNCTION("""COMPUTED_VALUE"""),1.0)</f>
        <v>1</v>
      </c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</row>
    <row r="610" ht="15.75" customHeight="1">
      <c r="A610" s="11">
        <f>IFERROR(__xludf.DUMMYFUNCTION("""COMPUTED_VALUE"""),44471.0)</f>
        <v>44471</v>
      </c>
      <c r="B610" s="9">
        <f>IFERROR(__xludf.DUMMYFUNCTION("""COMPUTED_VALUE"""),1003371.0)</f>
        <v>1003371</v>
      </c>
      <c r="C610" s="9">
        <f>IFERROR(__xludf.DUMMYFUNCTION("""COMPUTED_VALUE"""),108881.0)</f>
        <v>108881</v>
      </c>
      <c r="D610" s="10" t="str">
        <f>IFERROR(__xludf.DUMMYFUNCTION("""COMPUTED_VALUE"""),"Offre Speciale")</f>
        <v>Offre Speciale</v>
      </c>
      <c r="E610" s="10"/>
      <c r="F610" s="9">
        <f>IFERROR(__xludf.DUMMYFUNCTION("""COMPUTED_VALUE"""),4.01176470588235)</f>
        <v>4.011764706</v>
      </c>
      <c r="G610" s="9">
        <f>IFERROR(__xludf.DUMMYFUNCTION("""COMPUTED_VALUE"""),3.41)</f>
        <v>3.41</v>
      </c>
      <c r="H610" s="9">
        <f>IFERROR(__xludf.DUMMYFUNCTION("""COMPUTED_VALUE"""),1.0)</f>
        <v>1</v>
      </c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</row>
    <row r="611" ht="15.75" customHeight="1">
      <c r="A611" s="11">
        <f>IFERROR(__xludf.DUMMYFUNCTION("""COMPUTED_VALUE"""),44471.0)</f>
        <v>44471</v>
      </c>
      <c r="B611" s="9">
        <f>IFERROR(__xludf.DUMMYFUNCTION("""COMPUTED_VALUE"""),1003371.0)</f>
        <v>1003371</v>
      </c>
      <c r="C611" s="9">
        <f>IFERROR(__xludf.DUMMYFUNCTION("""COMPUTED_VALUE"""),139286.0)</f>
        <v>139286</v>
      </c>
      <c r="D611" s="9"/>
      <c r="E611" s="9"/>
      <c r="F611" s="9">
        <f>IFERROR(__xludf.DUMMYFUNCTION("""COMPUTED_VALUE"""),3.51)</f>
        <v>3.51</v>
      </c>
      <c r="G611" s="9">
        <f>IFERROR(__xludf.DUMMYFUNCTION("""COMPUTED_VALUE"""),3.51)</f>
        <v>3.51</v>
      </c>
      <c r="H611" s="9">
        <f>IFERROR(__xludf.DUMMYFUNCTION("""COMPUTED_VALUE"""),1.0)</f>
        <v>1</v>
      </c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</row>
    <row r="612" ht="15.75" customHeight="1">
      <c r="A612" s="11">
        <f>IFERROR(__xludf.DUMMYFUNCTION("""COMPUTED_VALUE"""),44471.0)</f>
        <v>44471</v>
      </c>
      <c r="B612" s="9">
        <f>IFERROR(__xludf.DUMMYFUNCTION("""COMPUTED_VALUE"""),1003371.0)</f>
        <v>1003371</v>
      </c>
      <c r="C612" s="9">
        <f>IFERROR(__xludf.DUMMYFUNCTION("""COMPUTED_VALUE"""),45567.0)</f>
        <v>45567</v>
      </c>
      <c r="D612" s="10" t="str">
        <f>IFERROR(__xludf.DUMMYFUNCTION("""COMPUTED_VALUE"""),"Vive le bio")</f>
        <v>Vive le bio</v>
      </c>
      <c r="E612" s="10"/>
      <c r="F612" s="9">
        <f>IFERROR(__xludf.DUMMYFUNCTION("""COMPUTED_VALUE"""),27.7777777777777)</f>
        <v>27.77777778</v>
      </c>
      <c r="G612" s="9">
        <f>IFERROR(__xludf.DUMMYFUNCTION("""COMPUTED_VALUE"""),25.0)</f>
        <v>25</v>
      </c>
      <c r="H612" s="9">
        <f>IFERROR(__xludf.DUMMYFUNCTION("""COMPUTED_VALUE"""),1.0)</f>
        <v>1</v>
      </c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</row>
    <row r="613" ht="15.75" customHeight="1">
      <c r="A613" s="11">
        <f>IFERROR(__xludf.DUMMYFUNCTION("""COMPUTED_VALUE"""),44471.0)</f>
        <v>44471</v>
      </c>
      <c r="B613" s="9">
        <f>IFERROR(__xludf.DUMMYFUNCTION("""COMPUTED_VALUE"""),1003371.0)</f>
        <v>1003371</v>
      </c>
      <c r="C613" s="9">
        <f>IFERROR(__xludf.DUMMYFUNCTION("""COMPUTED_VALUE"""),95079.0)</f>
        <v>95079</v>
      </c>
      <c r="D613" s="10" t="str">
        <f>IFERROR(__xludf.DUMMYFUNCTION("""COMPUTED_VALUE"""),"Offre Speciale")</f>
        <v>Offre Speciale</v>
      </c>
      <c r="E613" s="10"/>
      <c r="F613" s="9">
        <f>IFERROR(__xludf.DUMMYFUNCTION("""COMPUTED_VALUE"""),5.18823529411764)</f>
        <v>5.188235294</v>
      </c>
      <c r="G613" s="9">
        <f>IFERROR(__xludf.DUMMYFUNCTION("""COMPUTED_VALUE"""),4.41)</f>
        <v>4.41</v>
      </c>
      <c r="H613" s="9">
        <f>IFERROR(__xludf.DUMMYFUNCTION("""COMPUTED_VALUE"""),1.0)</f>
        <v>1</v>
      </c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</row>
    <row r="614" ht="15.75" customHeight="1">
      <c r="A614" s="11">
        <f>IFERROR(__xludf.DUMMYFUNCTION("""COMPUTED_VALUE"""),44471.0)</f>
        <v>44471</v>
      </c>
      <c r="B614" s="9">
        <f>IFERROR(__xludf.DUMMYFUNCTION("""COMPUTED_VALUE"""),1003371.0)</f>
        <v>1003371</v>
      </c>
      <c r="C614" s="9">
        <f>IFERROR(__xludf.DUMMYFUNCTION("""COMPUTED_VALUE"""),81129.0)</f>
        <v>81129</v>
      </c>
      <c r="D614" s="9"/>
      <c r="E614" s="9"/>
      <c r="F614" s="9">
        <f>IFERROR(__xludf.DUMMYFUNCTION("""COMPUTED_VALUE"""),2.85)</f>
        <v>2.85</v>
      </c>
      <c r="G614" s="9">
        <f>IFERROR(__xludf.DUMMYFUNCTION("""COMPUTED_VALUE"""),2.85)</f>
        <v>2.85</v>
      </c>
      <c r="H614" s="9">
        <f>IFERROR(__xludf.DUMMYFUNCTION("""COMPUTED_VALUE"""),1.0)</f>
        <v>1</v>
      </c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</row>
    <row r="615" ht="15.75" customHeight="1">
      <c r="A615" s="11">
        <f>IFERROR(__xludf.DUMMYFUNCTION("""COMPUTED_VALUE"""),44471.0)</f>
        <v>44471</v>
      </c>
      <c r="B615" s="9">
        <f>IFERROR(__xludf.DUMMYFUNCTION("""COMPUTED_VALUE"""),1003371.0)</f>
        <v>1003371</v>
      </c>
      <c r="C615" s="9">
        <f>IFERROR(__xludf.DUMMYFUNCTION("""COMPUTED_VALUE"""),158667.0)</f>
        <v>158667</v>
      </c>
      <c r="D615" s="9"/>
      <c r="E615" s="9"/>
      <c r="F615" s="9">
        <f>IFERROR(__xludf.DUMMYFUNCTION("""COMPUTED_VALUE"""),3.99)</f>
        <v>3.99</v>
      </c>
      <c r="G615" s="9">
        <f>IFERROR(__xludf.DUMMYFUNCTION("""COMPUTED_VALUE"""),3.99)</f>
        <v>3.99</v>
      </c>
      <c r="H615" s="9">
        <f>IFERROR(__xludf.DUMMYFUNCTION("""COMPUTED_VALUE"""),1.0)</f>
        <v>1</v>
      </c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</row>
    <row r="616" ht="15.75" customHeight="1">
      <c r="A616" s="11">
        <f>IFERROR(__xludf.DUMMYFUNCTION("""COMPUTED_VALUE"""),44471.0)</f>
        <v>44471</v>
      </c>
      <c r="B616" s="9">
        <f>IFERROR(__xludf.DUMMYFUNCTION("""COMPUTED_VALUE"""),1003372.0)</f>
        <v>1003372</v>
      </c>
      <c r="C616" s="9">
        <f>IFERROR(__xludf.DUMMYFUNCTION("""COMPUTED_VALUE"""),24074.0)</f>
        <v>24074</v>
      </c>
      <c r="D616" s="9"/>
      <c r="E616" s="10" t="str">
        <f>IFERROR(__xludf.DUMMYFUNCTION("""COMPUTED_VALUE"""),"GREENRELAIS")</f>
        <v>GREENRELAIS</v>
      </c>
      <c r="F616" s="10">
        <f>IFERROR(__xludf.DUMMYFUNCTION("""COMPUTED_VALUE"""),41.07)</f>
        <v>41.07</v>
      </c>
      <c r="G616" s="9">
        <f>IFERROR(__xludf.DUMMYFUNCTION("""COMPUTED_VALUE"""),41.07)</f>
        <v>41.07</v>
      </c>
      <c r="H616" s="9">
        <f>IFERROR(__xludf.DUMMYFUNCTION("""COMPUTED_VALUE"""),3.0)</f>
        <v>3</v>
      </c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</row>
    <row r="617" ht="15.75" customHeight="1">
      <c r="A617" s="11">
        <f>IFERROR(__xludf.DUMMYFUNCTION("""COMPUTED_VALUE"""),44471.0)</f>
        <v>44471</v>
      </c>
      <c r="B617" s="9">
        <f>IFERROR(__xludf.DUMMYFUNCTION("""COMPUTED_VALUE"""),1003372.0)</f>
        <v>1003372</v>
      </c>
      <c r="C617" s="9">
        <f>IFERROR(__xludf.DUMMYFUNCTION("""COMPUTED_VALUE"""),24061.0)</f>
        <v>24061</v>
      </c>
      <c r="D617" s="9"/>
      <c r="E617" s="10" t="str">
        <f>IFERROR(__xludf.DUMMYFUNCTION("""COMPUTED_VALUE"""),"GREENRELAIS")</f>
        <v>GREENRELAIS</v>
      </c>
      <c r="F617" s="10">
        <f>IFERROR(__xludf.DUMMYFUNCTION("""COMPUTED_VALUE"""),45.52)</f>
        <v>45.52</v>
      </c>
      <c r="G617" s="9">
        <f>IFERROR(__xludf.DUMMYFUNCTION("""COMPUTED_VALUE"""),45.52)</f>
        <v>45.52</v>
      </c>
      <c r="H617" s="9">
        <f>IFERROR(__xludf.DUMMYFUNCTION("""COMPUTED_VALUE"""),3.0)</f>
        <v>3</v>
      </c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</row>
    <row r="618" ht="15.75" customHeight="1">
      <c r="A618" s="11">
        <f>IFERROR(__xludf.DUMMYFUNCTION("""COMPUTED_VALUE"""),44471.0)</f>
        <v>44471</v>
      </c>
      <c r="B618" s="9">
        <f>IFERROR(__xludf.DUMMYFUNCTION("""COMPUTED_VALUE"""),1003373.0)</f>
        <v>1003373</v>
      </c>
      <c r="C618" s="9">
        <f>IFERROR(__xludf.DUMMYFUNCTION("""COMPUTED_VALUE"""),24075.0)</f>
        <v>24075</v>
      </c>
      <c r="D618" s="9"/>
      <c r="E618" s="9"/>
      <c r="F618" s="9">
        <f>IFERROR(__xludf.DUMMYFUNCTION("""COMPUTED_VALUE"""),15.06)</f>
        <v>15.06</v>
      </c>
      <c r="G618" s="9">
        <f>IFERROR(__xludf.DUMMYFUNCTION("""COMPUTED_VALUE"""),15.06)</f>
        <v>15.06</v>
      </c>
      <c r="H618" s="9">
        <f>IFERROR(__xludf.DUMMYFUNCTION("""COMPUTED_VALUE"""),1.0)</f>
        <v>1</v>
      </c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</row>
    <row r="619" ht="15.75" customHeight="1">
      <c r="A619" s="11">
        <f>IFERROR(__xludf.DUMMYFUNCTION("""COMPUTED_VALUE"""),44471.0)</f>
        <v>44471</v>
      </c>
      <c r="B619" s="9">
        <f>IFERROR(__xludf.DUMMYFUNCTION("""COMPUTED_VALUE"""),1003373.0)</f>
        <v>1003373</v>
      </c>
      <c r="C619" s="9">
        <f>IFERROR(__xludf.DUMMYFUNCTION("""COMPUTED_VALUE"""),24061.0)</f>
        <v>24061</v>
      </c>
      <c r="D619" s="9"/>
      <c r="E619" s="9"/>
      <c r="F619" s="9">
        <f>IFERROR(__xludf.DUMMYFUNCTION("""COMPUTED_VALUE"""),15.33)</f>
        <v>15.33</v>
      </c>
      <c r="G619" s="9">
        <f>IFERROR(__xludf.DUMMYFUNCTION("""COMPUTED_VALUE"""),15.33)</f>
        <v>15.33</v>
      </c>
      <c r="H619" s="9">
        <f>IFERROR(__xludf.DUMMYFUNCTION("""COMPUTED_VALUE"""),1.0)</f>
        <v>1</v>
      </c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</row>
    <row r="620" ht="15.75" customHeight="1">
      <c r="A620" s="11">
        <f>IFERROR(__xludf.DUMMYFUNCTION("""COMPUTED_VALUE"""),44471.0)</f>
        <v>44471</v>
      </c>
      <c r="B620" s="9">
        <f>IFERROR(__xludf.DUMMYFUNCTION("""COMPUTED_VALUE"""),1003373.0)</f>
        <v>1003373</v>
      </c>
      <c r="C620" s="9">
        <f>IFERROR(__xludf.DUMMYFUNCTION("""COMPUTED_VALUE"""),90868.0)</f>
        <v>90868</v>
      </c>
      <c r="D620" s="9"/>
      <c r="E620" s="9"/>
      <c r="F620" s="9">
        <f>IFERROR(__xludf.DUMMYFUNCTION("""COMPUTED_VALUE"""),9.18)</f>
        <v>9.18</v>
      </c>
      <c r="G620" s="9">
        <f>IFERROR(__xludf.DUMMYFUNCTION("""COMPUTED_VALUE"""),9.18)</f>
        <v>9.18</v>
      </c>
      <c r="H620" s="9">
        <f>IFERROR(__xludf.DUMMYFUNCTION("""COMPUTED_VALUE"""),1.0)</f>
        <v>1</v>
      </c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</row>
    <row r="621" ht="15.75" customHeight="1">
      <c r="A621" s="11">
        <f>IFERROR(__xludf.DUMMYFUNCTION("""COMPUTED_VALUE"""),44471.0)</f>
        <v>44471</v>
      </c>
      <c r="B621" s="9">
        <f>IFERROR(__xludf.DUMMYFUNCTION("""COMPUTED_VALUE"""),1003373.0)</f>
        <v>1003373</v>
      </c>
      <c r="C621" s="9">
        <f>IFERROR(__xludf.DUMMYFUNCTION("""COMPUTED_VALUE"""),46896.0)</f>
        <v>46896</v>
      </c>
      <c r="D621" s="9"/>
      <c r="E621" s="9"/>
      <c r="F621" s="9">
        <f>IFERROR(__xludf.DUMMYFUNCTION("""COMPUTED_VALUE"""),4.87)</f>
        <v>4.87</v>
      </c>
      <c r="G621" s="9">
        <f>IFERROR(__xludf.DUMMYFUNCTION("""COMPUTED_VALUE"""),4.87)</f>
        <v>4.87</v>
      </c>
      <c r="H621" s="9">
        <f>IFERROR(__xludf.DUMMYFUNCTION("""COMPUTED_VALUE"""),1.0)</f>
        <v>1</v>
      </c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</row>
    <row r="622" ht="15.75" customHeight="1">
      <c r="A622" s="11">
        <f>IFERROR(__xludf.DUMMYFUNCTION("""COMPUTED_VALUE"""),44471.0)</f>
        <v>44471</v>
      </c>
      <c r="B622" s="9">
        <f>IFERROR(__xludf.DUMMYFUNCTION("""COMPUTED_VALUE"""),1003373.0)</f>
        <v>1003373</v>
      </c>
      <c r="C622" s="9">
        <f>IFERROR(__xludf.DUMMYFUNCTION("""COMPUTED_VALUE"""),111655.0)</f>
        <v>111655</v>
      </c>
      <c r="D622" s="9"/>
      <c r="E622" s="9"/>
      <c r="F622" s="9">
        <f>IFERROR(__xludf.DUMMYFUNCTION("""COMPUTED_VALUE"""),6.38)</f>
        <v>6.38</v>
      </c>
      <c r="G622" s="9">
        <f>IFERROR(__xludf.DUMMYFUNCTION("""COMPUTED_VALUE"""),6.38)</f>
        <v>6.38</v>
      </c>
      <c r="H622" s="9">
        <f>IFERROR(__xludf.DUMMYFUNCTION("""COMPUTED_VALUE"""),1.0)</f>
        <v>1</v>
      </c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</row>
    <row r="623" ht="15.75" customHeight="1">
      <c r="A623" s="11">
        <f>IFERROR(__xludf.DUMMYFUNCTION("""COMPUTED_VALUE"""),44471.0)</f>
        <v>44471</v>
      </c>
      <c r="B623" s="9">
        <f>IFERROR(__xludf.DUMMYFUNCTION("""COMPUTED_VALUE"""),1003373.0)</f>
        <v>1003373</v>
      </c>
      <c r="C623" s="9">
        <f>IFERROR(__xludf.DUMMYFUNCTION("""COMPUTED_VALUE"""),76365.0)</f>
        <v>76365</v>
      </c>
      <c r="D623" s="9"/>
      <c r="E623" s="9"/>
      <c r="F623" s="9">
        <f>IFERROR(__xludf.DUMMYFUNCTION("""COMPUTED_VALUE"""),4.16)</f>
        <v>4.16</v>
      </c>
      <c r="G623" s="9">
        <f>IFERROR(__xludf.DUMMYFUNCTION("""COMPUTED_VALUE"""),4.16)</f>
        <v>4.16</v>
      </c>
      <c r="H623" s="9">
        <f>IFERROR(__xludf.DUMMYFUNCTION("""COMPUTED_VALUE"""),2.0)</f>
        <v>2</v>
      </c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</row>
    <row r="624" ht="15.75" customHeight="1">
      <c r="A624" s="11">
        <f>IFERROR(__xludf.DUMMYFUNCTION("""COMPUTED_VALUE"""),44471.0)</f>
        <v>44471</v>
      </c>
      <c r="B624" s="9">
        <f>IFERROR(__xludf.DUMMYFUNCTION("""COMPUTED_VALUE"""),1003373.0)</f>
        <v>1003373</v>
      </c>
      <c r="C624" s="9">
        <f>IFERROR(__xludf.DUMMYFUNCTION("""COMPUTED_VALUE"""),122257.0)</f>
        <v>122257</v>
      </c>
      <c r="D624" s="9"/>
      <c r="E624" s="9"/>
      <c r="F624" s="9">
        <f>IFERROR(__xludf.DUMMYFUNCTION("""COMPUTED_VALUE"""),4.18)</f>
        <v>4.18</v>
      </c>
      <c r="G624" s="9">
        <f>IFERROR(__xludf.DUMMYFUNCTION("""COMPUTED_VALUE"""),4.18)</f>
        <v>4.18</v>
      </c>
      <c r="H624" s="9">
        <f>IFERROR(__xludf.DUMMYFUNCTION("""COMPUTED_VALUE"""),3.0)</f>
        <v>3</v>
      </c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</row>
    <row r="625" ht="15.75" customHeight="1">
      <c r="A625" s="11">
        <f>IFERROR(__xludf.DUMMYFUNCTION("""COMPUTED_VALUE"""),44471.0)</f>
        <v>44471</v>
      </c>
      <c r="B625" s="9">
        <f>IFERROR(__xludf.DUMMYFUNCTION("""COMPUTED_VALUE"""),1003373.0)</f>
        <v>1003373</v>
      </c>
      <c r="C625" s="9">
        <f>IFERROR(__xludf.DUMMYFUNCTION("""COMPUTED_VALUE"""),29650.0)</f>
        <v>29650</v>
      </c>
      <c r="D625" s="9"/>
      <c r="E625" s="9"/>
      <c r="F625" s="9">
        <f>IFERROR(__xludf.DUMMYFUNCTION("""COMPUTED_VALUE"""),4.74)</f>
        <v>4.74</v>
      </c>
      <c r="G625" s="9">
        <f>IFERROR(__xludf.DUMMYFUNCTION("""COMPUTED_VALUE"""),4.74)</f>
        <v>4.74</v>
      </c>
      <c r="H625" s="9">
        <f>IFERROR(__xludf.DUMMYFUNCTION("""COMPUTED_VALUE"""),3.0)</f>
        <v>3</v>
      </c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</row>
    <row r="626" ht="15.75" customHeight="1">
      <c r="A626" s="11">
        <f>IFERROR(__xludf.DUMMYFUNCTION("""COMPUTED_VALUE"""),44471.0)</f>
        <v>44471</v>
      </c>
      <c r="B626" s="9">
        <f>IFERROR(__xludf.DUMMYFUNCTION("""COMPUTED_VALUE"""),1003373.0)</f>
        <v>1003373</v>
      </c>
      <c r="C626" s="9">
        <f>IFERROR(__xludf.DUMMYFUNCTION("""COMPUTED_VALUE"""),76363.0)</f>
        <v>76363</v>
      </c>
      <c r="D626" s="9"/>
      <c r="E626" s="9"/>
      <c r="F626" s="9">
        <f>IFERROR(__xludf.DUMMYFUNCTION("""COMPUTED_VALUE"""),10.08)</f>
        <v>10.08</v>
      </c>
      <c r="G626" s="9">
        <f>IFERROR(__xludf.DUMMYFUNCTION("""COMPUTED_VALUE"""),10.08)</f>
        <v>10.08</v>
      </c>
      <c r="H626" s="9">
        <f>IFERROR(__xludf.DUMMYFUNCTION("""COMPUTED_VALUE"""),4.0)</f>
        <v>4</v>
      </c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</row>
    <row r="627" ht="15.75" customHeight="1">
      <c r="A627" s="11">
        <f>IFERROR(__xludf.DUMMYFUNCTION("""COMPUTED_VALUE"""),44471.0)</f>
        <v>44471</v>
      </c>
      <c r="B627" s="9">
        <f>IFERROR(__xludf.DUMMYFUNCTION("""COMPUTED_VALUE"""),1003374.0)</f>
        <v>1003374</v>
      </c>
      <c r="C627" s="9">
        <f>IFERROR(__xludf.DUMMYFUNCTION("""COMPUTED_VALUE"""),79355.0)</f>
        <v>79355</v>
      </c>
      <c r="D627" s="10" t="str">
        <f>IFERROR(__xludf.DUMMYFUNCTION("""COMPUTED_VALUE"""),"Offre Speciale")</f>
        <v>Offre Speciale</v>
      </c>
      <c r="E627" s="10"/>
      <c r="F627" s="9">
        <f>IFERROR(__xludf.DUMMYFUNCTION("""COMPUTED_VALUE"""),7.3)</f>
        <v>7.3</v>
      </c>
      <c r="G627" s="9">
        <f>IFERROR(__xludf.DUMMYFUNCTION("""COMPUTED_VALUE"""),5.84)</f>
        <v>5.84</v>
      </c>
      <c r="H627" s="9">
        <f>IFERROR(__xludf.DUMMYFUNCTION("""COMPUTED_VALUE"""),1.0)</f>
        <v>1</v>
      </c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</row>
    <row r="628" ht="15.75" customHeight="1">
      <c r="A628" s="11">
        <f>IFERROR(__xludf.DUMMYFUNCTION("""COMPUTED_VALUE"""),44471.0)</f>
        <v>44471</v>
      </c>
      <c r="B628" s="9">
        <f>IFERROR(__xludf.DUMMYFUNCTION("""COMPUTED_VALUE"""),1003374.0)</f>
        <v>1003374</v>
      </c>
      <c r="C628" s="9">
        <f>IFERROR(__xludf.DUMMYFUNCTION("""COMPUTED_VALUE"""),29650.0)</f>
        <v>29650</v>
      </c>
      <c r="D628" s="9"/>
      <c r="E628" s="9"/>
      <c r="F628" s="9">
        <f>IFERROR(__xludf.DUMMYFUNCTION("""COMPUTED_VALUE"""),1.58)</f>
        <v>1.58</v>
      </c>
      <c r="G628" s="9">
        <f>IFERROR(__xludf.DUMMYFUNCTION("""COMPUTED_VALUE"""),1.58)</f>
        <v>1.58</v>
      </c>
      <c r="H628" s="9">
        <f>IFERROR(__xludf.DUMMYFUNCTION("""COMPUTED_VALUE"""),1.0)</f>
        <v>1</v>
      </c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</row>
    <row r="629" ht="15.75" customHeight="1">
      <c r="A629" s="11">
        <f>IFERROR(__xludf.DUMMYFUNCTION("""COMPUTED_VALUE"""),44471.0)</f>
        <v>44471</v>
      </c>
      <c r="B629" s="9">
        <f>IFERROR(__xludf.DUMMYFUNCTION("""COMPUTED_VALUE"""),1003374.0)</f>
        <v>1003374</v>
      </c>
      <c r="C629" s="9">
        <f>IFERROR(__xludf.DUMMYFUNCTION("""COMPUTED_VALUE"""),110566.0)</f>
        <v>110566</v>
      </c>
      <c r="D629" s="9"/>
      <c r="E629" s="9"/>
      <c r="F629" s="9">
        <f>IFERROR(__xludf.DUMMYFUNCTION("""COMPUTED_VALUE"""),1.83)</f>
        <v>1.83</v>
      </c>
      <c r="G629" s="9">
        <f>IFERROR(__xludf.DUMMYFUNCTION("""COMPUTED_VALUE"""),1.83)</f>
        <v>1.83</v>
      </c>
      <c r="H629" s="9">
        <f>IFERROR(__xludf.DUMMYFUNCTION("""COMPUTED_VALUE"""),1.0)</f>
        <v>1</v>
      </c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</row>
    <row r="630" ht="15.75" customHeight="1">
      <c r="A630" s="11">
        <f>IFERROR(__xludf.DUMMYFUNCTION("""COMPUTED_VALUE"""),44471.0)</f>
        <v>44471</v>
      </c>
      <c r="B630" s="9">
        <f>IFERROR(__xludf.DUMMYFUNCTION("""COMPUTED_VALUE"""),1003374.0)</f>
        <v>1003374</v>
      </c>
      <c r="C630" s="9">
        <f>IFERROR(__xludf.DUMMYFUNCTION("""COMPUTED_VALUE"""),81528.0)</f>
        <v>81528</v>
      </c>
      <c r="D630" s="9"/>
      <c r="E630" s="9"/>
      <c r="F630" s="9">
        <f>IFERROR(__xludf.DUMMYFUNCTION("""COMPUTED_VALUE"""),1.78)</f>
        <v>1.78</v>
      </c>
      <c r="G630" s="9">
        <f>IFERROR(__xludf.DUMMYFUNCTION("""COMPUTED_VALUE"""),1.78)</f>
        <v>1.78</v>
      </c>
      <c r="H630" s="9">
        <f>IFERROR(__xludf.DUMMYFUNCTION("""COMPUTED_VALUE"""),1.0)</f>
        <v>1</v>
      </c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</row>
    <row r="631" ht="15.75" customHeight="1">
      <c r="A631" s="11">
        <f>IFERROR(__xludf.DUMMYFUNCTION("""COMPUTED_VALUE"""),44471.0)</f>
        <v>44471</v>
      </c>
      <c r="B631" s="9">
        <f>IFERROR(__xludf.DUMMYFUNCTION("""COMPUTED_VALUE"""),1003374.0)</f>
        <v>1003374</v>
      </c>
      <c r="C631" s="9">
        <f>IFERROR(__xludf.DUMMYFUNCTION("""COMPUTED_VALUE"""),79315.0)</f>
        <v>79315</v>
      </c>
      <c r="D631" s="10" t="str">
        <f>IFERROR(__xludf.DUMMYFUNCTION("""COMPUTED_VALUE"""),"Offre Speciale")</f>
        <v>Offre Speciale</v>
      </c>
      <c r="E631" s="10"/>
      <c r="F631" s="9">
        <f>IFERROR(__xludf.DUMMYFUNCTION("""COMPUTED_VALUE"""),6.88749999999999)</f>
        <v>6.8875</v>
      </c>
      <c r="G631" s="9">
        <f>IFERROR(__xludf.DUMMYFUNCTION("""COMPUTED_VALUE"""),5.51)</f>
        <v>5.51</v>
      </c>
      <c r="H631" s="9">
        <f>IFERROR(__xludf.DUMMYFUNCTION("""COMPUTED_VALUE"""),1.0)</f>
        <v>1</v>
      </c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</row>
    <row r="632" ht="15.75" customHeight="1">
      <c r="A632" s="11">
        <f>IFERROR(__xludf.DUMMYFUNCTION("""COMPUTED_VALUE"""),44471.0)</f>
        <v>44471</v>
      </c>
      <c r="B632" s="9">
        <f>IFERROR(__xludf.DUMMYFUNCTION("""COMPUTED_VALUE"""),1003374.0)</f>
        <v>1003374</v>
      </c>
      <c r="C632" s="9">
        <f>IFERROR(__xludf.DUMMYFUNCTION("""COMPUTED_VALUE"""),89130.0)</f>
        <v>89130</v>
      </c>
      <c r="D632" s="9"/>
      <c r="E632" s="9"/>
      <c r="F632" s="9">
        <f>IFERROR(__xludf.DUMMYFUNCTION("""COMPUTED_VALUE"""),3.98)</f>
        <v>3.98</v>
      </c>
      <c r="G632" s="9">
        <f>IFERROR(__xludf.DUMMYFUNCTION("""COMPUTED_VALUE"""),3.98)</f>
        <v>3.98</v>
      </c>
      <c r="H632" s="9">
        <f>IFERROR(__xludf.DUMMYFUNCTION("""COMPUTED_VALUE"""),1.0)</f>
        <v>1</v>
      </c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</row>
    <row r="633" ht="15.75" customHeight="1">
      <c r="A633" s="11">
        <f>IFERROR(__xludf.DUMMYFUNCTION("""COMPUTED_VALUE"""),44471.0)</f>
        <v>44471</v>
      </c>
      <c r="B633" s="9">
        <f>IFERROR(__xludf.DUMMYFUNCTION("""COMPUTED_VALUE"""),1003375.0)</f>
        <v>1003375</v>
      </c>
      <c r="C633" s="9">
        <f>IFERROR(__xludf.DUMMYFUNCTION("""COMPUTED_VALUE"""),85887.0)</f>
        <v>85887</v>
      </c>
      <c r="D633" s="9"/>
      <c r="E633" s="9"/>
      <c r="F633" s="9">
        <f>IFERROR(__xludf.DUMMYFUNCTION("""COMPUTED_VALUE"""),17.35)</f>
        <v>17.35</v>
      </c>
      <c r="G633" s="9">
        <f>IFERROR(__xludf.DUMMYFUNCTION("""COMPUTED_VALUE"""),17.35)</f>
        <v>17.35</v>
      </c>
      <c r="H633" s="9">
        <f>IFERROR(__xludf.DUMMYFUNCTION("""COMPUTED_VALUE"""),2.0)</f>
        <v>2</v>
      </c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</row>
    <row r="634" ht="15.75" customHeight="1">
      <c r="A634" s="11">
        <f>IFERROR(__xludf.DUMMYFUNCTION("""COMPUTED_VALUE"""),44471.0)</f>
        <v>44471</v>
      </c>
      <c r="B634" s="9">
        <f>IFERROR(__xludf.DUMMYFUNCTION("""COMPUTED_VALUE"""),1003376.0)</f>
        <v>1003376</v>
      </c>
      <c r="C634" s="9">
        <f>IFERROR(__xludf.DUMMYFUNCTION("""COMPUTED_VALUE"""),182189.0)</f>
        <v>182189</v>
      </c>
      <c r="D634" s="9"/>
      <c r="E634" s="10" t="str">
        <f>IFERROR(__xludf.DUMMYFUNCTION("""COMPUTED_VALUE"""),"GREENRELAIS")</f>
        <v>GREENRELAIS</v>
      </c>
      <c r="F634" s="10">
        <f>IFERROR(__xludf.DUMMYFUNCTION("""COMPUTED_VALUE"""),9.14)</f>
        <v>9.14</v>
      </c>
      <c r="G634" s="9">
        <f>IFERROR(__xludf.DUMMYFUNCTION("""COMPUTED_VALUE"""),9.14)</f>
        <v>9.14</v>
      </c>
      <c r="H634" s="9">
        <f>IFERROR(__xludf.DUMMYFUNCTION("""COMPUTED_VALUE"""),1.0)</f>
        <v>1</v>
      </c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</row>
    <row r="635" ht="15.75" customHeight="1">
      <c r="A635" s="11">
        <f>IFERROR(__xludf.DUMMYFUNCTION("""COMPUTED_VALUE"""),44471.0)</f>
        <v>44471</v>
      </c>
      <c r="B635" s="9">
        <f>IFERROR(__xludf.DUMMYFUNCTION("""COMPUTED_VALUE"""),1003376.0)</f>
        <v>1003376</v>
      </c>
      <c r="C635" s="9">
        <f>IFERROR(__xludf.DUMMYFUNCTION("""COMPUTED_VALUE"""),8681.0)</f>
        <v>8681</v>
      </c>
      <c r="D635" s="9"/>
      <c r="E635" s="10" t="str">
        <f>IFERROR(__xludf.DUMMYFUNCTION("""COMPUTED_VALUE"""),"GREENRELAIS")</f>
        <v>GREENRELAIS</v>
      </c>
      <c r="F635" s="10">
        <f>IFERROR(__xludf.DUMMYFUNCTION("""COMPUTED_VALUE"""),7.84)</f>
        <v>7.84</v>
      </c>
      <c r="G635" s="9">
        <f>IFERROR(__xludf.DUMMYFUNCTION("""COMPUTED_VALUE"""),7.84)</f>
        <v>7.84</v>
      </c>
      <c r="H635" s="9">
        <f>IFERROR(__xludf.DUMMYFUNCTION("""COMPUTED_VALUE"""),1.0)</f>
        <v>1</v>
      </c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</row>
    <row r="636" ht="15.75" customHeight="1">
      <c r="A636" s="11">
        <f>IFERROR(__xludf.DUMMYFUNCTION("""COMPUTED_VALUE"""),44471.0)</f>
        <v>44471</v>
      </c>
      <c r="B636" s="9">
        <f>IFERROR(__xludf.DUMMYFUNCTION("""COMPUTED_VALUE"""),1003376.0)</f>
        <v>1003376</v>
      </c>
      <c r="C636" s="9">
        <f>IFERROR(__xludf.DUMMYFUNCTION("""COMPUTED_VALUE"""),79320.0)</f>
        <v>79320</v>
      </c>
      <c r="D636" s="10" t="str">
        <f>IFERROR(__xludf.DUMMYFUNCTION("""COMPUTED_VALUE"""),"Offre Speciale")</f>
        <v>Offre Speciale</v>
      </c>
      <c r="E636" s="10" t="str">
        <f>IFERROR(__xludf.DUMMYFUNCTION("""COMPUTED_VALUE"""),"GREENRELAIS")</f>
        <v>GREENRELAIS</v>
      </c>
      <c r="F636" s="10">
        <f>IFERROR(__xludf.DUMMYFUNCTION("""COMPUTED_VALUE"""),7.35)</f>
        <v>7.35</v>
      </c>
      <c r="G636" s="9">
        <f>IFERROR(__xludf.DUMMYFUNCTION("""COMPUTED_VALUE"""),5.88)</f>
        <v>5.88</v>
      </c>
      <c r="H636" s="9">
        <f>IFERROR(__xludf.DUMMYFUNCTION("""COMPUTED_VALUE"""),1.0)</f>
        <v>1</v>
      </c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</row>
    <row r="637" ht="15.75" customHeight="1">
      <c r="A637" s="11">
        <f>IFERROR(__xludf.DUMMYFUNCTION("""COMPUTED_VALUE"""),44471.0)</f>
        <v>44471</v>
      </c>
      <c r="B637" s="9">
        <f>IFERROR(__xludf.DUMMYFUNCTION("""COMPUTED_VALUE"""),1003376.0)</f>
        <v>1003376</v>
      </c>
      <c r="C637" s="9">
        <f>IFERROR(__xludf.DUMMYFUNCTION("""COMPUTED_VALUE"""),117139.0)</f>
        <v>117139</v>
      </c>
      <c r="D637" s="9"/>
      <c r="E637" s="10" t="str">
        <f>IFERROR(__xludf.DUMMYFUNCTION("""COMPUTED_VALUE"""),"GREENRELAIS")</f>
        <v>GREENRELAIS</v>
      </c>
      <c r="F637" s="10">
        <f>IFERROR(__xludf.DUMMYFUNCTION("""COMPUTED_VALUE"""),8.07)</f>
        <v>8.07</v>
      </c>
      <c r="G637" s="9">
        <f>IFERROR(__xludf.DUMMYFUNCTION("""COMPUTED_VALUE"""),8.07)</f>
        <v>8.07</v>
      </c>
      <c r="H637" s="9">
        <f>IFERROR(__xludf.DUMMYFUNCTION("""COMPUTED_VALUE"""),1.0)</f>
        <v>1</v>
      </c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</row>
    <row r="638" ht="15.75" customHeight="1">
      <c r="A638" s="11">
        <f>IFERROR(__xludf.DUMMYFUNCTION("""COMPUTED_VALUE"""),44471.0)</f>
        <v>44471</v>
      </c>
      <c r="B638" s="9">
        <f>IFERROR(__xludf.DUMMYFUNCTION("""COMPUTED_VALUE"""),1003376.0)</f>
        <v>1003376</v>
      </c>
      <c r="C638" s="9">
        <f>IFERROR(__xludf.DUMMYFUNCTION("""COMPUTED_VALUE"""),160747.0)</f>
        <v>160747</v>
      </c>
      <c r="D638" s="9"/>
      <c r="E638" s="10" t="str">
        <f>IFERROR(__xludf.DUMMYFUNCTION("""COMPUTED_VALUE"""),"GREENRELAIS")</f>
        <v>GREENRELAIS</v>
      </c>
      <c r="F638" s="10">
        <f>IFERROR(__xludf.DUMMYFUNCTION("""COMPUTED_VALUE"""),3.96)</f>
        <v>3.96</v>
      </c>
      <c r="G638" s="9">
        <f>IFERROR(__xludf.DUMMYFUNCTION("""COMPUTED_VALUE"""),3.96)</f>
        <v>3.96</v>
      </c>
      <c r="H638" s="9">
        <f>IFERROR(__xludf.DUMMYFUNCTION("""COMPUTED_VALUE"""),1.0)</f>
        <v>1</v>
      </c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</row>
    <row r="639" ht="15.75" customHeight="1">
      <c r="A639" s="11">
        <f>IFERROR(__xludf.DUMMYFUNCTION("""COMPUTED_VALUE"""),44471.0)</f>
        <v>44471</v>
      </c>
      <c r="B639" s="9">
        <f>IFERROR(__xludf.DUMMYFUNCTION("""COMPUTED_VALUE"""),1003376.0)</f>
        <v>1003376</v>
      </c>
      <c r="C639" s="9">
        <f>IFERROR(__xludf.DUMMYFUNCTION("""COMPUTED_VALUE"""),71287.0)</f>
        <v>71287</v>
      </c>
      <c r="D639" s="9"/>
      <c r="E639" s="10" t="str">
        <f>IFERROR(__xludf.DUMMYFUNCTION("""COMPUTED_VALUE"""),"GREENRELAIS")</f>
        <v>GREENRELAIS</v>
      </c>
      <c r="F639" s="10">
        <f>IFERROR(__xludf.DUMMYFUNCTION("""COMPUTED_VALUE"""),7.17)</f>
        <v>7.17</v>
      </c>
      <c r="G639" s="9">
        <f>IFERROR(__xludf.DUMMYFUNCTION("""COMPUTED_VALUE"""),7.17)</f>
        <v>7.17</v>
      </c>
      <c r="H639" s="9">
        <f>IFERROR(__xludf.DUMMYFUNCTION("""COMPUTED_VALUE"""),1.0)</f>
        <v>1</v>
      </c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</row>
    <row r="640" ht="15.75" customHeight="1">
      <c r="A640" s="11">
        <f>IFERROR(__xludf.DUMMYFUNCTION("""COMPUTED_VALUE"""),44471.0)</f>
        <v>44471</v>
      </c>
      <c r="B640" s="9">
        <f>IFERROR(__xludf.DUMMYFUNCTION("""COMPUTED_VALUE"""),1003376.0)</f>
        <v>1003376</v>
      </c>
      <c r="C640" s="9">
        <f>IFERROR(__xludf.DUMMYFUNCTION("""COMPUTED_VALUE"""),73259.0)</f>
        <v>73259</v>
      </c>
      <c r="D640" s="9"/>
      <c r="E640" s="10" t="str">
        <f>IFERROR(__xludf.DUMMYFUNCTION("""COMPUTED_VALUE"""),"GREENRELAIS")</f>
        <v>GREENRELAIS</v>
      </c>
      <c r="F640" s="10">
        <f>IFERROR(__xludf.DUMMYFUNCTION("""COMPUTED_VALUE"""),2.22)</f>
        <v>2.22</v>
      </c>
      <c r="G640" s="9">
        <f>IFERROR(__xludf.DUMMYFUNCTION("""COMPUTED_VALUE"""),2.22)</f>
        <v>2.22</v>
      </c>
      <c r="H640" s="9">
        <f>IFERROR(__xludf.DUMMYFUNCTION("""COMPUTED_VALUE"""),1.0)</f>
        <v>1</v>
      </c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</row>
    <row r="641" ht="15.75" customHeight="1">
      <c r="A641" s="11">
        <f>IFERROR(__xludf.DUMMYFUNCTION("""COMPUTED_VALUE"""),44471.0)</f>
        <v>44471</v>
      </c>
      <c r="B641" s="9">
        <f>IFERROR(__xludf.DUMMYFUNCTION("""COMPUTED_VALUE"""),1003376.0)</f>
        <v>1003376</v>
      </c>
      <c r="C641" s="9">
        <f>IFERROR(__xludf.DUMMYFUNCTION("""COMPUTED_VALUE"""),72319.0)</f>
        <v>72319</v>
      </c>
      <c r="D641" s="9"/>
      <c r="E641" s="10" t="str">
        <f>IFERROR(__xludf.DUMMYFUNCTION("""COMPUTED_VALUE"""),"GREENRELAIS")</f>
        <v>GREENRELAIS</v>
      </c>
      <c r="F641" s="10">
        <f>IFERROR(__xludf.DUMMYFUNCTION("""COMPUTED_VALUE"""),8.65)</f>
        <v>8.65</v>
      </c>
      <c r="G641" s="9">
        <f>IFERROR(__xludf.DUMMYFUNCTION("""COMPUTED_VALUE"""),8.65)</f>
        <v>8.65</v>
      </c>
      <c r="H641" s="9">
        <f>IFERROR(__xludf.DUMMYFUNCTION("""COMPUTED_VALUE"""),1.0)</f>
        <v>1</v>
      </c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</row>
    <row r="642" ht="15.75" customHeight="1">
      <c r="A642" s="11">
        <f>IFERROR(__xludf.DUMMYFUNCTION("""COMPUTED_VALUE"""),44471.0)</f>
        <v>44471</v>
      </c>
      <c r="B642" s="9">
        <f>IFERROR(__xludf.DUMMYFUNCTION("""COMPUTED_VALUE"""),1003376.0)</f>
        <v>1003376</v>
      </c>
      <c r="C642" s="9">
        <f>IFERROR(__xludf.DUMMYFUNCTION("""COMPUTED_VALUE"""),92623.0)</f>
        <v>92623</v>
      </c>
      <c r="D642" s="9"/>
      <c r="E642" s="10" t="str">
        <f>IFERROR(__xludf.DUMMYFUNCTION("""COMPUTED_VALUE"""),"GREENRELAIS")</f>
        <v>GREENRELAIS</v>
      </c>
      <c r="F642" s="10">
        <f>IFERROR(__xludf.DUMMYFUNCTION("""COMPUTED_VALUE"""),9.21)</f>
        <v>9.21</v>
      </c>
      <c r="G642" s="9">
        <f>IFERROR(__xludf.DUMMYFUNCTION("""COMPUTED_VALUE"""),9.21)</f>
        <v>9.21</v>
      </c>
      <c r="H642" s="9">
        <f>IFERROR(__xludf.DUMMYFUNCTION("""COMPUTED_VALUE"""),1.0)</f>
        <v>1</v>
      </c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</row>
    <row r="643" ht="15.75" customHeight="1">
      <c r="A643" s="11">
        <f>IFERROR(__xludf.DUMMYFUNCTION("""COMPUTED_VALUE"""),44471.0)</f>
        <v>44471</v>
      </c>
      <c r="B643" s="9">
        <f>IFERROR(__xludf.DUMMYFUNCTION("""COMPUTED_VALUE"""),1003376.0)</f>
        <v>1003376</v>
      </c>
      <c r="C643" s="9">
        <f>IFERROR(__xludf.DUMMYFUNCTION("""COMPUTED_VALUE"""),7357.0)</f>
        <v>7357</v>
      </c>
      <c r="D643" s="9"/>
      <c r="E643" s="10" t="str">
        <f>IFERROR(__xludf.DUMMYFUNCTION("""COMPUTED_VALUE"""),"GREENRELAIS")</f>
        <v>GREENRELAIS</v>
      </c>
      <c r="F643" s="10">
        <f>IFERROR(__xludf.DUMMYFUNCTION("""COMPUTED_VALUE"""),13.79)</f>
        <v>13.79</v>
      </c>
      <c r="G643" s="9">
        <f>IFERROR(__xludf.DUMMYFUNCTION("""COMPUTED_VALUE"""),13.79)</f>
        <v>13.79</v>
      </c>
      <c r="H643" s="9">
        <f>IFERROR(__xludf.DUMMYFUNCTION("""COMPUTED_VALUE"""),2.0)</f>
        <v>2</v>
      </c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</row>
    <row r="644" ht="15.75" customHeight="1">
      <c r="A644" s="11">
        <f>IFERROR(__xludf.DUMMYFUNCTION("""COMPUTED_VALUE"""),44471.0)</f>
        <v>44471</v>
      </c>
      <c r="B644" s="9">
        <f>IFERROR(__xludf.DUMMYFUNCTION("""COMPUTED_VALUE"""),1003377.0)</f>
        <v>1003377</v>
      </c>
      <c r="C644" s="9">
        <f>IFERROR(__xludf.DUMMYFUNCTION("""COMPUTED_VALUE"""),103599.0)</f>
        <v>103599</v>
      </c>
      <c r="D644" s="9"/>
      <c r="E644" s="9"/>
      <c r="F644" s="9">
        <f>IFERROR(__xludf.DUMMYFUNCTION("""COMPUTED_VALUE"""),2.14)</f>
        <v>2.14</v>
      </c>
      <c r="G644" s="9">
        <f>IFERROR(__xludf.DUMMYFUNCTION("""COMPUTED_VALUE"""),2.14)</f>
        <v>2.14</v>
      </c>
      <c r="H644" s="9">
        <f>IFERROR(__xludf.DUMMYFUNCTION("""COMPUTED_VALUE"""),1.0)</f>
        <v>1</v>
      </c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</row>
    <row r="645" ht="15.75" customHeight="1">
      <c r="A645" s="11">
        <f>IFERROR(__xludf.DUMMYFUNCTION("""COMPUTED_VALUE"""),44471.0)</f>
        <v>44471</v>
      </c>
      <c r="B645" s="9">
        <f>IFERROR(__xludf.DUMMYFUNCTION("""COMPUTED_VALUE"""),1003377.0)</f>
        <v>1003377</v>
      </c>
      <c r="C645" s="9">
        <f>IFERROR(__xludf.DUMMYFUNCTION("""COMPUTED_VALUE"""),18115.0)</f>
        <v>18115</v>
      </c>
      <c r="D645" s="9"/>
      <c r="E645" s="9"/>
      <c r="F645" s="9">
        <f>IFERROR(__xludf.DUMMYFUNCTION("""COMPUTED_VALUE"""),3.79)</f>
        <v>3.79</v>
      </c>
      <c r="G645" s="9">
        <f>IFERROR(__xludf.DUMMYFUNCTION("""COMPUTED_VALUE"""),3.79)</f>
        <v>3.79</v>
      </c>
      <c r="H645" s="9">
        <f>IFERROR(__xludf.DUMMYFUNCTION("""COMPUTED_VALUE"""),1.0)</f>
        <v>1</v>
      </c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</row>
    <row r="646" ht="15.75" customHeight="1">
      <c r="A646" s="11">
        <f>IFERROR(__xludf.DUMMYFUNCTION("""COMPUTED_VALUE"""),44471.0)</f>
        <v>44471</v>
      </c>
      <c r="B646" s="9">
        <f>IFERROR(__xludf.DUMMYFUNCTION("""COMPUTED_VALUE"""),1003377.0)</f>
        <v>1003377</v>
      </c>
      <c r="C646" s="9">
        <f>IFERROR(__xludf.DUMMYFUNCTION("""COMPUTED_VALUE"""),112078.0)</f>
        <v>112078</v>
      </c>
      <c r="D646" s="9"/>
      <c r="E646" s="9"/>
      <c r="F646" s="9">
        <f>IFERROR(__xludf.DUMMYFUNCTION("""COMPUTED_VALUE"""),1.02)</f>
        <v>1.02</v>
      </c>
      <c r="G646" s="9">
        <f>IFERROR(__xludf.DUMMYFUNCTION("""COMPUTED_VALUE"""),1.02)</f>
        <v>1.02</v>
      </c>
      <c r="H646" s="9">
        <f>IFERROR(__xludf.DUMMYFUNCTION("""COMPUTED_VALUE"""),1.0)</f>
        <v>1</v>
      </c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</row>
    <row r="647" ht="15.75" customHeight="1">
      <c r="A647" s="11">
        <f>IFERROR(__xludf.DUMMYFUNCTION("""COMPUTED_VALUE"""),44471.0)</f>
        <v>44471</v>
      </c>
      <c r="B647" s="9">
        <f>IFERROR(__xludf.DUMMYFUNCTION("""COMPUTED_VALUE"""),1003377.0)</f>
        <v>1003377</v>
      </c>
      <c r="C647" s="9">
        <f>IFERROR(__xludf.DUMMYFUNCTION("""COMPUTED_VALUE"""),110863.0)</f>
        <v>110863</v>
      </c>
      <c r="D647" s="9"/>
      <c r="E647" s="9"/>
      <c r="F647" s="9">
        <f>IFERROR(__xludf.DUMMYFUNCTION("""COMPUTED_VALUE"""),3.06)</f>
        <v>3.06</v>
      </c>
      <c r="G647" s="9">
        <f>IFERROR(__xludf.DUMMYFUNCTION("""COMPUTED_VALUE"""),3.06)</f>
        <v>3.06</v>
      </c>
      <c r="H647" s="9">
        <f>IFERROR(__xludf.DUMMYFUNCTION("""COMPUTED_VALUE"""),1.0)</f>
        <v>1</v>
      </c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</row>
    <row r="648" ht="15.75" customHeight="1">
      <c r="A648" s="11">
        <f>IFERROR(__xludf.DUMMYFUNCTION("""COMPUTED_VALUE"""),44471.0)</f>
        <v>44471</v>
      </c>
      <c r="B648" s="9">
        <f>IFERROR(__xludf.DUMMYFUNCTION("""COMPUTED_VALUE"""),1003377.0)</f>
        <v>1003377</v>
      </c>
      <c r="C648" s="9">
        <f>IFERROR(__xludf.DUMMYFUNCTION("""COMPUTED_VALUE"""),81507.0)</f>
        <v>81507</v>
      </c>
      <c r="D648" s="10" t="str">
        <f>IFERROR(__xludf.DUMMYFUNCTION("""COMPUTED_VALUE"""),"Vive le bio")</f>
        <v>Vive le bio</v>
      </c>
      <c r="E648" s="10"/>
      <c r="F648" s="9">
        <f>IFERROR(__xludf.DUMMYFUNCTION("""COMPUTED_VALUE"""),13.9222222222222)</f>
        <v>13.92222222</v>
      </c>
      <c r="G648" s="9">
        <f>IFERROR(__xludf.DUMMYFUNCTION("""COMPUTED_VALUE"""),12.53)</f>
        <v>12.53</v>
      </c>
      <c r="H648" s="9">
        <f>IFERROR(__xludf.DUMMYFUNCTION("""COMPUTED_VALUE"""),1.0)</f>
        <v>1</v>
      </c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</row>
    <row r="649" ht="15.75" customHeight="1">
      <c r="A649" s="11">
        <f>IFERROR(__xludf.DUMMYFUNCTION("""COMPUTED_VALUE"""),44471.0)</f>
        <v>44471</v>
      </c>
      <c r="B649" s="9">
        <f>IFERROR(__xludf.DUMMYFUNCTION("""COMPUTED_VALUE"""),1003377.0)</f>
        <v>1003377</v>
      </c>
      <c r="C649" s="9">
        <f>IFERROR(__xludf.DUMMYFUNCTION("""COMPUTED_VALUE"""),88679.0)</f>
        <v>88679</v>
      </c>
      <c r="D649" s="10" t="str">
        <f>IFERROR(__xludf.DUMMYFUNCTION("""COMPUTED_VALUE"""),"Vive le bio")</f>
        <v>Vive le bio</v>
      </c>
      <c r="E649" s="10"/>
      <c r="F649" s="9">
        <f>IFERROR(__xludf.DUMMYFUNCTION("""COMPUTED_VALUE"""),3.78888888888888)</f>
        <v>3.788888889</v>
      </c>
      <c r="G649" s="9">
        <f>IFERROR(__xludf.DUMMYFUNCTION("""COMPUTED_VALUE"""),3.41)</f>
        <v>3.41</v>
      </c>
      <c r="H649" s="9">
        <f>IFERROR(__xludf.DUMMYFUNCTION("""COMPUTED_VALUE"""),1.0)</f>
        <v>1</v>
      </c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</row>
    <row r="650" ht="15.75" customHeight="1">
      <c r="A650" s="11">
        <f>IFERROR(__xludf.DUMMYFUNCTION("""COMPUTED_VALUE"""),44471.0)</f>
        <v>44471</v>
      </c>
      <c r="B650" s="9">
        <f>IFERROR(__xludf.DUMMYFUNCTION("""COMPUTED_VALUE"""),1003377.0)</f>
        <v>1003377</v>
      </c>
      <c r="C650" s="9">
        <f>IFERROR(__xludf.DUMMYFUNCTION("""COMPUTED_VALUE"""),83117.0)</f>
        <v>83117</v>
      </c>
      <c r="D650" s="10" t="str">
        <f>IFERROR(__xludf.DUMMYFUNCTION("""COMPUTED_VALUE"""),"Vive le bio")</f>
        <v>Vive le bio</v>
      </c>
      <c r="E650" s="10"/>
      <c r="F650" s="9">
        <f>IFERROR(__xludf.DUMMYFUNCTION("""COMPUTED_VALUE"""),30.7666666666666)</f>
        <v>30.76666667</v>
      </c>
      <c r="G650" s="9">
        <f>IFERROR(__xludf.DUMMYFUNCTION("""COMPUTED_VALUE"""),27.69)</f>
        <v>27.69</v>
      </c>
      <c r="H650" s="9">
        <f>IFERROR(__xludf.DUMMYFUNCTION("""COMPUTED_VALUE"""),2.0)</f>
        <v>2</v>
      </c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</row>
    <row r="651" ht="15.75" customHeight="1">
      <c r="A651" s="11">
        <f>IFERROR(__xludf.DUMMYFUNCTION("""COMPUTED_VALUE"""),44471.0)</f>
        <v>44471</v>
      </c>
      <c r="B651" s="9">
        <f>IFERROR(__xludf.DUMMYFUNCTION("""COMPUTED_VALUE"""),1003377.0)</f>
        <v>1003377</v>
      </c>
      <c r="C651" s="9">
        <f>IFERROR(__xludf.DUMMYFUNCTION("""COMPUTED_VALUE"""),121462.0)</f>
        <v>121462</v>
      </c>
      <c r="D651" s="9"/>
      <c r="E651" s="9"/>
      <c r="F651" s="9">
        <f>IFERROR(__xludf.DUMMYFUNCTION("""COMPUTED_VALUE"""),3.1)</f>
        <v>3.1</v>
      </c>
      <c r="G651" s="9">
        <f>IFERROR(__xludf.DUMMYFUNCTION("""COMPUTED_VALUE"""),3.1)</f>
        <v>3.1</v>
      </c>
      <c r="H651" s="9">
        <f>IFERROR(__xludf.DUMMYFUNCTION("""COMPUTED_VALUE"""),2.0)</f>
        <v>2</v>
      </c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</row>
    <row r="652" ht="15.75" customHeight="1">
      <c r="A652" s="11">
        <f>IFERROR(__xludf.DUMMYFUNCTION("""COMPUTED_VALUE"""),44471.0)</f>
        <v>44471</v>
      </c>
      <c r="B652" s="9">
        <f>IFERROR(__xludf.DUMMYFUNCTION("""COMPUTED_VALUE"""),1003377.0)</f>
        <v>1003377</v>
      </c>
      <c r="C652" s="9">
        <f>IFERROR(__xludf.DUMMYFUNCTION("""COMPUTED_VALUE"""),101042.0)</f>
        <v>101042</v>
      </c>
      <c r="D652" s="9"/>
      <c r="E652" s="9"/>
      <c r="F652" s="9">
        <f>IFERROR(__xludf.DUMMYFUNCTION("""COMPUTED_VALUE"""),3.23)</f>
        <v>3.23</v>
      </c>
      <c r="G652" s="9">
        <f>IFERROR(__xludf.DUMMYFUNCTION("""COMPUTED_VALUE"""),3.23)</f>
        <v>3.23</v>
      </c>
      <c r="H652" s="9">
        <f>IFERROR(__xludf.DUMMYFUNCTION("""COMPUTED_VALUE"""),2.0)</f>
        <v>2</v>
      </c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</row>
    <row r="653" ht="15.75" customHeight="1">
      <c r="A653" s="11">
        <f>IFERROR(__xludf.DUMMYFUNCTION("""COMPUTED_VALUE"""),44471.0)</f>
        <v>44471</v>
      </c>
      <c r="B653" s="9">
        <f>IFERROR(__xludf.DUMMYFUNCTION("""COMPUTED_VALUE"""),1003377.0)</f>
        <v>1003377</v>
      </c>
      <c r="C653" s="9">
        <f>IFERROR(__xludf.DUMMYFUNCTION("""COMPUTED_VALUE"""),43946.0)</f>
        <v>43946</v>
      </c>
      <c r="D653" s="9"/>
      <c r="E653" s="9"/>
      <c r="F653" s="9">
        <f>IFERROR(__xludf.DUMMYFUNCTION("""COMPUTED_VALUE"""),49.12)</f>
        <v>49.12</v>
      </c>
      <c r="G653" s="9">
        <f>IFERROR(__xludf.DUMMYFUNCTION("""COMPUTED_VALUE"""),49.12)</f>
        <v>49.12</v>
      </c>
      <c r="H653" s="9">
        <f>IFERROR(__xludf.DUMMYFUNCTION("""COMPUTED_VALUE"""),3.0)</f>
        <v>3</v>
      </c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</row>
    <row r="654" ht="15.75" customHeight="1">
      <c r="A654" s="11">
        <f>IFERROR(__xludf.DUMMYFUNCTION("""COMPUTED_VALUE"""),44471.0)</f>
        <v>44471</v>
      </c>
      <c r="B654" s="9">
        <f>IFERROR(__xludf.DUMMYFUNCTION("""COMPUTED_VALUE"""),1003377.0)</f>
        <v>1003377</v>
      </c>
      <c r="C654" s="9">
        <f>IFERROR(__xludf.DUMMYFUNCTION("""COMPUTED_VALUE"""),121479.0)</f>
        <v>121479</v>
      </c>
      <c r="D654" s="10" t="str">
        <f>IFERROR(__xludf.DUMMYFUNCTION("""COMPUTED_VALUE"""),"Vive le bio")</f>
        <v>Vive le bio</v>
      </c>
      <c r="E654" s="10"/>
      <c r="F654" s="9">
        <f>IFERROR(__xludf.DUMMYFUNCTION("""COMPUTED_VALUE"""),12.8555555555555)</f>
        <v>12.85555556</v>
      </c>
      <c r="G654" s="9">
        <f>IFERROR(__xludf.DUMMYFUNCTION("""COMPUTED_VALUE"""),11.57)</f>
        <v>11.57</v>
      </c>
      <c r="H654" s="9">
        <f>IFERROR(__xludf.DUMMYFUNCTION("""COMPUTED_VALUE"""),7.0)</f>
        <v>7</v>
      </c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</row>
    <row r="655" ht="15.75" customHeight="1">
      <c r="A655" s="11">
        <f>IFERROR(__xludf.DUMMYFUNCTION("""COMPUTED_VALUE"""),44471.0)</f>
        <v>44471</v>
      </c>
      <c r="B655" s="9">
        <f>IFERROR(__xludf.DUMMYFUNCTION("""COMPUTED_VALUE"""),1003378.0)</f>
        <v>1003378</v>
      </c>
      <c r="C655" s="9">
        <f>IFERROR(__xludf.DUMMYFUNCTION("""COMPUTED_VALUE"""),14401.0)</f>
        <v>14401</v>
      </c>
      <c r="D655" s="9"/>
      <c r="E655" s="9"/>
      <c r="F655" s="9">
        <f>IFERROR(__xludf.DUMMYFUNCTION("""COMPUTED_VALUE"""),6.25)</f>
        <v>6.25</v>
      </c>
      <c r="G655" s="9">
        <f>IFERROR(__xludf.DUMMYFUNCTION("""COMPUTED_VALUE"""),6.25)</f>
        <v>6.25</v>
      </c>
      <c r="H655" s="9">
        <f>IFERROR(__xludf.DUMMYFUNCTION("""COMPUTED_VALUE"""),1.0)</f>
        <v>1</v>
      </c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</row>
    <row r="656" ht="15.75" customHeight="1">
      <c r="A656" s="11">
        <f>IFERROR(__xludf.DUMMYFUNCTION("""COMPUTED_VALUE"""),44471.0)</f>
        <v>44471</v>
      </c>
      <c r="B656" s="9">
        <f>IFERROR(__xludf.DUMMYFUNCTION("""COMPUTED_VALUE"""),1003378.0)</f>
        <v>1003378</v>
      </c>
      <c r="C656" s="9">
        <f>IFERROR(__xludf.DUMMYFUNCTION("""COMPUTED_VALUE"""),117681.0)</f>
        <v>117681</v>
      </c>
      <c r="D656" s="9"/>
      <c r="E656" s="9"/>
      <c r="F656" s="9">
        <f>IFERROR(__xludf.DUMMYFUNCTION("""COMPUTED_VALUE"""),12.57)</f>
        <v>12.57</v>
      </c>
      <c r="G656" s="9">
        <f>IFERROR(__xludf.DUMMYFUNCTION("""COMPUTED_VALUE"""),12.57)</f>
        <v>12.57</v>
      </c>
      <c r="H656" s="9">
        <f>IFERROR(__xludf.DUMMYFUNCTION("""COMPUTED_VALUE"""),1.0)</f>
        <v>1</v>
      </c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</row>
    <row r="657" ht="15.75" customHeight="1">
      <c r="A657" s="11">
        <f>IFERROR(__xludf.DUMMYFUNCTION("""COMPUTED_VALUE"""),44471.0)</f>
        <v>44471</v>
      </c>
      <c r="B657" s="9">
        <f>IFERROR(__xludf.DUMMYFUNCTION("""COMPUTED_VALUE"""),1003378.0)</f>
        <v>1003378</v>
      </c>
      <c r="C657" s="9">
        <f>IFERROR(__xludf.DUMMYFUNCTION("""COMPUTED_VALUE"""),79907.0)</f>
        <v>79907</v>
      </c>
      <c r="D657" s="9"/>
      <c r="E657" s="9"/>
      <c r="F657" s="9">
        <f>IFERROR(__xludf.DUMMYFUNCTION("""COMPUTED_VALUE"""),2.77)</f>
        <v>2.77</v>
      </c>
      <c r="G657" s="9">
        <f>IFERROR(__xludf.DUMMYFUNCTION("""COMPUTED_VALUE"""),2.77)</f>
        <v>2.77</v>
      </c>
      <c r="H657" s="9">
        <f>IFERROR(__xludf.DUMMYFUNCTION("""COMPUTED_VALUE"""),3.0)</f>
        <v>3</v>
      </c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</row>
    <row r="658" ht="15.75" customHeight="1">
      <c r="A658" s="11">
        <f>IFERROR(__xludf.DUMMYFUNCTION("""COMPUTED_VALUE"""),44471.0)</f>
        <v>44471</v>
      </c>
      <c r="B658" s="9">
        <f>IFERROR(__xludf.DUMMYFUNCTION("""COMPUTED_VALUE"""),1003378.0)</f>
        <v>1003378</v>
      </c>
      <c r="C658" s="9">
        <f>IFERROR(__xludf.DUMMYFUNCTION("""COMPUTED_VALUE"""),117665.0)</f>
        <v>117665</v>
      </c>
      <c r="D658" s="9"/>
      <c r="E658" s="9"/>
      <c r="F658" s="9">
        <f>IFERROR(__xludf.DUMMYFUNCTION("""COMPUTED_VALUE"""),36.67)</f>
        <v>36.67</v>
      </c>
      <c r="G658" s="9">
        <f>IFERROR(__xludf.DUMMYFUNCTION("""COMPUTED_VALUE"""),36.67)</f>
        <v>36.67</v>
      </c>
      <c r="H658" s="9">
        <f>IFERROR(__xludf.DUMMYFUNCTION("""COMPUTED_VALUE"""),4.0)</f>
        <v>4</v>
      </c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</row>
    <row r="659" ht="15.75" customHeight="1">
      <c r="A659" s="11">
        <f>IFERROR(__xludf.DUMMYFUNCTION("""COMPUTED_VALUE"""),44471.0)</f>
        <v>44471</v>
      </c>
      <c r="B659" s="9">
        <f>IFERROR(__xludf.DUMMYFUNCTION("""COMPUTED_VALUE"""),1003378.0)</f>
        <v>1003378</v>
      </c>
      <c r="C659" s="9">
        <f>IFERROR(__xludf.DUMMYFUNCTION("""COMPUTED_VALUE"""),70587.0)</f>
        <v>70587</v>
      </c>
      <c r="D659" s="9"/>
      <c r="E659" s="9"/>
      <c r="F659" s="9">
        <f>IFERROR(__xludf.DUMMYFUNCTION("""COMPUTED_VALUE"""),4.57)</f>
        <v>4.57</v>
      </c>
      <c r="G659" s="9">
        <f>IFERROR(__xludf.DUMMYFUNCTION("""COMPUTED_VALUE"""),4.57)</f>
        <v>4.57</v>
      </c>
      <c r="H659" s="9">
        <f>IFERROR(__xludf.DUMMYFUNCTION("""COMPUTED_VALUE"""),5.0)</f>
        <v>5</v>
      </c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</row>
    <row r="660" ht="15.75" customHeight="1">
      <c r="A660" s="11">
        <f>IFERROR(__xludf.DUMMYFUNCTION("""COMPUTED_VALUE"""),44471.0)</f>
        <v>44471</v>
      </c>
      <c r="B660" s="9">
        <f>IFERROR(__xludf.DUMMYFUNCTION("""COMPUTED_VALUE"""),1003379.0)</f>
        <v>1003379</v>
      </c>
      <c r="C660" s="9">
        <f>IFERROR(__xludf.DUMMYFUNCTION("""COMPUTED_VALUE"""),89559.0)</f>
        <v>89559</v>
      </c>
      <c r="D660" s="9"/>
      <c r="E660" s="9"/>
      <c r="F660" s="9">
        <f>IFERROR(__xludf.DUMMYFUNCTION("""COMPUTED_VALUE"""),3.09)</f>
        <v>3.09</v>
      </c>
      <c r="G660" s="9">
        <f>IFERROR(__xludf.DUMMYFUNCTION("""COMPUTED_VALUE"""),3.09)</f>
        <v>3.09</v>
      </c>
      <c r="H660" s="9">
        <f>IFERROR(__xludf.DUMMYFUNCTION("""COMPUTED_VALUE"""),1.0)</f>
        <v>1</v>
      </c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</row>
    <row r="661" ht="15.75" customHeight="1">
      <c r="A661" s="11">
        <f>IFERROR(__xludf.DUMMYFUNCTION("""COMPUTED_VALUE"""),44471.0)</f>
        <v>44471</v>
      </c>
      <c r="B661" s="9">
        <f>IFERROR(__xludf.DUMMYFUNCTION("""COMPUTED_VALUE"""),1003379.0)</f>
        <v>1003379</v>
      </c>
      <c r="C661" s="9">
        <f>IFERROR(__xludf.DUMMYFUNCTION("""COMPUTED_VALUE"""),121578.0)</f>
        <v>121578</v>
      </c>
      <c r="D661" s="9"/>
      <c r="E661" s="9"/>
      <c r="F661" s="9">
        <f>IFERROR(__xludf.DUMMYFUNCTION("""COMPUTED_VALUE"""),19.37)</f>
        <v>19.37</v>
      </c>
      <c r="G661" s="9">
        <f>IFERROR(__xludf.DUMMYFUNCTION("""COMPUTED_VALUE"""),19.37)</f>
        <v>19.37</v>
      </c>
      <c r="H661" s="9">
        <f>IFERROR(__xludf.DUMMYFUNCTION("""COMPUTED_VALUE"""),3.0)</f>
        <v>3</v>
      </c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</row>
    <row r="662" ht="15.75" customHeight="1">
      <c r="A662" s="11">
        <f>IFERROR(__xludf.DUMMYFUNCTION("""COMPUTED_VALUE"""),44471.0)</f>
        <v>44471</v>
      </c>
      <c r="B662" s="9">
        <f>IFERROR(__xludf.DUMMYFUNCTION("""COMPUTED_VALUE"""),1003379.0)</f>
        <v>1003379</v>
      </c>
      <c r="C662" s="9">
        <f>IFERROR(__xludf.DUMMYFUNCTION("""COMPUTED_VALUE"""),117206.0)</f>
        <v>117206</v>
      </c>
      <c r="D662" s="9"/>
      <c r="E662" s="9"/>
      <c r="F662" s="9">
        <f>IFERROR(__xludf.DUMMYFUNCTION("""COMPUTED_VALUE"""),9.45)</f>
        <v>9.45</v>
      </c>
      <c r="G662" s="9">
        <f>IFERROR(__xludf.DUMMYFUNCTION("""COMPUTED_VALUE"""),9.45)</f>
        <v>9.45</v>
      </c>
      <c r="H662" s="9">
        <f>IFERROR(__xludf.DUMMYFUNCTION("""COMPUTED_VALUE"""),3.0)</f>
        <v>3</v>
      </c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</row>
    <row r="663" ht="15.75" customHeight="1">
      <c r="A663" s="11">
        <f>IFERROR(__xludf.DUMMYFUNCTION("""COMPUTED_VALUE"""),44471.0)</f>
        <v>44471</v>
      </c>
      <c r="B663" s="9">
        <f>IFERROR(__xludf.DUMMYFUNCTION("""COMPUTED_VALUE"""),1003379.0)</f>
        <v>1003379</v>
      </c>
      <c r="C663" s="9">
        <f>IFERROR(__xludf.DUMMYFUNCTION("""COMPUTED_VALUE"""),117187.0)</f>
        <v>117187</v>
      </c>
      <c r="D663" s="9"/>
      <c r="E663" s="9"/>
      <c r="F663" s="9">
        <f>IFERROR(__xludf.DUMMYFUNCTION("""COMPUTED_VALUE"""),9.73)</f>
        <v>9.73</v>
      </c>
      <c r="G663" s="9">
        <f>IFERROR(__xludf.DUMMYFUNCTION("""COMPUTED_VALUE"""),9.73)</f>
        <v>9.73</v>
      </c>
      <c r="H663" s="9">
        <f>IFERROR(__xludf.DUMMYFUNCTION("""COMPUTED_VALUE"""),3.0)</f>
        <v>3</v>
      </c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</row>
    <row r="664" ht="15.75" customHeight="1">
      <c r="A664" s="11">
        <f>IFERROR(__xludf.DUMMYFUNCTION("""COMPUTED_VALUE"""),44471.0)</f>
        <v>44471</v>
      </c>
      <c r="B664" s="9">
        <f>IFERROR(__xludf.DUMMYFUNCTION("""COMPUTED_VALUE"""),1003382.0)</f>
        <v>1003382</v>
      </c>
      <c r="C664" s="9">
        <f>IFERROR(__xludf.DUMMYFUNCTION("""COMPUTED_VALUE"""),113594.0)</f>
        <v>113594</v>
      </c>
      <c r="D664" s="10" t="str">
        <f>IFERROR(__xludf.DUMMYFUNCTION("""COMPUTED_VALUE"""),"Vive le bio")</f>
        <v>Vive le bio</v>
      </c>
      <c r="E664" s="10"/>
      <c r="F664" s="9">
        <f>IFERROR(__xludf.DUMMYFUNCTION("""COMPUTED_VALUE"""),15.2666666666666)</f>
        <v>15.26666667</v>
      </c>
      <c r="G664" s="9">
        <f>IFERROR(__xludf.DUMMYFUNCTION("""COMPUTED_VALUE"""),13.74)</f>
        <v>13.74</v>
      </c>
      <c r="H664" s="9">
        <f>IFERROR(__xludf.DUMMYFUNCTION("""COMPUTED_VALUE"""),1.0)</f>
        <v>1</v>
      </c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</row>
    <row r="665" ht="15.75" customHeight="1">
      <c r="A665" s="11">
        <f>IFERROR(__xludf.DUMMYFUNCTION("""COMPUTED_VALUE"""),44471.0)</f>
        <v>44471</v>
      </c>
      <c r="B665" s="9">
        <f>IFERROR(__xludf.DUMMYFUNCTION("""COMPUTED_VALUE"""),1003383.0)</f>
        <v>1003383</v>
      </c>
      <c r="C665" s="9">
        <f>IFERROR(__xludf.DUMMYFUNCTION("""COMPUTED_VALUE"""),88385.0)</f>
        <v>88385</v>
      </c>
      <c r="D665" s="9"/>
      <c r="E665" s="9"/>
      <c r="F665" s="9">
        <f>IFERROR(__xludf.DUMMYFUNCTION("""COMPUTED_VALUE"""),84.87)</f>
        <v>84.87</v>
      </c>
      <c r="G665" s="9">
        <f>IFERROR(__xludf.DUMMYFUNCTION("""COMPUTED_VALUE"""),84.87)</f>
        <v>84.87</v>
      </c>
      <c r="H665" s="9">
        <f>IFERROR(__xludf.DUMMYFUNCTION("""COMPUTED_VALUE"""),1.0)</f>
        <v>1</v>
      </c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</row>
    <row r="666" ht="15.75" customHeight="1">
      <c r="A666" s="11">
        <f>IFERROR(__xludf.DUMMYFUNCTION("""COMPUTED_VALUE"""),44471.0)</f>
        <v>44471</v>
      </c>
      <c r="B666" s="9">
        <f>IFERROR(__xludf.DUMMYFUNCTION("""COMPUTED_VALUE"""),1003384.0)</f>
        <v>1003384</v>
      </c>
      <c r="C666" s="9">
        <f>IFERROR(__xludf.DUMMYFUNCTION("""COMPUTED_VALUE"""),9482.0)</f>
        <v>9482</v>
      </c>
      <c r="D666" s="9"/>
      <c r="E666" s="10" t="str">
        <f>IFERROR(__xludf.DUMMYFUNCTION("""COMPUTED_VALUE"""),"HAPPEEZ")</f>
        <v>HAPPEEZ</v>
      </c>
      <c r="F666" s="10">
        <f>IFERROR(__xludf.DUMMYFUNCTION("""COMPUTED_VALUE"""),2.5)</f>
        <v>2.5</v>
      </c>
      <c r="G666" s="9">
        <f>IFERROR(__xludf.DUMMYFUNCTION("""COMPUTED_VALUE"""),2.5)</f>
        <v>2.5</v>
      </c>
      <c r="H666" s="9">
        <f>IFERROR(__xludf.DUMMYFUNCTION("""COMPUTED_VALUE"""),1.0)</f>
        <v>1</v>
      </c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</row>
    <row r="667" ht="15.75" customHeight="1">
      <c r="A667" s="11">
        <f>IFERROR(__xludf.DUMMYFUNCTION("""COMPUTED_VALUE"""),44471.0)</f>
        <v>44471</v>
      </c>
      <c r="B667" s="9">
        <f>IFERROR(__xludf.DUMMYFUNCTION("""COMPUTED_VALUE"""),1003384.0)</f>
        <v>1003384</v>
      </c>
      <c r="C667" s="9">
        <f>IFERROR(__xludf.DUMMYFUNCTION("""COMPUTED_VALUE"""),78412.0)</f>
        <v>78412</v>
      </c>
      <c r="D667" s="9"/>
      <c r="E667" s="10" t="str">
        <f>IFERROR(__xludf.DUMMYFUNCTION("""COMPUTED_VALUE"""),"HAPPEEZ")</f>
        <v>HAPPEEZ</v>
      </c>
      <c r="F667" s="10">
        <f>IFERROR(__xludf.DUMMYFUNCTION("""COMPUTED_VALUE"""),3.25)</f>
        <v>3.25</v>
      </c>
      <c r="G667" s="9">
        <f>IFERROR(__xludf.DUMMYFUNCTION("""COMPUTED_VALUE"""),3.25)</f>
        <v>3.25</v>
      </c>
      <c r="H667" s="9">
        <f>IFERROR(__xludf.DUMMYFUNCTION("""COMPUTED_VALUE"""),1.0)</f>
        <v>1</v>
      </c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</row>
    <row r="668" ht="15.75" customHeight="1">
      <c r="A668" s="11">
        <f>IFERROR(__xludf.DUMMYFUNCTION("""COMPUTED_VALUE"""),44471.0)</f>
        <v>44471</v>
      </c>
      <c r="B668" s="9">
        <f>IFERROR(__xludf.DUMMYFUNCTION("""COMPUTED_VALUE"""),1003384.0)</f>
        <v>1003384</v>
      </c>
      <c r="C668" s="9">
        <f>IFERROR(__xludf.DUMMYFUNCTION("""COMPUTED_VALUE"""),108515.0)</f>
        <v>108515</v>
      </c>
      <c r="D668" s="9"/>
      <c r="E668" s="10" t="str">
        <f>IFERROR(__xludf.DUMMYFUNCTION("""COMPUTED_VALUE"""),"HAPPEEZ")</f>
        <v>HAPPEEZ</v>
      </c>
      <c r="F668" s="10">
        <f>IFERROR(__xludf.DUMMYFUNCTION("""COMPUTED_VALUE"""),6.5)</f>
        <v>6.5</v>
      </c>
      <c r="G668" s="9">
        <f>IFERROR(__xludf.DUMMYFUNCTION("""COMPUTED_VALUE"""),6.5)</f>
        <v>6.5</v>
      </c>
      <c r="H668" s="9">
        <f>IFERROR(__xludf.DUMMYFUNCTION("""COMPUTED_VALUE"""),1.0)</f>
        <v>1</v>
      </c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</row>
    <row r="669" ht="15.75" customHeight="1">
      <c r="A669" s="11">
        <f>IFERROR(__xludf.DUMMYFUNCTION("""COMPUTED_VALUE"""),44471.0)</f>
        <v>44471</v>
      </c>
      <c r="B669" s="9">
        <f>IFERROR(__xludf.DUMMYFUNCTION("""COMPUTED_VALUE"""),1003384.0)</f>
        <v>1003384</v>
      </c>
      <c r="C669" s="9">
        <f>IFERROR(__xludf.DUMMYFUNCTION("""COMPUTED_VALUE"""),9162.0)</f>
        <v>9162</v>
      </c>
      <c r="D669" s="9"/>
      <c r="E669" s="10" t="str">
        <f>IFERROR(__xludf.DUMMYFUNCTION("""COMPUTED_VALUE"""),"HAPPEEZ")</f>
        <v>HAPPEEZ</v>
      </c>
      <c r="F669" s="10">
        <f>IFERROR(__xludf.DUMMYFUNCTION("""COMPUTED_VALUE"""),1.75)</f>
        <v>1.75</v>
      </c>
      <c r="G669" s="9">
        <f>IFERROR(__xludf.DUMMYFUNCTION("""COMPUTED_VALUE"""),1.75)</f>
        <v>1.75</v>
      </c>
      <c r="H669" s="9">
        <f>IFERROR(__xludf.DUMMYFUNCTION("""COMPUTED_VALUE"""),1.0)</f>
        <v>1</v>
      </c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</row>
    <row r="670" ht="15.75" customHeight="1">
      <c r="A670" s="11">
        <f>IFERROR(__xludf.DUMMYFUNCTION("""COMPUTED_VALUE"""),44471.0)</f>
        <v>44471</v>
      </c>
      <c r="B670" s="9">
        <f>IFERROR(__xludf.DUMMYFUNCTION("""COMPUTED_VALUE"""),1003384.0)</f>
        <v>1003384</v>
      </c>
      <c r="C670" s="9">
        <f>IFERROR(__xludf.DUMMYFUNCTION("""COMPUTED_VALUE"""),101315.0)</f>
        <v>101315</v>
      </c>
      <c r="D670" s="10" t="str">
        <f>IFERROR(__xludf.DUMMYFUNCTION("""COMPUTED_VALUE"""),"Natur'vox Carryboo couches Sept 21")</f>
        <v>Natur'vox Carryboo couches Sept 21</v>
      </c>
      <c r="E670" s="10" t="str">
        <f>IFERROR(__xludf.DUMMYFUNCTION("""COMPUTED_VALUE"""),"HAPPEEZ")</f>
        <v>HAPPEEZ</v>
      </c>
      <c r="F670" s="10">
        <f>IFERROR(__xludf.DUMMYFUNCTION("""COMPUTED_VALUE"""),8.53333333333333)</f>
        <v>8.533333333</v>
      </c>
      <c r="G670" s="9">
        <f>IFERROR(__xludf.DUMMYFUNCTION("""COMPUTED_VALUE"""),6.4)</f>
        <v>6.4</v>
      </c>
      <c r="H670" s="9">
        <f>IFERROR(__xludf.DUMMYFUNCTION("""COMPUTED_VALUE"""),1.0)</f>
        <v>1</v>
      </c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</row>
    <row r="671" ht="15.75" customHeight="1">
      <c r="A671" s="11">
        <f>IFERROR(__xludf.DUMMYFUNCTION("""COMPUTED_VALUE"""),44471.0)</f>
        <v>44471</v>
      </c>
      <c r="B671" s="9">
        <f>IFERROR(__xludf.DUMMYFUNCTION("""COMPUTED_VALUE"""),1003384.0)</f>
        <v>1003384</v>
      </c>
      <c r="C671" s="9">
        <f>IFERROR(__xludf.DUMMYFUNCTION("""COMPUTED_VALUE"""),110724.0)</f>
        <v>110724</v>
      </c>
      <c r="D671" s="9"/>
      <c r="E671" s="10" t="str">
        <f>IFERROR(__xludf.DUMMYFUNCTION("""COMPUTED_VALUE"""),"HAPPEEZ")</f>
        <v>HAPPEEZ</v>
      </c>
      <c r="F671" s="10">
        <f>IFERROR(__xludf.DUMMYFUNCTION("""COMPUTED_VALUE"""),2.51)</f>
        <v>2.51</v>
      </c>
      <c r="G671" s="9">
        <f>IFERROR(__xludf.DUMMYFUNCTION("""COMPUTED_VALUE"""),2.51)</f>
        <v>2.51</v>
      </c>
      <c r="H671" s="9">
        <f>IFERROR(__xludf.DUMMYFUNCTION("""COMPUTED_VALUE"""),1.0)</f>
        <v>1</v>
      </c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</row>
    <row r="672" ht="15.75" customHeight="1">
      <c r="A672" s="11">
        <f>IFERROR(__xludf.DUMMYFUNCTION("""COMPUTED_VALUE"""),44471.0)</f>
        <v>44471</v>
      </c>
      <c r="B672" s="9">
        <f>IFERROR(__xludf.DUMMYFUNCTION("""COMPUTED_VALUE"""),1003384.0)</f>
        <v>1003384</v>
      </c>
      <c r="C672" s="9">
        <f>IFERROR(__xludf.DUMMYFUNCTION("""COMPUTED_VALUE"""),9671.0)</f>
        <v>9671</v>
      </c>
      <c r="D672" s="9"/>
      <c r="E672" s="10" t="str">
        <f>IFERROR(__xludf.DUMMYFUNCTION("""COMPUTED_VALUE"""),"HAPPEEZ")</f>
        <v>HAPPEEZ</v>
      </c>
      <c r="F672" s="10">
        <f>IFERROR(__xludf.DUMMYFUNCTION("""COMPUTED_VALUE"""),1.88)</f>
        <v>1.88</v>
      </c>
      <c r="G672" s="9">
        <f>IFERROR(__xludf.DUMMYFUNCTION("""COMPUTED_VALUE"""),1.88)</f>
        <v>1.88</v>
      </c>
      <c r="H672" s="9">
        <f>IFERROR(__xludf.DUMMYFUNCTION("""COMPUTED_VALUE"""),1.0)</f>
        <v>1</v>
      </c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</row>
    <row r="673" ht="15.75" customHeight="1">
      <c r="A673" s="11">
        <f>IFERROR(__xludf.DUMMYFUNCTION("""COMPUTED_VALUE"""),44471.0)</f>
        <v>44471</v>
      </c>
      <c r="B673" s="9">
        <f>IFERROR(__xludf.DUMMYFUNCTION("""COMPUTED_VALUE"""),1003384.0)</f>
        <v>1003384</v>
      </c>
      <c r="C673" s="9">
        <f>IFERROR(__xludf.DUMMYFUNCTION("""COMPUTED_VALUE"""),77360.0)</f>
        <v>77360</v>
      </c>
      <c r="D673" s="9"/>
      <c r="E673" s="10" t="str">
        <f>IFERROR(__xludf.DUMMYFUNCTION("""COMPUTED_VALUE"""),"HAPPEEZ")</f>
        <v>HAPPEEZ</v>
      </c>
      <c r="F673" s="10">
        <f>IFERROR(__xludf.DUMMYFUNCTION("""COMPUTED_VALUE"""),2.89)</f>
        <v>2.89</v>
      </c>
      <c r="G673" s="9">
        <f>IFERROR(__xludf.DUMMYFUNCTION("""COMPUTED_VALUE"""),2.89)</f>
        <v>2.89</v>
      </c>
      <c r="H673" s="9">
        <f>IFERROR(__xludf.DUMMYFUNCTION("""COMPUTED_VALUE"""),1.0)</f>
        <v>1</v>
      </c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</row>
    <row r="674" ht="15.75" customHeight="1">
      <c r="A674" s="11">
        <f>IFERROR(__xludf.DUMMYFUNCTION("""COMPUTED_VALUE"""),44471.0)</f>
        <v>44471</v>
      </c>
      <c r="B674" s="9">
        <f>IFERROR(__xludf.DUMMYFUNCTION("""COMPUTED_VALUE"""),1003384.0)</f>
        <v>1003384</v>
      </c>
      <c r="C674" s="9">
        <f>IFERROR(__xludf.DUMMYFUNCTION("""COMPUTED_VALUE"""),44138.0)</f>
        <v>44138</v>
      </c>
      <c r="D674" s="9"/>
      <c r="E674" s="10" t="str">
        <f>IFERROR(__xludf.DUMMYFUNCTION("""COMPUTED_VALUE"""),"HAPPEEZ")</f>
        <v>HAPPEEZ</v>
      </c>
      <c r="F674" s="10">
        <f>IFERROR(__xludf.DUMMYFUNCTION("""COMPUTED_VALUE"""),2.65)</f>
        <v>2.65</v>
      </c>
      <c r="G674" s="9">
        <f>IFERROR(__xludf.DUMMYFUNCTION("""COMPUTED_VALUE"""),2.65)</f>
        <v>2.65</v>
      </c>
      <c r="H674" s="9">
        <f>IFERROR(__xludf.DUMMYFUNCTION("""COMPUTED_VALUE"""),1.0)</f>
        <v>1</v>
      </c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</row>
    <row r="675" ht="15.75" customHeight="1">
      <c r="A675" s="11">
        <f>IFERROR(__xludf.DUMMYFUNCTION("""COMPUTED_VALUE"""),44471.0)</f>
        <v>44471</v>
      </c>
      <c r="B675" s="9">
        <f>IFERROR(__xludf.DUMMYFUNCTION("""COMPUTED_VALUE"""),1003384.0)</f>
        <v>1003384</v>
      </c>
      <c r="C675" s="9">
        <f>IFERROR(__xludf.DUMMYFUNCTION("""COMPUTED_VALUE"""),80944.0)</f>
        <v>80944</v>
      </c>
      <c r="D675" s="9"/>
      <c r="E675" s="10" t="str">
        <f>IFERROR(__xludf.DUMMYFUNCTION("""COMPUTED_VALUE"""),"HAPPEEZ")</f>
        <v>HAPPEEZ</v>
      </c>
      <c r="F675" s="10">
        <f>IFERROR(__xludf.DUMMYFUNCTION("""COMPUTED_VALUE"""),2.66)</f>
        <v>2.66</v>
      </c>
      <c r="G675" s="9">
        <f>IFERROR(__xludf.DUMMYFUNCTION("""COMPUTED_VALUE"""),2.66)</f>
        <v>2.66</v>
      </c>
      <c r="H675" s="9">
        <f>IFERROR(__xludf.DUMMYFUNCTION("""COMPUTED_VALUE"""),1.0)</f>
        <v>1</v>
      </c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</row>
    <row r="676" ht="15.75" customHeight="1">
      <c r="A676" s="11">
        <f>IFERROR(__xludf.DUMMYFUNCTION("""COMPUTED_VALUE"""),44471.0)</f>
        <v>44471</v>
      </c>
      <c r="B676" s="9">
        <f>IFERROR(__xludf.DUMMYFUNCTION("""COMPUTED_VALUE"""),1003384.0)</f>
        <v>1003384</v>
      </c>
      <c r="C676" s="9">
        <f>IFERROR(__xludf.DUMMYFUNCTION("""COMPUTED_VALUE"""),119971.0)</f>
        <v>119971</v>
      </c>
      <c r="D676" s="9"/>
      <c r="E676" s="10" t="str">
        <f>IFERROR(__xludf.DUMMYFUNCTION("""COMPUTED_VALUE"""),"HAPPEEZ")</f>
        <v>HAPPEEZ</v>
      </c>
      <c r="F676" s="10">
        <f>IFERROR(__xludf.DUMMYFUNCTION("""COMPUTED_VALUE"""),4.82)</f>
        <v>4.82</v>
      </c>
      <c r="G676" s="9">
        <f>IFERROR(__xludf.DUMMYFUNCTION("""COMPUTED_VALUE"""),4.82)</f>
        <v>4.82</v>
      </c>
      <c r="H676" s="9">
        <f>IFERROR(__xludf.DUMMYFUNCTION("""COMPUTED_VALUE"""),1.0)</f>
        <v>1</v>
      </c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</row>
    <row r="677" ht="15.75" customHeight="1">
      <c r="A677" s="11">
        <f>IFERROR(__xludf.DUMMYFUNCTION("""COMPUTED_VALUE"""),44471.0)</f>
        <v>44471</v>
      </c>
      <c r="B677" s="9">
        <f>IFERROR(__xludf.DUMMYFUNCTION("""COMPUTED_VALUE"""),1003384.0)</f>
        <v>1003384</v>
      </c>
      <c r="C677" s="9">
        <f>IFERROR(__xludf.DUMMYFUNCTION("""COMPUTED_VALUE"""),78409.0)</f>
        <v>78409</v>
      </c>
      <c r="D677" s="9"/>
      <c r="E677" s="10" t="str">
        <f>IFERROR(__xludf.DUMMYFUNCTION("""COMPUTED_VALUE"""),"HAPPEEZ")</f>
        <v>HAPPEEZ</v>
      </c>
      <c r="F677" s="10">
        <f>IFERROR(__xludf.DUMMYFUNCTION("""COMPUTED_VALUE"""),2.8)</f>
        <v>2.8</v>
      </c>
      <c r="G677" s="9">
        <f>IFERROR(__xludf.DUMMYFUNCTION("""COMPUTED_VALUE"""),2.8)</f>
        <v>2.8</v>
      </c>
      <c r="H677" s="9">
        <f>IFERROR(__xludf.DUMMYFUNCTION("""COMPUTED_VALUE"""),1.0)</f>
        <v>1</v>
      </c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</row>
    <row r="678" ht="15.75" customHeight="1">
      <c r="A678" s="11">
        <f>IFERROR(__xludf.DUMMYFUNCTION("""COMPUTED_VALUE"""),44471.0)</f>
        <v>44471</v>
      </c>
      <c r="B678" s="9">
        <f>IFERROR(__xludf.DUMMYFUNCTION("""COMPUTED_VALUE"""),1003384.0)</f>
        <v>1003384</v>
      </c>
      <c r="C678" s="9">
        <f>IFERROR(__xludf.DUMMYFUNCTION("""COMPUTED_VALUE"""),110228.0)</f>
        <v>110228</v>
      </c>
      <c r="D678" s="9"/>
      <c r="E678" s="10" t="str">
        <f>IFERROR(__xludf.DUMMYFUNCTION("""COMPUTED_VALUE"""),"HAPPEEZ")</f>
        <v>HAPPEEZ</v>
      </c>
      <c r="F678" s="10">
        <f>IFERROR(__xludf.DUMMYFUNCTION("""COMPUTED_VALUE"""),23.48)</f>
        <v>23.48</v>
      </c>
      <c r="G678" s="9">
        <f>IFERROR(__xludf.DUMMYFUNCTION("""COMPUTED_VALUE"""),23.48)</f>
        <v>23.48</v>
      </c>
      <c r="H678" s="9">
        <f>IFERROR(__xludf.DUMMYFUNCTION("""COMPUTED_VALUE"""),1.0)</f>
        <v>1</v>
      </c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</row>
    <row r="679" ht="15.75" customHeight="1">
      <c r="A679" s="11">
        <f>IFERROR(__xludf.DUMMYFUNCTION("""COMPUTED_VALUE"""),44471.0)</f>
        <v>44471</v>
      </c>
      <c r="B679" s="9">
        <f>IFERROR(__xludf.DUMMYFUNCTION("""COMPUTED_VALUE"""),1003384.0)</f>
        <v>1003384</v>
      </c>
      <c r="C679" s="9">
        <f>IFERROR(__xludf.DUMMYFUNCTION("""COMPUTED_VALUE"""),5526.0)</f>
        <v>5526</v>
      </c>
      <c r="D679" s="9"/>
      <c r="E679" s="10" t="str">
        <f>IFERROR(__xludf.DUMMYFUNCTION("""COMPUTED_VALUE"""),"HAPPEEZ")</f>
        <v>HAPPEEZ</v>
      </c>
      <c r="F679" s="10">
        <f>IFERROR(__xludf.DUMMYFUNCTION("""COMPUTED_VALUE"""),4.64)</f>
        <v>4.64</v>
      </c>
      <c r="G679" s="9">
        <f>IFERROR(__xludf.DUMMYFUNCTION("""COMPUTED_VALUE"""),4.64)</f>
        <v>4.64</v>
      </c>
      <c r="H679" s="9">
        <f>IFERROR(__xludf.DUMMYFUNCTION("""COMPUTED_VALUE"""),1.0)</f>
        <v>1</v>
      </c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</row>
    <row r="680" ht="15.75" customHeight="1">
      <c r="A680" s="11">
        <f>IFERROR(__xludf.DUMMYFUNCTION("""COMPUTED_VALUE"""),44471.0)</f>
        <v>44471</v>
      </c>
      <c r="B680" s="9">
        <f>IFERROR(__xludf.DUMMYFUNCTION("""COMPUTED_VALUE"""),1003384.0)</f>
        <v>1003384</v>
      </c>
      <c r="C680" s="9">
        <f>IFERROR(__xludf.DUMMYFUNCTION("""COMPUTED_VALUE"""),8688.0)</f>
        <v>8688</v>
      </c>
      <c r="D680" s="9"/>
      <c r="E680" s="10" t="str">
        <f>IFERROR(__xludf.DUMMYFUNCTION("""COMPUTED_VALUE"""),"HAPPEEZ")</f>
        <v>HAPPEEZ</v>
      </c>
      <c r="F680" s="10">
        <f>IFERROR(__xludf.DUMMYFUNCTION("""COMPUTED_VALUE"""),11.28)</f>
        <v>11.28</v>
      </c>
      <c r="G680" s="9">
        <f>IFERROR(__xludf.DUMMYFUNCTION("""COMPUTED_VALUE"""),11.28)</f>
        <v>11.28</v>
      </c>
      <c r="H680" s="9">
        <f>IFERROR(__xludf.DUMMYFUNCTION("""COMPUTED_VALUE"""),1.0)</f>
        <v>1</v>
      </c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</row>
    <row r="681" ht="15.75" customHeight="1">
      <c r="A681" s="11">
        <f>IFERROR(__xludf.DUMMYFUNCTION("""COMPUTED_VALUE"""),44471.0)</f>
        <v>44471</v>
      </c>
      <c r="B681" s="9">
        <f>IFERROR(__xludf.DUMMYFUNCTION("""COMPUTED_VALUE"""),1003384.0)</f>
        <v>1003384</v>
      </c>
      <c r="C681" s="9">
        <f>IFERROR(__xludf.DUMMYFUNCTION("""COMPUTED_VALUE"""),23668.0)</f>
        <v>23668</v>
      </c>
      <c r="D681" s="9"/>
      <c r="E681" s="10" t="str">
        <f>IFERROR(__xludf.DUMMYFUNCTION("""COMPUTED_VALUE"""),"HAPPEEZ")</f>
        <v>HAPPEEZ</v>
      </c>
      <c r="F681" s="10">
        <f>IFERROR(__xludf.DUMMYFUNCTION("""COMPUTED_VALUE"""),0.77)</f>
        <v>0.77</v>
      </c>
      <c r="G681" s="9">
        <f>IFERROR(__xludf.DUMMYFUNCTION("""COMPUTED_VALUE"""),0.77)</f>
        <v>0.77</v>
      </c>
      <c r="H681" s="9">
        <f>IFERROR(__xludf.DUMMYFUNCTION("""COMPUTED_VALUE"""),1.0)</f>
        <v>1</v>
      </c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</row>
    <row r="682" ht="15.75" customHeight="1">
      <c r="A682" s="11">
        <f>IFERROR(__xludf.DUMMYFUNCTION("""COMPUTED_VALUE"""),44471.0)</f>
        <v>44471</v>
      </c>
      <c r="B682" s="9">
        <f>IFERROR(__xludf.DUMMYFUNCTION("""COMPUTED_VALUE"""),1003384.0)</f>
        <v>1003384</v>
      </c>
      <c r="C682" s="9">
        <f>IFERROR(__xludf.DUMMYFUNCTION("""COMPUTED_VALUE"""),105174.0)</f>
        <v>105174</v>
      </c>
      <c r="D682" s="10" t="str">
        <f>IFERROR(__xludf.DUMMYFUNCTION("""COMPUTED_VALUE"""),"Vive le bio")</f>
        <v>Vive le bio</v>
      </c>
      <c r="E682" s="10" t="str">
        <f>IFERROR(__xludf.DUMMYFUNCTION("""COMPUTED_VALUE"""),"HAPPEEZ")</f>
        <v>HAPPEEZ</v>
      </c>
      <c r="F682" s="10">
        <f>IFERROR(__xludf.DUMMYFUNCTION("""COMPUTED_VALUE"""),2.33333333333333)</f>
        <v>2.333333333</v>
      </c>
      <c r="G682" s="9">
        <f>IFERROR(__xludf.DUMMYFUNCTION("""COMPUTED_VALUE"""),2.1)</f>
        <v>2.1</v>
      </c>
      <c r="H682" s="9">
        <f>IFERROR(__xludf.DUMMYFUNCTION("""COMPUTED_VALUE"""),1.0)</f>
        <v>1</v>
      </c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</row>
    <row r="683" ht="15.75" customHeight="1">
      <c r="A683" s="11">
        <f>IFERROR(__xludf.DUMMYFUNCTION("""COMPUTED_VALUE"""),44471.0)</f>
        <v>44471</v>
      </c>
      <c r="B683" s="9">
        <f>IFERROR(__xludf.DUMMYFUNCTION("""COMPUTED_VALUE"""),1003384.0)</f>
        <v>1003384</v>
      </c>
      <c r="C683" s="9">
        <f>IFERROR(__xludf.DUMMYFUNCTION("""COMPUTED_VALUE"""),24195.0)</f>
        <v>24195</v>
      </c>
      <c r="D683" s="9"/>
      <c r="E683" s="10" t="str">
        <f>IFERROR(__xludf.DUMMYFUNCTION("""COMPUTED_VALUE"""),"HAPPEEZ")</f>
        <v>HAPPEEZ</v>
      </c>
      <c r="F683" s="10">
        <f>IFERROR(__xludf.DUMMYFUNCTION("""COMPUTED_VALUE"""),3.96)</f>
        <v>3.96</v>
      </c>
      <c r="G683" s="9">
        <f>IFERROR(__xludf.DUMMYFUNCTION("""COMPUTED_VALUE"""),3.96)</f>
        <v>3.96</v>
      </c>
      <c r="H683" s="9">
        <f>IFERROR(__xludf.DUMMYFUNCTION("""COMPUTED_VALUE"""),1.0)</f>
        <v>1</v>
      </c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</row>
    <row r="684" ht="15.75" customHeight="1">
      <c r="A684" s="11">
        <f>IFERROR(__xludf.DUMMYFUNCTION("""COMPUTED_VALUE"""),44471.0)</f>
        <v>44471</v>
      </c>
      <c r="B684" s="9">
        <f>IFERROR(__xludf.DUMMYFUNCTION("""COMPUTED_VALUE"""),1003384.0)</f>
        <v>1003384</v>
      </c>
      <c r="C684" s="9">
        <f>IFERROR(__xludf.DUMMYFUNCTION("""COMPUTED_VALUE"""),122088.0)</f>
        <v>122088</v>
      </c>
      <c r="D684" s="9"/>
      <c r="E684" s="10" t="str">
        <f>IFERROR(__xludf.DUMMYFUNCTION("""COMPUTED_VALUE"""),"HAPPEEZ")</f>
        <v>HAPPEEZ</v>
      </c>
      <c r="F684" s="10">
        <f>IFERROR(__xludf.DUMMYFUNCTION("""COMPUTED_VALUE"""),1.73)</f>
        <v>1.73</v>
      </c>
      <c r="G684" s="9">
        <f>IFERROR(__xludf.DUMMYFUNCTION("""COMPUTED_VALUE"""),1.73)</f>
        <v>1.73</v>
      </c>
      <c r="H684" s="9">
        <f>IFERROR(__xludf.DUMMYFUNCTION("""COMPUTED_VALUE"""),1.0)</f>
        <v>1</v>
      </c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</row>
    <row r="685" ht="15.75" customHeight="1">
      <c r="A685" s="11">
        <f>IFERROR(__xludf.DUMMYFUNCTION("""COMPUTED_VALUE"""),44471.0)</f>
        <v>44471</v>
      </c>
      <c r="B685" s="9">
        <f>IFERROR(__xludf.DUMMYFUNCTION("""COMPUTED_VALUE"""),1003384.0)</f>
        <v>1003384</v>
      </c>
      <c r="C685" s="9">
        <f>IFERROR(__xludf.DUMMYFUNCTION("""COMPUTED_VALUE"""),82464.0)</f>
        <v>82464</v>
      </c>
      <c r="D685" s="9"/>
      <c r="E685" s="10" t="str">
        <f>IFERROR(__xludf.DUMMYFUNCTION("""COMPUTED_VALUE"""),"HAPPEEZ")</f>
        <v>HAPPEEZ</v>
      </c>
      <c r="F685" s="10">
        <f>IFERROR(__xludf.DUMMYFUNCTION("""COMPUTED_VALUE"""),4.44)</f>
        <v>4.44</v>
      </c>
      <c r="G685" s="9">
        <f>IFERROR(__xludf.DUMMYFUNCTION("""COMPUTED_VALUE"""),4.44)</f>
        <v>4.44</v>
      </c>
      <c r="H685" s="9">
        <f>IFERROR(__xludf.DUMMYFUNCTION("""COMPUTED_VALUE"""),1.0)</f>
        <v>1</v>
      </c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</row>
    <row r="686" ht="15.75" customHeight="1">
      <c r="A686" s="11">
        <f>IFERROR(__xludf.DUMMYFUNCTION("""COMPUTED_VALUE"""),44471.0)</f>
        <v>44471</v>
      </c>
      <c r="B686" s="9">
        <f>IFERROR(__xludf.DUMMYFUNCTION("""COMPUTED_VALUE"""),1003384.0)</f>
        <v>1003384</v>
      </c>
      <c r="C686" s="9">
        <f>IFERROR(__xludf.DUMMYFUNCTION("""COMPUTED_VALUE"""),87421.0)</f>
        <v>87421</v>
      </c>
      <c r="D686" s="9"/>
      <c r="E686" s="10" t="str">
        <f>IFERROR(__xludf.DUMMYFUNCTION("""COMPUTED_VALUE"""),"HAPPEEZ")</f>
        <v>HAPPEEZ</v>
      </c>
      <c r="F686" s="10">
        <f>IFERROR(__xludf.DUMMYFUNCTION("""COMPUTED_VALUE"""),2.6)</f>
        <v>2.6</v>
      </c>
      <c r="G686" s="9">
        <f>IFERROR(__xludf.DUMMYFUNCTION("""COMPUTED_VALUE"""),2.6)</f>
        <v>2.6</v>
      </c>
      <c r="H686" s="9">
        <f>IFERROR(__xludf.DUMMYFUNCTION("""COMPUTED_VALUE"""),1.0)</f>
        <v>1</v>
      </c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</row>
    <row r="687" ht="15.75" customHeight="1">
      <c r="A687" s="11">
        <f>IFERROR(__xludf.DUMMYFUNCTION("""COMPUTED_VALUE"""),44471.0)</f>
        <v>44471</v>
      </c>
      <c r="B687" s="9">
        <f>IFERROR(__xludf.DUMMYFUNCTION("""COMPUTED_VALUE"""),1003384.0)</f>
        <v>1003384</v>
      </c>
      <c r="C687" s="9">
        <f>IFERROR(__xludf.DUMMYFUNCTION("""COMPUTED_VALUE"""),82368.0)</f>
        <v>82368</v>
      </c>
      <c r="D687" s="10" t="str">
        <f>IFERROR(__xludf.DUMMYFUNCTION("""COMPUTED_VALUE"""),"DLC courtes")</f>
        <v>DLC courtes</v>
      </c>
      <c r="E687" s="10" t="str">
        <f>IFERROR(__xludf.DUMMYFUNCTION("""COMPUTED_VALUE"""),"HAPPEEZ")</f>
        <v>HAPPEEZ</v>
      </c>
      <c r="F687" s="10">
        <f>IFERROR(__xludf.DUMMYFUNCTION("""COMPUTED_VALUE"""),2.48)</f>
        <v>2.48</v>
      </c>
      <c r="G687" s="9">
        <f>IFERROR(__xludf.DUMMYFUNCTION("""COMPUTED_VALUE"""),1.24)</f>
        <v>1.24</v>
      </c>
      <c r="H687" s="9">
        <f>IFERROR(__xludf.DUMMYFUNCTION("""COMPUTED_VALUE"""),1.0)</f>
        <v>1</v>
      </c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</row>
    <row r="688" ht="15.75" customHeight="1">
      <c r="A688" s="11">
        <f>IFERROR(__xludf.DUMMYFUNCTION("""COMPUTED_VALUE"""),44471.0)</f>
        <v>44471</v>
      </c>
      <c r="B688" s="9">
        <f>IFERROR(__xludf.DUMMYFUNCTION("""COMPUTED_VALUE"""),1003384.0)</f>
        <v>1003384</v>
      </c>
      <c r="C688" s="9">
        <f>IFERROR(__xludf.DUMMYFUNCTION("""COMPUTED_VALUE"""),9675.0)</f>
        <v>9675</v>
      </c>
      <c r="D688" s="9"/>
      <c r="E688" s="10" t="str">
        <f>IFERROR(__xludf.DUMMYFUNCTION("""COMPUTED_VALUE"""),"HAPPEEZ")</f>
        <v>HAPPEEZ</v>
      </c>
      <c r="F688" s="10">
        <f>IFERROR(__xludf.DUMMYFUNCTION("""COMPUTED_VALUE"""),1.74)</f>
        <v>1.74</v>
      </c>
      <c r="G688" s="9">
        <f>IFERROR(__xludf.DUMMYFUNCTION("""COMPUTED_VALUE"""),1.74)</f>
        <v>1.74</v>
      </c>
      <c r="H688" s="9">
        <f>IFERROR(__xludf.DUMMYFUNCTION("""COMPUTED_VALUE"""),1.0)</f>
        <v>1</v>
      </c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</row>
    <row r="689" ht="15.75" customHeight="1">
      <c r="A689" s="11">
        <f>IFERROR(__xludf.DUMMYFUNCTION("""COMPUTED_VALUE"""),44471.0)</f>
        <v>44471</v>
      </c>
      <c r="B689" s="9">
        <f>IFERROR(__xludf.DUMMYFUNCTION("""COMPUTED_VALUE"""),1003384.0)</f>
        <v>1003384</v>
      </c>
      <c r="C689" s="9">
        <f>IFERROR(__xludf.DUMMYFUNCTION("""COMPUTED_VALUE"""),87193.0)</f>
        <v>87193</v>
      </c>
      <c r="D689" s="9"/>
      <c r="E689" s="10" t="str">
        <f>IFERROR(__xludf.DUMMYFUNCTION("""COMPUTED_VALUE"""),"HAPPEEZ")</f>
        <v>HAPPEEZ</v>
      </c>
      <c r="F689" s="10">
        <f>IFERROR(__xludf.DUMMYFUNCTION("""COMPUTED_VALUE"""),6.97)</f>
        <v>6.97</v>
      </c>
      <c r="G689" s="9">
        <f>IFERROR(__xludf.DUMMYFUNCTION("""COMPUTED_VALUE"""),6.97)</f>
        <v>6.97</v>
      </c>
      <c r="H689" s="9">
        <f>IFERROR(__xludf.DUMMYFUNCTION("""COMPUTED_VALUE"""),1.0)</f>
        <v>1</v>
      </c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</row>
    <row r="690" ht="15.75" customHeight="1">
      <c r="A690" s="11">
        <f>IFERROR(__xludf.DUMMYFUNCTION("""COMPUTED_VALUE"""),44471.0)</f>
        <v>44471</v>
      </c>
      <c r="B690" s="9">
        <f>IFERROR(__xludf.DUMMYFUNCTION("""COMPUTED_VALUE"""),1003384.0)</f>
        <v>1003384</v>
      </c>
      <c r="C690" s="9">
        <f>IFERROR(__xludf.DUMMYFUNCTION("""COMPUTED_VALUE"""),116776.0)</f>
        <v>116776</v>
      </c>
      <c r="D690" s="9"/>
      <c r="E690" s="10" t="str">
        <f>IFERROR(__xludf.DUMMYFUNCTION("""COMPUTED_VALUE"""),"HAPPEEZ")</f>
        <v>HAPPEEZ</v>
      </c>
      <c r="F690" s="10">
        <f>IFERROR(__xludf.DUMMYFUNCTION("""COMPUTED_VALUE"""),1.93)</f>
        <v>1.93</v>
      </c>
      <c r="G690" s="9">
        <f>IFERROR(__xludf.DUMMYFUNCTION("""COMPUTED_VALUE"""),1.93)</f>
        <v>1.93</v>
      </c>
      <c r="H690" s="9">
        <f>IFERROR(__xludf.DUMMYFUNCTION("""COMPUTED_VALUE"""),1.0)</f>
        <v>1</v>
      </c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</row>
    <row r="691" ht="15.75" customHeight="1">
      <c r="A691" s="11">
        <f>IFERROR(__xludf.DUMMYFUNCTION("""COMPUTED_VALUE"""),44471.0)</f>
        <v>44471</v>
      </c>
      <c r="B691" s="9">
        <f>IFERROR(__xludf.DUMMYFUNCTION("""COMPUTED_VALUE"""),1003384.0)</f>
        <v>1003384</v>
      </c>
      <c r="C691" s="9">
        <f>IFERROR(__xludf.DUMMYFUNCTION("""COMPUTED_VALUE"""),182274.0)</f>
        <v>182274</v>
      </c>
      <c r="D691" s="9"/>
      <c r="E691" s="10" t="str">
        <f>IFERROR(__xludf.DUMMYFUNCTION("""COMPUTED_VALUE"""),"HAPPEEZ")</f>
        <v>HAPPEEZ</v>
      </c>
      <c r="F691" s="10">
        <f>IFERROR(__xludf.DUMMYFUNCTION("""COMPUTED_VALUE"""),4.06)</f>
        <v>4.06</v>
      </c>
      <c r="G691" s="9">
        <f>IFERROR(__xludf.DUMMYFUNCTION("""COMPUTED_VALUE"""),4.06)</f>
        <v>4.06</v>
      </c>
      <c r="H691" s="9">
        <f>IFERROR(__xludf.DUMMYFUNCTION("""COMPUTED_VALUE"""),2.0)</f>
        <v>2</v>
      </c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</row>
    <row r="692" ht="15.75" customHeight="1">
      <c r="A692" s="11">
        <f>IFERROR(__xludf.DUMMYFUNCTION("""COMPUTED_VALUE"""),44471.0)</f>
        <v>44471</v>
      </c>
      <c r="B692" s="9">
        <f>IFERROR(__xludf.DUMMYFUNCTION("""COMPUTED_VALUE"""),1003384.0)</f>
        <v>1003384</v>
      </c>
      <c r="C692" s="9">
        <f>IFERROR(__xludf.DUMMYFUNCTION("""COMPUTED_VALUE"""),129479.0)</f>
        <v>129479</v>
      </c>
      <c r="D692" s="9"/>
      <c r="E692" s="10" t="str">
        <f>IFERROR(__xludf.DUMMYFUNCTION("""COMPUTED_VALUE"""),"HAPPEEZ")</f>
        <v>HAPPEEZ</v>
      </c>
      <c r="F692" s="10">
        <f>IFERROR(__xludf.DUMMYFUNCTION("""COMPUTED_VALUE"""),5.32)</f>
        <v>5.32</v>
      </c>
      <c r="G692" s="9">
        <f>IFERROR(__xludf.DUMMYFUNCTION("""COMPUTED_VALUE"""),5.32)</f>
        <v>5.32</v>
      </c>
      <c r="H692" s="9">
        <f>IFERROR(__xludf.DUMMYFUNCTION("""COMPUTED_VALUE"""),2.0)</f>
        <v>2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</row>
    <row r="693" ht="15.75" customHeight="1">
      <c r="A693" s="11">
        <f>IFERROR(__xludf.DUMMYFUNCTION("""COMPUTED_VALUE"""),44471.0)</f>
        <v>44471</v>
      </c>
      <c r="B693" s="9">
        <f>IFERROR(__xludf.DUMMYFUNCTION("""COMPUTED_VALUE"""),1003384.0)</f>
        <v>1003384</v>
      </c>
      <c r="C693" s="9">
        <f>IFERROR(__xludf.DUMMYFUNCTION("""COMPUTED_VALUE"""),95416.0)</f>
        <v>95416</v>
      </c>
      <c r="D693" s="9"/>
      <c r="E693" s="10" t="str">
        <f>IFERROR(__xludf.DUMMYFUNCTION("""COMPUTED_VALUE"""),"HAPPEEZ")</f>
        <v>HAPPEEZ</v>
      </c>
      <c r="F693" s="10">
        <f>IFERROR(__xludf.DUMMYFUNCTION("""COMPUTED_VALUE"""),2.31)</f>
        <v>2.31</v>
      </c>
      <c r="G693" s="9">
        <f>IFERROR(__xludf.DUMMYFUNCTION("""COMPUTED_VALUE"""),2.31)</f>
        <v>2.31</v>
      </c>
      <c r="H693" s="9">
        <f>IFERROR(__xludf.DUMMYFUNCTION("""COMPUTED_VALUE"""),2.0)</f>
        <v>2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</row>
    <row r="694" ht="15.75" customHeight="1">
      <c r="A694" s="11">
        <f>IFERROR(__xludf.DUMMYFUNCTION("""COMPUTED_VALUE"""),44471.0)</f>
        <v>44471</v>
      </c>
      <c r="B694" s="9">
        <f>IFERROR(__xludf.DUMMYFUNCTION("""COMPUTED_VALUE"""),1003384.0)</f>
        <v>1003384</v>
      </c>
      <c r="C694" s="9">
        <f>IFERROR(__xludf.DUMMYFUNCTION("""COMPUTED_VALUE"""),46160.0)</f>
        <v>46160</v>
      </c>
      <c r="D694" s="9"/>
      <c r="E694" s="10" t="str">
        <f>IFERROR(__xludf.DUMMYFUNCTION("""COMPUTED_VALUE"""),"HAPPEEZ")</f>
        <v>HAPPEEZ</v>
      </c>
      <c r="F694" s="10">
        <f>IFERROR(__xludf.DUMMYFUNCTION("""COMPUTED_VALUE"""),1.91)</f>
        <v>1.91</v>
      </c>
      <c r="G694" s="9">
        <f>IFERROR(__xludf.DUMMYFUNCTION("""COMPUTED_VALUE"""),1.91)</f>
        <v>1.91</v>
      </c>
      <c r="H694" s="9">
        <f>IFERROR(__xludf.DUMMYFUNCTION("""COMPUTED_VALUE"""),2.0)</f>
        <v>2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</row>
    <row r="695" ht="15.75" customHeight="1">
      <c r="A695" s="11">
        <f>IFERROR(__xludf.DUMMYFUNCTION("""COMPUTED_VALUE"""),44471.0)</f>
        <v>44471</v>
      </c>
      <c r="B695" s="9">
        <f>IFERROR(__xludf.DUMMYFUNCTION("""COMPUTED_VALUE"""),1003384.0)</f>
        <v>1003384</v>
      </c>
      <c r="C695" s="9">
        <f>IFERROR(__xludf.DUMMYFUNCTION("""COMPUTED_VALUE"""),87416.0)</f>
        <v>87416</v>
      </c>
      <c r="D695" s="9"/>
      <c r="E695" s="10" t="str">
        <f>IFERROR(__xludf.DUMMYFUNCTION("""COMPUTED_VALUE"""),"HAPPEEZ")</f>
        <v>HAPPEEZ</v>
      </c>
      <c r="F695" s="10">
        <f>IFERROR(__xludf.DUMMYFUNCTION("""COMPUTED_VALUE"""),4.45)</f>
        <v>4.45</v>
      </c>
      <c r="G695" s="9">
        <f>IFERROR(__xludf.DUMMYFUNCTION("""COMPUTED_VALUE"""),4.45)</f>
        <v>4.45</v>
      </c>
      <c r="H695" s="9">
        <f>IFERROR(__xludf.DUMMYFUNCTION("""COMPUTED_VALUE"""),2.0)</f>
        <v>2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</row>
    <row r="696" ht="15.75" customHeight="1">
      <c r="A696" s="11">
        <f>IFERROR(__xludf.DUMMYFUNCTION("""COMPUTED_VALUE"""),44471.0)</f>
        <v>44471</v>
      </c>
      <c r="B696" s="9">
        <f>IFERROR(__xludf.DUMMYFUNCTION("""COMPUTED_VALUE"""),1003384.0)</f>
        <v>1003384</v>
      </c>
      <c r="C696" s="9">
        <f>IFERROR(__xludf.DUMMYFUNCTION("""COMPUTED_VALUE"""),78827.0)</f>
        <v>78827</v>
      </c>
      <c r="D696" s="9"/>
      <c r="E696" s="10" t="str">
        <f>IFERROR(__xludf.DUMMYFUNCTION("""COMPUTED_VALUE"""),"HAPPEEZ")</f>
        <v>HAPPEEZ</v>
      </c>
      <c r="F696" s="10">
        <f>IFERROR(__xludf.DUMMYFUNCTION("""COMPUTED_VALUE"""),5.76)</f>
        <v>5.76</v>
      </c>
      <c r="G696" s="9">
        <f>IFERROR(__xludf.DUMMYFUNCTION("""COMPUTED_VALUE"""),5.76)</f>
        <v>5.76</v>
      </c>
      <c r="H696" s="9">
        <f>IFERROR(__xludf.DUMMYFUNCTION("""COMPUTED_VALUE"""),3.0)</f>
        <v>3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</row>
    <row r="697" ht="15.75" customHeight="1">
      <c r="A697" s="11">
        <f>IFERROR(__xludf.DUMMYFUNCTION("""COMPUTED_VALUE"""),44471.0)</f>
        <v>44471</v>
      </c>
      <c r="B697" s="9">
        <f>IFERROR(__xludf.DUMMYFUNCTION("""COMPUTED_VALUE"""),1003384.0)</f>
        <v>1003384</v>
      </c>
      <c r="C697" s="9">
        <f>IFERROR(__xludf.DUMMYFUNCTION("""COMPUTED_VALUE"""),101964.0)</f>
        <v>101964</v>
      </c>
      <c r="D697" s="10" t="str">
        <f>IFERROR(__xludf.DUMMYFUNCTION("""COMPUTED_VALUE"""),"Offre speciale")</f>
        <v>Offre speciale</v>
      </c>
      <c r="E697" s="10" t="str">
        <f>IFERROR(__xludf.DUMMYFUNCTION("""COMPUTED_VALUE"""),"HAPPEEZ")</f>
        <v>HAPPEEZ</v>
      </c>
      <c r="F697" s="10">
        <f>IFERROR(__xludf.DUMMYFUNCTION("""COMPUTED_VALUE"""),10.1529411764705)</f>
        <v>10.15294118</v>
      </c>
      <c r="G697" s="9">
        <f>IFERROR(__xludf.DUMMYFUNCTION("""COMPUTED_VALUE"""),8.63)</f>
        <v>8.63</v>
      </c>
      <c r="H697" s="9">
        <f>IFERROR(__xludf.DUMMYFUNCTION("""COMPUTED_VALUE"""),3.0)</f>
        <v>3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</row>
    <row r="698" ht="15.75" customHeight="1">
      <c r="A698" s="11">
        <f>IFERROR(__xludf.DUMMYFUNCTION("""COMPUTED_VALUE"""),44471.0)</f>
        <v>44471</v>
      </c>
      <c r="B698" s="9">
        <f>IFERROR(__xludf.DUMMYFUNCTION("""COMPUTED_VALUE"""),1003385.0)</f>
        <v>1003385</v>
      </c>
      <c r="C698" s="9">
        <f>IFERROR(__xludf.DUMMYFUNCTION("""COMPUTED_VALUE"""),101325.0)</f>
        <v>101325</v>
      </c>
      <c r="D698" s="10" t="str">
        <f>IFERROR(__xludf.DUMMYFUNCTION("""COMPUTED_VALUE"""),"Carryboo soin bebe 2021")</f>
        <v>Carryboo soin bebe 2021</v>
      </c>
      <c r="E698" s="10"/>
      <c r="F698" s="9">
        <f>IFERROR(__xludf.DUMMYFUNCTION("""COMPUTED_VALUE"""),15.5466666666666)</f>
        <v>15.54666667</v>
      </c>
      <c r="G698" s="9">
        <f>IFERROR(__xludf.DUMMYFUNCTION("""COMPUTED_VALUE"""),11.66)</f>
        <v>11.66</v>
      </c>
      <c r="H698" s="9">
        <f>IFERROR(__xludf.DUMMYFUNCTION("""COMPUTED_VALUE"""),6.0)</f>
        <v>6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</row>
    <row r="699" ht="15.75" customHeight="1">
      <c r="A699" s="11">
        <f>IFERROR(__xludf.DUMMYFUNCTION("""COMPUTED_VALUE"""),44471.0)</f>
        <v>44471</v>
      </c>
      <c r="B699" s="9">
        <f>IFERROR(__xludf.DUMMYFUNCTION("""COMPUTED_VALUE"""),1003385.0)</f>
        <v>1003385</v>
      </c>
      <c r="C699" s="9">
        <f>IFERROR(__xludf.DUMMYFUNCTION("""COMPUTED_VALUE"""),103590.0)</f>
        <v>103590</v>
      </c>
      <c r="D699" s="10" t="str">
        <f>IFERROR(__xludf.DUMMYFUNCTION("""COMPUTED_VALUE"""),"Love &amp; Green Couches et Culottes sept 2021")</f>
        <v>Love &amp; Green Couches et Culottes sept 2021</v>
      </c>
      <c r="E699" s="10"/>
      <c r="F699" s="9">
        <f>IFERROR(__xludf.DUMMYFUNCTION("""COMPUTED_VALUE"""),124.042857142857)</f>
        <v>124.0428571</v>
      </c>
      <c r="G699" s="9">
        <f>IFERROR(__xludf.DUMMYFUNCTION("""COMPUTED_VALUE"""),86.83)</f>
        <v>86.83</v>
      </c>
      <c r="H699" s="9">
        <f>IFERROR(__xludf.DUMMYFUNCTION("""COMPUTED_VALUE"""),8.0)</f>
        <v>8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</row>
    <row r="700" ht="15.75" customHeight="1">
      <c r="A700" s="11">
        <f>IFERROR(__xludf.DUMMYFUNCTION("""COMPUTED_VALUE"""),44471.0)</f>
        <v>44471</v>
      </c>
      <c r="B700" s="9">
        <f>IFERROR(__xludf.DUMMYFUNCTION("""COMPUTED_VALUE"""),1003386.0)</f>
        <v>1003386</v>
      </c>
      <c r="C700" s="9">
        <f>IFERROR(__xludf.DUMMYFUNCTION("""COMPUTED_VALUE"""),102188.0)</f>
        <v>102188</v>
      </c>
      <c r="D700" s="9"/>
      <c r="E700" s="9"/>
      <c r="F700" s="9">
        <f>IFERROR(__xludf.DUMMYFUNCTION("""COMPUTED_VALUE"""),2.76)</f>
        <v>2.76</v>
      </c>
      <c r="G700" s="9">
        <f>IFERROR(__xludf.DUMMYFUNCTION("""COMPUTED_VALUE"""),2.76)</f>
        <v>2.76</v>
      </c>
      <c r="H700" s="9">
        <f>IFERROR(__xludf.DUMMYFUNCTION("""COMPUTED_VALUE"""),1.0)</f>
        <v>1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</row>
    <row r="701" ht="15.75" customHeight="1">
      <c r="A701" s="11">
        <f>IFERROR(__xludf.DUMMYFUNCTION("""COMPUTED_VALUE"""),44471.0)</f>
        <v>44471</v>
      </c>
      <c r="B701" s="9">
        <f>IFERROR(__xludf.DUMMYFUNCTION("""COMPUTED_VALUE"""),1003386.0)</f>
        <v>1003386</v>
      </c>
      <c r="C701" s="9">
        <f>IFERROR(__xludf.DUMMYFUNCTION("""COMPUTED_VALUE"""),104361.0)</f>
        <v>104361</v>
      </c>
      <c r="D701" s="9"/>
      <c r="E701" s="9"/>
      <c r="F701" s="9">
        <f>IFERROR(__xludf.DUMMYFUNCTION("""COMPUTED_VALUE"""),3.76)</f>
        <v>3.76</v>
      </c>
      <c r="G701" s="9">
        <f>IFERROR(__xludf.DUMMYFUNCTION("""COMPUTED_VALUE"""),3.76)</f>
        <v>3.76</v>
      </c>
      <c r="H701" s="9">
        <f>IFERROR(__xludf.DUMMYFUNCTION("""COMPUTED_VALUE"""),1.0)</f>
        <v>1</v>
      </c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</row>
    <row r="702" ht="15.75" customHeight="1">
      <c r="A702" s="11">
        <f>IFERROR(__xludf.DUMMYFUNCTION("""COMPUTED_VALUE"""),44471.0)</f>
        <v>44471</v>
      </c>
      <c r="B702" s="9">
        <f>IFERROR(__xludf.DUMMYFUNCTION("""COMPUTED_VALUE"""),1003386.0)</f>
        <v>1003386</v>
      </c>
      <c r="C702" s="9">
        <f>IFERROR(__xludf.DUMMYFUNCTION("""COMPUTED_VALUE"""),102456.0)</f>
        <v>102456</v>
      </c>
      <c r="D702" s="9"/>
      <c r="E702" s="9"/>
      <c r="F702" s="9">
        <f>IFERROR(__xludf.DUMMYFUNCTION("""COMPUTED_VALUE"""),4.77)</f>
        <v>4.77</v>
      </c>
      <c r="G702" s="9">
        <f>IFERROR(__xludf.DUMMYFUNCTION("""COMPUTED_VALUE"""),4.77)</f>
        <v>4.77</v>
      </c>
      <c r="H702" s="9">
        <f>IFERROR(__xludf.DUMMYFUNCTION("""COMPUTED_VALUE"""),1.0)</f>
        <v>1</v>
      </c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</row>
    <row r="703" ht="15.75" customHeight="1">
      <c r="A703" s="11">
        <f>IFERROR(__xludf.DUMMYFUNCTION("""COMPUTED_VALUE"""),44471.0)</f>
        <v>44471</v>
      </c>
      <c r="B703" s="9">
        <f>IFERROR(__xludf.DUMMYFUNCTION("""COMPUTED_VALUE"""),1003386.0)</f>
        <v>1003386</v>
      </c>
      <c r="C703" s="9">
        <f>IFERROR(__xludf.DUMMYFUNCTION("""COMPUTED_VALUE"""),19337.0)</f>
        <v>19337</v>
      </c>
      <c r="D703" s="9"/>
      <c r="E703" s="9"/>
      <c r="F703" s="9">
        <f>IFERROR(__xludf.DUMMYFUNCTION("""COMPUTED_VALUE"""),1.95)</f>
        <v>1.95</v>
      </c>
      <c r="G703" s="9">
        <f>IFERROR(__xludf.DUMMYFUNCTION("""COMPUTED_VALUE"""),1.95)</f>
        <v>1.95</v>
      </c>
      <c r="H703" s="9">
        <f>IFERROR(__xludf.DUMMYFUNCTION("""COMPUTED_VALUE"""),1.0)</f>
        <v>1</v>
      </c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</row>
    <row r="704" ht="15.75" customHeight="1">
      <c r="A704" s="11">
        <f>IFERROR(__xludf.DUMMYFUNCTION("""COMPUTED_VALUE"""),44471.0)</f>
        <v>44471</v>
      </c>
      <c r="B704" s="9">
        <f>IFERROR(__xludf.DUMMYFUNCTION("""COMPUTED_VALUE"""),1003386.0)</f>
        <v>1003386</v>
      </c>
      <c r="C704" s="9">
        <f>IFERROR(__xludf.DUMMYFUNCTION("""COMPUTED_VALUE"""),19344.0)</f>
        <v>19344</v>
      </c>
      <c r="D704" s="9"/>
      <c r="E704" s="9"/>
      <c r="F704" s="9">
        <f>IFERROR(__xludf.DUMMYFUNCTION("""COMPUTED_VALUE"""),2.16)</f>
        <v>2.16</v>
      </c>
      <c r="G704" s="9">
        <f>IFERROR(__xludf.DUMMYFUNCTION("""COMPUTED_VALUE"""),2.16)</f>
        <v>2.16</v>
      </c>
      <c r="H704" s="9">
        <f>IFERROR(__xludf.DUMMYFUNCTION("""COMPUTED_VALUE"""),1.0)</f>
        <v>1</v>
      </c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</row>
    <row r="705" ht="15.75" customHeight="1">
      <c r="A705" s="11">
        <f>IFERROR(__xludf.DUMMYFUNCTION("""COMPUTED_VALUE"""),44471.0)</f>
        <v>44471</v>
      </c>
      <c r="B705" s="9">
        <f>IFERROR(__xludf.DUMMYFUNCTION("""COMPUTED_VALUE"""),1003386.0)</f>
        <v>1003386</v>
      </c>
      <c r="C705" s="9">
        <f>IFERROR(__xludf.DUMMYFUNCTION("""COMPUTED_VALUE"""),107388.0)</f>
        <v>107388</v>
      </c>
      <c r="D705" s="10" t="str">
        <f>IFERROR(__xludf.DUMMYFUNCTION("""COMPUTED_VALUE"""),"Vive le bio")</f>
        <v>Vive le bio</v>
      </c>
      <c r="E705" s="10"/>
      <c r="F705" s="9">
        <f>IFERROR(__xludf.DUMMYFUNCTION("""COMPUTED_VALUE"""),8.82222222222222)</f>
        <v>8.822222222</v>
      </c>
      <c r="G705" s="9">
        <f>IFERROR(__xludf.DUMMYFUNCTION("""COMPUTED_VALUE"""),7.94)</f>
        <v>7.94</v>
      </c>
      <c r="H705" s="9">
        <f>IFERROR(__xludf.DUMMYFUNCTION("""COMPUTED_VALUE"""),1.0)</f>
        <v>1</v>
      </c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</row>
    <row r="706" ht="15.75" customHeight="1">
      <c r="A706" s="11">
        <f>IFERROR(__xludf.DUMMYFUNCTION("""COMPUTED_VALUE"""),44471.0)</f>
        <v>44471</v>
      </c>
      <c r="B706" s="9">
        <f>IFERROR(__xludf.DUMMYFUNCTION("""COMPUTED_VALUE"""),1003386.0)</f>
        <v>1003386</v>
      </c>
      <c r="C706" s="9">
        <f>IFERROR(__xludf.DUMMYFUNCTION("""COMPUTED_VALUE"""),95155.0)</f>
        <v>95155</v>
      </c>
      <c r="D706" s="10" t="str">
        <f>IFERROR(__xludf.DUMMYFUNCTION("""COMPUTED_VALUE"""),"Vive le bio")</f>
        <v>Vive le bio</v>
      </c>
      <c r="E706" s="10"/>
      <c r="F706" s="9">
        <f>IFERROR(__xludf.DUMMYFUNCTION("""COMPUTED_VALUE"""),1.97777777777777)</f>
        <v>1.977777778</v>
      </c>
      <c r="G706" s="9">
        <f>IFERROR(__xludf.DUMMYFUNCTION("""COMPUTED_VALUE"""),1.78)</f>
        <v>1.78</v>
      </c>
      <c r="H706" s="9">
        <f>IFERROR(__xludf.DUMMYFUNCTION("""COMPUTED_VALUE"""),1.0)</f>
        <v>1</v>
      </c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</row>
    <row r="707" ht="15.75" customHeight="1">
      <c r="A707" s="11">
        <f>IFERROR(__xludf.DUMMYFUNCTION("""COMPUTED_VALUE"""),44471.0)</f>
        <v>44471</v>
      </c>
      <c r="B707" s="9">
        <f>IFERROR(__xludf.DUMMYFUNCTION("""COMPUTED_VALUE"""),1003386.0)</f>
        <v>1003386</v>
      </c>
      <c r="C707" s="9">
        <f>IFERROR(__xludf.DUMMYFUNCTION("""COMPUTED_VALUE"""),104791.0)</f>
        <v>104791</v>
      </c>
      <c r="D707" s="9"/>
      <c r="E707" s="9"/>
      <c r="F707" s="9">
        <f>IFERROR(__xludf.DUMMYFUNCTION("""COMPUTED_VALUE"""),2.42)</f>
        <v>2.42</v>
      </c>
      <c r="G707" s="9">
        <f>IFERROR(__xludf.DUMMYFUNCTION("""COMPUTED_VALUE"""),2.42)</f>
        <v>2.42</v>
      </c>
      <c r="H707" s="9">
        <f>IFERROR(__xludf.DUMMYFUNCTION("""COMPUTED_VALUE"""),1.0)</f>
        <v>1</v>
      </c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</row>
    <row r="708" ht="15.75" customHeight="1">
      <c r="A708" s="11">
        <f>IFERROR(__xludf.DUMMYFUNCTION("""COMPUTED_VALUE"""),44471.0)</f>
        <v>44471</v>
      </c>
      <c r="B708" s="9">
        <f>IFERROR(__xludf.DUMMYFUNCTION("""COMPUTED_VALUE"""),1003386.0)</f>
        <v>1003386</v>
      </c>
      <c r="C708" s="9">
        <f>IFERROR(__xludf.DUMMYFUNCTION("""COMPUTED_VALUE"""),68329.0)</f>
        <v>68329</v>
      </c>
      <c r="D708" s="9"/>
      <c r="E708" s="9"/>
      <c r="F708" s="9">
        <f>IFERROR(__xludf.DUMMYFUNCTION("""COMPUTED_VALUE"""),1.09)</f>
        <v>1.09</v>
      </c>
      <c r="G708" s="9">
        <f>IFERROR(__xludf.DUMMYFUNCTION("""COMPUTED_VALUE"""),1.09)</f>
        <v>1.09</v>
      </c>
      <c r="H708" s="9">
        <f>IFERROR(__xludf.DUMMYFUNCTION("""COMPUTED_VALUE"""),1.0)</f>
        <v>1</v>
      </c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</row>
    <row r="709" ht="15.75" customHeight="1">
      <c r="A709" s="11">
        <f>IFERROR(__xludf.DUMMYFUNCTION("""COMPUTED_VALUE"""),44471.0)</f>
        <v>44471</v>
      </c>
      <c r="B709" s="9">
        <f>IFERROR(__xludf.DUMMYFUNCTION("""COMPUTED_VALUE"""),1003386.0)</f>
        <v>1003386</v>
      </c>
      <c r="C709" s="9">
        <f>IFERROR(__xludf.DUMMYFUNCTION("""COMPUTED_VALUE"""),112248.0)</f>
        <v>112248</v>
      </c>
      <c r="D709" s="9"/>
      <c r="E709" s="9"/>
      <c r="F709" s="9">
        <f>IFERROR(__xludf.DUMMYFUNCTION("""COMPUTED_VALUE"""),4.13)</f>
        <v>4.13</v>
      </c>
      <c r="G709" s="9">
        <f>IFERROR(__xludf.DUMMYFUNCTION("""COMPUTED_VALUE"""),4.13)</f>
        <v>4.13</v>
      </c>
      <c r="H709" s="9">
        <f>IFERROR(__xludf.DUMMYFUNCTION("""COMPUTED_VALUE"""),1.0)</f>
        <v>1</v>
      </c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</row>
    <row r="710" ht="15.75" customHeight="1">
      <c r="A710" s="11">
        <f>IFERROR(__xludf.DUMMYFUNCTION("""COMPUTED_VALUE"""),44471.0)</f>
        <v>44471</v>
      </c>
      <c r="B710" s="9">
        <f>IFERROR(__xludf.DUMMYFUNCTION("""COMPUTED_VALUE"""),1003386.0)</f>
        <v>1003386</v>
      </c>
      <c r="C710" s="9">
        <f>IFERROR(__xludf.DUMMYFUNCTION("""COMPUTED_VALUE"""),77441.0)</f>
        <v>77441</v>
      </c>
      <c r="D710" s="9"/>
      <c r="E710" s="9"/>
      <c r="F710" s="9">
        <f>IFERROR(__xludf.DUMMYFUNCTION("""COMPUTED_VALUE"""),2.7)</f>
        <v>2.7</v>
      </c>
      <c r="G710" s="9">
        <f>IFERROR(__xludf.DUMMYFUNCTION("""COMPUTED_VALUE"""),2.7)</f>
        <v>2.7</v>
      </c>
      <c r="H710" s="9">
        <f>IFERROR(__xludf.DUMMYFUNCTION("""COMPUTED_VALUE"""),1.0)</f>
        <v>1</v>
      </c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</row>
    <row r="711" ht="15.75" customHeight="1">
      <c r="A711" s="11">
        <f>IFERROR(__xludf.DUMMYFUNCTION("""COMPUTED_VALUE"""),44471.0)</f>
        <v>44471</v>
      </c>
      <c r="B711" s="9">
        <f>IFERROR(__xludf.DUMMYFUNCTION("""COMPUTED_VALUE"""),1003386.0)</f>
        <v>1003386</v>
      </c>
      <c r="C711" s="9">
        <f>IFERROR(__xludf.DUMMYFUNCTION("""COMPUTED_VALUE"""),78421.0)</f>
        <v>78421</v>
      </c>
      <c r="D711" s="9"/>
      <c r="E711" s="9"/>
      <c r="F711" s="9">
        <f>IFERROR(__xludf.DUMMYFUNCTION("""COMPUTED_VALUE"""),2.34)</f>
        <v>2.34</v>
      </c>
      <c r="G711" s="9">
        <f>IFERROR(__xludf.DUMMYFUNCTION("""COMPUTED_VALUE"""),2.34)</f>
        <v>2.34</v>
      </c>
      <c r="H711" s="9">
        <f>IFERROR(__xludf.DUMMYFUNCTION("""COMPUTED_VALUE"""),1.0)</f>
        <v>1</v>
      </c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</row>
    <row r="712" ht="15.75" customHeight="1">
      <c r="A712" s="11">
        <f>IFERROR(__xludf.DUMMYFUNCTION("""COMPUTED_VALUE"""),44471.0)</f>
        <v>44471</v>
      </c>
      <c r="B712" s="9">
        <f>IFERROR(__xludf.DUMMYFUNCTION("""COMPUTED_VALUE"""),1003386.0)</f>
        <v>1003386</v>
      </c>
      <c r="C712" s="9">
        <f>IFERROR(__xludf.DUMMYFUNCTION("""COMPUTED_VALUE"""),74917.0)</f>
        <v>74917</v>
      </c>
      <c r="D712" s="9"/>
      <c r="E712" s="9"/>
      <c r="F712" s="9">
        <f>IFERROR(__xludf.DUMMYFUNCTION("""COMPUTED_VALUE"""),4.93)</f>
        <v>4.93</v>
      </c>
      <c r="G712" s="9">
        <f>IFERROR(__xludf.DUMMYFUNCTION("""COMPUTED_VALUE"""),4.93)</f>
        <v>4.93</v>
      </c>
      <c r="H712" s="9">
        <f>IFERROR(__xludf.DUMMYFUNCTION("""COMPUTED_VALUE"""),1.0)</f>
        <v>1</v>
      </c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</row>
    <row r="713" ht="15.75" customHeight="1">
      <c r="A713" s="11">
        <f>IFERROR(__xludf.DUMMYFUNCTION("""COMPUTED_VALUE"""),44471.0)</f>
        <v>44471</v>
      </c>
      <c r="B713" s="9">
        <f>IFERROR(__xludf.DUMMYFUNCTION("""COMPUTED_VALUE"""),1003386.0)</f>
        <v>1003386</v>
      </c>
      <c r="C713" s="9">
        <f>IFERROR(__xludf.DUMMYFUNCTION("""COMPUTED_VALUE"""),82464.0)</f>
        <v>82464</v>
      </c>
      <c r="D713" s="9"/>
      <c r="E713" s="9"/>
      <c r="F713" s="9">
        <f>IFERROR(__xludf.DUMMYFUNCTION("""COMPUTED_VALUE"""),4.44)</f>
        <v>4.44</v>
      </c>
      <c r="G713" s="9">
        <f>IFERROR(__xludf.DUMMYFUNCTION("""COMPUTED_VALUE"""),4.44)</f>
        <v>4.44</v>
      </c>
      <c r="H713" s="9">
        <f>IFERROR(__xludf.DUMMYFUNCTION("""COMPUTED_VALUE"""),1.0)</f>
        <v>1</v>
      </c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</row>
    <row r="714" ht="15.75" customHeight="1">
      <c r="A714" s="11">
        <f>IFERROR(__xludf.DUMMYFUNCTION("""COMPUTED_VALUE"""),44471.0)</f>
        <v>44471</v>
      </c>
      <c r="B714" s="9">
        <f>IFERROR(__xludf.DUMMYFUNCTION("""COMPUTED_VALUE"""),1003386.0)</f>
        <v>1003386</v>
      </c>
      <c r="C714" s="9">
        <f>IFERROR(__xludf.DUMMYFUNCTION("""COMPUTED_VALUE"""),116555.0)</f>
        <v>116555</v>
      </c>
      <c r="D714" s="9"/>
      <c r="E714" s="9"/>
      <c r="F714" s="9">
        <f>IFERROR(__xludf.DUMMYFUNCTION("""COMPUTED_VALUE"""),4.95)</f>
        <v>4.95</v>
      </c>
      <c r="G714" s="9">
        <f>IFERROR(__xludf.DUMMYFUNCTION("""COMPUTED_VALUE"""),4.95)</f>
        <v>4.95</v>
      </c>
      <c r="H714" s="9">
        <f>IFERROR(__xludf.DUMMYFUNCTION("""COMPUTED_VALUE"""),1.0)</f>
        <v>1</v>
      </c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</row>
    <row r="715" ht="15.75" customHeight="1">
      <c r="A715" s="11">
        <f>IFERROR(__xludf.DUMMYFUNCTION("""COMPUTED_VALUE"""),44471.0)</f>
        <v>44471</v>
      </c>
      <c r="B715" s="9">
        <f>IFERROR(__xludf.DUMMYFUNCTION("""COMPUTED_VALUE"""),1003386.0)</f>
        <v>1003386</v>
      </c>
      <c r="C715" s="9">
        <f>IFERROR(__xludf.DUMMYFUNCTION("""COMPUTED_VALUE"""),83057.0)</f>
        <v>83057</v>
      </c>
      <c r="D715" s="9"/>
      <c r="E715" s="9"/>
      <c r="F715" s="9">
        <f>IFERROR(__xludf.DUMMYFUNCTION("""COMPUTED_VALUE"""),2.73)</f>
        <v>2.73</v>
      </c>
      <c r="G715" s="9">
        <f>IFERROR(__xludf.DUMMYFUNCTION("""COMPUTED_VALUE"""),2.73)</f>
        <v>2.73</v>
      </c>
      <c r="H715" s="9">
        <f>IFERROR(__xludf.DUMMYFUNCTION("""COMPUTED_VALUE"""),1.0)</f>
        <v>1</v>
      </c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</row>
    <row r="716" ht="15.75" customHeight="1">
      <c r="A716" s="11">
        <f>IFERROR(__xludf.DUMMYFUNCTION("""COMPUTED_VALUE"""),44471.0)</f>
        <v>44471</v>
      </c>
      <c r="B716" s="9">
        <f>IFERROR(__xludf.DUMMYFUNCTION("""COMPUTED_VALUE"""),1003386.0)</f>
        <v>1003386</v>
      </c>
      <c r="C716" s="9">
        <f>IFERROR(__xludf.DUMMYFUNCTION("""COMPUTED_VALUE"""),42190.0)</f>
        <v>42190</v>
      </c>
      <c r="D716" s="9"/>
      <c r="E716" s="9"/>
      <c r="F716" s="9">
        <f>IFERROR(__xludf.DUMMYFUNCTION("""COMPUTED_VALUE"""),3.48)</f>
        <v>3.48</v>
      </c>
      <c r="G716" s="9">
        <f>IFERROR(__xludf.DUMMYFUNCTION("""COMPUTED_VALUE"""),3.48)</f>
        <v>3.48</v>
      </c>
      <c r="H716" s="9">
        <f>IFERROR(__xludf.DUMMYFUNCTION("""COMPUTED_VALUE"""),1.0)</f>
        <v>1</v>
      </c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</row>
    <row r="717" ht="15.75" customHeight="1">
      <c r="A717" s="11">
        <f>IFERROR(__xludf.DUMMYFUNCTION("""COMPUTED_VALUE"""),44471.0)</f>
        <v>44471</v>
      </c>
      <c r="B717" s="9">
        <f>IFERROR(__xludf.DUMMYFUNCTION("""COMPUTED_VALUE"""),1003386.0)</f>
        <v>1003386</v>
      </c>
      <c r="C717" s="9">
        <f>IFERROR(__xludf.DUMMYFUNCTION("""COMPUTED_VALUE"""),44707.0)</f>
        <v>44707</v>
      </c>
      <c r="D717" s="9"/>
      <c r="E717" s="9"/>
      <c r="F717" s="9">
        <f>IFERROR(__xludf.DUMMYFUNCTION("""COMPUTED_VALUE"""),2.36)</f>
        <v>2.36</v>
      </c>
      <c r="G717" s="9">
        <f>IFERROR(__xludf.DUMMYFUNCTION("""COMPUTED_VALUE"""),2.36)</f>
        <v>2.36</v>
      </c>
      <c r="H717" s="9">
        <f>IFERROR(__xludf.DUMMYFUNCTION("""COMPUTED_VALUE"""),1.0)</f>
        <v>1</v>
      </c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</row>
    <row r="718" ht="15.75" customHeight="1">
      <c r="A718" s="11">
        <f>IFERROR(__xludf.DUMMYFUNCTION("""COMPUTED_VALUE"""),44471.0)</f>
        <v>44471</v>
      </c>
      <c r="B718" s="9">
        <f>IFERROR(__xludf.DUMMYFUNCTION("""COMPUTED_VALUE"""),1003386.0)</f>
        <v>1003386</v>
      </c>
      <c r="C718" s="9">
        <f>IFERROR(__xludf.DUMMYFUNCTION("""COMPUTED_VALUE"""),19848.0)</f>
        <v>19848</v>
      </c>
      <c r="D718" s="9"/>
      <c r="E718" s="9"/>
      <c r="F718" s="9">
        <f>IFERROR(__xludf.DUMMYFUNCTION("""COMPUTED_VALUE"""),3.61)</f>
        <v>3.61</v>
      </c>
      <c r="G718" s="9">
        <f>IFERROR(__xludf.DUMMYFUNCTION("""COMPUTED_VALUE"""),3.61)</f>
        <v>3.61</v>
      </c>
      <c r="H718" s="9">
        <f>IFERROR(__xludf.DUMMYFUNCTION("""COMPUTED_VALUE"""),1.0)</f>
        <v>1</v>
      </c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</row>
    <row r="719" ht="15.75" customHeight="1">
      <c r="A719" s="11">
        <f>IFERROR(__xludf.DUMMYFUNCTION("""COMPUTED_VALUE"""),44471.0)</f>
        <v>44471</v>
      </c>
      <c r="B719" s="9">
        <f>IFERROR(__xludf.DUMMYFUNCTION("""COMPUTED_VALUE"""),1003386.0)</f>
        <v>1003386</v>
      </c>
      <c r="C719" s="9">
        <f>IFERROR(__xludf.DUMMYFUNCTION("""COMPUTED_VALUE"""),121067.0)</f>
        <v>121067</v>
      </c>
      <c r="D719" s="10" t="str">
        <f>IFERROR(__xludf.DUMMYFUNCTION("""COMPUTED_VALUE"""),"Vive le bio")</f>
        <v>Vive le bio</v>
      </c>
      <c r="E719" s="10"/>
      <c r="F719" s="9">
        <f>IFERROR(__xludf.DUMMYFUNCTION("""COMPUTED_VALUE"""),6.73333333333333)</f>
        <v>6.733333333</v>
      </c>
      <c r="G719" s="9">
        <f>IFERROR(__xludf.DUMMYFUNCTION("""COMPUTED_VALUE"""),6.06)</f>
        <v>6.06</v>
      </c>
      <c r="H719" s="9">
        <f>IFERROR(__xludf.DUMMYFUNCTION("""COMPUTED_VALUE"""),1.0)</f>
        <v>1</v>
      </c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</row>
    <row r="720" ht="15.75" customHeight="1">
      <c r="A720" s="11">
        <f>IFERROR(__xludf.DUMMYFUNCTION("""COMPUTED_VALUE"""),44471.0)</f>
        <v>44471</v>
      </c>
      <c r="B720" s="9">
        <f>IFERROR(__xludf.DUMMYFUNCTION("""COMPUTED_VALUE"""),1003386.0)</f>
        <v>1003386</v>
      </c>
      <c r="C720" s="9">
        <f>IFERROR(__xludf.DUMMYFUNCTION("""COMPUTED_VALUE"""),121070.0)</f>
        <v>121070</v>
      </c>
      <c r="D720" s="10" t="str">
        <f>IFERROR(__xludf.DUMMYFUNCTION("""COMPUTED_VALUE"""),"Vive le bio")</f>
        <v>Vive le bio</v>
      </c>
      <c r="E720" s="10"/>
      <c r="F720" s="9">
        <f>IFERROR(__xludf.DUMMYFUNCTION("""COMPUTED_VALUE"""),6.73333333333333)</f>
        <v>6.733333333</v>
      </c>
      <c r="G720" s="9">
        <f>IFERROR(__xludf.DUMMYFUNCTION("""COMPUTED_VALUE"""),6.06)</f>
        <v>6.06</v>
      </c>
      <c r="H720" s="9">
        <f>IFERROR(__xludf.DUMMYFUNCTION("""COMPUTED_VALUE"""),1.0)</f>
        <v>1</v>
      </c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</row>
    <row r="721" ht="15.75" customHeight="1">
      <c r="A721" s="11">
        <f>IFERROR(__xludf.DUMMYFUNCTION("""COMPUTED_VALUE"""),44471.0)</f>
        <v>44471</v>
      </c>
      <c r="B721" s="9">
        <f>IFERROR(__xludf.DUMMYFUNCTION("""COMPUTED_VALUE"""),1003387.0)</f>
        <v>1003387</v>
      </c>
      <c r="C721" s="9">
        <f>IFERROR(__xludf.DUMMYFUNCTION("""COMPUTED_VALUE"""),48491.0)</f>
        <v>48491</v>
      </c>
      <c r="D721" s="10" t="str">
        <f>IFERROR(__xludf.DUMMYFUNCTION("""COMPUTED_VALUE"""),"DLC courtes")</f>
        <v>DLC courtes</v>
      </c>
      <c r="E721" s="10"/>
      <c r="F721" s="9">
        <f>IFERROR(__xludf.DUMMYFUNCTION("""COMPUTED_VALUE"""),6.8125)</f>
        <v>6.8125</v>
      </c>
      <c r="G721" s="9">
        <f>IFERROR(__xludf.DUMMYFUNCTION("""COMPUTED_VALUE"""),5.45)</f>
        <v>5.45</v>
      </c>
      <c r="H721" s="9">
        <f>IFERROR(__xludf.DUMMYFUNCTION("""COMPUTED_VALUE"""),1.0)</f>
        <v>1</v>
      </c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</row>
    <row r="722" ht="15.75" customHeight="1">
      <c r="A722" s="11">
        <f>IFERROR(__xludf.DUMMYFUNCTION("""COMPUTED_VALUE"""),44471.0)</f>
        <v>44471</v>
      </c>
      <c r="B722" s="9">
        <f>IFERROR(__xludf.DUMMYFUNCTION("""COMPUTED_VALUE"""),1003387.0)</f>
        <v>1003387</v>
      </c>
      <c r="C722" s="9">
        <f>IFERROR(__xludf.DUMMYFUNCTION("""COMPUTED_VALUE"""),103588.0)</f>
        <v>103588</v>
      </c>
      <c r="D722" s="10" t="str">
        <f>IFERROR(__xludf.DUMMYFUNCTION("""COMPUTED_VALUE"""),"Love &amp; Green Couches et Culottes sept 2021")</f>
        <v>Love &amp; Green Couches et Culottes sept 2021</v>
      </c>
      <c r="E722" s="10"/>
      <c r="F722" s="9">
        <f>IFERROR(__xludf.DUMMYFUNCTION("""COMPUTED_VALUE"""),62.0285714285714)</f>
        <v>62.02857143</v>
      </c>
      <c r="G722" s="9">
        <f>IFERROR(__xludf.DUMMYFUNCTION("""COMPUTED_VALUE"""),43.42)</f>
        <v>43.42</v>
      </c>
      <c r="H722" s="9">
        <f>IFERROR(__xludf.DUMMYFUNCTION("""COMPUTED_VALUE"""),4.0)</f>
        <v>4</v>
      </c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</row>
    <row r="723" ht="15.75" customHeight="1">
      <c r="A723" s="11">
        <f>IFERROR(__xludf.DUMMYFUNCTION("""COMPUTED_VALUE"""),44471.0)</f>
        <v>44471</v>
      </c>
      <c r="B723" s="9">
        <f>IFERROR(__xludf.DUMMYFUNCTION("""COMPUTED_VALUE"""),1003387.0)</f>
        <v>1003387</v>
      </c>
      <c r="C723" s="9">
        <f>IFERROR(__xludf.DUMMYFUNCTION("""COMPUTED_VALUE"""),116676.0)</f>
        <v>116676</v>
      </c>
      <c r="D723" s="9"/>
      <c r="E723" s="9"/>
      <c r="F723" s="9">
        <f>IFERROR(__xludf.DUMMYFUNCTION("""COMPUTED_VALUE"""),90.44)</f>
        <v>90.44</v>
      </c>
      <c r="G723" s="9">
        <f>IFERROR(__xludf.DUMMYFUNCTION("""COMPUTED_VALUE"""),90.44)</f>
        <v>90.44</v>
      </c>
      <c r="H723" s="9">
        <f>IFERROR(__xludf.DUMMYFUNCTION("""COMPUTED_VALUE"""),6.0)</f>
        <v>6</v>
      </c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</row>
    <row r="724" ht="15.75" customHeight="1">
      <c r="A724" s="11">
        <f>IFERROR(__xludf.DUMMYFUNCTION("""COMPUTED_VALUE"""),44471.0)</f>
        <v>44471</v>
      </c>
      <c r="B724" s="9">
        <f>IFERROR(__xludf.DUMMYFUNCTION("""COMPUTED_VALUE"""),1003388.0)</f>
        <v>1003388</v>
      </c>
      <c r="C724" s="9">
        <f>IFERROR(__xludf.DUMMYFUNCTION("""COMPUTED_VALUE"""),110342.0)</f>
        <v>110342</v>
      </c>
      <c r="D724" s="10" t="str">
        <f>IFERROR(__xludf.DUMMYFUNCTION("""COMPUTED_VALUE"""),"Love &amp; Green Couches et Culottes sept 2021")</f>
        <v>Love &amp; Green Couches et Culottes sept 2021</v>
      </c>
      <c r="E724" s="10"/>
      <c r="F724" s="9">
        <f>IFERROR(__xludf.DUMMYFUNCTION("""COMPUTED_VALUE"""),41.4)</f>
        <v>41.4</v>
      </c>
      <c r="G724" s="9">
        <f>IFERROR(__xludf.DUMMYFUNCTION("""COMPUTED_VALUE"""),28.98)</f>
        <v>28.98</v>
      </c>
      <c r="H724" s="9">
        <f>IFERROR(__xludf.DUMMYFUNCTION("""COMPUTED_VALUE"""),4.0)</f>
        <v>4</v>
      </c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</row>
    <row r="725" ht="15.75" customHeight="1">
      <c r="A725" s="11">
        <f>IFERROR(__xludf.DUMMYFUNCTION("""COMPUTED_VALUE"""),44471.0)</f>
        <v>44471</v>
      </c>
      <c r="B725" s="9">
        <f>IFERROR(__xludf.DUMMYFUNCTION("""COMPUTED_VALUE"""),1003389.0)</f>
        <v>1003389</v>
      </c>
      <c r="C725" s="9">
        <f>IFERROR(__xludf.DUMMYFUNCTION("""COMPUTED_VALUE"""),90294.0)</f>
        <v>90294</v>
      </c>
      <c r="D725" s="9"/>
      <c r="E725" s="9"/>
      <c r="F725" s="9">
        <f>IFERROR(__xludf.DUMMYFUNCTION("""COMPUTED_VALUE"""),6.5)</f>
        <v>6.5</v>
      </c>
      <c r="G725" s="9">
        <f>IFERROR(__xludf.DUMMYFUNCTION("""COMPUTED_VALUE"""),6.5)</f>
        <v>6.5</v>
      </c>
      <c r="H725" s="9">
        <f>IFERROR(__xludf.DUMMYFUNCTION("""COMPUTED_VALUE"""),1.0)</f>
        <v>1</v>
      </c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</row>
    <row r="726" ht="15.75" customHeight="1">
      <c r="A726" s="11">
        <f>IFERROR(__xludf.DUMMYFUNCTION("""COMPUTED_VALUE"""),44471.0)</f>
        <v>44471</v>
      </c>
      <c r="B726" s="9">
        <f>IFERROR(__xludf.DUMMYFUNCTION("""COMPUTED_VALUE"""),1003389.0)</f>
        <v>1003389</v>
      </c>
      <c r="C726" s="9">
        <f>IFERROR(__xludf.DUMMYFUNCTION("""COMPUTED_VALUE"""),108290.0)</f>
        <v>108290</v>
      </c>
      <c r="D726" s="9"/>
      <c r="E726" s="9"/>
      <c r="F726" s="9">
        <f>IFERROR(__xludf.DUMMYFUNCTION("""COMPUTED_VALUE"""),16.0)</f>
        <v>16</v>
      </c>
      <c r="G726" s="9">
        <f>IFERROR(__xludf.DUMMYFUNCTION("""COMPUTED_VALUE"""),16.0)</f>
        <v>16</v>
      </c>
      <c r="H726" s="9">
        <f>IFERROR(__xludf.DUMMYFUNCTION("""COMPUTED_VALUE"""),1.0)</f>
        <v>1</v>
      </c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</row>
    <row r="727" ht="15.75" customHeight="1">
      <c r="A727" s="11">
        <f>IFERROR(__xludf.DUMMYFUNCTION("""COMPUTED_VALUE"""),44471.0)</f>
        <v>44471</v>
      </c>
      <c r="B727" s="9">
        <f>IFERROR(__xludf.DUMMYFUNCTION("""COMPUTED_VALUE"""),1003389.0)</f>
        <v>1003389</v>
      </c>
      <c r="C727" s="9">
        <f>IFERROR(__xludf.DUMMYFUNCTION("""COMPUTED_VALUE"""),84226.0)</f>
        <v>84226</v>
      </c>
      <c r="D727" s="10" t="str">
        <f>IFERROR(__xludf.DUMMYFUNCTION("""COMPUTED_VALUE"""),"Vive le bio")</f>
        <v>Vive le bio</v>
      </c>
      <c r="E727" s="10"/>
      <c r="F727" s="9">
        <f>IFERROR(__xludf.DUMMYFUNCTION("""COMPUTED_VALUE"""),4.54736842105263)</f>
        <v>4.547368421</v>
      </c>
      <c r="G727" s="9">
        <f>IFERROR(__xludf.DUMMYFUNCTION("""COMPUTED_VALUE"""),4.32)</f>
        <v>4.32</v>
      </c>
      <c r="H727" s="9">
        <f>IFERROR(__xludf.DUMMYFUNCTION("""COMPUTED_VALUE"""),1.0)</f>
        <v>1</v>
      </c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</row>
    <row r="728" ht="15.75" customHeight="1">
      <c r="A728" s="11">
        <f>IFERROR(__xludf.DUMMYFUNCTION("""COMPUTED_VALUE"""),44471.0)</f>
        <v>44471</v>
      </c>
      <c r="B728" s="9">
        <f>IFERROR(__xludf.DUMMYFUNCTION("""COMPUTED_VALUE"""),1003389.0)</f>
        <v>1003389</v>
      </c>
      <c r="C728" s="9">
        <f>IFERROR(__xludf.DUMMYFUNCTION("""COMPUTED_VALUE"""),88636.0)</f>
        <v>88636</v>
      </c>
      <c r="D728" s="10" t="str">
        <f>IFERROR(__xludf.DUMMYFUNCTION("""COMPUTED_VALUE"""),"Vive le bio")</f>
        <v>Vive le bio</v>
      </c>
      <c r="E728" s="10"/>
      <c r="F728" s="9">
        <f>IFERROR(__xludf.DUMMYFUNCTION("""COMPUTED_VALUE"""),6.03333333333333)</f>
        <v>6.033333333</v>
      </c>
      <c r="G728" s="9">
        <f>IFERROR(__xludf.DUMMYFUNCTION("""COMPUTED_VALUE"""),5.43)</f>
        <v>5.43</v>
      </c>
      <c r="H728" s="9">
        <f>IFERROR(__xludf.DUMMYFUNCTION("""COMPUTED_VALUE"""),1.0)</f>
        <v>1</v>
      </c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</row>
    <row r="729" ht="15.75" customHeight="1">
      <c r="A729" s="11">
        <f>IFERROR(__xludf.DUMMYFUNCTION("""COMPUTED_VALUE"""),44471.0)</f>
        <v>44471</v>
      </c>
      <c r="B729" s="9">
        <f>IFERROR(__xludf.DUMMYFUNCTION("""COMPUTED_VALUE"""),1003389.0)</f>
        <v>1003389</v>
      </c>
      <c r="C729" s="9">
        <f>IFERROR(__xludf.DUMMYFUNCTION("""COMPUTED_VALUE"""),13368.0)</f>
        <v>13368</v>
      </c>
      <c r="D729" s="9"/>
      <c r="E729" s="9"/>
      <c r="F729" s="9">
        <f>IFERROR(__xludf.DUMMYFUNCTION("""COMPUTED_VALUE"""),2.4)</f>
        <v>2.4</v>
      </c>
      <c r="G729" s="9">
        <f>IFERROR(__xludf.DUMMYFUNCTION("""COMPUTED_VALUE"""),2.4)</f>
        <v>2.4</v>
      </c>
      <c r="H729" s="9">
        <f>IFERROR(__xludf.DUMMYFUNCTION("""COMPUTED_VALUE"""),1.0)</f>
        <v>1</v>
      </c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</row>
    <row r="730" ht="15.75" customHeight="1">
      <c r="A730" s="11">
        <f>IFERROR(__xludf.DUMMYFUNCTION("""COMPUTED_VALUE"""),44471.0)</f>
        <v>44471</v>
      </c>
      <c r="B730" s="9">
        <f>IFERROR(__xludf.DUMMYFUNCTION("""COMPUTED_VALUE"""),1003389.0)</f>
        <v>1003389</v>
      </c>
      <c r="C730" s="9">
        <f>IFERROR(__xludf.DUMMYFUNCTION("""COMPUTED_VALUE"""),77411.0)</f>
        <v>77411</v>
      </c>
      <c r="D730" s="9"/>
      <c r="E730" s="9"/>
      <c r="F730" s="9">
        <f>IFERROR(__xludf.DUMMYFUNCTION("""COMPUTED_VALUE"""),1.2)</f>
        <v>1.2</v>
      </c>
      <c r="G730" s="9">
        <f>IFERROR(__xludf.DUMMYFUNCTION("""COMPUTED_VALUE"""),1.2)</f>
        <v>1.2</v>
      </c>
      <c r="H730" s="9">
        <f>IFERROR(__xludf.DUMMYFUNCTION("""COMPUTED_VALUE"""),1.0)</f>
        <v>1</v>
      </c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</row>
    <row r="731" ht="15.75" customHeight="1">
      <c r="A731" s="11">
        <f>IFERROR(__xludf.DUMMYFUNCTION("""COMPUTED_VALUE"""),44471.0)</f>
        <v>44471</v>
      </c>
      <c r="B731" s="9">
        <f>IFERROR(__xludf.DUMMYFUNCTION("""COMPUTED_VALUE"""),1003389.0)</f>
        <v>1003389</v>
      </c>
      <c r="C731" s="9">
        <f>IFERROR(__xludf.DUMMYFUNCTION("""COMPUTED_VALUE"""),119876.0)</f>
        <v>119876</v>
      </c>
      <c r="D731" s="9"/>
      <c r="E731" s="9"/>
      <c r="F731" s="9">
        <f>IFERROR(__xludf.DUMMYFUNCTION("""COMPUTED_VALUE"""),24.45)</f>
        <v>24.45</v>
      </c>
      <c r="G731" s="9">
        <f>IFERROR(__xludf.DUMMYFUNCTION("""COMPUTED_VALUE"""),24.45)</f>
        <v>24.45</v>
      </c>
      <c r="H731" s="9">
        <f>IFERROR(__xludf.DUMMYFUNCTION("""COMPUTED_VALUE"""),1.0)</f>
        <v>1</v>
      </c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</row>
    <row r="732" ht="15.75" customHeight="1">
      <c r="A732" s="11">
        <f>IFERROR(__xludf.DUMMYFUNCTION("""COMPUTED_VALUE"""),44471.0)</f>
        <v>44471</v>
      </c>
      <c r="B732" s="9">
        <f>IFERROR(__xludf.DUMMYFUNCTION("""COMPUTED_VALUE"""),1003389.0)</f>
        <v>1003389</v>
      </c>
      <c r="C732" s="9">
        <f>IFERROR(__xludf.DUMMYFUNCTION("""COMPUTED_VALUE"""),17594.0)</f>
        <v>17594</v>
      </c>
      <c r="D732" s="9"/>
      <c r="E732" s="9"/>
      <c r="F732" s="9">
        <f>IFERROR(__xludf.DUMMYFUNCTION("""COMPUTED_VALUE"""),6.31)</f>
        <v>6.31</v>
      </c>
      <c r="G732" s="9">
        <f>IFERROR(__xludf.DUMMYFUNCTION("""COMPUTED_VALUE"""),6.31)</f>
        <v>6.31</v>
      </c>
      <c r="H732" s="9">
        <f>IFERROR(__xludf.DUMMYFUNCTION("""COMPUTED_VALUE"""),1.0)</f>
        <v>1</v>
      </c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</row>
    <row r="733" ht="15.75" customHeight="1">
      <c r="A733" s="11">
        <f>IFERROR(__xludf.DUMMYFUNCTION("""COMPUTED_VALUE"""),44471.0)</f>
        <v>44471</v>
      </c>
      <c r="B733" s="9">
        <f>IFERROR(__xludf.DUMMYFUNCTION("""COMPUTED_VALUE"""),1003389.0)</f>
        <v>1003389</v>
      </c>
      <c r="C733" s="9">
        <f>IFERROR(__xludf.DUMMYFUNCTION("""COMPUTED_VALUE"""),86502.0)</f>
        <v>86502</v>
      </c>
      <c r="D733" s="9"/>
      <c r="E733" s="9"/>
      <c r="F733" s="9">
        <f>IFERROR(__xludf.DUMMYFUNCTION("""COMPUTED_VALUE"""),12.37)</f>
        <v>12.37</v>
      </c>
      <c r="G733" s="9">
        <f>IFERROR(__xludf.DUMMYFUNCTION("""COMPUTED_VALUE"""),12.37)</f>
        <v>12.37</v>
      </c>
      <c r="H733" s="9">
        <f>IFERROR(__xludf.DUMMYFUNCTION("""COMPUTED_VALUE"""),1.0)</f>
        <v>1</v>
      </c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</row>
    <row r="734" ht="15.75" customHeight="1">
      <c r="A734" s="11">
        <f>IFERROR(__xludf.DUMMYFUNCTION("""COMPUTED_VALUE"""),44471.0)</f>
        <v>44471</v>
      </c>
      <c r="B734" s="9">
        <f>IFERROR(__xludf.DUMMYFUNCTION("""COMPUTED_VALUE"""),1003389.0)</f>
        <v>1003389</v>
      </c>
      <c r="C734" s="9">
        <f>IFERROR(__xludf.DUMMYFUNCTION("""COMPUTED_VALUE"""),77410.0)</f>
        <v>77410</v>
      </c>
      <c r="D734" s="9"/>
      <c r="E734" s="9"/>
      <c r="F734" s="9">
        <f>IFERROR(__xludf.DUMMYFUNCTION("""COMPUTED_VALUE"""),1.21)</f>
        <v>1.21</v>
      </c>
      <c r="G734" s="9">
        <f>IFERROR(__xludf.DUMMYFUNCTION("""COMPUTED_VALUE"""),1.21)</f>
        <v>1.21</v>
      </c>
      <c r="H734" s="9">
        <f>IFERROR(__xludf.DUMMYFUNCTION("""COMPUTED_VALUE"""),1.0)</f>
        <v>1</v>
      </c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</row>
    <row r="735" ht="15.75" customHeight="1">
      <c r="A735" s="11">
        <f>IFERROR(__xludf.DUMMYFUNCTION("""COMPUTED_VALUE"""),44471.0)</f>
        <v>44471</v>
      </c>
      <c r="B735" s="9">
        <f>IFERROR(__xludf.DUMMYFUNCTION("""COMPUTED_VALUE"""),1003389.0)</f>
        <v>1003389</v>
      </c>
      <c r="C735" s="9">
        <f>IFERROR(__xludf.DUMMYFUNCTION("""COMPUTED_VALUE"""),84231.0)</f>
        <v>84231</v>
      </c>
      <c r="D735" s="10" t="str">
        <f>IFERROR(__xludf.DUMMYFUNCTION("""COMPUTED_VALUE"""),"Vive le bio")</f>
        <v>Vive le bio</v>
      </c>
      <c r="E735" s="10"/>
      <c r="F735" s="9">
        <f>IFERROR(__xludf.DUMMYFUNCTION("""COMPUTED_VALUE"""),4.63157894736842)</f>
        <v>4.631578947</v>
      </c>
      <c r="G735" s="9">
        <f>IFERROR(__xludf.DUMMYFUNCTION("""COMPUTED_VALUE"""),4.4)</f>
        <v>4.4</v>
      </c>
      <c r="H735" s="9">
        <f>IFERROR(__xludf.DUMMYFUNCTION("""COMPUTED_VALUE"""),1.0)</f>
        <v>1</v>
      </c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</row>
    <row r="736" ht="15.75" customHeight="1">
      <c r="A736" s="11">
        <f>IFERROR(__xludf.DUMMYFUNCTION("""COMPUTED_VALUE"""),44471.0)</f>
        <v>44471</v>
      </c>
      <c r="B736" s="9">
        <f>IFERROR(__xludf.DUMMYFUNCTION("""COMPUTED_VALUE"""),1003389.0)</f>
        <v>1003389</v>
      </c>
      <c r="C736" s="9">
        <f>IFERROR(__xludf.DUMMYFUNCTION("""COMPUTED_VALUE"""),47389.0)</f>
        <v>47389</v>
      </c>
      <c r="D736" s="9"/>
      <c r="E736" s="9"/>
      <c r="F736" s="9">
        <f>IFERROR(__xludf.DUMMYFUNCTION("""COMPUTED_VALUE"""),2.68)</f>
        <v>2.68</v>
      </c>
      <c r="G736" s="9">
        <f>IFERROR(__xludf.DUMMYFUNCTION("""COMPUTED_VALUE"""),2.68)</f>
        <v>2.68</v>
      </c>
      <c r="H736" s="9">
        <f>IFERROR(__xludf.DUMMYFUNCTION("""COMPUTED_VALUE"""),1.0)</f>
        <v>1</v>
      </c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</row>
    <row r="737" ht="15.75" customHeight="1">
      <c r="A737" s="11">
        <f>IFERROR(__xludf.DUMMYFUNCTION("""COMPUTED_VALUE"""),44471.0)</f>
        <v>44471</v>
      </c>
      <c r="B737" s="9">
        <f>IFERROR(__xludf.DUMMYFUNCTION("""COMPUTED_VALUE"""),1003389.0)</f>
        <v>1003389</v>
      </c>
      <c r="C737" s="9">
        <f>IFERROR(__xludf.DUMMYFUNCTION("""COMPUTED_VALUE"""),74453.0)</f>
        <v>74453</v>
      </c>
      <c r="D737" s="9"/>
      <c r="E737" s="9"/>
      <c r="F737" s="9">
        <f>IFERROR(__xludf.DUMMYFUNCTION("""COMPUTED_VALUE"""),5.61)</f>
        <v>5.61</v>
      </c>
      <c r="G737" s="9">
        <f>IFERROR(__xludf.DUMMYFUNCTION("""COMPUTED_VALUE"""),5.61)</f>
        <v>5.61</v>
      </c>
      <c r="H737" s="9">
        <f>IFERROR(__xludf.DUMMYFUNCTION("""COMPUTED_VALUE"""),1.0)</f>
        <v>1</v>
      </c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</row>
    <row r="738" ht="15.75" customHeight="1">
      <c r="A738" s="11">
        <f>IFERROR(__xludf.DUMMYFUNCTION("""COMPUTED_VALUE"""),44471.0)</f>
        <v>44471</v>
      </c>
      <c r="B738" s="9">
        <f>IFERROR(__xludf.DUMMYFUNCTION("""COMPUTED_VALUE"""),1003389.0)</f>
        <v>1003389</v>
      </c>
      <c r="C738" s="9">
        <f>IFERROR(__xludf.DUMMYFUNCTION("""COMPUTED_VALUE"""),107232.0)</f>
        <v>107232</v>
      </c>
      <c r="D738" s="10" t="str">
        <f>IFERROR(__xludf.DUMMYFUNCTION("""COMPUTED_VALUE"""),"Offre speciale")</f>
        <v>Offre speciale</v>
      </c>
      <c r="E738" s="10"/>
      <c r="F738" s="9">
        <f>IFERROR(__xludf.DUMMYFUNCTION("""COMPUTED_VALUE"""),3.64444444444444)</f>
        <v>3.644444444</v>
      </c>
      <c r="G738" s="9">
        <f>IFERROR(__xludf.DUMMYFUNCTION("""COMPUTED_VALUE"""),3.28)</f>
        <v>3.28</v>
      </c>
      <c r="H738" s="9">
        <f>IFERROR(__xludf.DUMMYFUNCTION("""COMPUTED_VALUE"""),1.0)</f>
        <v>1</v>
      </c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</row>
    <row r="739" ht="15.75" customHeight="1">
      <c r="A739" s="11">
        <f>IFERROR(__xludf.DUMMYFUNCTION("""COMPUTED_VALUE"""),44471.0)</f>
        <v>44471</v>
      </c>
      <c r="B739" s="9">
        <f>IFERROR(__xludf.DUMMYFUNCTION("""COMPUTED_VALUE"""),1003389.0)</f>
        <v>1003389</v>
      </c>
      <c r="C739" s="9">
        <f>IFERROR(__xludf.DUMMYFUNCTION("""COMPUTED_VALUE"""),107226.0)</f>
        <v>107226</v>
      </c>
      <c r="D739" s="10" t="str">
        <f>IFERROR(__xludf.DUMMYFUNCTION("""COMPUTED_VALUE"""),"Offre speciale")</f>
        <v>Offre speciale</v>
      </c>
      <c r="E739" s="10"/>
      <c r="F739" s="9">
        <f>IFERROR(__xludf.DUMMYFUNCTION("""COMPUTED_VALUE"""),6.28888888888888)</f>
        <v>6.288888889</v>
      </c>
      <c r="G739" s="9">
        <f>IFERROR(__xludf.DUMMYFUNCTION("""COMPUTED_VALUE"""),5.66)</f>
        <v>5.66</v>
      </c>
      <c r="H739" s="9">
        <f>IFERROR(__xludf.DUMMYFUNCTION("""COMPUTED_VALUE"""),1.0)</f>
        <v>1</v>
      </c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</row>
    <row r="740" ht="15.75" customHeight="1">
      <c r="A740" s="11">
        <f>IFERROR(__xludf.DUMMYFUNCTION("""COMPUTED_VALUE"""),44471.0)</f>
        <v>44471</v>
      </c>
      <c r="B740" s="9">
        <f>IFERROR(__xludf.DUMMYFUNCTION("""COMPUTED_VALUE"""),1003389.0)</f>
        <v>1003389</v>
      </c>
      <c r="C740" s="9">
        <f>IFERROR(__xludf.DUMMYFUNCTION("""COMPUTED_VALUE"""),107220.0)</f>
        <v>107220</v>
      </c>
      <c r="D740" s="10" t="str">
        <f>IFERROR(__xludf.DUMMYFUNCTION("""COMPUTED_VALUE"""),"Offre speciale")</f>
        <v>Offre speciale</v>
      </c>
      <c r="E740" s="10"/>
      <c r="F740" s="9">
        <f>IFERROR(__xludf.DUMMYFUNCTION("""COMPUTED_VALUE"""),6.28888888888888)</f>
        <v>6.288888889</v>
      </c>
      <c r="G740" s="9">
        <f>IFERROR(__xludf.DUMMYFUNCTION("""COMPUTED_VALUE"""),5.66)</f>
        <v>5.66</v>
      </c>
      <c r="H740" s="9">
        <f>IFERROR(__xludf.DUMMYFUNCTION("""COMPUTED_VALUE"""),1.0)</f>
        <v>1</v>
      </c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</row>
    <row r="741" ht="15.75" customHeight="1">
      <c r="A741" s="11">
        <f>IFERROR(__xludf.DUMMYFUNCTION("""COMPUTED_VALUE"""),44471.0)</f>
        <v>44471</v>
      </c>
      <c r="B741" s="9">
        <f>IFERROR(__xludf.DUMMYFUNCTION("""COMPUTED_VALUE"""),1003389.0)</f>
        <v>1003389</v>
      </c>
      <c r="C741" s="9">
        <f>IFERROR(__xludf.DUMMYFUNCTION("""COMPUTED_VALUE"""),69190.0)</f>
        <v>69190</v>
      </c>
      <c r="D741" s="9"/>
      <c r="E741" s="9"/>
      <c r="F741" s="9">
        <f>IFERROR(__xludf.DUMMYFUNCTION("""COMPUTED_VALUE"""),2.94)</f>
        <v>2.94</v>
      </c>
      <c r="G741" s="9">
        <f>IFERROR(__xludf.DUMMYFUNCTION("""COMPUTED_VALUE"""),2.94)</f>
        <v>2.94</v>
      </c>
      <c r="H741" s="9">
        <f>IFERROR(__xludf.DUMMYFUNCTION("""COMPUTED_VALUE"""),1.0)</f>
        <v>1</v>
      </c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</row>
    <row r="742" ht="15.75" customHeight="1">
      <c r="A742" s="11">
        <f>IFERROR(__xludf.DUMMYFUNCTION("""COMPUTED_VALUE"""),44471.0)</f>
        <v>44471</v>
      </c>
      <c r="B742" s="9">
        <f>IFERROR(__xludf.DUMMYFUNCTION("""COMPUTED_VALUE"""),1003389.0)</f>
        <v>1003389</v>
      </c>
      <c r="C742" s="9">
        <f>IFERROR(__xludf.DUMMYFUNCTION("""COMPUTED_VALUE"""),84225.0)</f>
        <v>84225</v>
      </c>
      <c r="D742" s="9"/>
      <c r="E742" s="9"/>
      <c r="F742" s="9">
        <f>IFERROR(__xludf.DUMMYFUNCTION("""COMPUTED_VALUE"""),3.82)</f>
        <v>3.82</v>
      </c>
      <c r="G742" s="9">
        <f>IFERROR(__xludf.DUMMYFUNCTION("""COMPUTED_VALUE"""),3.82)</f>
        <v>3.82</v>
      </c>
      <c r="H742" s="9">
        <f>IFERROR(__xludf.DUMMYFUNCTION("""COMPUTED_VALUE"""),1.0)</f>
        <v>1</v>
      </c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</row>
    <row r="743" ht="15.75" customHeight="1">
      <c r="A743" s="11">
        <f>IFERROR(__xludf.DUMMYFUNCTION("""COMPUTED_VALUE"""),44471.0)</f>
        <v>44471</v>
      </c>
      <c r="B743" s="9">
        <f>IFERROR(__xludf.DUMMYFUNCTION("""COMPUTED_VALUE"""),1003389.0)</f>
        <v>1003389</v>
      </c>
      <c r="C743" s="9">
        <f>IFERROR(__xludf.DUMMYFUNCTION("""COMPUTED_VALUE"""),17645.0)</f>
        <v>17645</v>
      </c>
      <c r="D743" s="9"/>
      <c r="E743" s="9"/>
      <c r="F743" s="9">
        <f>IFERROR(__xludf.DUMMYFUNCTION("""COMPUTED_VALUE"""),7.64)</f>
        <v>7.64</v>
      </c>
      <c r="G743" s="9">
        <f>IFERROR(__xludf.DUMMYFUNCTION("""COMPUTED_VALUE"""),7.64)</f>
        <v>7.64</v>
      </c>
      <c r="H743" s="9">
        <f>IFERROR(__xludf.DUMMYFUNCTION("""COMPUTED_VALUE"""),1.0)</f>
        <v>1</v>
      </c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</row>
    <row r="744" ht="15.75" customHeight="1">
      <c r="A744" s="11">
        <f>IFERROR(__xludf.DUMMYFUNCTION("""COMPUTED_VALUE"""),44471.0)</f>
        <v>44471</v>
      </c>
      <c r="B744" s="9">
        <f>IFERROR(__xludf.DUMMYFUNCTION("""COMPUTED_VALUE"""),1003389.0)</f>
        <v>1003389</v>
      </c>
      <c r="C744" s="9">
        <f>IFERROR(__xludf.DUMMYFUNCTION("""COMPUTED_VALUE"""),86501.0)</f>
        <v>86501</v>
      </c>
      <c r="D744" s="9"/>
      <c r="E744" s="9"/>
      <c r="F744" s="9">
        <f>IFERROR(__xludf.DUMMYFUNCTION("""COMPUTED_VALUE"""),12.55)</f>
        <v>12.55</v>
      </c>
      <c r="G744" s="9">
        <f>IFERROR(__xludf.DUMMYFUNCTION("""COMPUTED_VALUE"""),12.55)</f>
        <v>12.55</v>
      </c>
      <c r="H744" s="9">
        <f>IFERROR(__xludf.DUMMYFUNCTION("""COMPUTED_VALUE"""),1.0)</f>
        <v>1</v>
      </c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</row>
    <row r="745" ht="15.75" customHeight="1">
      <c r="A745" s="11">
        <f>IFERROR(__xludf.DUMMYFUNCTION("""COMPUTED_VALUE"""),44471.0)</f>
        <v>44471</v>
      </c>
      <c r="B745" s="9">
        <f>IFERROR(__xludf.DUMMYFUNCTION("""COMPUTED_VALUE"""),1003389.0)</f>
        <v>1003389</v>
      </c>
      <c r="C745" s="9">
        <f>IFERROR(__xludf.DUMMYFUNCTION("""COMPUTED_VALUE"""),17615.0)</f>
        <v>17615</v>
      </c>
      <c r="D745" s="10" t="str">
        <f>IFERROR(__xludf.DUMMYFUNCTION("""COMPUTED_VALUE"""),"Offre speciale")</f>
        <v>Offre speciale</v>
      </c>
      <c r="E745" s="10"/>
      <c r="F745" s="9">
        <f>IFERROR(__xludf.DUMMYFUNCTION("""COMPUTED_VALUE"""),5.91764705882353)</f>
        <v>5.917647059</v>
      </c>
      <c r="G745" s="9">
        <f>IFERROR(__xludf.DUMMYFUNCTION("""COMPUTED_VALUE"""),5.03)</f>
        <v>5.03</v>
      </c>
      <c r="H745" s="9">
        <f>IFERROR(__xludf.DUMMYFUNCTION("""COMPUTED_VALUE"""),1.0)</f>
        <v>1</v>
      </c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</row>
    <row r="746" ht="15.75" customHeight="1">
      <c r="A746" s="11">
        <f>IFERROR(__xludf.DUMMYFUNCTION("""COMPUTED_VALUE"""),44471.0)</f>
        <v>44471</v>
      </c>
      <c r="B746" s="9">
        <f>IFERROR(__xludf.DUMMYFUNCTION("""COMPUTED_VALUE"""),1003389.0)</f>
        <v>1003389</v>
      </c>
      <c r="C746" s="9">
        <f>IFERROR(__xludf.DUMMYFUNCTION("""COMPUTED_VALUE"""),69251.0)</f>
        <v>69251</v>
      </c>
      <c r="D746" s="9"/>
      <c r="E746" s="9"/>
      <c r="F746" s="9">
        <f>IFERROR(__xludf.DUMMYFUNCTION("""COMPUTED_VALUE"""),4.92)</f>
        <v>4.92</v>
      </c>
      <c r="G746" s="9">
        <f>IFERROR(__xludf.DUMMYFUNCTION("""COMPUTED_VALUE"""),4.92)</f>
        <v>4.92</v>
      </c>
      <c r="H746" s="9">
        <f>IFERROR(__xludf.DUMMYFUNCTION("""COMPUTED_VALUE"""),1.0)</f>
        <v>1</v>
      </c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</row>
    <row r="747" ht="15.75" customHeight="1">
      <c r="A747" s="11">
        <f>IFERROR(__xludf.DUMMYFUNCTION("""COMPUTED_VALUE"""),44471.0)</f>
        <v>44471</v>
      </c>
      <c r="B747" s="9">
        <f>IFERROR(__xludf.DUMMYFUNCTION("""COMPUTED_VALUE"""),1003389.0)</f>
        <v>1003389</v>
      </c>
      <c r="C747" s="9">
        <f>IFERROR(__xludf.DUMMYFUNCTION("""COMPUTED_VALUE"""),86169.0)</f>
        <v>86169</v>
      </c>
      <c r="D747" s="9"/>
      <c r="E747" s="9"/>
      <c r="F747" s="9">
        <f>IFERROR(__xludf.DUMMYFUNCTION("""COMPUTED_VALUE"""),4.68)</f>
        <v>4.68</v>
      </c>
      <c r="G747" s="9">
        <f>IFERROR(__xludf.DUMMYFUNCTION("""COMPUTED_VALUE"""),4.68)</f>
        <v>4.68</v>
      </c>
      <c r="H747" s="9">
        <f>IFERROR(__xludf.DUMMYFUNCTION("""COMPUTED_VALUE"""),1.0)</f>
        <v>1</v>
      </c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</row>
    <row r="748" ht="15.75" customHeight="1">
      <c r="A748" s="11">
        <f>IFERROR(__xludf.DUMMYFUNCTION("""COMPUTED_VALUE"""),44471.0)</f>
        <v>44471</v>
      </c>
      <c r="B748" s="9">
        <f>IFERROR(__xludf.DUMMYFUNCTION("""COMPUTED_VALUE"""),1003389.0)</f>
        <v>1003389</v>
      </c>
      <c r="C748" s="9">
        <f>IFERROR(__xludf.DUMMYFUNCTION("""COMPUTED_VALUE"""),48624.0)</f>
        <v>48624</v>
      </c>
      <c r="D748" s="9"/>
      <c r="E748" s="9"/>
      <c r="F748" s="9">
        <f>IFERROR(__xludf.DUMMYFUNCTION("""COMPUTED_VALUE"""),6.97)</f>
        <v>6.97</v>
      </c>
      <c r="G748" s="9">
        <f>IFERROR(__xludf.DUMMYFUNCTION("""COMPUTED_VALUE"""),6.97)</f>
        <v>6.97</v>
      </c>
      <c r="H748" s="9">
        <f>IFERROR(__xludf.DUMMYFUNCTION("""COMPUTED_VALUE"""),1.0)</f>
        <v>1</v>
      </c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</row>
    <row r="749" ht="15.75" customHeight="1">
      <c r="A749" s="11">
        <f>IFERROR(__xludf.DUMMYFUNCTION("""COMPUTED_VALUE"""),44471.0)</f>
        <v>44471</v>
      </c>
      <c r="B749" s="9">
        <f>IFERROR(__xludf.DUMMYFUNCTION("""COMPUTED_VALUE"""),1003389.0)</f>
        <v>1003389</v>
      </c>
      <c r="C749" s="9">
        <f>IFERROR(__xludf.DUMMYFUNCTION("""COMPUTED_VALUE"""),108292.0)</f>
        <v>108292</v>
      </c>
      <c r="D749" s="9"/>
      <c r="E749" s="9"/>
      <c r="F749" s="9">
        <f>IFERROR(__xludf.DUMMYFUNCTION("""COMPUTED_VALUE"""),15.23)</f>
        <v>15.23</v>
      </c>
      <c r="G749" s="9">
        <f>IFERROR(__xludf.DUMMYFUNCTION("""COMPUTED_VALUE"""),15.23)</f>
        <v>15.23</v>
      </c>
      <c r="H749" s="9">
        <f>IFERROR(__xludf.DUMMYFUNCTION("""COMPUTED_VALUE"""),1.0)</f>
        <v>1</v>
      </c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</row>
    <row r="750" ht="15.75" customHeight="1">
      <c r="A750" s="11">
        <f>IFERROR(__xludf.DUMMYFUNCTION("""COMPUTED_VALUE"""),44471.0)</f>
        <v>44471</v>
      </c>
      <c r="B750" s="9">
        <f>IFERROR(__xludf.DUMMYFUNCTION("""COMPUTED_VALUE"""),1003389.0)</f>
        <v>1003389</v>
      </c>
      <c r="C750" s="9">
        <f>IFERROR(__xludf.DUMMYFUNCTION("""COMPUTED_VALUE"""),117680.0)</f>
        <v>117680</v>
      </c>
      <c r="D750" s="9"/>
      <c r="E750" s="9"/>
      <c r="F750" s="9">
        <f>IFERROR(__xludf.DUMMYFUNCTION("""COMPUTED_VALUE"""),16.96)</f>
        <v>16.96</v>
      </c>
      <c r="G750" s="9">
        <f>IFERROR(__xludf.DUMMYFUNCTION("""COMPUTED_VALUE"""),16.96)</f>
        <v>16.96</v>
      </c>
      <c r="H750" s="9">
        <f>IFERROR(__xludf.DUMMYFUNCTION("""COMPUTED_VALUE"""),1.0)</f>
        <v>1</v>
      </c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</row>
    <row r="751" ht="15.75" customHeight="1">
      <c r="A751" s="11">
        <f>IFERROR(__xludf.DUMMYFUNCTION("""COMPUTED_VALUE"""),44471.0)</f>
        <v>44471</v>
      </c>
      <c r="B751" s="9">
        <f>IFERROR(__xludf.DUMMYFUNCTION("""COMPUTED_VALUE"""),1003389.0)</f>
        <v>1003389</v>
      </c>
      <c r="C751" s="9">
        <f>IFERROR(__xludf.DUMMYFUNCTION("""COMPUTED_VALUE"""),17624.0)</f>
        <v>17624</v>
      </c>
      <c r="D751" s="9"/>
      <c r="E751" s="9"/>
      <c r="F751" s="9">
        <f>IFERROR(__xludf.DUMMYFUNCTION("""COMPUTED_VALUE"""),17.22)</f>
        <v>17.22</v>
      </c>
      <c r="G751" s="9">
        <f>IFERROR(__xludf.DUMMYFUNCTION("""COMPUTED_VALUE"""),17.22)</f>
        <v>17.22</v>
      </c>
      <c r="H751" s="9">
        <f>IFERROR(__xludf.DUMMYFUNCTION("""COMPUTED_VALUE"""),2.0)</f>
        <v>2</v>
      </c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</row>
    <row r="752" ht="15.75" customHeight="1">
      <c r="A752" s="11">
        <f>IFERROR(__xludf.DUMMYFUNCTION("""COMPUTED_VALUE"""),44471.0)</f>
        <v>44471</v>
      </c>
      <c r="B752" s="9">
        <f>IFERROR(__xludf.DUMMYFUNCTION("""COMPUTED_VALUE"""),1003389.0)</f>
        <v>1003389</v>
      </c>
      <c r="C752" s="9">
        <f>IFERROR(__xludf.DUMMYFUNCTION("""COMPUTED_VALUE"""),76609.0)</f>
        <v>76609</v>
      </c>
      <c r="D752" s="9"/>
      <c r="E752" s="9"/>
      <c r="F752" s="9">
        <f>IFERROR(__xludf.DUMMYFUNCTION("""COMPUTED_VALUE"""),9.06)</f>
        <v>9.06</v>
      </c>
      <c r="G752" s="9">
        <f>IFERROR(__xludf.DUMMYFUNCTION("""COMPUTED_VALUE"""),9.06)</f>
        <v>9.06</v>
      </c>
      <c r="H752" s="9">
        <f>IFERROR(__xludf.DUMMYFUNCTION("""COMPUTED_VALUE"""),3.0)</f>
        <v>3</v>
      </c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</row>
    <row r="753" ht="15.75" customHeight="1">
      <c r="A753" s="11">
        <f>IFERROR(__xludf.DUMMYFUNCTION("""COMPUTED_VALUE"""),44471.0)</f>
        <v>44471</v>
      </c>
      <c r="B753" s="9">
        <f>IFERROR(__xludf.DUMMYFUNCTION("""COMPUTED_VALUE"""),1003389.0)</f>
        <v>1003389</v>
      </c>
      <c r="C753" s="9">
        <f>IFERROR(__xludf.DUMMYFUNCTION("""COMPUTED_VALUE"""),24075.0)</f>
        <v>24075</v>
      </c>
      <c r="D753" s="9"/>
      <c r="E753" s="9"/>
      <c r="F753" s="9">
        <f>IFERROR(__xludf.DUMMYFUNCTION("""COMPUTED_VALUE"""),44.74)</f>
        <v>44.74</v>
      </c>
      <c r="G753" s="9">
        <f>IFERROR(__xludf.DUMMYFUNCTION("""COMPUTED_VALUE"""),44.74)</f>
        <v>44.74</v>
      </c>
      <c r="H753" s="9">
        <f>IFERROR(__xludf.DUMMYFUNCTION("""COMPUTED_VALUE"""),3.0)</f>
        <v>3</v>
      </c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</row>
    <row r="754" ht="15.75" customHeight="1">
      <c r="A754" s="11">
        <f>IFERROR(__xludf.DUMMYFUNCTION("""COMPUTED_VALUE"""),44471.0)</f>
        <v>44471</v>
      </c>
      <c r="B754" s="9">
        <f>IFERROR(__xludf.DUMMYFUNCTION("""COMPUTED_VALUE"""),1003390.0)</f>
        <v>1003390</v>
      </c>
      <c r="C754" s="9">
        <f>IFERROR(__xludf.DUMMYFUNCTION("""COMPUTED_VALUE"""),182726.0)</f>
        <v>182726</v>
      </c>
      <c r="D754" s="9"/>
      <c r="E754" s="9"/>
      <c r="F754" s="9">
        <f>IFERROR(__xludf.DUMMYFUNCTION("""COMPUTED_VALUE"""),17.17)</f>
        <v>17.17</v>
      </c>
      <c r="G754" s="9">
        <f>IFERROR(__xludf.DUMMYFUNCTION("""COMPUTED_VALUE"""),17.17)</f>
        <v>17.17</v>
      </c>
      <c r="H754" s="9">
        <f>IFERROR(__xludf.DUMMYFUNCTION("""COMPUTED_VALUE"""),1.0)</f>
        <v>1</v>
      </c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</row>
    <row r="755" ht="15.75" customHeight="1">
      <c r="A755" s="11">
        <f>IFERROR(__xludf.DUMMYFUNCTION("""COMPUTED_VALUE"""),44471.0)</f>
        <v>44471</v>
      </c>
      <c r="B755" s="9">
        <f>IFERROR(__xludf.DUMMYFUNCTION("""COMPUTED_VALUE"""),1003391.0)</f>
        <v>1003391</v>
      </c>
      <c r="C755" s="9">
        <f>IFERROR(__xludf.DUMMYFUNCTION("""COMPUTED_VALUE"""),108290.0)</f>
        <v>108290</v>
      </c>
      <c r="D755" s="9"/>
      <c r="E755" s="9"/>
      <c r="F755" s="9">
        <f>IFERROR(__xludf.DUMMYFUNCTION("""COMPUTED_VALUE"""),16.0)</f>
        <v>16</v>
      </c>
      <c r="G755" s="9">
        <f>IFERROR(__xludf.DUMMYFUNCTION("""COMPUTED_VALUE"""),16.0)</f>
        <v>16</v>
      </c>
      <c r="H755" s="9">
        <f>IFERROR(__xludf.DUMMYFUNCTION("""COMPUTED_VALUE"""),1.0)</f>
        <v>1</v>
      </c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</row>
    <row r="756" ht="15.75" customHeight="1">
      <c r="A756" s="11">
        <f>IFERROR(__xludf.DUMMYFUNCTION("""COMPUTED_VALUE"""),44471.0)</f>
        <v>44471</v>
      </c>
      <c r="B756" s="9">
        <f>IFERROR(__xludf.DUMMYFUNCTION("""COMPUTED_VALUE"""),1003391.0)</f>
        <v>1003391</v>
      </c>
      <c r="C756" s="9">
        <f>IFERROR(__xludf.DUMMYFUNCTION("""COMPUTED_VALUE"""),119737.0)</f>
        <v>119737</v>
      </c>
      <c r="D756" s="9"/>
      <c r="E756" s="9"/>
      <c r="F756" s="9">
        <f>IFERROR(__xludf.DUMMYFUNCTION("""COMPUTED_VALUE"""),24.07)</f>
        <v>24.07</v>
      </c>
      <c r="G756" s="9">
        <f>IFERROR(__xludf.DUMMYFUNCTION("""COMPUTED_VALUE"""),24.07)</f>
        <v>24.07</v>
      </c>
      <c r="H756" s="9">
        <f>IFERROR(__xludf.DUMMYFUNCTION("""COMPUTED_VALUE"""),1.0)</f>
        <v>1</v>
      </c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</row>
    <row r="757" ht="15.75" customHeight="1">
      <c r="A757" s="11">
        <f>IFERROR(__xludf.DUMMYFUNCTION("""COMPUTED_VALUE"""),44471.0)</f>
        <v>44471</v>
      </c>
      <c r="B757" s="9">
        <f>IFERROR(__xludf.DUMMYFUNCTION("""COMPUTED_VALUE"""),1003391.0)</f>
        <v>1003391</v>
      </c>
      <c r="C757" s="9">
        <f>IFERROR(__xludf.DUMMYFUNCTION("""COMPUTED_VALUE"""),90928.0)</f>
        <v>90928</v>
      </c>
      <c r="D757" s="9"/>
      <c r="E757" s="9"/>
      <c r="F757" s="9">
        <f>IFERROR(__xludf.DUMMYFUNCTION("""COMPUTED_VALUE"""),11.7)</f>
        <v>11.7</v>
      </c>
      <c r="G757" s="9">
        <f>IFERROR(__xludf.DUMMYFUNCTION("""COMPUTED_VALUE"""),11.7)</f>
        <v>11.7</v>
      </c>
      <c r="H757" s="9">
        <f>IFERROR(__xludf.DUMMYFUNCTION("""COMPUTED_VALUE"""),1.0)</f>
        <v>1</v>
      </c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</row>
    <row r="758" ht="15.75" customHeight="1">
      <c r="A758" s="11">
        <f>IFERROR(__xludf.DUMMYFUNCTION("""COMPUTED_VALUE"""),44471.0)</f>
        <v>44471</v>
      </c>
      <c r="B758" s="9">
        <f>IFERROR(__xludf.DUMMYFUNCTION("""COMPUTED_VALUE"""),1003391.0)</f>
        <v>1003391</v>
      </c>
      <c r="C758" s="9">
        <f>IFERROR(__xludf.DUMMYFUNCTION("""COMPUTED_VALUE"""),18126.0)</f>
        <v>18126</v>
      </c>
      <c r="D758" s="9"/>
      <c r="E758" s="9"/>
      <c r="F758" s="9">
        <f>IFERROR(__xludf.DUMMYFUNCTION("""COMPUTED_VALUE"""),10.44)</f>
        <v>10.44</v>
      </c>
      <c r="G758" s="9">
        <f>IFERROR(__xludf.DUMMYFUNCTION("""COMPUTED_VALUE"""),10.44)</f>
        <v>10.44</v>
      </c>
      <c r="H758" s="9">
        <f>IFERROR(__xludf.DUMMYFUNCTION("""COMPUTED_VALUE"""),1.0)</f>
        <v>1</v>
      </c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</row>
    <row r="759" ht="15.75" customHeight="1">
      <c r="A759" s="11">
        <f>IFERROR(__xludf.DUMMYFUNCTION("""COMPUTED_VALUE"""),44471.0)</f>
        <v>44471</v>
      </c>
      <c r="B759" s="9">
        <f>IFERROR(__xludf.DUMMYFUNCTION("""COMPUTED_VALUE"""),1003391.0)</f>
        <v>1003391</v>
      </c>
      <c r="C759" s="9">
        <f>IFERROR(__xludf.DUMMYFUNCTION("""COMPUTED_VALUE"""),82754.0)</f>
        <v>82754</v>
      </c>
      <c r="D759" s="10" t="str">
        <f>IFERROR(__xludf.DUMMYFUNCTION("""COMPUTED_VALUE"""),"Vive le bio")</f>
        <v>Vive le bio</v>
      </c>
      <c r="E759" s="10"/>
      <c r="F759" s="9">
        <f>IFERROR(__xludf.DUMMYFUNCTION("""COMPUTED_VALUE"""),12.2777777777777)</f>
        <v>12.27777778</v>
      </c>
      <c r="G759" s="9">
        <f>IFERROR(__xludf.DUMMYFUNCTION("""COMPUTED_VALUE"""),11.05)</f>
        <v>11.05</v>
      </c>
      <c r="H759" s="9">
        <f>IFERROR(__xludf.DUMMYFUNCTION("""COMPUTED_VALUE"""),1.0)</f>
        <v>1</v>
      </c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</row>
    <row r="760" ht="15.75" customHeight="1">
      <c r="A760" s="11">
        <f>IFERROR(__xludf.DUMMYFUNCTION("""COMPUTED_VALUE"""),44471.0)</f>
        <v>44471</v>
      </c>
      <c r="B760" s="9">
        <f>IFERROR(__xludf.DUMMYFUNCTION("""COMPUTED_VALUE"""),1003391.0)</f>
        <v>1003391</v>
      </c>
      <c r="C760" s="9">
        <f>IFERROR(__xludf.DUMMYFUNCTION("""COMPUTED_VALUE"""),117680.0)</f>
        <v>117680</v>
      </c>
      <c r="D760" s="9"/>
      <c r="E760" s="9"/>
      <c r="F760" s="9">
        <f>IFERROR(__xludf.DUMMYFUNCTION("""COMPUTED_VALUE"""),16.96)</f>
        <v>16.96</v>
      </c>
      <c r="G760" s="9">
        <f>IFERROR(__xludf.DUMMYFUNCTION("""COMPUTED_VALUE"""),16.96)</f>
        <v>16.96</v>
      </c>
      <c r="H760" s="9">
        <f>IFERROR(__xludf.DUMMYFUNCTION("""COMPUTED_VALUE"""),1.0)</f>
        <v>1</v>
      </c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</row>
    <row r="761" ht="15.75" customHeight="1">
      <c r="A761" s="11">
        <f>IFERROR(__xludf.DUMMYFUNCTION("""COMPUTED_VALUE"""),44471.0)</f>
        <v>44471</v>
      </c>
      <c r="B761" s="9">
        <f>IFERROR(__xludf.DUMMYFUNCTION("""COMPUTED_VALUE"""),1003391.0)</f>
        <v>1003391</v>
      </c>
      <c r="C761" s="9">
        <f>IFERROR(__xludf.DUMMYFUNCTION("""COMPUTED_VALUE"""),76421.0)</f>
        <v>76421</v>
      </c>
      <c r="D761" s="10" t="str">
        <f>IFERROR(__xludf.DUMMYFUNCTION("""COMPUTED_VALUE"""),"Vive le bio")</f>
        <v>Vive le bio</v>
      </c>
      <c r="E761" s="10"/>
      <c r="F761" s="9">
        <f>IFERROR(__xludf.DUMMYFUNCTION("""COMPUTED_VALUE"""),13.9333333333333)</f>
        <v>13.93333333</v>
      </c>
      <c r="G761" s="9">
        <f>IFERROR(__xludf.DUMMYFUNCTION("""COMPUTED_VALUE"""),12.54)</f>
        <v>12.54</v>
      </c>
      <c r="H761" s="9">
        <f>IFERROR(__xludf.DUMMYFUNCTION("""COMPUTED_VALUE"""),2.0)</f>
        <v>2</v>
      </c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</row>
    <row r="762" ht="15.75" customHeight="1">
      <c r="A762" s="11">
        <f>IFERROR(__xludf.DUMMYFUNCTION("""COMPUTED_VALUE"""),44471.0)</f>
        <v>44471</v>
      </c>
      <c r="B762" s="9">
        <f>IFERROR(__xludf.DUMMYFUNCTION("""COMPUTED_VALUE"""),1003391.0)</f>
        <v>1003391</v>
      </c>
      <c r="C762" s="9">
        <f>IFERROR(__xludf.DUMMYFUNCTION("""COMPUTED_VALUE"""),121798.0)</f>
        <v>121798</v>
      </c>
      <c r="D762" s="9"/>
      <c r="E762" s="9"/>
      <c r="F762" s="9">
        <f>IFERROR(__xludf.DUMMYFUNCTION("""COMPUTED_VALUE"""),10.83)</f>
        <v>10.83</v>
      </c>
      <c r="G762" s="9">
        <f>IFERROR(__xludf.DUMMYFUNCTION("""COMPUTED_VALUE"""),10.83)</f>
        <v>10.83</v>
      </c>
      <c r="H762" s="9">
        <f>IFERROR(__xludf.DUMMYFUNCTION("""COMPUTED_VALUE"""),4.0)</f>
        <v>4</v>
      </c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</row>
    <row r="763" ht="15.75" customHeight="1">
      <c r="A763" s="11">
        <f>IFERROR(__xludf.DUMMYFUNCTION("""COMPUTED_VALUE"""),44471.0)</f>
        <v>44471</v>
      </c>
      <c r="B763" s="9">
        <f>IFERROR(__xludf.DUMMYFUNCTION("""COMPUTED_VALUE"""),1003392.0)</f>
        <v>1003392</v>
      </c>
      <c r="C763" s="9">
        <f>IFERROR(__xludf.DUMMYFUNCTION("""COMPUTED_VALUE"""),81235.0)</f>
        <v>81235</v>
      </c>
      <c r="D763" s="9"/>
      <c r="E763" s="9"/>
      <c r="F763" s="9">
        <f>IFERROR(__xludf.DUMMYFUNCTION("""COMPUTED_VALUE"""),6.5)</f>
        <v>6.5</v>
      </c>
      <c r="G763" s="9">
        <f>IFERROR(__xludf.DUMMYFUNCTION("""COMPUTED_VALUE"""),6.5)</f>
        <v>6.5</v>
      </c>
      <c r="H763" s="9">
        <f>IFERROR(__xludf.DUMMYFUNCTION("""COMPUTED_VALUE"""),1.0)</f>
        <v>1</v>
      </c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</row>
    <row r="764" ht="15.75" customHeight="1">
      <c r="A764" s="11">
        <f>IFERROR(__xludf.DUMMYFUNCTION("""COMPUTED_VALUE"""),44471.0)</f>
        <v>44471</v>
      </c>
      <c r="B764" s="9">
        <f>IFERROR(__xludf.DUMMYFUNCTION("""COMPUTED_VALUE"""),1003392.0)</f>
        <v>1003392</v>
      </c>
      <c r="C764" s="9">
        <f>IFERROR(__xludf.DUMMYFUNCTION("""COMPUTED_VALUE"""),43244.0)</f>
        <v>43244</v>
      </c>
      <c r="D764" s="9"/>
      <c r="E764" s="9"/>
      <c r="F764" s="9">
        <f>IFERROR(__xludf.DUMMYFUNCTION("""COMPUTED_VALUE"""),11.91)</f>
        <v>11.91</v>
      </c>
      <c r="G764" s="9">
        <f>IFERROR(__xludf.DUMMYFUNCTION("""COMPUTED_VALUE"""),11.91)</f>
        <v>11.91</v>
      </c>
      <c r="H764" s="9">
        <f>IFERROR(__xludf.DUMMYFUNCTION("""COMPUTED_VALUE"""),2.0)</f>
        <v>2</v>
      </c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</row>
    <row r="765" ht="15.75" customHeight="1">
      <c r="A765" s="11">
        <f>IFERROR(__xludf.DUMMYFUNCTION("""COMPUTED_VALUE"""),44471.0)</f>
        <v>44471</v>
      </c>
      <c r="B765" s="9">
        <f>IFERROR(__xludf.DUMMYFUNCTION("""COMPUTED_VALUE"""),1003392.0)</f>
        <v>1003392</v>
      </c>
      <c r="C765" s="9">
        <f>IFERROR(__xludf.DUMMYFUNCTION("""COMPUTED_VALUE"""),43247.0)</f>
        <v>43247</v>
      </c>
      <c r="D765" s="9"/>
      <c r="E765" s="9"/>
      <c r="F765" s="9">
        <f>IFERROR(__xludf.DUMMYFUNCTION("""COMPUTED_VALUE"""),8.34)</f>
        <v>8.34</v>
      </c>
      <c r="G765" s="9">
        <f>IFERROR(__xludf.DUMMYFUNCTION("""COMPUTED_VALUE"""),8.34)</f>
        <v>8.34</v>
      </c>
      <c r="H765" s="9">
        <f>IFERROR(__xludf.DUMMYFUNCTION("""COMPUTED_VALUE"""),2.0)</f>
        <v>2</v>
      </c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</row>
    <row r="766" ht="15.75" customHeight="1">
      <c r="A766" s="11">
        <f>IFERROR(__xludf.DUMMYFUNCTION("""COMPUTED_VALUE"""),44471.0)</f>
        <v>44471</v>
      </c>
      <c r="B766" s="9">
        <f>IFERROR(__xludf.DUMMYFUNCTION("""COMPUTED_VALUE"""),1003392.0)</f>
        <v>1003392</v>
      </c>
      <c r="C766" s="9">
        <f>IFERROR(__xludf.DUMMYFUNCTION("""COMPUTED_VALUE"""),122878.0)</f>
        <v>122878</v>
      </c>
      <c r="D766" s="9"/>
      <c r="E766" s="9"/>
      <c r="F766" s="9">
        <f>IFERROR(__xludf.DUMMYFUNCTION("""COMPUTED_VALUE"""),14.96)</f>
        <v>14.96</v>
      </c>
      <c r="G766" s="9">
        <f>IFERROR(__xludf.DUMMYFUNCTION("""COMPUTED_VALUE"""),14.96)</f>
        <v>14.96</v>
      </c>
      <c r="H766" s="9">
        <f>IFERROR(__xludf.DUMMYFUNCTION("""COMPUTED_VALUE"""),6.0)</f>
        <v>6</v>
      </c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</row>
    <row r="767" ht="15.75" customHeight="1">
      <c r="A767" s="11">
        <f>IFERROR(__xludf.DUMMYFUNCTION("""COMPUTED_VALUE"""),44471.0)</f>
        <v>44471</v>
      </c>
      <c r="B767" s="9">
        <f>IFERROR(__xludf.DUMMYFUNCTION("""COMPUTED_VALUE"""),1003392.0)</f>
        <v>1003392</v>
      </c>
      <c r="C767" s="9">
        <f>IFERROR(__xludf.DUMMYFUNCTION("""COMPUTED_VALUE"""),107304.0)</f>
        <v>107304</v>
      </c>
      <c r="D767" s="9"/>
      <c r="E767" s="9"/>
      <c r="F767" s="9">
        <f>IFERROR(__xludf.DUMMYFUNCTION("""COMPUTED_VALUE"""),26.46)</f>
        <v>26.46</v>
      </c>
      <c r="G767" s="9">
        <f>IFERROR(__xludf.DUMMYFUNCTION("""COMPUTED_VALUE"""),26.46)</f>
        <v>26.46</v>
      </c>
      <c r="H767" s="9">
        <f>IFERROR(__xludf.DUMMYFUNCTION("""COMPUTED_VALUE"""),6.0)</f>
        <v>6</v>
      </c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</row>
    <row r="768" ht="15.75" customHeight="1">
      <c r="A768" s="11">
        <f>IFERROR(__xludf.DUMMYFUNCTION("""COMPUTED_VALUE"""),44471.0)</f>
        <v>44471</v>
      </c>
      <c r="B768" s="9">
        <f>IFERROR(__xludf.DUMMYFUNCTION("""COMPUTED_VALUE"""),1003394.0)</f>
        <v>1003394</v>
      </c>
      <c r="C768" s="9">
        <f>IFERROR(__xludf.DUMMYFUNCTION("""COMPUTED_VALUE"""),95063.0)</f>
        <v>95063</v>
      </c>
      <c r="D768" s="10" t="str">
        <f>IFERROR(__xludf.DUMMYFUNCTION("""COMPUTED_VALUE"""),"Offre Speciale")</f>
        <v>Offre Speciale</v>
      </c>
      <c r="E768" s="10" t="str">
        <f>IFERROR(__xludf.DUMMYFUNCTION("""COMPUTED_VALUE"""),"GREENRELAIS")</f>
        <v>GREENRELAIS</v>
      </c>
      <c r="F768" s="10">
        <f>IFERROR(__xludf.DUMMYFUNCTION("""COMPUTED_VALUE"""),3.37647058823529)</f>
        <v>3.376470588</v>
      </c>
      <c r="G768" s="9">
        <f>IFERROR(__xludf.DUMMYFUNCTION("""COMPUTED_VALUE"""),2.87)</f>
        <v>2.87</v>
      </c>
      <c r="H768" s="9">
        <f>IFERROR(__xludf.DUMMYFUNCTION("""COMPUTED_VALUE"""),1.0)</f>
        <v>1</v>
      </c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</row>
    <row r="769" ht="15.75" customHeight="1">
      <c r="A769" s="11">
        <f>IFERROR(__xludf.DUMMYFUNCTION("""COMPUTED_VALUE"""),44471.0)</f>
        <v>44471</v>
      </c>
      <c r="B769" s="9">
        <f>IFERROR(__xludf.DUMMYFUNCTION("""COMPUTED_VALUE"""),1003394.0)</f>
        <v>1003394</v>
      </c>
      <c r="C769" s="9">
        <f>IFERROR(__xludf.DUMMYFUNCTION("""COMPUTED_VALUE"""),108881.0)</f>
        <v>108881</v>
      </c>
      <c r="D769" s="10" t="str">
        <f>IFERROR(__xludf.DUMMYFUNCTION("""COMPUTED_VALUE"""),"Offre Speciale")</f>
        <v>Offre Speciale</v>
      </c>
      <c r="E769" s="10" t="str">
        <f>IFERROR(__xludf.DUMMYFUNCTION("""COMPUTED_VALUE"""),"GREENRELAIS")</f>
        <v>GREENRELAIS</v>
      </c>
      <c r="F769" s="10">
        <f>IFERROR(__xludf.DUMMYFUNCTION("""COMPUTED_VALUE"""),4.01176470588235)</f>
        <v>4.011764706</v>
      </c>
      <c r="G769" s="9">
        <f>IFERROR(__xludf.DUMMYFUNCTION("""COMPUTED_VALUE"""),3.41)</f>
        <v>3.41</v>
      </c>
      <c r="H769" s="9">
        <f>IFERROR(__xludf.DUMMYFUNCTION("""COMPUTED_VALUE"""),1.0)</f>
        <v>1</v>
      </c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</row>
    <row r="770" ht="15.75" customHeight="1">
      <c r="A770" s="11">
        <f>IFERROR(__xludf.DUMMYFUNCTION("""COMPUTED_VALUE"""),44471.0)</f>
        <v>44471</v>
      </c>
      <c r="B770" s="9">
        <f>IFERROR(__xludf.DUMMYFUNCTION("""COMPUTED_VALUE"""),1003394.0)</f>
        <v>1003394</v>
      </c>
      <c r="C770" s="9">
        <f>IFERROR(__xludf.DUMMYFUNCTION("""COMPUTED_VALUE"""),109310.0)</f>
        <v>109310</v>
      </c>
      <c r="D770" s="9"/>
      <c r="E770" s="10" t="str">
        <f>IFERROR(__xludf.DUMMYFUNCTION("""COMPUTED_VALUE"""),"GREENRELAIS")</f>
        <v>GREENRELAIS</v>
      </c>
      <c r="F770" s="10">
        <f>IFERROR(__xludf.DUMMYFUNCTION("""COMPUTED_VALUE"""),6.27)</f>
        <v>6.27</v>
      </c>
      <c r="G770" s="9">
        <f>IFERROR(__xludf.DUMMYFUNCTION("""COMPUTED_VALUE"""),6.27)</f>
        <v>6.27</v>
      </c>
      <c r="H770" s="9">
        <f>IFERROR(__xludf.DUMMYFUNCTION("""COMPUTED_VALUE"""),1.0)</f>
        <v>1</v>
      </c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</row>
    <row r="771" ht="15.75" customHeight="1">
      <c r="A771" s="11">
        <f>IFERROR(__xludf.DUMMYFUNCTION("""COMPUTED_VALUE"""),44471.0)</f>
        <v>44471</v>
      </c>
      <c r="B771" s="9">
        <f>IFERROR(__xludf.DUMMYFUNCTION("""COMPUTED_VALUE"""),1003394.0)</f>
        <v>1003394</v>
      </c>
      <c r="C771" s="9">
        <f>IFERROR(__xludf.DUMMYFUNCTION("""COMPUTED_VALUE"""),30306.0)</f>
        <v>30306</v>
      </c>
      <c r="D771" s="9"/>
      <c r="E771" s="10" t="str">
        <f>IFERROR(__xludf.DUMMYFUNCTION("""COMPUTED_VALUE"""),"GREENRELAIS")</f>
        <v>GREENRELAIS</v>
      </c>
      <c r="F771" s="10">
        <f>IFERROR(__xludf.DUMMYFUNCTION("""COMPUTED_VALUE"""),6.31)</f>
        <v>6.31</v>
      </c>
      <c r="G771" s="9">
        <f>IFERROR(__xludf.DUMMYFUNCTION("""COMPUTED_VALUE"""),6.31)</f>
        <v>6.31</v>
      </c>
      <c r="H771" s="9">
        <f>IFERROR(__xludf.DUMMYFUNCTION("""COMPUTED_VALUE"""),1.0)</f>
        <v>1</v>
      </c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</row>
    <row r="772" ht="15.75" customHeight="1">
      <c r="A772" s="11">
        <f>IFERROR(__xludf.DUMMYFUNCTION("""COMPUTED_VALUE"""),44471.0)</f>
        <v>44471</v>
      </c>
      <c r="B772" s="9">
        <f>IFERROR(__xludf.DUMMYFUNCTION("""COMPUTED_VALUE"""),1003394.0)</f>
        <v>1003394</v>
      </c>
      <c r="C772" s="9">
        <f>IFERROR(__xludf.DUMMYFUNCTION("""COMPUTED_VALUE"""),71710.0)</f>
        <v>71710</v>
      </c>
      <c r="D772" s="9"/>
      <c r="E772" s="10" t="str">
        <f>IFERROR(__xludf.DUMMYFUNCTION("""COMPUTED_VALUE"""),"GREENRELAIS")</f>
        <v>GREENRELAIS</v>
      </c>
      <c r="F772" s="10">
        <f>IFERROR(__xludf.DUMMYFUNCTION("""COMPUTED_VALUE"""),4.6)</f>
        <v>4.6</v>
      </c>
      <c r="G772" s="9">
        <f>IFERROR(__xludf.DUMMYFUNCTION("""COMPUTED_VALUE"""),4.6)</f>
        <v>4.6</v>
      </c>
      <c r="H772" s="9">
        <f>IFERROR(__xludf.DUMMYFUNCTION("""COMPUTED_VALUE"""),1.0)</f>
        <v>1</v>
      </c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</row>
    <row r="773" ht="15.75" customHeight="1">
      <c r="A773" s="11">
        <f>IFERROR(__xludf.DUMMYFUNCTION("""COMPUTED_VALUE"""),44471.0)</f>
        <v>44471</v>
      </c>
      <c r="B773" s="9">
        <f>IFERROR(__xludf.DUMMYFUNCTION("""COMPUTED_VALUE"""),1003394.0)</f>
        <v>1003394</v>
      </c>
      <c r="C773" s="9">
        <f>IFERROR(__xludf.DUMMYFUNCTION("""COMPUTED_VALUE"""),81507.0)</f>
        <v>81507</v>
      </c>
      <c r="D773" s="10" t="str">
        <f>IFERROR(__xludf.DUMMYFUNCTION("""COMPUTED_VALUE"""),"Vive le bio")</f>
        <v>Vive le bio</v>
      </c>
      <c r="E773" s="10" t="str">
        <f>IFERROR(__xludf.DUMMYFUNCTION("""COMPUTED_VALUE"""),"GREENRELAIS")</f>
        <v>GREENRELAIS</v>
      </c>
      <c r="F773" s="10">
        <f>IFERROR(__xludf.DUMMYFUNCTION("""COMPUTED_VALUE"""),13.9222222222222)</f>
        <v>13.92222222</v>
      </c>
      <c r="G773" s="9">
        <f>IFERROR(__xludf.DUMMYFUNCTION("""COMPUTED_VALUE"""),12.53)</f>
        <v>12.53</v>
      </c>
      <c r="H773" s="9">
        <f>IFERROR(__xludf.DUMMYFUNCTION("""COMPUTED_VALUE"""),1.0)</f>
        <v>1</v>
      </c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</row>
    <row r="774" ht="15.75" customHeight="1">
      <c r="A774" s="11">
        <f>IFERROR(__xludf.DUMMYFUNCTION("""COMPUTED_VALUE"""),44471.0)</f>
        <v>44471</v>
      </c>
      <c r="B774" s="9">
        <f>IFERROR(__xludf.DUMMYFUNCTION("""COMPUTED_VALUE"""),1003394.0)</f>
        <v>1003394</v>
      </c>
      <c r="C774" s="9">
        <f>IFERROR(__xludf.DUMMYFUNCTION("""COMPUTED_VALUE"""),29426.0)</f>
        <v>29426</v>
      </c>
      <c r="D774" s="9"/>
      <c r="E774" s="10" t="str">
        <f>IFERROR(__xludf.DUMMYFUNCTION("""COMPUTED_VALUE"""),"GREENRELAIS")</f>
        <v>GREENRELAIS</v>
      </c>
      <c r="F774" s="10">
        <f>IFERROR(__xludf.DUMMYFUNCTION("""COMPUTED_VALUE"""),5.41)</f>
        <v>5.41</v>
      </c>
      <c r="G774" s="9">
        <f>IFERROR(__xludf.DUMMYFUNCTION("""COMPUTED_VALUE"""),5.41)</f>
        <v>5.41</v>
      </c>
      <c r="H774" s="9">
        <f>IFERROR(__xludf.DUMMYFUNCTION("""COMPUTED_VALUE"""),1.0)</f>
        <v>1</v>
      </c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</row>
    <row r="775" ht="15.75" customHeight="1">
      <c r="A775" s="11">
        <f>IFERROR(__xludf.DUMMYFUNCTION("""COMPUTED_VALUE"""),44471.0)</f>
        <v>44471</v>
      </c>
      <c r="B775" s="9">
        <f>IFERROR(__xludf.DUMMYFUNCTION("""COMPUTED_VALUE"""),1003394.0)</f>
        <v>1003394</v>
      </c>
      <c r="C775" s="9">
        <f>IFERROR(__xludf.DUMMYFUNCTION("""COMPUTED_VALUE"""),118109.0)</f>
        <v>118109</v>
      </c>
      <c r="D775" s="9"/>
      <c r="E775" s="10" t="str">
        <f>IFERROR(__xludf.DUMMYFUNCTION("""COMPUTED_VALUE"""),"GREENRELAIS")</f>
        <v>GREENRELAIS</v>
      </c>
      <c r="F775" s="10">
        <f>IFERROR(__xludf.DUMMYFUNCTION("""COMPUTED_VALUE"""),6.17)</f>
        <v>6.17</v>
      </c>
      <c r="G775" s="9">
        <f>IFERROR(__xludf.DUMMYFUNCTION("""COMPUTED_VALUE"""),6.17)</f>
        <v>6.17</v>
      </c>
      <c r="H775" s="9">
        <f>IFERROR(__xludf.DUMMYFUNCTION("""COMPUTED_VALUE"""),1.0)</f>
        <v>1</v>
      </c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</row>
    <row r="776" ht="15.75" customHeight="1">
      <c r="A776" s="11">
        <f>IFERROR(__xludf.DUMMYFUNCTION("""COMPUTED_VALUE"""),44471.0)</f>
        <v>44471</v>
      </c>
      <c r="B776" s="9">
        <f>IFERROR(__xludf.DUMMYFUNCTION("""COMPUTED_VALUE"""),1003394.0)</f>
        <v>1003394</v>
      </c>
      <c r="C776" s="9">
        <f>IFERROR(__xludf.DUMMYFUNCTION("""COMPUTED_VALUE"""),101588.0)</f>
        <v>101588</v>
      </c>
      <c r="D776" s="9"/>
      <c r="E776" s="10" t="str">
        <f>IFERROR(__xludf.DUMMYFUNCTION("""COMPUTED_VALUE"""),"GREENRELAIS")</f>
        <v>GREENRELAIS</v>
      </c>
      <c r="F776" s="10">
        <f>IFERROR(__xludf.DUMMYFUNCTION("""COMPUTED_VALUE"""),2.6)</f>
        <v>2.6</v>
      </c>
      <c r="G776" s="9">
        <f>IFERROR(__xludf.DUMMYFUNCTION("""COMPUTED_VALUE"""),2.6)</f>
        <v>2.6</v>
      </c>
      <c r="H776" s="9">
        <f>IFERROR(__xludf.DUMMYFUNCTION("""COMPUTED_VALUE"""),1.0)</f>
        <v>1</v>
      </c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</row>
    <row r="777" ht="15.75" customHeight="1">
      <c r="A777" s="11">
        <f>IFERROR(__xludf.DUMMYFUNCTION("""COMPUTED_VALUE"""),44471.0)</f>
        <v>44471</v>
      </c>
      <c r="B777" s="9">
        <f>IFERROR(__xludf.DUMMYFUNCTION("""COMPUTED_VALUE"""),1003394.0)</f>
        <v>1003394</v>
      </c>
      <c r="C777" s="9">
        <f>IFERROR(__xludf.DUMMYFUNCTION("""COMPUTED_VALUE"""),89647.0)</f>
        <v>89647</v>
      </c>
      <c r="D777" s="9"/>
      <c r="E777" s="10" t="str">
        <f>IFERROR(__xludf.DUMMYFUNCTION("""COMPUTED_VALUE"""),"GREENRELAIS")</f>
        <v>GREENRELAIS</v>
      </c>
      <c r="F777" s="10">
        <f>IFERROR(__xludf.DUMMYFUNCTION("""COMPUTED_VALUE"""),5.63)</f>
        <v>5.63</v>
      </c>
      <c r="G777" s="9">
        <f>IFERROR(__xludf.DUMMYFUNCTION("""COMPUTED_VALUE"""),5.63)</f>
        <v>5.63</v>
      </c>
      <c r="H777" s="9">
        <f>IFERROR(__xludf.DUMMYFUNCTION("""COMPUTED_VALUE"""),3.0)</f>
        <v>3</v>
      </c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</row>
    <row r="778" ht="15.75" customHeight="1">
      <c r="A778" s="11">
        <f>IFERROR(__xludf.DUMMYFUNCTION("""COMPUTED_VALUE"""),44471.0)</f>
        <v>44471</v>
      </c>
      <c r="B778" s="9">
        <f>IFERROR(__xludf.DUMMYFUNCTION("""COMPUTED_VALUE"""),1003394.0)</f>
        <v>1003394</v>
      </c>
      <c r="C778" s="9">
        <f>IFERROR(__xludf.DUMMYFUNCTION("""COMPUTED_VALUE"""),78442.0)</f>
        <v>78442</v>
      </c>
      <c r="D778" s="9"/>
      <c r="E778" s="10" t="str">
        <f>IFERROR(__xludf.DUMMYFUNCTION("""COMPUTED_VALUE"""),"GREENRELAIS")</f>
        <v>GREENRELAIS</v>
      </c>
      <c r="F778" s="10">
        <f>IFERROR(__xludf.DUMMYFUNCTION("""COMPUTED_VALUE"""),9.68)</f>
        <v>9.68</v>
      </c>
      <c r="G778" s="9">
        <f>IFERROR(__xludf.DUMMYFUNCTION("""COMPUTED_VALUE"""),9.68)</f>
        <v>9.68</v>
      </c>
      <c r="H778" s="9">
        <f>IFERROR(__xludf.DUMMYFUNCTION("""COMPUTED_VALUE"""),4.0)</f>
        <v>4</v>
      </c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</row>
    <row r="779" ht="15.75" customHeight="1">
      <c r="A779" s="11">
        <f>IFERROR(__xludf.DUMMYFUNCTION("""COMPUTED_VALUE"""),44471.0)</f>
        <v>44471</v>
      </c>
      <c r="B779" s="9">
        <f>IFERROR(__xludf.DUMMYFUNCTION("""COMPUTED_VALUE"""),1003395.0)</f>
        <v>1003395</v>
      </c>
      <c r="C779" s="9">
        <f>IFERROR(__xludf.DUMMYFUNCTION("""COMPUTED_VALUE"""),118150.0)</f>
        <v>118150</v>
      </c>
      <c r="D779" s="9"/>
      <c r="E779" s="9"/>
      <c r="F779" s="9">
        <f>IFERROR(__xludf.DUMMYFUNCTION("""COMPUTED_VALUE"""),1.69)</f>
        <v>1.69</v>
      </c>
      <c r="G779" s="9">
        <f>IFERROR(__xludf.DUMMYFUNCTION("""COMPUTED_VALUE"""),1.69)</f>
        <v>1.69</v>
      </c>
      <c r="H779" s="9">
        <f>IFERROR(__xludf.DUMMYFUNCTION("""COMPUTED_VALUE"""),1.0)</f>
        <v>1</v>
      </c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</row>
    <row r="780" ht="15.75" customHeight="1">
      <c r="A780" s="11">
        <f>IFERROR(__xludf.DUMMYFUNCTION("""COMPUTED_VALUE"""),44471.0)</f>
        <v>44471</v>
      </c>
      <c r="B780" s="9">
        <f>IFERROR(__xludf.DUMMYFUNCTION("""COMPUTED_VALUE"""),1003395.0)</f>
        <v>1003395</v>
      </c>
      <c r="C780" s="9">
        <f>IFERROR(__xludf.DUMMYFUNCTION("""COMPUTED_VALUE"""),110572.0)</f>
        <v>110572</v>
      </c>
      <c r="D780" s="9"/>
      <c r="E780" s="9"/>
      <c r="F780" s="9">
        <f>IFERROR(__xludf.DUMMYFUNCTION("""COMPUTED_VALUE"""),1.21)</f>
        <v>1.21</v>
      </c>
      <c r="G780" s="9">
        <f>IFERROR(__xludf.DUMMYFUNCTION("""COMPUTED_VALUE"""),1.21)</f>
        <v>1.21</v>
      </c>
      <c r="H780" s="9">
        <f>IFERROR(__xludf.DUMMYFUNCTION("""COMPUTED_VALUE"""),1.0)</f>
        <v>1</v>
      </c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</row>
    <row r="781" ht="15.75" customHeight="1">
      <c r="A781" s="11">
        <f>IFERROR(__xludf.DUMMYFUNCTION("""COMPUTED_VALUE"""),44471.0)</f>
        <v>44471</v>
      </c>
      <c r="B781" s="9">
        <f>IFERROR(__xludf.DUMMYFUNCTION("""COMPUTED_VALUE"""),1003395.0)</f>
        <v>1003395</v>
      </c>
      <c r="C781" s="9">
        <f>IFERROR(__xludf.DUMMYFUNCTION("""COMPUTED_VALUE"""),9716.0)</f>
        <v>9716</v>
      </c>
      <c r="D781" s="9"/>
      <c r="E781" s="9"/>
      <c r="F781" s="9">
        <f>IFERROR(__xludf.DUMMYFUNCTION("""COMPUTED_VALUE"""),6.17)</f>
        <v>6.17</v>
      </c>
      <c r="G781" s="9">
        <f>IFERROR(__xludf.DUMMYFUNCTION("""COMPUTED_VALUE"""),6.17)</f>
        <v>6.17</v>
      </c>
      <c r="H781" s="9">
        <f>IFERROR(__xludf.DUMMYFUNCTION("""COMPUTED_VALUE"""),1.0)</f>
        <v>1</v>
      </c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</row>
    <row r="782" ht="15.75" customHeight="1">
      <c r="A782" s="11">
        <f>IFERROR(__xludf.DUMMYFUNCTION("""COMPUTED_VALUE"""),44471.0)</f>
        <v>44471</v>
      </c>
      <c r="B782" s="9">
        <f>IFERROR(__xludf.DUMMYFUNCTION("""COMPUTED_VALUE"""),1003395.0)</f>
        <v>1003395</v>
      </c>
      <c r="C782" s="9">
        <f>IFERROR(__xludf.DUMMYFUNCTION("""COMPUTED_VALUE"""),49108.0)</f>
        <v>49108</v>
      </c>
      <c r="D782" s="9"/>
      <c r="E782" s="9"/>
      <c r="F782" s="9">
        <f>IFERROR(__xludf.DUMMYFUNCTION("""COMPUTED_VALUE"""),3.98)</f>
        <v>3.98</v>
      </c>
      <c r="G782" s="9">
        <f>IFERROR(__xludf.DUMMYFUNCTION("""COMPUTED_VALUE"""),3.98)</f>
        <v>3.98</v>
      </c>
      <c r="H782" s="9">
        <f>IFERROR(__xludf.DUMMYFUNCTION("""COMPUTED_VALUE"""),1.0)</f>
        <v>1</v>
      </c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</row>
    <row r="783" ht="15.75" customHeight="1">
      <c r="A783" s="11">
        <f>IFERROR(__xludf.DUMMYFUNCTION("""COMPUTED_VALUE"""),44471.0)</f>
        <v>44471</v>
      </c>
      <c r="B783" s="9">
        <f>IFERROR(__xludf.DUMMYFUNCTION("""COMPUTED_VALUE"""),1003395.0)</f>
        <v>1003395</v>
      </c>
      <c r="C783" s="9">
        <f>IFERROR(__xludf.DUMMYFUNCTION("""COMPUTED_VALUE"""),76421.0)</f>
        <v>76421</v>
      </c>
      <c r="D783" s="10" t="str">
        <f>IFERROR(__xludf.DUMMYFUNCTION("""COMPUTED_VALUE"""),"Vive le bio")</f>
        <v>Vive le bio</v>
      </c>
      <c r="E783" s="10"/>
      <c r="F783" s="9">
        <f>IFERROR(__xludf.DUMMYFUNCTION("""COMPUTED_VALUE"""),6.96666666666666)</f>
        <v>6.966666667</v>
      </c>
      <c r="G783" s="9">
        <f>IFERROR(__xludf.DUMMYFUNCTION("""COMPUTED_VALUE"""),6.27)</f>
        <v>6.27</v>
      </c>
      <c r="H783" s="9">
        <f>IFERROR(__xludf.DUMMYFUNCTION("""COMPUTED_VALUE"""),1.0)</f>
        <v>1</v>
      </c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</row>
    <row r="784" ht="15.75" customHeight="1">
      <c r="A784" s="11">
        <f>IFERROR(__xludf.DUMMYFUNCTION("""COMPUTED_VALUE"""),44471.0)</f>
        <v>44471</v>
      </c>
      <c r="B784" s="9">
        <f>IFERROR(__xludf.DUMMYFUNCTION("""COMPUTED_VALUE"""),1003395.0)</f>
        <v>1003395</v>
      </c>
      <c r="C784" s="9">
        <f>IFERROR(__xludf.DUMMYFUNCTION("""COMPUTED_VALUE"""),118216.0)</f>
        <v>118216</v>
      </c>
      <c r="D784" s="9"/>
      <c r="E784" s="9"/>
      <c r="F784" s="9">
        <f>IFERROR(__xludf.DUMMYFUNCTION("""COMPUTED_VALUE"""),16.75)</f>
        <v>16.75</v>
      </c>
      <c r="G784" s="9">
        <f>IFERROR(__xludf.DUMMYFUNCTION("""COMPUTED_VALUE"""),16.75)</f>
        <v>16.75</v>
      </c>
      <c r="H784" s="9">
        <f>IFERROR(__xludf.DUMMYFUNCTION("""COMPUTED_VALUE"""),2.0)</f>
        <v>2</v>
      </c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</row>
    <row r="785" ht="15.75" customHeight="1">
      <c r="A785" s="11">
        <f>IFERROR(__xludf.DUMMYFUNCTION("""COMPUTED_VALUE"""),44471.0)</f>
        <v>44471</v>
      </c>
      <c r="B785" s="9">
        <f>IFERROR(__xludf.DUMMYFUNCTION("""COMPUTED_VALUE"""),1003395.0)</f>
        <v>1003395</v>
      </c>
      <c r="C785" s="9">
        <f>IFERROR(__xludf.DUMMYFUNCTION("""COMPUTED_VALUE"""),119247.0)</f>
        <v>119247</v>
      </c>
      <c r="D785" s="9"/>
      <c r="E785" s="9"/>
      <c r="F785" s="9">
        <f>IFERROR(__xludf.DUMMYFUNCTION("""COMPUTED_VALUE"""),11.41)</f>
        <v>11.41</v>
      </c>
      <c r="G785" s="9">
        <f>IFERROR(__xludf.DUMMYFUNCTION("""COMPUTED_VALUE"""),11.41)</f>
        <v>11.41</v>
      </c>
      <c r="H785" s="9">
        <f>IFERROR(__xludf.DUMMYFUNCTION("""COMPUTED_VALUE"""),2.0)</f>
        <v>2</v>
      </c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</row>
    <row r="786" ht="15.75" customHeight="1">
      <c r="A786" s="11">
        <f>IFERROR(__xludf.DUMMYFUNCTION("""COMPUTED_VALUE"""),44471.0)</f>
        <v>44471</v>
      </c>
      <c r="B786" s="9">
        <f>IFERROR(__xludf.DUMMYFUNCTION("""COMPUTED_VALUE"""),1003395.0)</f>
        <v>1003395</v>
      </c>
      <c r="C786" s="9">
        <f>IFERROR(__xludf.DUMMYFUNCTION("""COMPUTED_VALUE"""),182010.0)</f>
        <v>182010</v>
      </c>
      <c r="D786" s="9"/>
      <c r="E786" s="9"/>
      <c r="F786" s="9">
        <f>IFERROR(__xludf.DUMMYFUNCTION("""COMPUTED_VALUE"""),6.86)</f>
        <v>6.86</v>
      </c>
      <c r="G786" s="9">
        <f>IFERROR(__xludf.DUMMYFUNCTION("""COMPUTED_VALUE"""),6.86)</f>
        <v>6.86</v>
      </c>
      <c r="H786" s="9">
        <f>IFERROR(__xludf.DUMMYFUNCTION("""COMPUTED_VALUE"""),2.0)</f>
        <v>2</v>
      </c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</row>
    <row r="787" ht="15.75" customHeight="1">
      <c r="A787" s="11">
        <f>IFERROR(__xludf.DUMMYFUNCTION("""COMPUTED_VALUE"""),44471.0)</f>
        <v>44471</v>
      </c>
      <c r="B787" s="9">
        <f>IFERROR(__xludf.DUMMYFUNCTION("""COMPUTED_VALUE"""),1003395.0)</f>
        <v>1003395</v>
      </c>
      <c r="C787" s="9">
        <f>IFERROR(__xludf.DUMMYFUNCTION("""COMPUTED_VALUE"""),119249.0)</f>
        <v>119249</v>
      </c>
      <c r="D787" s="9"/>
      <c r="E787" s="9"/>
      <c r="F787" s="9">
        <f>IFERROR(__xludf.DUMMYFUNCTION("""COMPUTED_VALUE"""),9.47)</f>
        <v>9.47</v>
      </c>
      <c r="G787" s="9">
        <f>IFERROR(__xludf.DUMMYFUNCTION("""COMPUTED_VALUE"""),9.47)</f>
        <v>9.47</v>
      </c>
      <c r="H787" s="9">
        <f>IFERROR(__xludf.DUMMYFUNCTION("""COMPUTED_VALUE"""),2.0)</f>
        <v>2</v>
      </c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</row>
    <row r="788" ht="15.75" customHeight="1">
      <c r="A788" s="11">
        <f>IFERROR(__xludf.DUMMYFUNCTION("""COMPUTED_VALUE"""),44471.0)</f>
        <v>44471</v>
      </c>
      <c r="B788" s="9">
        <f>IFERROR(__xludf.DUMMYFUNCTION("""COMPUTED_VALUE"""),1003395.0)</f>
        <v>1003395</v>
      </c>
      <c r="C788" s="9">
        <f>IFERROR(__xludf.DUMMYFUNCTION("""COMPUTED_VALUE"""),112190.0)</f>
        <v>112190</v>
      </c>
      <c r="D788" s="9"/>
      <c r="E788" s="9"/>
      <c r="F788" s="9">
        <f>IFERROR(__xludf.DUMMYFUNCTION("""COMPUTED_VALUE"""),7.64)</f>
        <v>7.64</v>
      </c>
      <c r="G788" s="9">
        <f>IFERROR(__xludf.DUMMYFUNCTION("""COMPUTED_VALUE"""),7.64)</f>
        <v>7.64</v>
      </c>
      <c r="H788" s="9">
        <f>IFERROR(__xludf.DUMMYFUNCTION("""COMPUTED_VALUE"""),2.0)</f>
        <v>2</v>
      </c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</row>
    <row r="789" ht="15.75" customHeight="1">
      <c r="A789" s="11">
        <f>IFERROR(__xludf.DUMMYFUNCTION("""COMPUTED_VALUE"""),44471.0)</f>
        <v>44471</v>
      </c>
      <c r="B789" s="9">
        <f>IFERROR(__xludf.DUMMYFUNCTION("""COMPUTED_VALUE"""),1003395.0)</f>
        <v>1003395</v>
      </c>
      <c r="C789" s="9">
        <f>IFERROR(__xludf.DUMMYFUNCTION("""COMPUTED_VALUE"""),119250.0)</f>
        <v>119250</v>
      </c>
      <c r="D789" s="9"/>
      <c r="E789" s="9"/>
      <c r="F789" s="9">
        <f>IFERROR(__xludf.DUMMYFUNCTION("""COMPUTED_VALUE"""),15.28)</f>
        <v>15.28</v>
      </c>
      <c r="G789" s="9">
        <f>IFERROR(__xludf.DUMMYFUNCTION("""COMPUTED_VALUE"""),15.28)</f>
        <v>15.28</v>
      </c>
      <c r="H789" s="9">
        <f>IFERROR(__xludf.DUMMYFUNCTION("""COMPUTED_VALUE"""),2.0)</f>
        <v>2</v>
      </c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</row>
    <row r="790" ht="15.75" customHeight="1">
      <c r="A790" s="11">
        <f>IFERROR(__xludf.DUMMYFUNCTION("""COMPUTED_VALUE"""),44471.0)</f>
        <v>44471</v>
      </c>
      <c r="B790" s="9">
        <f>IFERROR(__xludf.DUMMYFUNCTION("""COMPUTED_VALUE"""),1003395.0)</f>
        <v>1003395</v>
      </c>
      <c r="C790" s="9">
        <f>IFERROR(__xludf.DUMMYFUNCTION("""COMPUTED_VALUE"""),122088.0)</f>
        <v>122088</v>
      </c>
      <c r="D790" s="9"/>
      <c r="E790" s="9"/>
      <c r="F790" s="9">
        <f>IFERROR(__xludf.DUMMYFUNCTION("""COMPUTED_VALUE"""),3.46)</f>
        <v>3.46</v>
      </c>
      <c r="G790" s="9">
        <f>IFERROR(__xludf.DUMMYFUNCTION("""COMPUTED_VALUE"""),3.46)</f>
        <v>3.46</v>
      </c>
      <c r="H790" s="9">
        <f>IFERROR(__xludf.DUMMYFUNCTION("""COMPUTED_VALUE"""),2.0)</f>
        <v>2</v>
      </c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</row>
    <row r="791" ht="15.75" customHeight="1">
      <c r="A791" s="11">
        <f>IFERROR(__xludf.DUMMYFUNCTION("""COMPUTED_VALUE"""),44471.0)</f>
        <v>44471</v>
      </c>
      <c r="B791" s="9">
        <f>IFERROR(__xludf.DUMMYFUNCTION("""COMPUTED_VALUE"""),1003395.0)</f>
        <v>1003395</v>
      </c>
      <c r="C791" s="9">
        <f>IFERROR(__xludf.DUMMYFUNCTION("""COMPUTED_VALUE"""),81120.0)</f>
        <v>81120</v>
      </c>
      <c r="D791" s="9"/>
      <c r="E791" s="9"/>
      <c r="F791" s="9">
        <f>IFERROR(__xludf.DUMMYFUNCTION("""COMPUTED_VALUE"""),5.44)</f>
        <v>5.44</v>
      </c>
      <c r="G791" s="9">
        <f>IFERROR(__xludf.DUMMYFUNCTION("""COMPUTED_VALUE"""),5.44)</f>
        <v>5.44</v>
      </c>
      <c r="H791" s="9">
        <f>IFERROR(__xludf.DUMMYFUNCTION("""COMPUTED_VALUE"""),2.0)</f>
        <v>2</v>
      </c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</row>
    <row r="792" ht="15.75" customHeight="1">
      <c r="A792" s="11">
        <f>IFERROR(__xludf.DUMMYFUNCTION("""COMPUTED_VALUE"""),44471.0)</f>
        <v>44471</v>
      </c>
      <c r="B792" s="9">
        <f>IFERROR(__xludf.DUMMYFUNCTION("""COMPUTED_VALUE"""),1003395.0)</f>
        <v>1003395</v>
      </c>
      <c r="C792" s="9">
        <f>IFERROR(__xludf.DUMMYFUNCTION("""COMPUTED_VALUE"""),81129.0)</f>
        <v>81129</v>
      </c>
      <c r="D792" s="9"/>
      <c r="E792" s="9"/>
      <c r="F792" s="9">
        <f>IFERROR(__xludf.DUMMYFUNCTION("""COMPUTED_VALUE"""),5.71)</f>
        <v>5.71</v>
      </c>
      <c r="G792" s="9">
        <f>IFERROR(__xludf.DUMMYFUNCTION("""COMPUTED_VALUE"""),5.71)</f>
        <v>5.71</v>
      </c>
      <c r="H792" s="9">
        <f>IFERROR(__xludf.DUMMYFUNCTION("""COMPUTED_VALUE"""),2.0)</f>
        <v>2</v>
      </c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</row>
    <row r="793" ht="15.75" customHeight="1">
      <c r="A793" s="11">
        <f>IFERROR(__xludf.DUMMYFUNCTION("""COMPUTED_VALUE"""),44471.0)</f>
        <v>44471</v>
      </c>
      <c r="B793" s="9">
        <f>IFERROR(__xludf.DUMMYFUNCTION("""COMPUTED_VALUE"""),1003395.0)</f>
        <v>1003395</v>
      </c>
      <c r="C793" s="9">
        <f>IFERROR(__xludf.DUMMYFUNCTION("""COMPUTED_VALUE"""),112194.0)</f>
        <v>112194</v>
      </c>
      <c r="D793" s="9"/>
      <c r="E793" s="9"/>
      <c r="F793" s="9">
        <f>IFERROR(__xludf.DUMMYFUNCTION("""COMPUTED_VALUE"""),4.23)</f>
        <v>4.23</v>
      </c>
      <c r="G793" s="9">
        <f>IFERROR(__xludf.DUMMYFUNCTION("""COMPUTED_VALUE"""),4.23)</f>
        <v>4.23</v>
      </c>
      <c r="H793" s="9">
        <f>IFERROR(__xludf.DUMMYFUNCTION("""COMPUTED_VALUE"""),2.0)</f>
        <v>2</v>
      </c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</row>
    <row r="794" ht="15.75" customHeight="1">
      <c r="A794" s="11">
        <f>IFERROR(__xludf.DUMMYFUNCTION("""COMPUTED_VALUE"""),44471.0)</f>
        <v>44471</v>
      </c>
      <c r="B794" s="9">
        <f>IFERROR(__xludf.DUMMYFUNCTION("""COMPUTED_VALUE"""),1003395.0)</f>
        <v>1003395</v>
      </c>
      <c r="C794" s="9">
        <f>IFERROR(__xludf.DUMMYFUNCTION("""COMPUTED_VALUE"""),110571.0)</f>
        <v>110571</v>
      </c>
      <c r="D794" s="9"/>
      <c r="E794" s="9"/>
      <c r="F794" s="9">
        <f>IFERROR(__xludf.DUMMYFUNCTION("""COMPUTED_VALUE"""),6.04)</f>
        <v>6.04</v>
      </c>
      <c r="G794" s="9">
        <f>IFERROR(__xludf.DUMMYFUNCTION("""COMPUTED_VALUE"""),6.04)</f>
        <v>6.04</v>
      </c>
      <c r="H794" s="9">
        <f>IFERROR(__xludf.DUMMYFUNCTION("""COMPUTED_VALUE"""),5.0)</f>
        <v>5</v>
      </c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</row>
    <row r="795" ht="15.75" customHeight="1">
      <c r="A795" s="11">
        <f>IFERROR(__xludf.DUMMYFUNCTION("""COMPUTED_VALUE"""),44471.0)</f>
        <v>44471</v>
      </c>
      <c r="B795" s="9">
        <f>IFERROR(__xludf.DUMMYFUNCTION("""COMPUTED_VALUE"""),1003397.0)</f>
        <v>1003397</v>
      </c>
      <c r="C795" s="9">
        <f>IFERROR(__xludf.DUMMYFUNCTION("""COMPUTED_VALUE"""),109309.0)</f>
        <v>109309</v>
      </c>
      <c r="D795" s="9"/>
      <c r="E795" s="9"/>
      <c r="F795" s="9">
        <f>IFERROR(__xludf.DUMMYFUNCTION("""COMPUTED_VALUE"""),8.27)</f>
        <v>8.27</v>
      </c>
      <c r="G795" s="9">
        <f>IFERROR(__xludf.DUMMYFUNCTION("""COMPUTED_VALUE"""),8.27)</f>
        <v>8.27</v>
      </c>
      <c r="H795" s="9">
        <f>IFERROR(__xludf.DUMMYFUNCTION("""COMPUTED_VALUE"""),1.0)</f>
        <v>1</v>
      </c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</row>
    <row r="796" ht="15.75" customHeight="1">
      <c r="A796" s="11">
        <f>IFERROR(__xludf.DUMMYFUNCTION("""COMPUTED_VALUE"""),44471.0)</f>
        <v>44471</v>
      </c>
      <c r="B796" s="9">
        <f>IFERROR(__xludf.DUMMYFUNCTION("""COMPUTED_VALUE"""),1003397.0)</f>
        <v>1003397</v>
      </c>
      <c r="C796" s="9">
        <f>IFERROR(__xludf.DUMMYFUNCTION("""COMPUTED_VALUE"""),76046.0)</f>
        <v>76046</v>
      </c>
      <c r="D796" s="10" t="str">
        <f>IFERROR(__xludf.DUMMYFUNCTION("""COMPUTED_VALUE"""),"Vive le bio")</f>
        <v>Vive le bio</v>
      </c>
      <c r="E796" s="10"/>
      <c r="F796" s="9">
        <f>IFERROR(__xludf.DUMMYFUNCTION("""COMPUTED_VALUE"""),8.53333333333333)</f>
        <v>8.533333333</v>
      </c>
      <c r="G796" s="9">
        <f>IFERROR(__xludf.DUMMYFUNCTION("""COMPUTED_VALUE"""),7.68)</f>
        <v>7.68</v>
      </c>
      <c r="H796" s="9">
        <f>IFERROR(__xludf.DUMMYFUNCTION("""COMPUTED_VALUE"""),1.0)</f>
        <v>1</v>
      </c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</row>
    <row r="797" ht="15.75" customHeight="1">
      <c r="A797" s="11">
        <f>IFERROR(__xludf.DUMMYFUNCTION("""COMPUTED_VALUE"""),44471.0)</f>
        <v>44471</v>
      </c>
      <c r="B797" s="9">
        <f>IFERROR(__xludf.DUMMYFUNCTION("""COMPUTED_VALUE"""),1003397.0)</f>
        <v>1003397</v>
      </c>
      <c r="C797" s="9">
        <f>IFERROR(__xludf.DUMMYFUNCTION("""COMPUTED_VALUE"""),24074.0)</f>
        <v>24074</v>
      </c>
      <c r="D797" s="9"/>
      <c r="E797" s="9"/>
      <c r="F797" s="9">
        <f>IFERROR(__xludf.DUMMYFUNCTION("""COMPUTED_VALUE"""),13.83)</f>
        <v>13.83</v>
      </c>
      <c r="G797" s="9">
        <f>IFERROR(__xludf.DUMMYFUNCTION("""COMPUTED_VALUE"""),13.83)</f>
        <v>13.83</v>
      </c>
      <c r="H797" s="9">
        <f>IFERROR(__xludf.DUMMYFUNCTION("""COMPUTED_VALUE"""),1.0)</f>
        <v>1</v>
      </c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</row>
    <row r="798" ht="15.75" customHeight="1">
      <c r="A798" s="11">
        <f>IFERROR(__xludf.DUMMYFUNCTION("""COMPUTED_VALUE"""),44471.0)</f>
        <v>44471</v>
      </c>
      <c r="B798" s="9">
        <f>IFERROR(__xludf.DUMMYFUNCTION("""COMPUTED_VALUE"""),1003397.0)</f>
        <v>1003397</v>
      </c>
      <c r="C798" s="9">
        <f>IFERROR(__xludf.DUMMYFUNCTION("""COMPUTED_VALUE"""),109312.0)</f>
        <v>109312</v>
      </c>
      <c r="D798" s="9"/>
      <c r="E798" s="9"/>
      <c r="F798" s="9">
        <f>IFERROR(__xludf.DUMMYFUNCTION("""COMPUTED_VALUE"""),2.68)</f>
        <v>2.68</v>
      </c>
      <c r="G798" s="9">
        <f>IFERROR(__xludf.DUMMYFUNCTION("""COMPUTED_VALUE"""),2.68)</f>
        <v>2.68</v>
      </c>
      <c r="H798" s="9">
        <f>IFERROR(__xludf.DUMMYFUNCTION("""COMPUTED_VALUE"""),1.0)</f>
        <v>1</v>
      </c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</row>
    <row r="799" ht="15.75" customHeight="1">
      <c r="A799" s="11">
        <f>IFERROR(__xludf.DUMMYFUNCTION("""COMPUTED_VALUE"""),44471.0)</f>
        <v>44471</v>
      </c>
      <c r="B799" s="9">
        <f>IFERROR(__xludf.DUMMYFUNCTION("""COMPUTED_VALUE"""),1003397.0)</f>
        <v>1003397</v>
      </c>
      <c r="C799" s="9">
        <f>IFERROR(__xludf.DUMMYFUNCTION("""COMPUTED_VALUE"""),76364.0)</f>
        <v>76364</v>
      </c>
      <c r="D799" s="9"/>
      <c r="E799" s="9"/>
      <c r="F799" s="9">
        <f>IFERROR(__xludf.DUMMYFUNCTION("""COMPUTED_VALUE"""),1.03)</f>
        <v>1.03</v>
      </c>
      <c r="G799" s="9">
        <f>IFERROR(__xludf.DUMMYFUNCTION("""COMPUTED_VALUE"""),1.03)</f>
        <v>1.03</v>
      </c>
      <c r="H799" s="9">
        <f>IFERROR(__xludf.DUMMYFUNCTION("""COMPUTED_VALUE"""),1.0)</f>
        <v>1</v>
      </c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</row>
    <row r="800" ht="15.75" customHeight="1">
      <c r="A800" s="11">
        <f>IFERROR(__xludf.DUMMYFUNCTION("""COMPUTED_VALUE"""),44471.0)</f>
        <v>44471</v>
      </c>
      <c r="B800" s="9">
        <f>IFERROR(__xludf.DUMMYFUNCTION("""COMPUTED_VALUE"""),1003397.0)</f>
        <v>1003397</v>
      </c>
      <c r="C800" s="9">
        <f>IFERROR(__xludf.DUMMYFUNCTION("""COMPUTED_VALUE"""),109185.0)</f>
        <v>109185</v>
      </c>
      <c r="D800" s="9"/>
      <c r="E800" s="9"/>
      <c r="F800" s="9">
        <f>IFERROR(__xludf.DUMMYFUNCTION("""COMPUTED_VALUE"""),9.67)</f>
        <v>9.67</v>
      </c>
      <c r="G800" s="9">
        <f>IFERROR(__xludf.DUMMYFUNCTION("""COMPUTED_VALUE"""),9.67)</f>
        <v>9.67</v>
      </c>
      <c r="H800" s="9">
        <f>IFERROR(__xludf.DUMMYFUNCTION("""COMPUTED_VALUE"""),1.0)</f>
        <v>1</v>
      </c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</row>
    <row r="801" ht="15.75" customHeight="1">
      <c r="A801" s="11">
        <f>IFERROR(__xludf.DUMMYFUNCTION("""COMPUTED_VALUE"""),44471.0)</f>
        <v>44471</v>
      </c>
      <c r="B801" s="9">
        <f>IFERROR(__xludf.DUMMYFUNCTION("""COMPUTED_VALUE"""),1003397.0)</f>
        <v>1003397</v>
      </c>
      <c r="C801" s="9">
        <f>IFERROR(__xludf.DUMMYFUNCTION("""COMPUTED_VALUE"""),96009.0)</f>
        <v>96009</v>
      </c>
      <c r="D801" s="10" t="str">
        <f>IFERROR(__xludf.DUMMYFUNCTION("""COMPUTED_VALUE"""),"Vive le bio")</f>
        <v>Vive le bio</v>
      </c>
      <c r="E801" s="10"/>
      <c r="F801" s="9">
        <f>IFERROR(__xludf.DUMMYFUNCTION("""COMPUTED_VALUE"""),3.78888888888888)</f>
        <v>3.788888889</v>
      </c>
      <c r="G801" s="9">
        <f>IFERROR(__xludf.DUMMYFUNCTION("""COMPUTED_VALUE"""),3.41)</f>
        <v>3.41</v>
      </c>
      <c r="H801" s="9">
        <f>IFERROR(__xludf.DUMMYFUNCTION("""COMPUTED_VALUE"""),1.0)</f>
        <v>1</v>
      </c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</row>
    <row r="802" ht="15.75" customHeight="1">
      <c r="A802" s="11">
        <f>IFERROR(__xludf.DUMMYFUNCTION("""COMPUTED_VALUE"""),44471.0)</f>
        <v>44471</v>
      </c>
      <c r="B802" s="9">
        <f>IFERROR(__xludf.DUMMYFUNCTION("""COMPUTED_VALUE"""),1003397.0)</f>
        <v>1003397</v>
      </c>
      <c r="C802" s="9">
        <f>IFERROR(__xludf.DUMMYFUNCTION("""COMPUTED_VALUE"""),90924.0)</f>
        <v>90924</v>
      </c>
      <c r="D802" s="9"/>
      <c r="E802" s="9"/>
      <c r="F802" s="9">
        <f>IFERROR(__xludf.DUMMYFUNCTION("""COMPUTED_VALUE"""),6.81)</f>
        <v>6.81</v>
      </c>
      <c r="G802" s="9">
        <f>IFERROR(__xludf.DUMMYFUNCTION("""COMPUTED_VALUE"""),6.81)</f>
        <v>6.81</v>
      </c>
      <c r="H802" s="9">
        <f>IFERROR(__xludf.DUMMYFUNCTION("""COMPUTED_VALUE"""),2.0)</f>
        <v>2</v>
      </c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</row>
    <row r="803" ht="15.75" customHeight="1">
      <c r="A803" s="11">
        <f>IFERROR(__xludf.DUMMYFUNCTION("""COMPUTED_VALUE"""),44471.0)</f>
        <v>44471</v>
      </c>
      <c r="B803" s="9">
        <f>IFERROR(__xludf.DUMMYFUNCTION("""COMPUTED_VALUE"""),1003397.0)</f>
        <v>1003397</v>
      </c>
      <c r="C803" s="9">
        <f>IFERROR(__xludf.DUMMYFUNCTION("""COMPUTED_VALUE"""),159200.0)</f>
        <v>159200</v>
      </c>
      <c r="D803" s="10" t="str">
        <f>IFERROR(__xludf.DUMMYFUNCTION("""COMPUTED_VALUE"""),"Offre speciale")</f>
        <v>Offre speciale</v>
      </c>
      <c r="E803" s="10"/>
      <c r="F803" s="9">
        <f>IFERROR(__xludf.DUMMYFUNCTION("""COMPUTED_VALUE"""),3.4090909090909)</f>
        <v>3.409090909</v>
      </c>
      <c r="G803" s="9">
        <f>IFERROR(__xludf.DUMMYFUNCTION("""COMPUTED_VALUE"""),3.0)</f>
        <v>3</v>
      </c>
      <c r="H803" s="9">
        <f>IFERROR(__xludf.DUMMYFUNCTION("""COMPUTED_VALUE"""),2.0)</f>
        <v>2</v>
      </c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</row>
    <row r="804" ht="15.75" customHeight="1">
      <c r="A804" s="11">
        <f>IFERROR(__xludf.DUMMYFUNCTION("""COMPUTED_VALUE"""),44471.0)</f>
        <v>44471</v>
      </c>
      <c r="B804" s="9">
        <f>IFERROR(__xludf.DUMMYFUNCTION("""COMPUTED_VALUE"""),1003397.0)</f>
        <v>1003397</v>
      </c>
      <c r="C804" s="9">
        <f>IFERROR(__xludf.DUMMYFUNCTION("""COMPUTED_VALUE"""),117218.0)</f>
        <v>117218</v>
      </c>
      <c r="D804" s="9"/>
      <c r="E804" s="9"/>
      <c r="F804" s="9">
        <f>IFERROR(__xludf.DUMMYFUNCTION("""COMPUTED_VALUE"""),6.48)</f>
        <v>6.48</v>
      </c>
      <c r="G804" s="9">
        <f>IFERROR(__xludf.DUMMYFUNCTION("""COMPUTED_VALUE"""),6.48)</f>
        <v>6.48</v>
      </c>
      <c r="H804" s="9">
        <f>IFERROR(__xludf.DUMMYFUNCTION("""COMPUTED_VALUE"""),2.0)</f>
        <v>2</v>
      </c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</row>
    <row r="805" ht="15.75" customHeight="1">
      <c r="A805" s="11">
        <f>IFERROR(__xludf.DUMMYFUNCTION("""COMPUTED_VALUE"""),44471.0)</f>
        <v>44471</v>
      </c>
      <c r="B805" s="9">
        <f>IFERROR(__xludf.DUMMYFUNCTION("""COMPUTED_VALUE"""),1003397.0)</f>
        <v>1003397</v>
      </c>
      <c r="C805" s="9">
        <f>IFERROR(__xludf.DUMMYFUNCTION("""COMPUTED_VALUE"""),30465.0)</f>
        <v>30465</v>
      </c>
      <c r="D805" s="9"/>
      <c r="E805" s="9"/>
      <c r="F805" s="9">
        <f>IFERROR(__xludf.DUMMYFUNCTION("""COMPUTED_VALUE"""),17.74)</f>
        <v>17.74</v>
      </c>
      <c r="G805" s="9">
        <f>IFERROR(__xludf.DUMMYFUNCTION("""COMPUTED_VALUE"""),17.74)</f>
        <v>17.74</v>
      </c>
      <c r="H805" s="9">
        <f>IFERROR(__xludf.DUMMYFUNCTION("""COMPUTED_VALUE"""),5.0)</f>
        <v>5</v>
      </c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</row>
    <row r="806" ht="15.75" customHeight="1">
      <c r="A806" s="11">
        <f>IFERROR(__xludf.DUMMYFUNCTION("""COMPUTED_VALUE"""),44471.0)</f>
        <v>44471</v>
      </c>
      <c r="B806" s="9">
        <f>IFERROR(__xludf.DUMMYFUNCTION("""COMPUTED_VALUE"""),1003398.0)</f>
        <v>1003398</v>
      </c>
      <c r="C806" s="9">
        <f>IFERROR(__xludf.DUMMYFUNCTION("""COMPUTED_VALUE"""),118179.0)</f>
        <v>118179</v>
      </c>
      <c r="D806" s="9"/>
      <c r="E806" s="9"/>
      <c r="F806" s="9">
        <f>IFERROR(__xludf.DUMMYFUNCTION("""COMPUTED_VALUE"""),5.25)</f>
        <v>5.25</v>
      </c>
      <c r="G806" s="9">
        <f>IFERROR(__xludf.DUMMYFUNCTION("""COMPUTED_VALUE"""),5.25)</f>
        <v>5.25</v>
      </c>
      <c r="H806" s="9">
        <f>IFERROR(__xludf.DUMMYFUNCTION("""COMPUTED_VALUE"""),1.0)</f>
        <v>1</v>
      </c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</row>
    <row r="807" ht="15.75" customHeight="1">
      <c r="A807" s="11">
        <f>IFERROR(__xludf.DUMMYFUNCTION("""COMPUTED_VALUE"""),44471.0)</f>
        <v>44471</v>
      </c>
      <c r="B807" s="9">
        <f>IFERROR(__xludf.DUMMYFUNCTION("""COMPUTED_VALUE"""),1003398.0)</f>
        <v>1003398</v>
      </c>
      <c r="C807" s="9">
        <f>IFERROR(__xludf.DUMMYFUNCTION("""COMPUTED_VALUE"""),120871.0)</f>
        <v>120871</v>
      </c>
      <c r="D807" s="10" t="str">
        <f>IFERROR(__xludf.DUMMYFUNCTION("""COMPUTED_VALUE"""),"Vive le bio")</f>
        <v>Vive le bio</v>
      </c>
      <c r="E807" s="10"/>
      <c r="F807" s="9">
        <f>IFERROR(__xludf.DUMMYFUNCTION("""COMPUTED_VALUE"""),3.47777777777777)</f>
        <v>3.477777778</v>
      </c>
      <c r="G807" s="9">
        <f>IFERROR(__xludf.DUMMYFUNCTION("""COMPUTED_VALUE"""),3.13)</f>
        <v>3.13</v>
      </c>
      <c r="H807" s="9">
        <f>IFERROR(__xludf.DUMMYFUNCTION("""COMPUTED_VALUE"""),1.0)</f>
        <v>1</v>
      </c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</row>
    <row r="808" ht="15.75" customHeight="1">
      <c r="A808" s="11">
        <f>IFERROR(__xludf.DUMMYFUNCTION("""COMPUTED_VALUE"""),44471.0)</f>
        <v>44471</v>
      </c>
      <c r="B808" s="9">
        <f>IFERROR(__xludf.DUMMYFUNCTION("""COMPUTED_VALUE"""),1003398.0)</f>
        <v>1003398</v>
      </c>
      <c r="C808" s="9">
        <f>IFERROR(__xludf.DUMMYFUNCTION("""COMPUTED_VALUE"""),84673.0)</f>
        <v>84673</v>
      </c>
      <c r="D808" s="9"/>
      <c r="E808" s="9"/>
      <c r="F808" s="9">
        <f>IFERROR(__xludf.DUMMYFUNCTION("""COMPUTED_VALUE"""),2.9)</f>
        <v>2.9</v>
      </c>
      <c r="G808" s="9">
        <f>IFERROR(__xludf.DUMMYFUNCTION("""COMPUTED_VALUE"""),2.9)</f>
        <v>2.9</v>
      </c>
      <c r="H808" s="9">
        <f>IFERROR(__xludf.DUMMYFUNCTION("""COMPUTED_VALUE"""),1.0)</f>
        <v>1</v>
      </c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</row>
    <row r="809" ht="15.75" customHeight="1">
      <c r="A809" s="11">
        <f>IFERROR(__xludf.DUMMYFUNCTION("""COMPUTED_VALUE"""),44471.0)</f>
        <v>44471</v>
      </c>
      <c r="B809" s="9">
        <f>IFERROR(__xludf.DUMMYFUNCTION("""COMPUTED_VALUE"""),1003398.0)</f>
        <v>1003398</v>
      </c>
      <c r="C809" s="9">
        <f>IFERROR(__xludf.DUMMYFUNCTION("""COMPUTED_VALUE"""),120870.0)</f>
        <v>120870</v>
      </c>
      <c r="D809" s="10" t="str">
        <f>IFERROR(__xludf.DUMMYFUNCTION("""COMPUTED_VALUE"""),"Vive le bio")</f>
        <v>Vive le bio</v>
      </c>
      <c r="E809" s="10"/>
      <c r="F809" s="9">
        <f>IFERROR(__xludf.DUMMYFUNCTION("""COMPUTED_VALUE"""),3.62222222222222)</f>
        <v>3.622222222</v>
      </c>
      <c r="G809" s="9">
        <f>IFERROR(__xludf.DUMMYFUNCTION("""COMPUTED_VALUE"""),3.26)</f>
        <v>3.26</v>
      </c>
      <c r="H809" s="9">
        <f>IFERROR(__xludf.DUMMYFUNCTION("""COMPUTED_VALUE"""),1.0)</f>
        <v>1</v>
      </c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</row>
    <row r="810" ht="15.75" customHeight="1">
      <c r="A810" s="11">
        <f>IFERROR(__xludf.DUMMYFUNCTION("""COMPUTED_VALUE"""),44471.0)</f>
        <v>44471</v>
      </c>
      <c r="B810" s="9">
        <f>IFERROR(__xludf.DUMMYFUNCTION("""COMPUTED_VALUE"""),1003398.0)</f>
        <v>1003398</v>
      </c>
      <c r="C810" s="9">
        <f>IFERROR(__xludf.DUMMYFUNCTION("""COMPUTED_VALUE"""),120873.0)</f>
        <v>120873</v>
      </c>
      <c r="D810" s="9"/>
      <c r="E810" s="9"/>
      <c r="F810" s="9">
        <f>IFERROR(__xludf.DUMMYFUNCTION("""COMPUTED_VALUE"""),4.16)</f>
        <v>4.16</v>
      </c>
      <c r="G810" s="9">
        <f>IFERROR(__xludf.DUMMYFUNCTION("""COMPUTED_VALUE"""),4.16)</f>
        <v>4.16</v>
      </c>
      <c r="H810" s="9">
        <f>IFERROR(__xludf.DUMMYFUNCTION("""COMPUTED_VALUE"""),1.0)</f>
        <v>1</v>
      </c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</row>
    <row r="811" ht="15.75" customHeight="1">
      <c r="A811" s="11">
        <f>IFERROR(__xludf.DUMMYFUNCTION("""COMPUTED_VALUE"""),44471.0)</f>
        <v>44471</v>
      </c>
      <c r="B811" s="9">
        <f>IFERROR(__xludf.DUMMYFUNCTION("""COMPUTED_VALUE"""),1003398.0)</f>
        <v>1003398</v>
      </c>
      <c r="C811" s="9">
        <f>IFERROR(__xludf.DUMMYFUNCTION("""COMPUTED_VALUE"""),43247.0)</f>
        <v>43247</v>
      </c>
      <c r="D811" s="9"/>
      <c r="E811" s="9"/>
      <c r="F811" s="9">
        <f>IFERROR(__xludf.DUMMYFUNCTION("""COMPUTED_VALUE"""),4.17)</f>
        <v>4.17</v>
      </c>
      <c r="G811" s="9">
        <f>IFERROR(__xludf.DUMMYFUNCTION("""COMPUTED_VALUE"""),4.17)</f>
        <v>4.17</v>
      </c>
      <c r="H811" s="9">
        <f>IFERROR(__xludf.DUMMYFUNCTION("""COMPUTED_VALUE"""),1.0)</f>
        <v>1</v>
      </c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</row>
    <row r="812" ht="15.75" customHeight="1">
      <c r="A812" s="11">
        <f>IFERROR(__xludf.DUMMYFUNCTION("""COMPUTED_VALUE"""),44471.0)</f>
        <v>44471</v>
      </c>
      <c r="B812" s="9">
        <f>IFERROR(__xludf.DUMMYFUNCTION("""COMPUTED_VALUE"""),1003398.0)</f>
        <v>1003398</v>
      </c>
      <c r="C812" s="9">
        <f>IFERROR(__xludf.DUMMYFUNCTION("""COMPUTED_VALUE"""),118178.0)</f>
        <v>118178</v>
      </c>
      <c r="D812" s="9"/>
      <c r="E812" s="9"/>
      <c r="F812" s="9">
        <f>IFERROR(__xludf.DUMMYFUNCTION("""COMPUTED_VALUE"""),4.69)</f>
        <v>4.69</v>
      </c>
      <c r="G812" s="9">
        <f>IFERROR(__xludf.DUMMYFUNCTION("""COMPUTED_VALUE"""),4.69)</f>
        <v>4.69</v>
      </c>
      <c r="H812" s="9">
        <f>IFERROR(__xludf.DUMMYFUNCTION("""COMPUTED_VALUE"""),1.0)</f>
        <v>1</v>
      </c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</row>
    <row r="813" ht="15.75" customHeight="1">
      <c r="A813" s="11">
        <f>IFERROR(__xludf.DUMMYFUNCTION("""COMPUTED_VALUE"""),44471.0)</f>
        <v>44471</v>
      </c>
      <c r="B813" s="9">
        <f>IFERROR(__xludf.DUMMYFUNCTION("""COMPUTED_VALUE"""),1003398.0)</f>
        <v>1003398</v>
      </c>
      <c r="C813" s="9">
        <f>IFERROR(__xludf.DUMMYFUNCTION("""COMPUTED_VALUE"""),118131.0)</f>
        <v>118131</v>
      </c>
      <c r="D813" s="9"/>
      <c r="E813" s="9"/>
      <c r="F813" s="9">
        <f>IFERROR(__xludf.DUMMYFUNCTION("""COMPUTED_VALUE"""),7.19)</f>
        <v>7.19</v>
      </c>
      <c r="G813" s="9">
        <f>IFERROR(__xludf.DUMMYFUNCTION("""COMPUTED_VALUE"""),7.19)</f>
        <v>7.19</v>
      </c>
      <c r="H813" s="9">
        <f>IFERROR(__xludf.DUMMYFUNCTION("""COMPUTED_VALUE"""),1.0)</f>
        <v>1</v>
      </c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</row>
    <row r="814" ht="15.75" customHeight="1">
      <c r="A814" s="11">
        <f>IFERROR(__xludf.DUMMYFUNCTION("""COMPUTED_VALUE"""),44471.0)</f>
        <v>44471</v>
      </c>
      <c r="B814" s="9">
        <f>IFERROR(__xludf.DUMMYFUNCTION("""COMPUTED_VALUE"""),1003398.0)</f>
        <v>1003398</v>
      </c>
      <c r="C814" s="9">
        <f>IFERROR(__xludf.DUMMYFUNCTION("""COMPUTED_VALUE"""),159403.0)</f>
        <v>159403</v>
      </c>
      <c r="D814" s="9"/>
      <c r="E814" s="9"/>
      <c r="F814" s="9">
        <f>IFERROR(__xludf.DUMMYFUNCTION("""COMPUTED_VALUE"""),2.62)</f>
        <v>2.62</v>
      </c>
      <c r="G814" s="9">
        <f>IFERROR(__xludf.DUMMYFUNCTION("""COMPUTED_VALUE"""),2.62)</f>
        <v>2.62</v>
      </c>
      <c r="H814" s="9">
        <f>IFERROR(__xludf.DUMMYFUNCTION("""COMPUTED_VALUE"""),1.0)</f>
        <v>1</v>
      </c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</row>
    <row r="815" ht="15.75" customHeight="1">
      <c r="A815" s="11">
        <f>IFERROR(__xludf.DUMMYFUNCTION("""COMPUTED_VALUE"""),44471.0)</f>
        <v>44471</v>
      </c>
      <c r="B815" s="9">
        <f>IFERROR(__xludf.DUMMYFUNCTION("""COMPUTED_VALUE"""),1003399.0)</f>
        <v>1003399</v>
      </c>
      <c r="C815" s="9">
        <f>IFERROR(__xludf.DUMMYFUNCTION("""COMPUTED_VALUE"""),96069.0)</f>
        <v>96069</v>
      </c>
      <c r="D815" s="9"/>
      <c r="E815" s="9"/>
      <c r="F815" s="9">
        <f>IFERROR(__xludf.DUMMYFUNCTION("""COMPUTED_VALUE"""),2.38)</f>
        <v>2.38</v>
      </c>
      <c r="G815" s="9">
        <f>IFERROR(__xludf.DUMMYFUNCTION("""COMPUTED_VALUE"""),2.38)</f>
        <v>2.38</v>
      </c>
      <c r="H815" s="9">
        <f>IFERROR(__xludf.DUMMYFUNCTION("""COMPUTED_VALUE"""),1.0)</f>
        <v>1</v>
      </c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</row>
    <row r="816" ht="15.75" customHeight="1">
      <c r="A816" s="11">
        <f>IFERROR(__xludf.DUMMYFUNCTION("""COMPUTED_VALUE"""),44471.0)</f>
        <v>44471</v>
      </c>
      <c r="B816" s="9">
        <f>IFERROR(__xludf.DUMMYFUNCTION("""COMPUTED_VALUE"""),1003399.0)</f>
        <v>1003399</v>
      </c>
      <c r="C816" s="9">
        <f>IFERROR(__xludf.DUMMYFUNCTION("""COMPUTED_VALUE"""),110566.0)</f>
        <v>110566</v>
      </c>
      <c r="D816" s="9"/>
      <c r="E816" s="9"/>
      <c r="F816" s="9">
        <f>IFERROR(__xludf.DUMMYFUNCTION("""COMPUTED_VALUE"""),1.83)</f>
        <v>1.83</v>
      </c>
      <c r="G816" s="9">
        <f>IFERROR(__xludf.DUMMYFUNCTION("""COMPUTED_VALUE"""),1.83)</f>
        <v>1.83</v>
      </c>
      <c r="H816" s="9">
        <f>IFERROR(__xludf.DUMMYFUNCTION("""COMPUTED_VALUE"""),1.0)</f>
        <v>1</v>
      </c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</row>
    <row r="817" ht="15.75" customHeight="1">
      <c r="A817" s="11">
        <f>IFERROR(__xludf.DUMMYFUNCTION("""COMPUTED_VALUE"""),44471.0)</f>
        <v>44471</v>
      </c>
      <c r="B817" s="9">
        <f>IFERROR(__xludf.DUMMYFUNCTION("""COMPUTED_VALUE"""),1003399.0)</f>
        <v>1003399</v>
      </c>
      <c r="C817" s="9">
        <f>IFERROR(__xludf.DUMMYFUNCTION("""COMPUTED_VALUE"""),76455.0)</f>
        <v>76455</v>
      </c>
      <c r="D817" s="9"/>
      <c r="E817" s="9"/>
      <c r="F817" s="9">
        <f>IFERROR(__xludf.DUMMYFUNCTION("""COMPUTED_VALUE"""),2.17)</f>
        <v>2.17</v>
      </c>
      <c r="G817" s="9">
        <f>IFERROR(__xludf.DUMMYFUNCTION("""COMPUTED_VALUE"""),2.17)</f>
        <v>2.17</v>
      </c>
      <c r="H817" s="9">
        <f>IFERROR(__xludf.DUMMYFUNCTION("""COMPUTED_VALUE"""),1.0)</f>
        <v>1</v>
      </c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</row>
    <row r="818" ht="15.75" customHeight="1">
      <c r="A818" s="11">
        <f>IFERROR(__xludf.DUMMYFUNCTION("""COMPUTED_VALUE"""),44471.0)</f>
        <v>44471</v>
      </c>
      <c r="B818" s="9">
        <f>IFERROR(__xludf.DUMMYFUNCTION("""COMPUTED_VALUE"""),1003399.0)</f>
        <v>1003399</v>
      </c>
      <c r="C818" s="9">
        <f>IFERROR(__xludf.DUMMYFUNCTION("""COMPUTED_VALUE"""),5604.0)</f>
        <v>5604</v>
      </c>
      <c r="D818" s="10" t="str">
        <f>IFERROR(__xludf.DUMMYFUNCTION("""COMPUTED_VALUE"""),"Vive le bio")</f>
        <v>Vive le bio</v>
      </c>
      <c r="E818" s="10"/>
      <c r="F818" s="9">
        <f>IFERROR(__xludf.DUMMYFUNCTION("""COMPUTED_VALUE"""),2.25555555555555)</f>
        <v>2.255555556</v>
      </c>
      <c r="G818" s="9">
        <f>IFERROR(__xludf.DUMMYFUNCTION("""COMPUTED_VALUE"""),2.03)</f>
        <v>2.03</v>
      </c>
      <c r="H818" s="9">
        <f>IFERROR(__xludf.DUMMYFUNCTION("""COMPUTED_VALUE"""),1.0)</f>
        <v>1</v>
      </c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</row>
    <row r="819" ht="15.75" customHeight="1">
      <c r="A819" s="11">
        <f>IFERROR(__xludf.DUMMYFUNCTION("""COMPUTED_VALUE"""),44471.0)</f>
        <v>44471</v>
      </c>
      <c r="B819" s="9">
        <f>IFERROR(__xludf.DUMMYFUNCTION("""COMPUTED_VALUE"""),1003399.0)</f>
        <v>1003399</v>
      </c>
      <c r="C819" s="9">
        <f>IFERROR(__xludf.DUMMYFUNCTION("""COMPUTED_VALUE"""),19412.0)</f>
        <v>19412</v>
      </c>
      <c r="D819" s="9"/>
      <c r="E819" s="9"/>
      <c r="F819" s="9">
        <f>IFERROR(__xludf.DUMMYFUNCTION("""COMPUTED_VALUE"""),2.97)</f>
        <v>2.97</v>
      </c>
      <c r="G819" s="9">
        <f>IFERROR(__xludf.DUMMYFUNCTION("""COMPUTED_VALUE"""),2.97)</f>
        <v>2.97</v>
      </c>
      <c r="H819" s="9">
        <f>IFERROR(__xludf.DUMMYFUNCTION("""COMPUTED_VALUE"""),1.0)</f>
        <v>1</v>
      </c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</row>
    <row r="820" ht="15.75" customHeight="1">
      <c r="A820" s="11">
        <f>IFERROR(__xludf.DUMMYFUNCTION("""COMPUTED_VALUE"""),44471.0)</f>
        <v>44471</v>
      </c>
      <c r="B820" s="9">
        <f>IFERROR(__xludf.DUMMYFUNCTION("""COMPUTED_VALUE"""),1003399.0)</f>
        <v>1003399</v>
      </c>
      <c r="C820" s="9">
        <f>IFERROR(__xludf.DUMMYFUNCTION("""COMPUTED_VALUE"""),70292.0)</f>
        <v>70292</v>
      </c>
      <c r="D820" s="9"/>
      <c r="E820" s="9"/>
      <c r="F820" s="9">
        <f>IFERROR(__xludf.DUMMYFUNCTION("""COMPUTED_VALUE"""),12.54)</f>
        <v>12.54</v>
      </c>
      <c r="G820" s="9">
        <f>IFERROR(__xludf.DUMMYFUNCTION("""COMPUTED_VALUE"""),12.54)</f>
        <v>12.54</v>
      </c>
      <c r="H820" s="9">
        <f>IFERROR(__xludf.DUMMYFUNCTION("""COMPUTED_VALUE"""),2.0)</f>
        <v>2</v>
      </c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</row>
    <row r="821" ht="15.75" customHeight="1">
      <c r="A821" s="11">
        <f>IFERROR(__xludf.DUMMYFUNCTION("""COMPUTED_VALUE"""),44471.0)</f>
        <v>44471</v>
      </c>
      <c r="B821" s="9">
        <f>IFERROR(__xludf.DUMMYFUNCTION("""COMPUTED_VALUE"""),1003399.0)</f>
        <v>1003399</v>
      </c>
      <c r="C821" s="9">
        <f>IFERROR(__xludf.DUMMYFUNCTION("""COMPUTED_VALUE"""),90006.0)</f>
        <v>90006</v>
      </c>
      <c r="D821" s="9"/>
      <c r="E821" s="9"/>
      <c r="F821" s="9">
        <f>IFERROR(__xludf.DUMMYFUNCTION("""COMPUTED_VALUE"""),14.31)</f>
        <v>14.31</v>
      </c>
      <c r="G821" s="9">
        <f>IFERROR(__xludf.DUMMYFUNCTION("""COMPUTED_VALUE"""),14.31)</f>
        <v>14.31</v>
      </c>
      <c r="H821" s="9">
        <f>IFERROR(__xludf.DUMMYFUNCTION("""COMPUTED_VALUE"""),2.0)</f>
        <v>2</v>
      </c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</row>
    <row r="822" ht="15.75" customHeight="1">
      <c r="A822" s="11">
        <f>IFERROR(__xludf.DUMMYFUNCTION("""COMPUTED_VALUE"""),44471.0)</f>
        <v>44471</v>
      </c>
      <c r="B822" s="9">
        <f>IFERROR(__xludf.DUMMYFUNCTION("""COMPUTED_VALUE"""),1003399.0)</f>
        <v>1003399</v>
      </c>
      <c r="C822" s="9">
        <f>IFERROR(__xludf.DUMMYFUNCTION("""COMPUTED_VALUE"""),47380.0)</f>
        <v>47380</v>
      </c>
      <c r="D822" s="9"/>
      <c r="E822" s="9"/>
      <c r="F822" s="9">
        <f>IFERROR(__xludf.DUMMYFUNCTION("""COMPUTED_VALUE"""),4.39)</f>
        <v>4.39</v>
      </c>
      <c r="G822" s="9">
        <f>IFERROR(__xludf.DUMMYFUNCTION("""COMPUTED_VALUE"""),4.39)</f>
        <v>4.39</v>
      </c>
      <c r="H822" s="9">
        <f>IFERROR(__xludf.DUMMYFUNCTION("""COMPUTED_VALUE"""),2.0)</f>
        <v>2</v>
      </c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</row>
    <row r="823" ht="15.75" customHeight="1">
      <c r="A823" s="11">
        <f>IFERROR(__xludf.DUMMYFUNCTION("""COMPUTED_VALUE"""),44471.0)</f>
        <v>44471</v>
      </c>
      <c r="B823" s="9">
        <f>IFERROR(__xludf.DUMMYFUNCTION("""COMPUTED_VALUE"""),1003399.0)</f>
        <v>1003399</v>
      </c>
      <c r="C823" s="9">
        <f>IFERROR(__xludf.DUMMYFUNCTION("""COMPUTED_VALUE"""),117116.0)</f>
        <v>117116</v>
      </c>
      <c r="D823" s="9"/>
      <c r="E823" s="9"/>
      <c r="F823" s="9">
        <f>IFERROR(__xludf.DUMMYFUNCTION("""COMPUTED_VALUE"""),8.35)</f>
        <v>8.35</v>
      </c>
      <c r="G823" s="9">
        <f>IFERROR(__xludf.DUMMYFUNCTION("""COMPUTED_VALUE"""),8.35)</f>
        <v>8.35</v>
      </c>
      <c r="H823" s="9">
        <f>IFERROR(__xludf.DUMMYFUNCTION("""COMPUTED_VALUE"""),3.0)</f>
        <v>3</v>
      </c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</row>
    <row r="824" ht="15.75" customHeight="1">
      <c r="A824" s="11">
        <f>IFERROR(__xludf.DUMMYFUNCTION("""COMPUTED_VALUE"""),44471.0)</f>
        <v>44471</v>
      </c>
      <c r="B824" s="9">
        <f>IFERROR(__xludf.DUMMYFUNCTION("""COMPUTED_VALUE"""),1003399.0)</f>
        <v>1003399</v>
      </c>
      <c r="C824" s="9">
        <f>IFERROR(__xludf.DUMMYFUNCTION("""COMPUTED_VALUE"""),70611.0)</f>
        <v>70611</v>
      </c>
      <c r="D824" s="9"/>
      <c r="E824" s="9"/>
      <c r="F824" s="9">
        <f>IFERROR(__xludf.DUMMYFUNCTION("""COMPUTED_VALUE"""),41.87)</f>
        <v>41.87</v>
      </c>
      <c r="G824" s="9">
        <f>IFERROR(__xludf.DUMMYFUNCTION("""COMPUTED_VALUE"""),41.87)</f>
        <v>41.87</v>
      </c>
      <c r="H824" s="9">
        <f>IFERROR(__xludf.DUMMYFUNCTION("""COMPUTED_VALUE"""),4.0)</f>
        <v>4</v>
      </c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</row>
    <row r="825" ht="15.75" customHeight="1">
      <c r="A825" s="11">
        <f>IFERROR(__xludf.DUMMYFUNCTION("""COMPUTED_VALUE"""),44471.0)</f>
        <v>44471</v>
      </c>
      <c r="B825" s="9">
        <f>IFERROR(__xludf.DUMMYFUNCTION("""COMPUTED_VALUE"""),1003400.0)</f>
        <v>1003400</v>
      </c>
      <c r="C825" s="9">
        <f>IFERROR(__xludf.DUMMYFUNCTION("""COMPUTED_VALUE"""),110072.0)</f>
        <v>110072</v>
      </c>
      <c r="D825" s="9"/>
      <c r="E825" s="10" t="str">
        <f>IFERROR(__xludf.DUMMYFUNCTION("""COMPUTED_VALUE"""),"PREMIERE")</f>
        <v>PREMIERE</v>
      </c>
      <c r="F825" s="10">
        <f>IFERROR(__xludf.DUMMYFUNCTION("""COMPUTED_VALUE"""),4.44)</f>
        <v>4.44</v>
      </c>
      <c r="G825" s="9">
        <f>IFERROR(__xludf.DUMMYFUNCTION("""COMPUTED_VALUE"""),4.44)</f>
        <v>4.44</v>
      </c>
      <c r="H825" s="9">
        <f>IFERROR(__xludf.DUMMYFUNCTION("""COMPUTED_VALUE"""),1.0)</f>
        <v>1</v>
      </c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</row>
    <row r="826" ht="15.75" customHeight="1">
      <c r="A826" s="11">
        <f>IFERROR(__xludf.DUMMYFUNCTION("""COMPUTED_VALUE"""),44471.0)</f>
        <v>44471</v>
      </c>
      <c r="B826" s="9">
        <f>IFERROR(__xludf.DUMMYFUNCTION("""COMPUTED_VALUE"""),1003400.0)</f>
        <v>1003400</v>
      </c>
      <c r="C826" s="9">
        <f>IFERROR(__xludf.DUMMYFUNCTION("""COMPUTED_VALUE"""),142304.0)</f>
        <v>142304</v>
      </c>
      <c r="D826" s="9"/>
      <c r="E826" s="10" t="str">
        <f>IFERROR(__xludf.DUMMYFUNCTION("""COMPUTED_VALUE"""),"PREMIERE")</f>
        <v>PREMIERE</v>
      </c>
      <c r="F826" s="10">
        <f>IFERROR(__xludf.DUMMYFUNCTION("""COMPUTED_VALUE"""),11.31)</f>
        <v>11.31</v>
      </c>
      <c r="G826" s="9">
        <f>IFERROR(__xludf.DUMMYFUNCTION("""COMPUTED_VALUE"""),11.31)</f>
        <v>11.31</v>
      </c>
      <c r="H826" s="9">
        <f>IFERROR(__xludf.DUMMYFUNCTION("""COMPUTED_VALUE"""),2.0)</f>
        <v>2</v>
      </c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</row>
    <row r="827" ht="15.75" customHeight="1">
      <c r="A827" s="11">
        <f>IFERROR(__xludf.DUMMYFUNCTION("""COMPUTED_VALUE"""),44471.0)</f>
        <v>44471</v>
      </c>
      <c r="B827" s="9">
        <f>IFERROR(__xludf.DUMMYFUNCTION("""COMPUTED_VALUE"""),1003400.0)</f>
        <v>1003400</v>
      </c>
      <c r="C827" s="9">
        <f>IFERROR(__xludf.DUMMYFUNCTION("""COMPUTED_VALUE"""),118932.0)</f>
        <v>118932</v>
      </c>
      <c r="D827" s="9"/>
      <c r="E827" s="10" t="str">
        <f>IFERROR(__xludf.DUMMYFUNCTION("""COMPUTED_VALUE"""),"PREMIERE")</f>
        <v>PREMIERE</v>
      </c>
      <c r="F827" s="10">
        <f>IFERROR(__xludf.DUMMYFUNCTION("""COMPUTED_VALUE"""),15.36)</f>
        <v>15.36</v>
      </c>
      <c r="G827" s="9">
        <f>IFERROR(__xludf.DUMMYFUNCTION("""COMPUTED_VALUE"""),15.36)</f>
        <v>15.36</v>
      </c>
      <c r="H827" s="9">
        <f>IFERROR(__xludf.DUMMYFUNCTION("""COMPUTED_VALUE"""),2.0)</f>
        <v>2</v>
      </c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</row>
    <row r="828" ht="15.75" customHeight="1">
      <c r="A828" s="11">
        <f>IFERROR(__xludf.DUMMYFUNCTION("""COMPUTED_VALUE"""),44471.0)</f>
        <v>44471</v>
      </c>
      <c r="B828" s="9">
        <f>IFERROR(__xludf.DUMMYFUNCTION("""COMPUTED_VALUE"""),1003400.0)</f>
        <v>1003400</v>
      </c>
      <c r="C828" s="9">
        <f>IFERROR(__xludf.DUMMYFUNCTION("""COMPUTED_VALUE"""),82463.0)</f>
        <v>82463</v>
      </c>
      <c r="D828" s="9"/>
      <c r="E828" s="10" t="str">
        <f>IFERROR(__xludf.DUMMYFUNCTION("""COMPUTED_VALUE"""),"PREMIERE")</f>
        <v>PREMIERE</v>
      </c>
      <c r="F828" s="10">
        <f>IFERROR(__xludf.DUMMYFUNCTION("""COMPUTED_VALUE"""),13.33)</f>
        <v>13.33</v>
      </c>
      <c r="G828" s="9">
        <f>IFERROR(__xludf.DUMMYFUNCTION("""COMPUTED_VALUE"""),13.33)</f>
        <v>13.33</v>
      </c>
      <c r="H828" s="9">
        <f>IFERROR(__xludf.DUMMYFUNCTION("""COMPUTED_VALUE"""),3.0)</f>
        <v>3</v>
      </c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</row>
    <row r="829" ht="15.75" customHeight="1">
      <c r="A829" s="11">
        <f>IFERROR(__xludf.DUMMYFUNCTION("""COMPUTED_VALUE"""),44471.0)</f>
        <v>44471</v>
      </c>
      <c r="B829" s="9">
        <f>IFERROR(__xludf.DUMMYFUNCTION("""COMPUTED_VALUE"""),1003401.0)</f>
        <v>1003401</v>
      </c>
      <c r="C829" s="9">
        <f>IFERROR(__xludf.DUMMYFUNCTION("""COMPUTED_VALUE"""),80756.0)</f>
        <v>80756</v>
      </c>
      <c r="D829" s="9"/>
      <c r="E829" s="9"/>
      <c r="F829" s="9">
        <f>IFERROR(__xludf.DUMMYFUNCTION("""COMPUTED_VALUE"""),40.45)</f>
        <v>40.45</v>
      </c>
      <c r="G829" s="9">
        <f>IFERROR(__xludf.DUMMYFUNCTION("""COMPUTED_VALUE"""),40.45)</f>
        <v>40.45</v>
      </c>
      <c r="H829" s="9">
        <f>IFERROR(__xludf.DUMMYFUNCTION("""COMPUTED_VALUE"""),2.0)</f>
        <v>2</v>
      </c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</row>
    <row r="830" ht="15.75" customHeight="1">
      <c r="A830" s="11">
        <f>IFERROR(__xludf.DUMMYFUNCTION("""COMPUTED_VALUE"""),44471.0)</f>
        <v>44471</v>
      </c>
      <c r="B830" s="9">
        <f>IFERROR(__xludf.DUMMYFUNCTION("""COMPUTED_VALUE"""),1003402.0)</f>
        <v>1003402</v>
      </c>
      <c r="C830" s="9">
        <f>IFERROR(__xludf.DUMMYFUNCTION("""COMPUTED_VALUE"""),122613.0)</f>
        <v>122613</v>
      </c>
      <c r="D830" s="10" t="str">
        <f>IFERROR(__xludf.DUMMYFUNCTION("""COMPUTED_VALUE"""),"Zero Dechet")</f>
        <v>Zero Dechet</v>
      </c>
      <c r="E830" s="10" t="str">
        <f>IFERROR(__xludf.DUMMYFUNCTION("""COMPUTED_VALUE"""),"GREENRELAIS")</f>
        <v>GREENRELAIS</v>
      </c>
      <c r="F830" s="10">
        <f>IFERROR(__xludf.DUMMYFUNCTION("""COMPUTED_VALUE"""),2.38823529411764)</f>
        <v>2.388235294</v>
      </c>
      <c r="G830" s="9">
        <f>IFERROR(__xludf.DUMMYFUNCTION("""COMPUTED_VALUE"""),2.03)</f>
        <v>2.03</v>
      </c>
      <c r="H830" s="9">
        <f>IFERROR(__xludf.DUMMYFUNCTION("""COMPUTED_VALUE"""),1.0)</f>
        <v>1</v>
      </c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</row>
    <row r="831" ht="15.75" customHeight="1">
      <c r="A831" s="11">
        <f>IFERROR(__xludf.DUMMYFUNCTION("""COMPUTED_VALUE"""),44471.0)</f>
        <v>44471</v>
      </c>
      <c r="B831" s="9">
        <f>IFERROR(__xludf.DUMMYFUNCTION("""COMPUTED_VALUE"""),1003402.0)</f>
        <v>1003402</v>
      </c>
      <c r="C831" s="9">
        <f>IFERROR(__xludf.DUMMYFUNCTION("""COMPUTED_VALUE"""),96068.0)</f>
        <v>96068</v>
      </c>
      <c r="D831" s="9"/>
      <c r="E831" s="10" t="str">
        <f>IFERROR(__xludf.DUMMYFUNCTION("""COMPUTED_VALUE"""),"GREENRELAIS")</f>
        <v>GREENRELAIS</v>
      </c>
      <c r="F831" s="10">
        <f>IFERROR(__xludf.DUMMYFUNCTION("""COMPUTED_VALUE"""),4.53)</f>
        <v>4.53</v>
      </c>
      <c r="G831" s="9">
        <f>IFERROR(__xludf.DUMMYFUNCTION("""COMPUTED_VALUE"""),4.53)</f>
        <v>4.53</v>
      </c>
      <c r="H831" s="9">
        <f>IFERROR(__xludf.DUMMYFUNCTION("""COMPUTED_VALUE"""),1.0)</f>
        <v>1</v>
      </c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</row>
    <row r="832" ht="15.75" customHeight="1">
      <c r="A832" s="11">
        <f>IFERROR(__xludf.DUMMYFUNCTION("""COMPUTED_VALUE"""),44471.0)</f>
        <v>44471</v>
      </c>
      <c r="B832" s="9">
        <f>IFERROR(__xludf.DUMMYFUNCTION("""COMPUTED_VALUE"""),1003402.0)</f>
        <v>1003402</v>
      </c>
      <c r="C832" s="9">
        <f>IFERROR(__xludf.DUMMYFUNCTION("""COMPUTED_VALUE"""),29530.0)</f>
        <v>29530</v>
      </c>
      <c r="D832" s="9"/>
      <c r="E832" s="10" t="str">
        <f>IFERROR(__xludf.DUMMYFUNCTION("""COMPUTED_VALUE"""),"GREENRELAIS")</f>
        <v>GREENRELAIS</v>
      </c>
      <c r="F832" s="10">
        <f>IFERROR(__xludf.DUMMYFUNCTION("""COMPUTED_VALUE"""),1.64)</f>
        <v>1.64</v>
      </c>
      <c r="G832" s="9">
        <f>IFERROR(__xludf.DUMMYFUNCTION("""COMPUTED_VALUE"""),1.64)</f>
        <v>1.64</v>
      </c>
      <c r="H832" s="9">
        <f>IFERROR(__xludf.DUMMYFUNCTION("""COMPUTED_VALUE"""),1.0)</f>
        <v>1</v>
      </c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</row>
    <row r="833" ht="15.75" customHeight="1">
      <c r="A833" s="11">
        <f>IFERROR(__xludf.DUMMYFUNCTION("""COMPUTED_VALUE"""),44471.0)</f>
        <v>44471</v>
      </c>
      <c r="B833" s="9">
        <f>IFERROR(__xludf.DUMMYFUNCTION("""COMPUTED_VALUE"""),1003402.0)</f>
        <v>1003402</v>
      </c>
      <c r="C833" s="9">
        <f>IFERROR(__xludf.DUMMYFUNCTION("""COMPUTED_VALUE"""),75659.0)</f>
        <v>75659</v>
      </c>
      <c r="D833" s="9"/>
      <c r="E833" s="10" t="str">
        <f>IFERROR(__xludf.DUMMYFUNCTION("""COMPUTED_VALUE"""),"GREENRELAIS")</f>
        <v>GREENRELAIS</v>
      </c>
      <c r="F833" s="10">
        <f>IFERROR(__xludf.DUMMYFUNCTION("""COMPUTED_VALUE"""),3.32)</f>
        <v>3.32</v>
      </c>
      <c r="G833" s="9">
        <f>IFERROR(__xludf.DUMMYFUNCTION("""COMPUTED_VALUE"""),3.32)</f>
        <v>3.32</v>
      </c>
      <c r="H833" s="9">
        <f>IFERROR(__xludf.DUMMYFUNCTION("""COMPUTED_VALUE"""),1.0)</f>
        <v>1</v>
      </c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</row>
    <row r="834" ht="15.75" customHeight="1">
      <c r="A834" s="11">
        <f>IFERROR(__xludf.DUMMYFUNCTION("""COMPUTED_VALUE"""),44471.0)</f>
        <v>44471</v>
      </c>
      <c r="B834" s="9">
        <f>IFERROR(__xludf.DUMMYFUNCTION("""COMPUTED_VALUE"""),1003402.0)</f>
        <v>1003402</v>
      </c>
      <c r="C834" s="9">
        <f>IFERROR(__xludf.DUMMYFUNCTION("""COMPUTED_VALUE"""),102750.0)</f>
        <v>102750</v>
      </c>
      <c r="D834" s="9"/>
      <c r="E834" s="10" t="str">
        <f>IFERROR(__xludf.DUMMYFUNCTION("""COMPUTED_VALUE"""),"GREENRELAIS")</f>
        <v>GREENRELAIS</v>
      </c>
      <c r="F834" s="10">
        <f>IFERROR(__xludf.DUMMYFUNCTION("""COMPUTED_VALUE"""),11.8)</f>
        <v>11.8</v>
      </c>
      <c r="G834" s="9">
        <f>IFERROR(__xludf.DUMMYFUNCTION("""COMPUTED_VALUE"""),11.8)</f>
        <v>11.8</v>
      </c>
      <c r="H834" s="9">
        <f>IFERROR(__xludf.DUMMYFUNCTION("""COMPUTED_VALUE"""),1.0)</f>
        <v>1</v>
      </c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</row>
    <row r="835" ht="15.75" customHeight="1">
      <c r="A835" s="11">
        <f>IFERROR(__xludf.DUMMYFUNCTION("""COMPUTED_VALUE"""),44471.0)</f>
        <v>44471</v>
      </c>
      <c r="B835" s="9">
        <f>IFERROR(__xludf.DUMMYFUNCTION("""COMPUTED_VALUE"""),1003402.0)</f>
        <v>1003402</v>
      </c>
      <c r="C835" s="9">
        <f>IFERROR(__xludf.DUMMYFUNCTION("""COMPUTED_VALUE"""),75662.0)</f>
        <v>75662</v>
      </c>
      <c r="D835" s="9"/>
      <c r="E835" s="10" t="str">
        <f>IFERROR(__xludf.DUMMYFUNCTION("""COMPUTED_VALUE"""),"GREENRELAIS")</f>
        <v>GREENRELAIS</v>
      </c>
      <c r="F835" s="10">
        <f>IFERROR(__xludf.DUMMYFUNCTION("""COMPUTED_VALUE"""),7.16)</f>
        <v>7.16</v>
      </c>
      <c r="G835" s="9">
        <f>IFERROR(__xludf.DUMMYFUNCTION("""COMPUTED_VALUE"""),7.16)</f>
        <v>7.16</v>
      </c>
      <c r="H835" s="9">
        <f>IFERROR(__xludf.DUMMYFUNCTION("""COMPUTED_VALUE"""),1.0)</f>
        <v>1</v>
      </c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</row>
    <row r="836" ht="15.75" customHeight="1">
      <c r="A836" s="11">
        <f>IFERROR(__xludf.DUMMYFUNCTION("""COMPUTED_VALUE"""),44471.0)</f>
        <v>44471</v>
      </c>
      <c r="B836" s="9">
        <f>IFERROR(__xludf.DUMMYFUNCTION("""COMPUTED_VALUE"""),1003402.0)</f>
        <v>1003402</v>
      </c>
      <c r="C836" s="9">
        <f>IFERROR(__xludf.DUMMYFUNCTION("""COMPUTED_VALUE"""),118333.0)</f>
        <v>118333</v>
      </c>
      <c r="D836" s="10" t="str">
        <f>IFERROR(__xludf.DUMMYFUNCTION("""COMPUTED_VALUE"""),"Zero Dechet")</f>
        <v>Zero Dechet</v>
      </c>
      <c r="E836" s="10" t="str">
        <f>IFERROR(__xludf.DUMMYFUNCTION("""COMPUTED_VALUE"""),"GREENRELAIS")</f>
        <v>GREENRELAIS</v>
      </c>
      <c r="F836" s="10">
        <f>IFERROR(__xludf.DUMMYFUNCTION("""COMPUTED_VALUE"""),2.45882352941176)</f>
        <v>2.458823529</v>
      </c>
      <c r="G836" s="9">
        <f>IFERROR(__xludf.DUMMYFUNCTION("""COMPUTED_VALUE"""),2.09)</f>
        <v>2.09</v>
      </c>
      <c r="H836" s="9">
        <f>IFERROR(__xludf.DUMMYFUNCTION("""COMPUTED_VALUE"""),1.0)</f>
        <v>1</v>
      </c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</row>
    <row r="837" ht="15.75" customHeight="1">
      <c r="A837" s="11">
        <f>IFERROR(__xludf.DUMMYFUNCTION("""COMPUTED_VALUE"""),44471.0)</f>
        <v>44471</v>
      </c>
      <c r="B837" s="9">
        <f>IFERROR(__xludf.DUMMYFUNCTION("""COMPUTED_VALUE"""),1003402.0)</f>
        <v>1003402</v>
      </c>
      <c r="C837" s="9">
        <f>IFERROR(__xludf.DUMMYFUNCTION("""COMPUTED_VALUE"""),11002.0)</f>
        <v>11002</v>
      </c>
      <c r="D837" s="9"/>
      <c r="E837" s="10" t="str">
        <f>IFERROR(__xludf.DUMMYFUNCTION("""COMPUTED_VALUE"""),"GREENRELAIS")</f>
        <v>GREENRELAIS</v>
      </c>
      <c r="F837" s="10">
        <f>IFERROR(__xludf.DUMMYFUNCTION("""COMPUTED_VALUE"""),4.2)</f>
        <v>4.2</v>
      </c>
      <c r="G837" s="9">
        <f>IFERROR(__xludf.DUMMYFUNCTION("""COMPUTED_VALUE"""),4.2)</f>
        <v>4.2</v>
      </c>
      <c r="H837" s="9">
        <f>IFERROR(__xludf.DUMMYFUNCTION("""COMPUTED_VALUE"""),1.0)</f>
        <v>1</v>
      </c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</row>
    <row r="838" ht="15.75" customHeight="1">
      <c r="A838" s="11">
        <f>IFERROR(__xludf.DUMMYFUNCTION("""COMPUTED_VALUE"""),44471.0)</f>
        <v>44471</v>
      </c>
      <c r="B838" s="9">
        <f>IFERROR(__xludf.DUMMYFUNCTION("""COMPUTED_VALUE"""),1003402.0)</f>
        <v>1003402</v>
      </c>
      <c r="C838" s="9">
        <f>IFERROR(__xludf.DUMMYFUNCTION("""COMPUTED_VALUE"""),75655.0)</f>
        <v>75655</v>
      </c>
      <c r="D838" s="9"/>
      <c r="E838" s="10" t="str">
        <f>IFERROR(__xludf.DUMMYFUNCTION("""COMPUTED_VALUE"""),"GREENRELAIS")</f>
        <v>GREENRELAIS</v>
      </c>
      <c r="F838" s="10">
        <f>IFERROR(__xludf.DUMMYFUNCTION("""COMPUTED_VALUE"""),2.98)</f>
        <v>2.98</v>
      </c>
      <c r="G838" s="9">
        <f>IFERROR(__xludf.DUMMYFUNCTION("""COMPUTED_VALUE"""),2.98)</f>
        <v>2.98</v>
      </c>
      <c r="H838" s="9">
        <f>IFERROR(__xludf.DUMMYFUNCTION("""COMPUTED_VALUE"""),1.0)</f>
        <v>1</v>
      </c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</row>
    <row r="839" ht="15.75" customHeight="1">
      <c r="A839" s="11">
        <f>IFERROR(__xludf.DUMMYFUNCTION("""COMPUTED_VALUE"""),44471.0)</f>
        <v>44471</v>
      </c>
      <c r="B839" s="9">
        <f>IFERROR(__xludf.DUMMYFUNCTION("""COMPUTED_VALUE"""),1003402.0)</f>
        <v>1003402</v>
      </c>
      <c r="C839" s="9">
        <f>IFERROR(__xludf.DUMMYFUNCTION("""COMPUTED_VALUE"""),12648.0)</f>
        <v>12648</v>
      </c>
      <c r="D839" s="9"/>
      <c r="E839" s="10" t="str">
        <f>IFERROR(__xludf.DUMMYFUNCTION("""COMPUTED_VALUE"""),"GREENRELAIS")</f>
        <v>GREENRELAIS</v>
      </c>
      <c r="F839" s="10">
        <f>IFERROR(__xludf.DUMMYFUNCTION("""COMPUTED_VALUE"""),9.69)</f>
        <v>9.69</v>
      </c>
      <c r="G839" s="9">
        <f>IFERROR(__xludf.DUMMYFUNCTION("""COMPUTED_VALUE"""),9.69)</f>
        <v>9.69</v>
      </c>
      <c r="H839" s="9">
        <f>IFERROR(__xludf.DUMMYFUNCTION("""COMPUTED_VALUE"""),1.0)</f>
        <v>1</v>
      </c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</row>
    <row r="840" ht="15.75" customHeight="1">
      <c r="A840" s="11">
        <f>IFERROR(__xludf.DUMMYFUNCTION("""COMPUTED_VALUE"""),44471.0)</f>
        <v>44471</v>
      </c>
      <c r="B840" s="9">
        <f>IFERROR(__xludf.DUMMYFUNCTION("""COMPUTED_VALUE"""),1003402.0)</f>
        <v>1003402</v>
      </c>
      <c r="C840" s="9">
        <f>IFERROR(__xludf.DUMMYFUNCTION("""COMPUTED_VALUE"""),69117.0)</f>
        <v>69117</v>
      </c>
      <c r="D840" s="9"/>
      <c r="E840" s="10" t="str">
        <f>IFERROR(__xludf.DUMMYFUNCTION("""COMPUTED_VALUE"""),"GREENRELAIS")</f>
        <v>GREENRELAIS</v>
      </c>
      <c r="F840" s="10">
        <f>IFERROR(__xludf.DUMMYFUNCTION("""COMPUTED_VALUE"""),4.99)</f>
        <v>4.99</v>
      </c>
      <c r="G840" s="9">
        <f>IFERROR(__xludf.DUMMYFUNCTION("""COMPUTED_VALUE"""),4.99)</f>
        <v>4.99</v>
      </c>
      <c r="H840" s="9">
        <f>IFERROR(__xludf.DUMMYFUNCTION("""COMPUTED_VALUE"""),2.0)</f>
        <v>2</v>
      </c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</row>
    <row r="841" ht="15.75" customHeight="1">
      <c r="A841" s="11">
        <f>IFERROR(__xludf.DUMMYFUNCTION("""COMPUTED_VALUE"""),44471.0)</f>
        <v>44471</v>
      </c>
      <c r="B841" s="9">
        <f>IFERROR(__xludf.DUMMYFUNCTION("""COMPUTED_VALUE"""),1003403.0)</f>
        <v>1003403</v>
      </c>
      <c r="C841" s="9">
        <f>IFERROR(__xludf.DUMMYFUNCTION("""COMPUTED_VALUE"""),102735.0)</f>
        <v>102735</v>
      </c>
      <c r="D841" s="9"/>
      <c r="E841" s="10" t="str">
        <f>IFERROR(__xludf.DUMMYFUNCTION("""COMPUTED_VALUE"""),"GREENRELAIS")</f>
        <v>GREENRELAIS</v>
      </c>
      <c r="F841" s="10">
        <f>IFERROR(__xludf.DUMMYFUNCTION("""COMPUTED_VALUE"""),3.88)</f>
        <v>3.88</v>
      </c>
      <c r="G841" s="9">
        <f>IFERROR(__xludf.DUMMYFUNCTION("""COMPUTED_VALUE"""),3.88)</f>
        <v>3.88</v>
      </c>
      <c r="H841" s="9">
        <f>IFERROR(__xludf.DUMMYFUNCTION("""COMPUTED_VALUE"""),1.0)</f>
        <v>1</v>
      </c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</row>
    <row r="842" ht="15.75" customHeight="1">
      <c r="A842" s="11">
        <f>IFERROR(__xludf.DUMMYFUNCTION("""COMPUTED_VALUE"""),44471.0)</f>
        <v>44471</v>
      </c>
      <c r="B842" s="9">
        <f>IFERROR(__xludf.DUMMYFUNCTION("""COMPUTED_VALUE"""),1003403.0)</f>
        <v>1003403</v>
      </c>
      <c r="C842" s="9">
        <f>IFERROR(__xludf.DUMMYFUNCTION("""COMPUTED_VALUE"""),9514.0)</f>
        <v>9514</v>
      </c>
      <c r="D842" s="9"/>
      <c r="E842" s="10" t="str">
        <f>IFERROR(__xludf.DUMMYFUNCTION("""COMPUTED_VALUE"""),"GREENRELAIS")</f>
        <v>GREENRELAIS</v>
      </c>
      <c r="F842" s="10">
        <f>IFERROR(__xludf.DUMMYFUNCTION("""COMPUTED_VALUE"""),3.9)</f>
        <v>3.9</v>
      </c>
      <c r="G842" s="9">
        <f>IFERROR(__xludf.DUMMYFUNCTION("""COMPUTED_VALUE"""),3.9)</f>
        <v>3.9</v>
      </c>
      <c r="H842" s="9">
        <f>IFERROR(__xludf.DUMMYFUNCTION("""COMPUTED_VALUE"""),1.0)</f>
        <v>1</v>
      </c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</row>
    <row r="843" ht="15.75" customHeight="1">
      <c r="A843" s="11">
        <f>IFERROR(__xludf.DUMMYFUNCTION("""COMPUTED_VALUE"""),44471.0)</f>
        <v>44471</v>
      </c>
      <c r="B843" s="9">
        <f>IFERROR(__xludf.DUMMYFUNCTION("""COMPUTED_VALUE"""),1003403.0)</f>
        <v>1003403</v>
      </c>
      <c r="C843" s="9">
        <f>IFERROR(__xludf.DUMMYFUNCTION("""COMPUTED_VALUE"""),112190.0)</f>
        <v>112190</v>
      </c>
      <c r="D843" s="9"/>
      <c r="E843" s="10" t="str">
        <f>IFERROR(__xludf.DUMMYFUNCTION("""COMPUTED_VALUE"""),"GREENRELAIS")</f>
        <v>GREENRELAIS</v>
      </c>
      <c r="F843" s="10">
        <f>IFERROR(__xludf.DUMMYFUNCTION("""COMPUTED_VALUE"""),3.82)</f>
        <v>3.82</v>
      </c>
      <c r="G843" s="9">
        <f>IFERROR(__xludf.DUMMYFUNCTION("""COMPUTED_VALUE"""),3.82)</f>
        <v>3.82</v>
      </c>
      <c r="H843" s="9">
        <f>IFERROR(__xludf.DUMMYFUNCTION("""COMPUTED_VALUE"""),1.0)</f>
        <v>1</v>
      </c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</row>
    <row r="844" ht="15.75" customHeight="1">
      <c r="A844" s="11">
        <f>IFERROR(__xludf.DUMMYFUNCTION("""COMPUTED_VALUE"""),44471.0)</f>
        <v>44471</v>
      </c>
      <c r="B844" s="9">
        <f>IFERROR(__xludf.DUMMYFUNCTION("""COMPUTED_VALUE"""),1003403.0)</f>
        <v>1003403</v>
      </c>
      <c r="C844" s="9">
        <f>IFERROR(__xludf.DUMMYFUNCTION("""COMPUTED_VALUE"""),9493.0)</f>
        <v>9493</v>
      </c>
      <c r="D844" s="9"/>
      <c r="E844" s="10" t="str">
        <f>IFERROR(__xludf.DUMMYFUNCTION("""COMPUTED_VALUE"""),"GREENRELAIS")</f>
        <v>GREENRELAIS</v>
      </c>
      <c r="F844" s="10">
        <f>IFERROR(__xludf.DUMMYFUNCTION("""COMPUTED_VALUE"""),3.2)</f>
        <v>3.2</v>
      </c>
      <c r="G844" s="9">
        <f>IFERROR(__xludf.DUMMYFUNCTION("""COMPUTED_VALUE"""),3.2)</f>
        <v>3.2</v>
      </c>
      <c r="H844" s="9">
        <f>IFERROR(__xludf.DUMMYFUNCTION("""COMPUTED_VALUE"""),1.0)</f>
        <v>1</v>
      </c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</row>
    <row r="845" ht="15.75" customHeight="1">
      <c r="A845" s="11">
        <f>IFERROR(__xludf.DUMMYFUNCTION("""COMPUTED_VALUE"""),44471.0)</f>
        <v>44471</v>
      </c>
      <c r="B845" s="9">
        <f>IFERROR(__xludf.DUMMYFUNCTION("""COMPUTED_VALUE"""),1003403.0)</f>
        <v>1003403</v>
      </c>
      <c r="C845" s="9">
        <f>IFERROR(__xludf.DUMMYFUNCTION("""COMPUTED_VALUE"""),120446.0)</f>
        <v>120446</v>
      </c>
      <c r="D845" s="9"/>
      <c r="E845" s="10" t="str">
        <f>IFERROR(__xludf.DUMMYFUNCTION("""COMPUTED_VALUE"""),"GREENRELAIS")</f>
        <v>GREENRELAIS</v>
      </c>
      <c r="F845" s="10">
        <f>IFERROR(__xludf.DUMMYFUNCTION("""COMPUTED_VALUE"""),1.79)</f>
        <v>1.79</v>
      </c>
      <c r="G845" s="9">
        <f>IFERROR(__xludf.DUMMYFUNCTION("""COMPUTED_VALUE"""),1.79)</f>
        <v>1.79</v>
      </c>
      <c r="H845" s="9">
        <f>IFERROR(__xludf.DUMMYFUNCTION("""COMPUTED_VALUE"""),1.0)</f>
        <v>1</v>
      </c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</row>
    <row r="846" ht="15.75" customHeight="1">
      <c r="A846" s="11">
        <f>IFERROR(__xludf.DUMMYFUNCTION("""COMPUTED_VALUE"""),44471.0)</f>
        <v>44471</v>
      </c>
      <c r="B846" s="9">
        <f>IFERROR(__xludf.DUMMYFUNCTION("""COMPUTED_VALUE"""),1003403.0)</f>
        <v>1003403</v>
      </c>
      <c r="C846" s="9">
        <f>IFERROR(__xludf.DUMMYFUNCTION("""COMPUTED_VALUE"""),117559.0)</f>
        <v>117559</v>
      </c>
      <c r="D846" s="9"/>
      <c r="E846" s="10" t="str">
        <f>IFERROR(__xludf.DUMMYFUNCTION("""COMPUTED_VALUE"""),"GREENRELAIS")</f>
        <v>GREENRELAIS</v>
      </c>
      <c r="F846" s="10">
        <f>IFERROR(__xludf.DUMMYFUNCTION("""COMPUTED_VALUE"""),4.17)</f>
        <v>4.17</v>
      </c>
      <c r="G846" s="9">
        <f>IFERROR(__xludf.DUMMYFUNCTION("""COMPUTED_VALUE"""),4.17)</f>
        <v>4.17</v>
      </c>
      <c r="H846" s="9">
        <f>IFERROR(__xludf.DUMMYFUNCTION("""COMPUTED_VALUE"""),1.0)</f>
        <v>1</v>
      </c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</row>
    <row r="847" ht="15.75" customHeight="1">
      <c r="A847" s="11">
        <f>IFERROR(__xludf.DUMMYFUNCTION("""COMPUTED_VALUE"""),44471.0)</f>
        <v>44471</v>
      </c>
      <c r="B847" s="9">
        <f>IFERROR(__xludf.DUMMYFUNCTION("""COMPUTED_VALUE"""),1003403.0)</f>
        <v>1003403</v>
      </c>
      <c r="C847" s="9">
        <f>IFERROR(__xludf.DUMMYFUNCTION("""COMPUTED_VALUE"""),94039.0)</f>
        <v>94039</v>
      </c>
      <c r="D847" s="9"/>
      <c r="E847" s="10" t="str">
        <f>IFERROR(__xludf.DUMMYFUNCTION("""COMPUTED_VALUE"""),"GREENRELAIS")</f>
        <v>GREENRELAIS</v>
      </c>
      <c r="F847" s="10">
        <f>IFERROR(__xludf.DUMMYFUNCTION("""COMPUTED_VALUE"""),2.47)</f>
        <v>2.47</v>
      </c>
      <c r="G847" s="9">
        <f>IFERROR(__xludf.DUMMYFUNCTION("""COMPUTED_VALUE"""),2.47)</f>
        <v>2.47</v>
      </c>
      <c r="H847" s="9">
        <f>IFERROR(__xludf.DUMMYFUNCTION("""COMPUTED_VALUE"""),1.0)</f>
        <v>1</v>
      </c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</row>
    <row r="848" ht="15.75" customHeight="1">
      <c r="A848" s="11">
        <f>IFERROR(__xludf.DUMMYFUNCTION("""COMPUTED_VALUE"""),44471.0)</f>
        <v>44471</v>
      </c>
      <c r="B848" s="9">
        <f>IFERROR(__xludf.DUMMYFUNCTION("""COMPUTED_VALUE"""),1003403.0)</f>
        <v>1003403</v>
      </c>
      <c r="C848" s="9">
        <f>IFERROR(__xludf.DUMMYFUNCTION("""COMPUTED_VALUE"""),80546.0)</f>
        <v>80546</v>
      </c>
      <c r="D848" s="10" t="str">
        <f>IFERROR(__xludf.DUMMYFUNCTION("""COMPUTED_VALUE"""),"Offre speciale")</f>
        <v>Offre speciale</v>
      </c>
      <c r="E848" s="10" t="str">
        <f>IFERROR(__xludf.DUMMYFUNCTION("""COMPUTED_VALUE"""),"GREENRELAIS")</f>
        <v>GREENRELAIS</v>
      </c>
      <c r="F848" s="10">
        <f>IFERROR(__xludf.DUMMYFUNCTION("""COMPUTED_VALUE"""),6.45)</f>
        <v>6.45</v>
      </c>
      <c r="G848" s="9">
        <f>IFERROR(__xludf.DUMMYFUNCTION("""COMPUTED_VALUE"""),5.16)</f>
        <v>5.16</v>
      </c>
      <c r="H848" s="9">
        <f>IFERROR(__xludf.DUMMYFUNCTION("""COMPUTED_VALUE"""),1.0)</f>
        <v>1</v>
      </c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</row>
    <row r="849" ht="15.75" customHeight="1">
      <c r="A849" s="11">
        <f>IFERROR(__xludf.DUMMYFUNCTION("""COMPUTED_VALUE"""),44471.0)</f>
        <v>44471</v>
      </c>
      <c r="B849" s="9">
        <f>IFERROR(__xludf.DUMMYFUNCTION("""COMPUTED_VALUE"""),1003403.0)</f>
        <v>1003403</v>
      </c>
      <c r="C849" s="9">
        <f>IFERROR(__xludf.DUMMYFUNCTION("""COMPUTED_VALUE"""),9560.0)</f>
        <v>9560</v>
      </c>
      <c r="D849" s="9"/>
      <c r="E849" s="10" t="str">
        <f>IFERROR(__xludf.DUMMYFUNCTION("""COMPUTED_VALUE"""),"GREENRELAIS")</f>
        <v>GREENRELAIS</v>
      </c>
      <c r="F849" s="10">
        <f>IFERROR(__xludf.DUMMYFUNCTION("""COMPUTED_VALUE"""),3.11)</f>
        <v>3.11</v>
      </c>
      <c r="G849" s="9">
        <f>IFERROR(__xludf.DUMMYFUNCTION("""COMPUTED_VALUE"""),3.11)</f>
        <v>3.11</v>
      </c>
      <c r="H849" s="9">
        <f>IFERROR(__xludf.DUMMYFUNCTION("""COMPUTED_VALUE"""),1.0)</f>
        <v>1</v>
      </c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</row>
    <row r="850" ht="15.75" customHeight="1">
      <c r="A850" s="11">
        <f>IFERROR(__xludf.DUMMYFUNCTION("""COMPUTED_VALUE"""),44471.0)</f>
        <v>44471</v>
      </c>
      <c r="B850" s="9">
        <f>IFERROR(__xludf.DUMMYFUNCTION("""COMPUTED_VALUE"""),1003403.0)</f>
        <v>1003403</v>
      </c>
      <c r="C850" s="9">
        <f>IFERROR(__xludf.DUMMYFUNCTION("""COMPUTED_VALUE"""),81064.0)</f>
        <v>81064</v>
      </c>
      <c r="D850" s="9"/>
      <c r="E850" s="10" t="str">
        <f>IFERROR(__xludf.DUMMYFUNCTION("""COMPUTED_VALUE"""),"GREENRELAIS")</f>
        <v>GREENRELAIS</v>
      </c>
      <c r="F850" s="10">
        <f>IFERROR(__xludf.DUMMYFUNCTION("""COMPUTED_VALUE"""),4.98)</f>
        <v>4.98</v>
      </c>
      <c r="G850" s="9">
        <f>IFERROR(__xludf.DUMMYFUNCTION("""COMPUTED_VALUE"""),4.98)</f>
        <v>4.98</v>
      </c>
      <c r="H850" s="9">
        <f>IFERROR(__xludf.DUMMYFUNCTION("""COMPUTED_VALUE"""),1.0)</f>
        <v>1</v>
      </c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</row>
    <row r="851" ht="15.75" customHeight="1">
      <c r="A851" s="11">
        <f>IFERROR(__xludf.DUMMYFUNCTION("""COMPUTED_VALUE"""),44471.0)</f>
        <v>44471</v>
      </c>
      <c r="B851" s="9">
        <f>IFERROR(__xludf.DUMMYFUNCTION("""COMPUTED_VALUE"""),1003403.0)</f>
        <v>1003403</v>
      </c>
      <c r="C851" s="9">
        <f>IFERROR(__xludf.DUMMYFUNCTION("""COMPUTED_VALUE"""),23662.0)</f>
        <v>23662</v>
      </c>
      <c r="D851" s="9"/>
      <c r="E851" s="10" t="str">
        <f>IFERROR(__xludf.DUMMYFUNCTION("""COMPUTED_VALUE"""),"GREENRELAIS")</f>
        <v>GREENRELAIS</v>
      </c>
      <c r="F851" s="10">
        <f>IFERROR(__xludf.DUMMYFUNCTION("""COMPUTED_VALUE"""),1.62)</f>
        <v>1.62</v>
      </c>
      <c r="G851" s="9">
        <f>IFERROR(__xludf.DUMMYFUNCTION("""COMPUTED_VALUE"""),1.62)</f>
        <v>1.62</v>
      </c>
      <c r="H851" s="9">
        <f>IFERROR(__xludf.DUMMYFUNCTION("""COMPUTED_VALUE"""),1.0)</f>
        <v>1</v>
      </c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</row>
    <row r="852" ht="15.75" customHeight="1">
      <c r="A852" s="11">
        <f>IFERROR(__xludf.DUMMYFUNCTION("""COMPUTED_VALUE"""),44471.0)</f>
        <v>44471</v>
      </c>
      <c r="B852" s="9">
        <f>IFERROR(__xludf.DUMMYFUNCTION("""COMPUTED_VALUE"""),1003403.0)</f>
        <v>1003403</v>
      </c>
      <c r="C852" s="9">
        <f>IFERROR(__xludf.DUMMYFUNCTION("""COMPUTED_VALUE"""),9496.0)</f>
        <v>9496</v>
      </c>
      <c r="D852" s="9"/>
      <c r="E852" s="10" t="str">
        <f>IFERROR(__xludf.DUMMYFUNCTION("""COMPUTED_VALUE"""),"GREENRELAIS")</f>
        <v>GREENRELAIS</v>
      </c>
      <c r="F852" s="10">
        <f>IFERROR(__xludf.DUMMYFUNCTION("""COMPUTED_VALUE"""),10.06)</f>
        <v>10.06</v>
      </c>
      <c r="G852" s="9">
        <f>IFERROR(__xludf.DUMMYFUNCTION("""COMPUTED_VALUE"""),10.06)</f>
        <v>10.06</v>
      </c>
      <c r="H852" s="9">
        <f>IFERROR(__xludf.DUMMYFUNCTION("""COMPUTED_VALUE"""),2.0)</f>
        <v>2</v>
      </c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</row>
    <row r="853" ht="15.75" customHeight="1">
      <c r="A853" s="11">
        <f>IFERROR(__xludf.DUMMYFUNCTION("""COMPUTED_VALUE"""),44471.0)</f>
        <v>44471</v>
      </c>
      <c r="B853" s="9">
        <f>IFERROR(__xludf.DUMMYFUNCTION("""COMPUTED_VALUE"""),1003403.0)</f>
        <v>1003403</v>
      </c>
      <c r="C853" s="9">
        <f>IFERROR(__xludf.DUMMYFUNCTION("""COMPUTED_VALUE"""),9522.0)</f>
        <v>9522</v>
      </c>
      <c r="D853" s="9"/>
      <c r="E853" s="10" t="str">
        <f>IFERROR(__xludf.DUMMYFUNCTION("""COMPUTED_VALUE"""),"GREENRELAIS")</f>
        <v>GREENRELAIS</v>
      </c>
      <c r="F853" s="10">
        <f>IFERROR(__xludf.DUMMYFUNCTION("""COMPUTED_VALUE"""),7.18)</f>
        <v>7.18</v>
      </c>
      <c r="G853" s="9">
        <f>IFERROR(__xludf.DUMMYFUNCTION("""COMPUTED_VALUE"""),7.18)</f>
        <v>7.18</v>
      </c>
      <c r="H853" s="9">
        <f>IFERROR(__xludf.DUMMYFUNCTION("""COMPUTED_VALUE"""),2.0)</f>
        <v>2</v>
      </c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</row>
    <row r="854" ht="15.75" customHeight="1">
      <c r="A854" s="11">
        <f>IFERROR(__xludf.DUMMYFUNCTION("""COMPUTED_VALUE"""),44471.0)</f>
        <v>44471</v>
      </c>
      <c r="B854" s="9">
        <f>IFERROR(__xludf.DUMMYFUNCTION("""COMPUTED_VALUE"""),1003404.0)</f>
        <v>1003404</v>
      </c>
      <c r="C854" s="9">
        <f>IFERROR(__xludf.DUMMYFUNCTION("""COMPUTED_VALUE"""),113096.0)</f>
        <v>113096</v>
      </c>
      <c r="D854" s="9"/>
      <c r="E854" s="9"/>
      <c r="F854" s="9">
        <f>IFERROR(__xludf.DUMMYFUNCTION("""COMPUTED_VALUE"""),3.29)</f>
        <v>3.29</v>
      </c>
      <c r="G854" s="9">
        <f>IFERROR(__xludf.DUMMYFUNCTION("""COMPUTED_VALUE"""),3.29)</f>
        <v>3.29</v>
      </c>
      <c r="H854" s="9">
        <f>IFERROR(__xludf.DUMMYFUNCTION("""COMPUTED_VALUE"""),1.0)</f>
        <v>1</v>
      </c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</row>
    <row r="855" ht="15.75" customHeight="1">
      <c r="A855" s="11">
        <f>IFERROR(__xludf.DUMMYFUNCTION("""COMPUTED_VALUE"""),44471.0)</f>
        <v>44471</v>
      </c>
      <c r="B855" s="9">
        <f>IFERROR(__xludf.DUMMYFUNCTION("""COMPUTED_VALUE"""),1003404.0)</f>
        <v>1003404</v>
      </c>
      <c r="C855" s="9">
        <f>IFERROR(__xludf.DUMMYFUNCTION("""COMPUTED_VALUE"""),110085.0)</f>
        <v>110085</v>
      </c>
      <c r="D855" s="9"/>
      <c r="E855" s="9"/>
      <c r="F855" s="9">
        <f>IFERROR(__xludf.DUMMYFUNCTION("""COMPUTED_VALUE"""),1.92)</f>
        <v>1.92</v>
      </c>
      <c r="G855" s="9">
        <f>IFERROR(__xludf.DUMMYFUNCTION("""COMPUTED_VALUE"""),1.92)</f>
        <v>1.92</v>
      </c>
      <c r="H855" s="9">
        <f>IFERROR(__xludf.DUMMYFUNCTION("""COMPUTED_VALUE"""),1.0)</f>
        <v>1</v>
      </c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</row>
    <row r="856" ht="15.75" customHeight="1">
      <c r="A856" s="11">
        <f>IFERROR(__xludf.DUMMYFUNCTION("""COMPUTED_VALUE"""),44471.0)</f>
        <v>44471</v>
      </c>
      <c r="B856" s="9">
        <f>IFERROR(__xludf.DUMMYFUNCTION("""COMPUTED_VALUE"""),1003404.0)</f>
        <v>1003404</v>
      </c>
      <c r="C856" s="9">
        <f>IFERROR(__xludf.DUMMYFUNCTION("""COMPUTED_VALUE"""),90883.0)</f>
        <v>90883</v>
      </c>
      <c r="D856" s="9"/>
      <c r="E856" s="9"/>
      <c r="F856" s="9">
        <f>IFERROR(__xludf.DUMMYFUNCTION("""COMPUTED_VALUE"""),7.83)</f>
        <v>7.83</v>
      </c>
      <c r="G856" s="9">
        <f>IFERROR(__xludf.DUMMYFUNCTION("""COMPUTED_VALUE"""),7.83)</f>
        <v>7.83</v>
      </c>
      <c r="H856" s="9">
        <f>IFERROR(__xludf.DUMMYFUNCTION("""COMPUTED_VALUE"""),3.0)</f>
        <v>3</v>
      </c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</row>
    <row r="857" ht="15.75" customHeight="1">
      <c r="A857" s="11">
        <f>IFERROR(__xludf.DUMMYFUNCTION("""COMPUTED_VALUE"""),44471.0)</f>
        <v>44471</v>
      </c>
      <c r="B857" s="9">
        <f>IFERROR(__xludf.DUMMYFUNCTION("""COMPUTED_VALUE"""),1003404.0)</f>
        <v>1003404</v>
      </c>
      <c r="C857" s="9">
        <f>IFERROR(__xludf.DUMMYFUNCTION("""COMPUTED_VALUE"""),77318.0)</f>
        <v>77318</v>
      </c>
      <c r="D857" s="10" t="str">
        <f>IFERROR(__xludf.DUMMYFUNCTION("""COMPUTED_VALUE"""),"Vive le bio")</f>
        <v>Vive le bio</v>
      </c>
      <c r="E857" s="10"/>
      <c r="F857" s="9">
        <f>IFERROR(__xludf.DUMMYFUNCTION("""COMPUTED_VALUE"""),29.9888888888888)</f>
        <v>29.98888889</v>
      </c>
      <c r="G857" s="9">
        <f>IFERROR(__xludf.DUMMYFUNCTION("""COMPUTED_VALUE"""),26.99)</f>
        <v>26.99</v>
      </c>
      <c r="H857" s="9">
        <f>IFERROR(__xludf.DUMMYFUNCTION("""COMPUTED_VALUE"""),10.0)</f>
        <v>10</v>
      </c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</row>
    <row r="858" ht="15.75" customHeight="1">
      <c r="A858" s="11">
        <f>IFERROR(__xludf.DUMMYFUNCTION("""COMPUTED_VALUE"""),44471.0)</f>
        <v>44471</v>
      </c>
      <c r="B858" s="9">
        <f>IFERROR(__xludf.DUMMYFUNCTION("""COMPUTED_VALUE"""),1003404.0)</f>
        <v>1003404</v>
      </c>
      <c r="C858" s="9">
        <f>IFERROR(__xludf.DUMMYFUNCTION("""COMPUTED_VALUE"""),118876.0)</f>
        <v>118876</v>
      </c>
      <c r="D858" s="10" t="str">
        <f>IFERROR(__xludf.DUMMYFUNCTION("""COMPUTED_VALUE"""),"Vive le bio")</f>
        <v>Vive le bio</v>
      </c>
      <c r="E858" s="10"/>
      <c r="F858" s="9">
        <f>IFERROR(__xludf.DUMMYFUNCTION("""COMPUTED_VALUE"""),24.1777777777777)</f>
        <v>24.17777778</v>
      </c>
      <c r="G858" s="9">
        <f>IFERROR(__xludf.DUMMYFUNCTION("""COMPUTED_VALUE"""),21.76)</f>
        <v>21.76</v>
      </c>
      <c r="H858" s="9">
        <f>IFERROR(__xludf.DUMMYFUNCTION("""COMPUTED_VALUE"""),10.0)</f>
        <v>10</v>
      </c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</row>
    <row r="859" ht="15.75" customHeight="1">
      <c r="A859" s="11">
        <f>IFERROR(__xludf.DUMMYFUNCTION("""COMPUTED_VALUE"""),44471.0)</f>
        <v>44471</v>
      </c>
      <c r="B859" s="9">
        <f>IFERROR(__xludf.DUMMYFUNCTION("""COMPUTED_VALUE"""),1003406.0)</f>
        <v>1003406</v>
      </c>
      <c r="C859" s="9">
        <f>IFERROR(__xludf.DUMMYFUNCTION("""COMPUTED_VALUE"""),90294.0)</f>
        <v>90294</v>
      </c>
      <c r="D859" s="9"/>
      <c r="E859" s="9"/>
      <c r="F859" s="9">
        <f>IFERROR(__xludf.DUMMYFUNCTION("""COMPUTED_VALUE"""),6.5)</f>
        <v>6.5</v>
      </c>
      <c r="G859" s="9">
        <f>IFERROR(__xludf.DUMMYFUNCTION("""COMPUTED_VALUE"""),6.5)</f>
        <v>6.5</v>
      </c>
      <c r="H859" s="9">
        <f>IFERROR(__xludf.DUMMYFUNCTION("""COMPUTED_VALUE"""),1.0)</f>
        <v>1</v>
      </c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</row>
    <row r="860" ht="15.75" customHeight="1">
      <c r="A860" s="11">
        <f>IFERROR(__xludf.DUMMYFUNCTION("""COMPUTED_VALUE"""),44471.0)</f>
        <v>44471</v>
      </c>
      <c r="B860" s="9">
        <f>IFERROR(__xludf.DUMMYFUNCTION("""COMPUTED_VALUE"""),1003406.0)</f>
        <v>1003406</v>
      </c>
      <c r="C860" s="9">
        <f>IFERROR(__xludf.DUMMYFUNCTION("""COMPUTED_VALUE"""),6044.0)</f>
        <v>6044</v>
      </c>
      <c r="D860" s="9"/>
      <c r="E860" s="9"/>
      <c r="F860" s="9">
        <f>IFERROR(__xludf.DUMMYFUNCTION("""COMPUTED_VALUE"""),6.75)</f>
        <v>6.75</v>
      </c>
      <c r="G860" s="9">
        <f>IFERROR(__xludf.DUMMYFUNCTION("""COMPUTED_VALUE"""),6.75)</f>
        <v>6.75</v>
      </c>
      <c r="H860" s="9">
        <f>IFERROR(__xludf.DUMMYFUNCTION("""COMPUTED_VALUE"""),1.0)</f>
        <v>1</v>
      </c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</row>
    <row r="861" ht="15.75" customHeight="1">
      <c r="A861" s="11">
        <f>IFERROR(__xludf.DUMMYFUNCTION("""COMPUTED_VALUE"""),44471.0)</f>
        <v>44471</v>
      </c>
      <c r="B861" s="9">
        <f>IFERROR(__xludf.DUMMYFUNCTION("""COMPUTED_VALUE"""),1003406.0)</f>
        <v>1003406</v>
      </c>
      <c r="C861" s="9">
        <f>IFERROR(__xludf.DUMMYFUNCTION("""COMPUTED_VALUE"""),80729.0)</f>
        <v>80729</v>
      </c>
      <c r="D861" s="9"/>
      <c r="E861" s="9"/>
      <c r="F861" s="9">
        <f>IFERROR(__xludf.DUMMYFUNCTION("""COMPUTED_VALUE"""),2.63)</f>
        <v>2.63</v>
      </c>
      <c r="G861" s="9">
        <f>IFERROR(__xludf.DUMMYFUNCTION("""COMPUTED_VALUE"""),2.63)</f>
        <v>2.63</v>
      </c>
      <c r="H861" s="9">
        <f>IFERROR(__xludf.DUMMYFUNCTION("""COMPUTED_VALUE"""),1.0)</f>
        <v>1</v>
      </c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</row>
    <row r="862" ht="15.75" customHeight="1">
      <c r="A862" s="11">
        <f>IFERROR(__xludf.DUMMYFUNCTION("""COMPUTED_VALUE"""),44471.0)</f>
        <v>44471</v>
      </c>
      <c r="B862" s="9">
        <f>IFERROR(__xludf.DUMMYFUNCTION("""COMPUTED_VALUE"""),1003406.0)</f>
        <v>1003406</v>
      </c>
      <c r="C862" s="9">
        <f>IFERROR(__xludf.DUMMYFUNCTION("""COMPUTED_VALUE"""),104319.0)</f>
        <v>104319</v>
      </c>
      <c r="D862" s="9"/>
      <c r="E862" s="9"/>
      <c r="F862" s="9">
        <f>IFERROR(__xludf.DUMMYFUNCTION("""COMPUTED_VALUE"""),2.76)</f>
        <v>2.76</v>
      </c>
      <c r="G862" s="9">
        <f>IFERROR(__xludf.DUMMYFUNCTION("""COMPUTED_VALUE"""),2.76)</f>
        <v>2.76</v>
      </c>
      <c r="H862" s="9">
        <f>IFERROR(__xludf.DUMMYFUNCTION("""COMPUTED_VALUE"""),1.0)</f>
        <v>1</v>
      </c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</row>
    <row r="863" ht="15.75" customHeight="1">
      <c r="A863" s="11">
        <f>IFERROR(__xludf.DUMMYFUNCTION("""COMPUTED_VALUE"""),44471.0)</f>
        <v>44471</v>
      </c>
      <c r="B863" s="9">
        <f>IFERROR(__xludf.DUMMYFUNCTION("""COMPUTED_VALUE"""),1003406.0)</f>
        <v>1003406</v>
      </c>
      <c r="C863" s="9">
        <f>IFERROR(__xludf.DUMMYFUNCTION("""COMPUTED_VALUE"""),86480.0)</f>
        <v>86480</v>
      </c>
      <c r="D863" s="10" t="str">
        <f>IFERROR(__xludf.DUMMYFUNCTION("""COMPUTED_VALUE"""),"Vive le bio")</f>
        <v>Vive le bio</v>
      </c>
      <c r="E863" s="10"/>
      <c r="F863" s="9">
        <f>IFERROR(__xludf.DUMMYFUNCTION("""COMPUTED_VALUE"""),1.84444444444444)</f>
        <v>1.844444444</v>
      </c>
      <c r="G863" s="9">
        <f>IFERROR(__xludf.DUMMYFUNCTION("""COMPUTED_VALUE"""),1.66)</f>
        <v>1.66</v>
      </c>
      <c r="H863" s="9">
        <f>IFERROR(__xludf.DUMMYFUNCTION("""COMPUTED_VALUE"""),1.0)</f>
        <v>1</v>
      </c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</row>
    <row r="864" ht="15.75" customHeight="1">
      <c r="A864" s="11">
        <f>IFERROR(__xludf.DUMMYFUNCTION("""COMPUTED_VALUE"""),44471.0)</f>
        <v>44471</v>
      </c>
      <c r="B864" s="9">
        <f>IFERROR(__xludf.DUMMYFUNCTION("""COMPUTED_VALUE"""),1003406.0)</f>
        <v>1003406</v>
      </c>
      <c r="C864" s="9">
        <f>IFERROR(__xludf.DUMMYFUNCTION("""COMPUTED_VALUE"""),69334.0)</f>
        <v>69334</v>
      </c>
      <c r="D864" s="10" t="str">
        <f>IFERROR(__xludf.DUMMYFUNCTION("""COMPUTED_VALUE"""),"Vive le bio")</f>
        <v>Vive le bio</v>
      </c>
      <c r="E864" s="10"/>
      <c r="F864" s="9">
        <f>IFERROR(__xludf.DUMMYFUNCTION("""COMPUTED_VALUE"""),5.22222222222222)</f>
        <v>5.222222222</v>
      </c>
      <c r="G864" s="9">
        <f>IFERROR(__xludf.DUMMYFUNCTION("""COMPUTED_VALUE"""),4.7)</f>
        <v>4.7</v>
      </c>
      <c r="H864" s="9">
        <f>IFERROR(__xludf.DUMMYFUNCTION("""COMPUTED_VALUE"""),1.0)</f>
        <v>1</v>
      </c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</row>
    <row r="865" ht="15.75" customHeight="1">
      <c r="A865" s="11">
        <f>IFERROR(__xludf.DUMMYFUNCTION("""COMPUTED_VALUE"""),44471.0)</f>
        <v>44471</v>
      </c>
      <c r="B865" s="9">
        <f>IFERROR(__xludf.DUMMYFUNCTION("""COMPUTED_VALUE"""),1003406.0)</f>
        <v>1003406</v>
      </c>
      <c r="C865" s="9">
        <f>IFERROR(__xludf.DUMMYFUNCTION("""COMPUTED_VALUE"""),8698.0)</f>
        <v>8698</v>
      </c>
      <c r="D865" s="10" t="str">
        <f>IFERROR(__xludf.DUMMYFUNCTION("""COMPUTED_VALUE"""),"Offre speciale")</f>
        <v>Offre speciale</v>
      </c>
      <c r="E865" s="10"/>
      <c r="F865" s="9">
        <f>IFERROR(__xludf.DUMMYFUNCTION("""COMPUTED_VALUE"""),3.15294117647058)</f>
        <v>3.152941176</v>
      </c>
      <c r="G865" s="9">
        <f>IFERROR(__xludf.DUMMYFUNCTION("""COMPUTED_VALUE"""),2.68)</f>
        <v>2.68</v>
      </c>
      <c r="H865" s="9">
        <f>IFERROR(__xludf.DUMMYFUNCTION("""COMPUTED_VALUE"""),1.0)</f>
        <v>1</v>
      </c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</row>
    <row r="866" ht="15.75" customHeight="1">
      <c r="A866" s="11">
        <f>IFERROR(__xludf.DUMMYFUNCTION("""COMPUTED_VALUE"""),44471.0)</f>
        <v>44471</v>
      </c>
      <c r="B866" s="9">
        <f>IFERROR(__xludf.DUMMYFUNCTION("""COMPUTED_VALUE"""),1003406.0)</f>
        <v>1003406</v>
      </c>
      <c r="C866" s="9">
        <f>IFERROR(__xludf.DUMMYFUNCTION("""COMPUTED_VALUE"""),110575.0)</f>
        <v>110575</v>
      </c>
      <c r="D866" s="9"/>
      <c r="E866" s="9"/>
      <c r="F866" s="9">
        <f>IFERROR(__xludf.DUMMYFUNCTION("""COMPUTED_VALUE"""),1.89)</f>
        <v>1.89</v>
      </c>
      <c r="G866" s="9">
        <f>IFERROR(__xludf.DUMMYFUNCTION("""COMPUTED_VALUE"""),1.89)</f>
        <v>1.89</v>
      </c>
      <c r="H866" s="9">
        <f>IFERROR(__xludf.DUMMYFUNCTION("""COMPUTED_VALUE"""),1.0)</f>
        <v>1</v>
      </c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</row>
    <row r="867" ht="15.75" customHeight="1">
      <c r="A867" s="11">
        <f>IFERROR(__xludf.DUMMYFUNCTION("""COMPUTED_VALUE"""),44471.0)</f>
        <v>44471</v>
      </c>
      <c r="B867" s="9">
        <f>IFERROR(__xludf.DUMMYFUNCTION("""COMPUTED_VALUE"""),1003406.0)</f>
        <v>1003406</v>
      </c>
      <c r="C867" s="9">
        <f>IFERROR(__xludf.DUMMYFUNCTION("""COMPUTED_VALUE"""),82008.0)</f>
        <v>82008</v>
      </c>
      <c r="D867" s="9"/>
      <c r="E867" s="9"/>
      <c r="F867" s="9">
        <f>IFERROR(__xludf.DUMMYFUNCTION("""COMPUTED_VALUE"""),2.17)</f>
        <v>2.17</v>
      </c>
      <c r="G867" s="9">
        <f>IFERROR(__xludf.DUMMYFUNCTION("""COMPUTED_VALUE"""),2.17)</f>
        <v>2.17</v>
      </c>
      <c r="H867" s="9">
        <f>IFERROR(__xludf.DUMMYFUNCTION("""COMPUTED_VALUE"""),1.0)</f>
        <v>1</v>
      </c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</row>
    <row r="868" ht="15.75" customHeight="1">
      <c r="A868" s="11">
        <f>IFERROR(__xludf.DUMMYFUNCTION("""COMPUTED_VALUE"""),44471.0)</f>
        <v>44471</v>
      </c>
      <c r="B868" s="9">
        <f>IFERROR(__xludf.DUMMYFUNCTION("""COMPUTED_VALUE"""),1003406.0)</f>
        <v>1003406</v>
      </c>
      <c r="C868" s="9">
        <f>IFERROR(__xludf.DUMMYFUNCTION("""COMPUTED_VALUE"""),81726.0)</f>
        <v>81726</v>
      </c>
      <c r="D868" s="9"/>
      <c r="E868" s="9"/>
      <c r="F868" s="9">
        <f>IFERROR(__xludf.DUMMYFUNCTION("""COMPUTED_VALUE"""),2.42)</f>
        <v>2.42</v>
      </c>
      <c r="G868" s="9">
        <f>IFERROR(__xludf.DUMMYFUNCTION("""COMPUTED_VALUE"""),2.42)</f>
        <v>2.42</v>
      </c>
      <c r="H868" s="9">
        <f>IFERROR(__xludf.DUMMYFUNCTION("""COMPUTED_VALUE"""),1.0)</f>
        <v>1</v>
      </c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</row>
    <row r="869" ht="15.75" customHeight="1">
      <c r="A869" s="11">
        <f>IFERROR(__xludf.DUMMYFUNCTION("""COMPUTED_VALUE"""),44471.0)</f>
        <v>44471</v>
      </c>
      <c r="B869" s="9">
        <f>IFERROR(__xludf.DUMMYFUNCTION("""COMPUTED_VALUE"""),1003406.0)</f>
        <v>1003406</v>
      </c>
      <c r="C869" s="9">
        <f>IFERROR(__xludf.DUMMYFUNCTION("""COMPUTED_VALUE"""),156181.0)</f>
        <v>156181</v>
      </c>
      <c r="D869" s="9"/>
      <c r="E869" s="9"/>
      <c r="F869" s="9">
        <f>IFERROR(__xludf.DUMMYFUNCTION("""COMPUTED_VALUE"""),4.09)</f>
        <v>4.09</v>
      </c>
      <c r="G869" s="9">
        <f>IFERROR(__xludf.DUMMYFUNCTION("""COMPUTED_VALUE"""),4.09)</f>
        <v>4.09</v>
      </c>
      <c r="H869" s="9">
        <f>IFERROR(__xludf.DUMMYFUNCTION("""COMPUTED_VALUE"""),1.0)</f>
        <v>1</v>
      </c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</row>
    <row r="870" ht="15.75" customHeight="1">
      <c r="A870" s="11">
        <f>IFERROR(__xludf.DUMMYFUNCTION("""COMPUTED_VALUE"""),44471.0)</f>
        <v>44471</v>
      </c>
      <c r="B870" s="9">
        <f>IFERROR(__xludf.DUMMYFUNCTION("""COMPUTED_VALUE"""),1003406.0)</f>
        <v>1003406</v>
      </c>
      <c r="C870" s="9">
        <f>IFERROR(__xludf.DUMMYFUNCTION("""COMPUTED_VALUE"""),18100.0)</f>
        <v>18100</v>
      </c>
      <c r="D870" s="9"/>
      <c r="E870" s="9"/>
      <c r="F870" s="9">
        <f>IFERROR(__xludf.DUMMYFUNCTION("""COMPUTED_VALUE"""),8.22)</f>
        <v>8.22</v>
      </c>
      <c r="G870" s="9">
        <f>IFERROR(__xludf.DUMMYFUNCTION("""COMPUTED_VALUE"""),8.22)</f>
        <v>8.22</v>
      </c>
      <c r="H870" s="9">
        <f>IFERROR(__xludf.DUMMYFUNCTION("""COMPUTED_VALUE"""),1.0)</f>
        <v>1</v>
      </c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</row>
    <row r="871" ht="15.75" customHeight="1">
      <c r="A871" s="11">
        <f>IFERROR(__xludf.DUMMYFUNCTION("""COMPUTED_VALUE"""),44471.0)</f>
        <v>44471</v>
      </c>
      <c r="B871" s="9">
        <f>IFERROR(__xludf.DUMMYFUNCTION("""COMPUTED_VALUE"""),1003406.0)</f>
        <v>1003406</v>
      </c>
      <c r="C871" s="9">
        <f>IFERROR(__xludf.DUMMYFUNCTION("""COMPUTED_VALUE"""),86416.0)</f>
        <v>86416</v>
      </c>
      <c r="D871" s="9"/>
      <c r="E871" s="9"/>
      <c r="F871" s="9">
        <f>IFERROR(__xludf.DUMMYFUNCTION("""COMPUTED_VALUE"""),1.59)</f>
        <v>1.59</v>
      </c>
      <c r="G871" s="9">
        <f>IFERROR(__xludf.DUMMYFUNCTION("""COMPUTED_VALUE"""),1.59)</f>
        <v>1.59</v>
      </c>
      <c r="H871" s="9">
        <f>IFERROR(__xludf.DUMMYFUNCTION("""COMPUTED_VALUE"""),1.0)</f>
        <v>1</v>
      </c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</row>
    <row r="872" ht="15.75" customHeight="1">
      <c r="A872" s="11">
        <f>IFERROR(__xludf.DUMMYFUNCTION("""COMPUTED_VALUE"""),44471.0)</f>
        <v>44471</v>
      </c>
      <c r="B872" s="9">
        <f>IFERROR(__xludf.DUMMYFUNCTION("""COMPUTED_VALUE"""),1003406.0)</f>
        <v>1003406</v>
      </c>
      <c r="C872" s="9">
        <f>IFERROR(__xludf.DUMMYFUNCTION("""COMPUTED_VALUE"""),46896.0)</f>
        <v>46896</v>
      </c>
      <c r="D872" s="9"/>
      <c r="E872" s="9"/>
      <c r="F872" s="9">
        <f>IFERROR(__xludf.DUMMYFUNCTION("""COMPUTED_VALUE"""),4.87)</f>
        <v>4.87</v>
      </c>
      <c r="G872" s="9">
        <f>IFERROR(__xludf.DUMMYFUNCTION("""COMPUTED_VALUE"""),4.87)</f>
        <v>4.87</v>
      </c>
      <c r="H872" s="9">
        <f>IFERROR(__xludf.DUMMYFUNCTION("""COMPUTED_VALUE"""),1.0)</f>
        <v>1</v>
      </c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</row>
    <row r="873" ht="15.75" customHeight="1">
      <c r="A873" s="11">
        <f>IFERROR(__xludf.DUMMYFUNCTION("""COMPUTED_VALUE"""),44471.0)</f>
        <v>44471</v>
      </c>
      <c r="B873" s="9">
        <f>IFERROR(__xludf.DUMMYFUNCTION("""COMPUTED_VALUE"""),1003406.0)</f>
        <v>1003406</v>
      </c>
      <c r="C873" s="9">
        <f>IFERROR(__xludf.DUMMYFUNCTION("""COMPUTED_VALUE"""),68513.0)</f>
        <v>68513</v>
      </c>
      <c r="D873" s="9"/>
      <c r="E873" s="9"/>
      <c r="F873" s="9">
        <f>IFERROR(__xludf.DUMMYFUNCTION("""COMPUTED_VALUE"""),2.46)</f>
        <v>2.46</v>
      </c>
      <c r="G873" s="9">
        <f>IFERROR(__xludf.DUMMYFUNCTION("""COMPUTED_VALUE"""),2.46)</f>
        <v>2.46</v>
      </c>
      <c r="H873" s="9">
        <f>IFERROR(__xludf.DUMMYFUNCTION("""COMPUTED_VALUE"""),1.0)</f>
        <v>1</v>
      </c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</row>
    <row r="874" ht="15.75" customHeight="1">
      <c r="A874" s="11">
        <f>IFERROR(__xludf.DUMMYFUNCTION("""COMPUTED_VALUE"""),44471.0)</f>
        <v>44471</v>
      </c>
      <c r="B874" s="9">
        <f>IFERROR(__xludf.DUMMYFUNCTION("""COMPUTED_VALUE"""),1003406.0)</f>
        <v>1003406</v>
      </c>
      <c r="C874" s="9">
        <f>IFERROR(__xludf.DUMMYFUNCTION("""COMPUTED_VALUE"""),96972.0)</f>
        <v>96972</v>
      </c>
      <c r="D874" s="9"/>
      <c r="E874" s="9"/>
      <c r="F874" s="9">
        <f>IFERROR(__xludf.DUMMYFUNCTION("""COMPUTED_VALUE"""),2.71)</f>
        <v>2.71</v>
      </c>
      <c r="G874" s="9">
        <f>IFERROR(__xludf.DUMMYFUNCTION("""COMPUTED_VALUE"""),2.71)</f>
        <v>2.71</v>
      </c>
      <c r="H874" s="9">
        <f>IFERROR(__xludf.DUMMYFUNCTION("""COMPUTED_VALUE"""),1.0)</f>
        <v>1</v>
      </c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</row>
    <row r="875" ht="15.75" customHeight="1">
      <c r="A875" s="11">
        <f>IFERROR(__xludf.DUMMYFUNCTION("""COMPUTED_VALUE"""),44471.0)</f>
        <v>44471</v>
      </c>
      <c r="B875" s="9">
        <f>IFERROR(__xludf.DUMMYFUNCTION("""COMPUTED_VALUE"""),1003406.0)</f>
        <v>1003406</v>
      </c>
      <c r="C875" s="9">
        <f>IFERROR(__xludf.DUMMYFUNCTION("""COMPUTED_VALUE"""),84203.0)</f>
        <v>84203</v>
      </c>
      <c r="D875" s="10" t="str">
        <f>IFERROR(__xludf.DUMMYFUNCTION("""COMPUTED_VALUE"""),"Offre speciale")</f>
        <v>Offre speciale</v>
      </c>
      <c r="E875" s="10"/>
      <c r="F875" s="9">
        <f>IFERROR(__xludf.DUMMYFUNCTION("""COMPUTED_VALUE"""),4.17647058823529)</f>
        <v>4.176470588</v>
      </c>
      <c r="G875" s="9">
        <f>IFERROR(__xludf.DUMMYFUNCTION("""COMPUTED_VALUE"""),3.55)</f>
        <v>3.55</v>
      </c>
      <c r="H875" s="9">
        <f>IFERROR(__xludf.DUMMYFUNCTION("""COMPUTED_VALUE"""),1.0)</f>
        <v>1</v>
      </c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</row>
    <row r="876" ht="15.75" customHeight="1">
      <c r="A876" s="11">
        <f>IFERROR(__xludf.DUMMYFUNCTION("""COMPUTED_VALUE"""),44471.0)</f>
        <v>44471</v>
      </c>
      <c r="B876" s="9">
        <f>IFERROR(__xludf.DUMMYFUNCTION("""COMPUTED_VALUE"""),1003406.0)</f>
        <v>1003406</v>
      </c>
      <c r="C876" s="9">
        <f>IFERROR(__xludf.DUMMYFUNCTION("""COMPUTED_VALUE"""),86400.0)</f>
        <v>86400</v>
      </c>
      <c r="D876" s="9"/>
      <c r="E876" s="9"/>
      <c r="F876" s="9">
        <f>IFERROR(__xludf.DUMMYFUNCTION("""COMPUTED_VALUE"""),2.09)</f>
        <v>2.09</v>
      </c>
      <c r="G876" s="9">
        <f>IFERROR(__xludf.DUMMYFUNCTION("""COMPUTED_VALUE"""),2.09)</f>
        <v>2.09</v>
      </c>
      <c r="H876" s="9">
        <f>IFERROR(__xludf.DUMMYFUNCTION("""COMPUTED_VALUE"""),1.0)</f>
        <v>1</v>
      </c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</row>
    <row r="877" ht="15.75" customHeight="1">
      <c r="A877" s="11">
        <f>IFERROR(__xludf.DUMMYFUNCTION("""COMPUTED_VALUE"""),44471.0)</f>
        <v>44471</v>
      </c>
      <c r="B877" s="9">
        <f>IFERROR(__xludf.DUMMYFUNCTION("""COMPUTED_VALUE"""),1003406.0)</f>
        <v>1003406</v>
      </c>
      <c r="C877" s="9">
        <f>IFERROR(__xludf.DUMMYFUNCTION("""COMPUTED_VALUE"""),87416.0)</f>
        <v>87416</v>
      </c>
      <c r="D877" s="9"/>
      <c r="E877" s="9"/>
      <c r="F877" s="9">
        <f>IFERROR(__xludf.DUMMYFUNCTION("""COMPUTED_VALUE"""),2.22)</f>
        <v>2.22</v>
      </c>
      <c r="G877" s="9">
        <f>IFERROR(__xludf.DUMMYFUNCTION("""COMPUTED_VALUE"""),2.22)</f>
        <v>2.22</v>
      </c>
      <c r="H877" s="9">
        <f>IFERROR(__xludf.DUMMYFUNCTION("""COMPUTED_VALUE"""),1.0)</f>
        <v>1</v>
      </c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</row>
    <row r="878" ht="15.75" customHeight="1">
      <c r="A878" s="11">
        <f>IFERROR(__xludf.DUMMYFUNCTION("""COMPUTED_VALUE"""),44471.0)</f>
        <v>44471</v>
      </c>
      <c r="B878" s="9">
        <f>IFERROR(__xludf.DUMMYFUNCTION("""COMPUTED_VALUE"""),1003406.0)</f>
        <v>1003406</v>
      </c>
      <c r="C878" s="9">
        <f>IFERROR(__xludf.DUMMYFUNCTION("""COMPUTED_VALUE"""),86470.0)</f>
        <v>86470</v>
      </c>
      <c r="D878" s="9"/>
      <c r="E878" s="9"/>
      <c r="F878" s="9">
        <f>IFERROR(__xludf.DUMMYFUNCTION("""COMPUTED_VALUE"""),1.36)</f>
        <v>1.36</v>
      </c>
      <c r="G878" s="9">
        <f>IFERROR(__xludf.DUMMYFUNCTION("""COMPUTED_VALUE"""),1.36)</f>
        <v>1.36</v>
      </c>
      <c r="H878" s="9">
        <f>IFERROR(__xludf.DUMMYFUNCTION("""COMPUTED_VALUE"""),1.0)</f>
        <v>1</v>
      </c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</row>
    <row r="879" ht="15.75" customHeight="1">
      <c r="A879" s="11">
        <f>IFERROR(__xludf.DUMMYFUNCTION("""COMPUTED_VALUE"""),44471.0)</f>
        <v>44471</v>
      </c>
      <c r="B879" s="9">
        <f>IFERROR(__xludf.DUMMYFUNCTION("""COMPUTED_VALUE"""),1003406.0)</f>
        <v>1003406</v>
      </c>
      <c r="C879" s="9">
        <f>IFERROR(__xludf.DUMMYFUNCTION("""COMPUTED_VALUE"""),77310.0)</f>
        <v>77310</v>
      </c>
      <c r="D879" s="9"/>
      <c r="E879" s="9"/>
      <c r="F879" s="9">
        <f>IFERROR(__xludf.DUMMYFUNCTION("""COMPUTED_VALUE"""),4.45)</f>
        <v>4.45</v>
      </c>
      <c r="G879" s="9">
        <f>IFERROR(__xludf.DUMMYFUNCTION("""COMPUTED_VALUE"""),4.45)</f>
        <v>4.45</v>
      </c>
      <c r="H879" s="9">
        <f>IFERROR(__xludf.DUMMYFUNCTION("""COMPUTED_VALUE"""),1.0)</f>
        <v>1</v>
      </c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</row>
    <row r="880" ht="15.75" customHeight="1">
      <c r="A880" s="11">
        <f>IFERROR(__xludf.DUMMYFUNCTION("""COMPUTED_VALUE"""),44471.0)</f>
        <v>44471</v>
      </c>
      <c r="B880" s="9">
        <f>IFERROR(__xludf.DUMMYFUNCTION("""COMPUTED_VALUE"""),1003406.0)</f>
        <v>1003406</v>
      </c>
      <c r="C880" s="9">
        <f>IFERROR(__xludf.DUMMYFUNCTION("""COMPUTED_VALUE"""),19321.0)</f>
        <v>19321</v>
      </c>
      <c r="D880" s="9"/>
      <c r="E880" s="9"/>
      <c r="F880" s="9">
        <f>IFERROR(__xludf.DUMMYFUNCTION("""COMPUTED_VALUE"""),4.46)</f>
        <v>4.46</v>
      </c>
      <c r="G880" s="9">
        <f>IFERROR(__xludf.DUMMYFUNCTION("""COMPUTED_VALUE"""),4.46)</f>
        <v>4.46</v>
      </c>
      <c r="H880" s="9">
        <f>IFERROR(__xludf.DUMMYFUNCTION("""COMPUTED_VALUE"""),1.0)</f>
        <v>1</v>
      </c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</row>
    <row r="881" ht="15.75" customHeight="1">
      <c r="A881" s="11">
        <f>IFERROR(__xludf.DUMMYFUNCTION("""COMPUTED_VALUE"""),44471.0)</f>
        <v>44471</v>
      </c>
      <c r="B881" s="9">
        <f>IFERROR(__xludf.DUMMYFUNCTION("""COMPUTED_VALUE"""),1003406.0)</f>
        <v>1003406</v>
      </c>
      <c r="C881" s="9">
        <f>IFERROR(__xludf.DUMMYFUNCTION("""COMPUTED_VALUE"""),87418.0)</f>
        <v>87418</v>
      </c>
      <c r="D881" s="9"/>
      <c r="E881" s="9"/>
      <c r="F881" s="9">
        <f>IFERROR(__xludf.DUMMYFUNCTION("""COMPUTED_VALUE"""),2.86)</f>
        <v>2.86</v>
      </c>
      <c r="G881" s="9">
        <f>IFERROR(__xludf.DUMMYFUNCTION("""COMPUTED_VALUE"""),2.86)</f>
        <v>2.86</v>
      </c>
      <c r="H881" s="9">
        <f>IFERROR(__xludf.DUMMYFUNCTION("""COMPUTED_VALUE"""),1.0)</f>
        <v>1</v>
      </c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</row>
    <row r="882" ht="15.75" customHeight="1">
      <c r="A882" s="11">
        <f>IFERROR(__xludf.DUMMYFUNCTION("""COMPUTED_VALUE"""),44471.0)</f>
        <v>44471</v>
      </c>
      <c r="B882" s="9">
        <f>IFERROR(__xludf.DUMMYFUNCTION("""COMPUTED_VALUE"""),1003406.0)</f>
        <v>1003406</v>
      </c>
      <c r="C882" s="9">
        <f>IFERROR(__xludf.DUMMYFUNCTION("""COMPUTED_VALUE"""),16546.0)</f>
        <v>16546</v>
      </c>
      <c r="D882" s="9"/>
      <c r="E882" s="9"/>
      <c r="F882" s="9">
        <f>IFERROR(__xludf.DUMMYFUNCTION("""COMPUTED_VALUE"""),2.8)</f>
        <v>2.8</v>
      </c>
      <c r="G882" s="9">
        <f>IFERROR(__xludf.DUMMYFUNCTION("""COMPUTED_VALUE"""),2.8)</f>
        <v>2.8</v>
      </c>
      <c r="H882" s="9">
        <f>IFERROR(__xludf.DUMMYFUNCTION("""COMPUTED_VALUE"""),2.0)</f>
        <v>2</v>
      </c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</row>
    <row r="883" ht="15.75" customHeight="1">
      <c r="A883" s="11">
        <f>IFERROR(__xludf.DUMMYFUNCTION("""COMPUTED_VALUE"""),44471.0)</f>
        <v>44471</v>
      </c>
      <c r="B883" s="9">
        <f>IFERROR(__xludf.DUMMYFUNCTION("""COMPUTED_VALUE"""),1003406.0)</f>
        <v>1003406</v>
      </c>
      <c r="C883" s="9">
        <f>IFERROR(__xludf.DUMMYFUNCTION("""COMPUTED_VALUE"""),83054.0)</f>
        <v>83054</v>
      </c>
      <c r="D883" s="9"/>
      <c r="E883" s="9"/>
      <c r="F883" s="9">
        <f>IFERROR(__xludf.DUMMYFUNCTION("""COMPUTED_VALUE"""),2.82)</f>
        <v>2.82</v>
      </c>
      <c r="G883" s="9">
        <f>IFERROR(__xludf.DUMMYFUNCTION("""COMPUTED_VALUE"""),2.82)</f>
        <v>2.82</v>
      </c>
      <c r="H883" s="9">
        <f>IFERROR(__xludf.DUMMYFUNCTION("""COMPUTED_VALUE"""),2.0)</f>
        <v>2</v>
      </c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</row>
    <row r="884" ht="15.75" customHeight="1">
      <c r="A884" s="11">
        <f>IFERROR(__xludf.DUMMYFUNCTION("""COMPUTED_VALUE"""),44471.0)</f>
        <v>44471</v>
      </c>
      <c r="B884" s="9">
        <f>IFERROR(__xludf.DUMMYFUNCTION("""COMPUTED_VALUE"""),1003407.0)</f>
        <v>1003407</v>
      </c>
      <c r="C884" s="9">
        <f>IFERROR(__xludf.DUMMYFUNCTION("""COMPUTED_VALUE"""),48486.0)</f>
        <v>48486</v>
      </c>
      <c r="D884" s="9"/>
      <c r="E884" s="9"/>
      <c r="F884" s="9">
        <f>IFERROR(__xludf.DUMMYFUNCTION("""COMPUTED_VALUE"""),45.85)</f>
        <v>45.85</v>
      </c>
      <c r="G884" s="9">
        <f>IFERROR(__xludf.DUMMYFUNCTION("""COMPUTED_VALUE"""),45.85)</f>
        <v>45.85</v>
      </c>
      <c r="H884" s="9">
        <f>IFERROR(__xludf.DUMMYFUNCTION("""COMPUTED_VALUE"""),2.0)</f>
        <v>2</v>
      </c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</row>
    <row r="885" ht="15.75" customHeight="1">
      <c r="A885" s="11">
        <f>IFERROR(__xludf.DUMMYFUNCTION("""COMPUTED_VALUE"""),44471.0)</f>
        <v>44471</v>
      </c>
      <c r="B885" s="9">
        <f>IFERROR(__xludf.DUMMYFUNCTION("""COMPUTED_VALUE"""),1003410.0)</f>
        <v>1003410</v>
      </c>
      <c r="C885" s="9">
        <f>IFERROR(__xludf.DUMMYFUNCTION("""COMPUTED_VALUE"""),48283.0)</f>
        <v>48283</v>
      </c>
      <c r="D885" s="9"/>
      <c r="E885" s="10" t="str">
        <f>IFERROR(__xludf.DUMMYFUNCTION("""COMPUTED_VALUE"""),"PREMIERE")</f>
        <v>PREMIERE</v>
      </c>
      <c r="F885" s="10">
        <f>IFERROR(__xludf.DUMMYFUNCTION("""COMPUTED_VALUE"""),1.39)</f>
        <v>1.39</v>
      </c>
      <c r="G885" s="9">
        <f>IFERROR(__xludf.DUMMYFUNCTION("""COMPUTED_VALUE"""),1.39)</f>
        <v>1.39</v>
      </c>
      <c r="H885" s="9">
        <f>IFERROR(__xludf.DUMMYFUNCTION("""COMPUTED_VALUE"""),1.0)</f>
        <v>1</v>
      </c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</row>
    <row r="886" ht="15.75" customHeight="1">
      <c r="A886" s="11">
        <f>IFERROR(__xludf.DUMMYFUNCTION("""COMPUTED_VALUE"""),44471.0)</f>
        <v>44471</v>
      </c>
      <c r="B886" s="9">
        <f>IFERROR(__xludf.DUMMYFUNCTION("""COMPUTED_VALUE"""),1003410.0)</f>
        <v>1003410</v>
      </c>
      <c r="C886" s="9">
        <f>IFERROR(__xludf.DUMMYFUNCTION("""COMPUTED_VALUE"""),90710.0)</f>
        <v>90710</v>
      </c>
      <c r="D886" s="9"/>
      <c r="E886" s="10" t="str">
        <f>IFERROR(__xludf.DUMMYFUNCTION("""COMPUTED_VALUE"""),"PREMIERE")</f>
        <v>PREMIERE</v>
      </c>
      <c r="F886" s="10">
        <f>IFERROR(__xludf.DUMMYFUNCTION("""COMPUTED_VALUE"""),1.02)</f>
        <v>1.02</v>
      </c>
      <c r="G886" s="9">
        <f>IFERROR(__xludf.DUMMYFUNCTION("""COMPUTED_VALUE"""),1.02)</f>
        <v>1.02</v>
      </c>
      <c r="H886" s="9">
        <f>IFERROR(__xludf.DUMMYFUNCTION("""COMPUTED_VALUE"""),1.0)</f>
        <v>1</v>
      </c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</row>
    <row r="887" ht="15.75" customHeight="1">
      <c r="A887" s="11">
        <f>IFERROR(__xludf.DUMMYFUNCTION("""COMPUTED_VALUE"""),44471.0)</f>
        <v>44471</v>
      </c>
      <c r="B887" s="9">
        <f>IFERROR(__xludf.DUMMYFUNCTION("""COMPUTED_VALUE"""),1003410.0)</f>
        <v>1003410</v>
      </c>
      <c r="C887" s="9">
        <f>IFERROR(__xludf.DUMMYFUNCTION("""COMPUTED_VALUE"""),129491.0)</f>
        <v>129491</v>
      </c>
      <c r="D887" s="9"/>
      <c r="E887" s="10" t="str">
        <f>IFERROR(__xludf.DUMMYFUNCTION("""COMPUTED_VALUE"""),"PREMIERE")</f>
        <v>PREMIERE</v>
      </c>
      <c r="F887" s="10">
        <f>IFERROR(__xludf.DUMMYFUNCTION("""COMPUTED_VALUE"""),3.31)</f>
        <v>3.31</v>
      </c>
      <c r="G887" s="9">
        <f>IFERROR(__xludf.DUMMYFUNCTION("""COMPUTED_VALUE"""),3.31)</f>
        <v>3.31</v>
      </c>
      <c r="H887" s="9">
        <f>IFERROR(__xludf.DUMMYFUNCTION("""COMPUTED_VALUE"""),1.0)</f>
        <v>1</v>
      </c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</row>
    <row r="888" ht="15.75" customHeight="1">
      <c r="A888" s="11">
        <f>IFERROR(__xludf.DUMMYFUNCTION("""COMPUTED_VALUE"""),44471.0)</f>
        <v>44471</v>
      </c>
      <c r="B888" s="9">
        <f>IFERROR(__xludf.DUMMYFUNCTION("""COMPUTED_VALUE"""),1003410.0)</f>
        <v>1003410</v>
      </c>
      <c r="C888" s="9">
        <f>IFERROR(__xludf.DUMMYFUNCTION("""COMPUTED_VALUE"""),121868.0)</f>
        <v>121868</v>
      </c>
      <c r="D888" s="9"/>
      <c r="E888" s="10" t="str">
        <f>IFERROR(__xludf.DUMMYFUNCTION("""COMPUTED_VALUE"""),"PREMIERE")</f>
        <v>PREMIERE</v>
      </c>
      <c r="F888" s="10">
        <f>IFERROR(__xludf.DUMMYFUNCTION("""COMPUTED_VALUE"""),6.37)</f>
        <v>6.37</v>
      </c>
      <c r="G888" s="9">
        <f>IFERROR(__xludf.DUMMYFUNCTION("""COMPUTED_VALUE"""),6.37)</f>
        <v>6.37</v>
      </c>
      <c r="H888" s="9">
        <f>IFERROR(__xludf.DUMMYFUNCTION("""COMPUTED_VALUE"""),1.0)</f>
        <v>1</v>
      </c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</row>
    <row r="889" ht="15.75" customHeight="1">
      <c r="A889" s="11">
        <f>IFERROR(__xludf.DUMMYFUNCTION("""COMPUTED_VALUE"""),44471.0)</f>
        <v>44471</v>
      </c>
      <c r="B889" s="9">
        <f>IFERROR(__xludf.DUMMYFUNCTION("""COMPUTED_VALUE"""),1003410.0)</f>
        <v>1003410</v>
      </c>
      <c r="C889" s="9">
        <f>IFERROR(__xludf.DUMMYFUNCTION("""COMPUTED_VALUE"""),109184.0)</f>
        <v>109184</v>
      </c>
      <c r="D889" s="9"/>
      <c r="E889" s="10" t="str">
        <f>IFERROR(__xludf.DUMMYFUNCTION("""COMPUTED_VALUE"""),"PREMIERE")</f>
        <v>PREMIERE</v>
      </c>
      <c r="F889" s="10">
        <f>IFERROR(__xludf.DUMMYFUNCTION("""COMPUTED_VALUE"""),7.87)</f>
        <v>7.87</v>
      </c>
      <c r="G889" s="9">
        <f>IFERROR(__xludf.DUMMYFUNCTION("""COMPUTED_VALUE"""),7.87)</f>
        <v>7.87</v>
      </c>
      <c r="H889" s="9">
        <f>IFERROR(__xludf.DUMMYFUNCTION("""COMPUTED_VALUE"""),1.0)</f>
        <v>1</v>
      </c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</row>
    <row r="890" ht="15.75" customHeight="1">
      <c r="A890" s="11">
        <f>IFERROR(__xludf.DUMMYFUNCTION("""COMPUTED_VALUE"""),44471.0)</f>
        <v>44471</v>
      </c>
      <c r="B890" s="9">
        <f>IFERROR(__xludf.DUMMYFUNCTION("""COMPUTED_VALUE"""),1003410.0)</f>
        <v>1003410</v>
      </c>
      <c r="C890" s="9">
        <f>IFERROR(__xludf.DUMMYFUNCTION("""COMPUTED_VALUE"""),129492.0)</f>
        <v>129492</v>
      </c>
      <c r="D890" s="9"/>
      <c r="E890" s="10" t="str">
        <f>IFERROR(__xludf.DUMMYFUNCTION("""COMPUTED_VALUE"""),"PREMIERE")</f>
        <v>PREMIERE</v>
      </c>
      <c r="F890" s="10">
        <f>IFERROR(__xludf.DUMMYFUNCTION("""COMPUTED_VALUE"""),4.39)</f>
        <v>4.39</v>
      </c>
      <c r="G890" s="9">
        <f>IFERROR(__xludf.DUMMYFUNCTION("""COMPUTED_VALUE"""),4.39)</f>
        <v>4.39</v>
      </c>
      <c r="H890" s="9">
        <f>IFERROR(__xludf.DUMMYFUNCTION("""COMPUTED_VALUE"""),1.0)</f>
        <v>1</v>
      </c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</row>
    <row r="891" ht="15.75" customHeight="1">
      <c r="A891" s="11">
        <f>IFERROR(__xludf.DUMMYFUNCTION("""COMPUTED_VALUE"""),44471.0)</f>
        <v>44471</v>
      </c>
      <c r="B891" s="9">
        <f>IFERROR(__xludf.DUMMYFUNCTION("""COMPUTED_VALUE"""),1003410.0)</f>
        <v>1003410</v>
      </c>
      <c r="C891" s="9">
        <f>IFERROR(__xludf.DUMMYFUNCTION("""COMPUTED_VALUE"""),94000.0)</f>
        <v>94000</v>
      </c>
      <c r="D891" s="9"/>
      <c r="E891" s="10" t="str">
        <f>IFERROR(__xludf.DUMMYFUNCTION("""COMPUTED_VALUE"""),"PREMIERE")</f>
        <v>PREMIERE</v>
      </c>
      <c r="F891" s="10">
        <f>IFERROR(__xludf.DUMMYFUNCTION("""COMPUTED_VALUE"""),12.82)</f>
        <v>12.82</v>
      </c>
      <c r="G891" s="9">
        <f>IFERROR(__xludf.DUMMYFUNCTION("""COMPUTED_VALUE"""),12.82)</f>
        <v>12.82</v>
      </c>
      <c r="H891" s="9">
        <f>IFERROR(__xludf.DUMMYFUNCTION("""COMPUTED_VALUE"""),2.0)</f>
        <v>2</v>
      </c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</row>
    <row r="892" ht="15.75" customHeight="1">
      <c r="A892" s="11">
        <f>IFERROR(__xludf.DUMMYFUNCTION("""COMPUTED_VALUE"""),44471.0)</f>
        <v>44471</v>
      </c>
      <c r="B892" s="9">
        <f>IFERROR(__xludf.DUMMYFUNCTION("""COMPUTED_VALUE"""),1003411.0)</f>
        <v>1003411</v>
      </c>
      <c r="C892" s="9">
        <f>IFERROR(__xludf.DUMMYFUNCTION("""COMPUTED_VALUE"""),2046.0)</f>
        <v>2046</v>
      </c>
      <c r="D892" s="9"/>
      <c r="E892" s="9"/>
      <c r="F892" s="9">
        <f>IFERROR(__xludf.DUMMYFUNCTION("""COMPUTED_VALUE"""),5.29)</f>
        <v>5.29</v>
      </c>
      <c r="G892" s="9">
        <f>IFERROR(__xludf.DUMMYFUNCTION("""COMPUTED_VALUE"""),5.29)</f>
        <v>5.29</v>
      </c>
      <c r="H892" s="9">
        <f>IFERROR(__xludf.DUMMYFUNCTION("""COMPUTED_VALUE"""),1.0)</f>
        <v>1</v>
      </c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</row>
    <row r="893" ht="15.75" customHeight="1">
      <c r="A893" s="11">
        <f>IFERROR(__xludf.DUMMYFUNCTION("""COMPUTED_VALUE"""),44471.0)</f>
        <v>44471</v>
      </c>
      <c r="B893" s="9">
        <f>IFERROR(__xludf.DUMMYFUNCTION("""COMPUTED_VALUE"""),1003411.0)</f>
        <v>1003411</v>
      </c>
      <c r="C893" s="9">
        <f>IFERROR(__xludf.DUMMYFUNCTION("""COMPUTED_VALUE"""),82168.0)</f>
        <v>82168</v>
      </c>
      <c r="D893" s="9"/>
      <c r="E893" s="9"/>
      <c r="F893" s="9">
        <f>IFERROR(__xludf.DUMMYFUNCTION("""COMPUTED_VALUE"""),4.56)</f>
        <v>4.56</v>
      </c>
      <c r="G893" s="9">
        <f>IFERROR(__xludf.DUMMYFUNCTION("""COMPUTED_VALUE"""),4.56)</f>
        <v>4.56</v>
      </c>
      <c r="H893" s="9">
        <f>IFERROR(__xludf.DUMMYFUNCTION("""COMPUTED_VALUE"""),1.0)</f>
        <v>1</v>
      </c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</row>
    <row r="894" ht="15.75" customHeight="1">
      <c r="A894" s="11">
        <f>IFERROR(__xludf.DUMMYFUNCTION("""COMPUTED_VALUE"""),44471.0)</f>
        <v>44471</v>
      </c>
      <c r="B894" s="9">
        <f>IFERROR(__xludf.DUMMYFUNCTION("""COMPUTED_VALUE"""),1003411.0)</f>
        <v>1003411</v>
      </c>
      <c r="C894" s="9">
        <f>IFERROR(__xludf.DUMMYFUNCTION("""COMPUTED_VALUE"""),82827.0)</f>
        <v>82827</v>
      </c>
      <c r="D894" s="9"/>
      <c r="E894" s="9"/>
      <c r="F894" s="9">
        <f>IFERROR(__xludf.DUMMYFUNCTION("""COMPUTED_VALUE"""),12.87)</f>
        <v>12.87</v>
      </c>
      <c r="G894" s="9">
        <f>IFERROR(__xludf.DUMMYFUNCTION("""COMPUTED_VALUE"""),12.87)</f>
        <v>12.87</v>
      </c>
      <c r="H894" s="9">
        <f>IFERROR(__xludf.DUMMYFUNCTION("""COMPUTED_VALUE"""),1.0)</f>
        <v>1</v>
      </c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</row>
    <row r="895" ht="15.75" customHeight="1">
      <c r="A895" s="11">
        <f>IFERROR(__xludf.DUMMYFUNCTION("""COMPUTED_VALUE"""),44471.0)</f>
        <v>44471</v>
      </c>
      <c r="B895" s="9">
        <f>IFERROR(__xludf.DUMMYFUNCTION("""COMPUTED_VALUE"""),1003411.0)</f>
        <v>1003411</v>
      </c>
      <c r="C895" s="9">
        <f>IFERROR(__xludf.DUMMYFUNCTION("""COMPUTED_VALUE"""),82821.0)</f>
        <v>82821</v>
      </c>
      <c r="D895" s="9"/>
      <c r="E895" s="9"/>
      <c r="F895" s="9">
        <f>IFERROR(__xludf.DUMMYFUNCTION("""COMPUTED_VALUE"""),7.82)</f>
        <v>7.82</v>
      </c>
      <c r="G895" s="9">
        <f>IFERROR(__xludf.DUMMYFUNCTION("""COMPUTED_VALUE"""),7.82)</f>
        <v>7.82</v>
      </c>
      <c r="H895" s="9">
        <f>IFERROR(__xludf.DUMMYFUNCTION("""COMPUTED_VALUE"""),1.0)</f>
        <v>1</v>
      </c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</row>
    <row r="896" ht="15.75" customHeight="1">
      <c r="A896" s="11">
        <f>IFERROR(__xludf.DUMMYFUNCTION("""COMPUTED_VALUE"""),44471.0)</f>
        <v>44471</v>
      </c>
      <c r="B896" s="9">
        <f>IFERROR(__xludf.DUMMYFUNCTION("""COMPUTED_VALUE"""),1003411.0)</f>
        <v>1003411</v>
      </c>
      <c r="C896" s="9">
        <f>IFERROR(__xludf.DUMMYFUNCTION("""COMPUTED_VALUE"""),82832.0)</f>
        <v>82832</v>
      </c>
      <c r="D896" s="9"/>
      <c r="E896" s="9"/>
      <c r="F896" s="9">
        <f>IFERROR(__xludf.DUMMYFUNCTION("""COMPUTED_VALUE"""),7.82)</f>
        <v>7.82</v>
      </c>
      <c r="G896" s="9">
        <f>IFERROR(__xludf.DUMMYFUNCTION("""COMPUTED_VALUE"""),7.82)</f>
        <v>7.82</v>
      </c>
      <c r="H896" s="9">
        <f>IFERROR(__xludf.DUMMYFUNCTION("""COMPUTED_VALUE"""),1.0)</f>
        <v>1</v>
      </c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</row>
    <row r="897" ht="15.75" customHeight="1">
      <c r="A897" s="11">
        <f>IFERROR(__xludf.DUMMYFUNCTION("""COMPUTED_VALUE"""),44471.0)</f>
        <v>44471</v>
      </c>
      <c r="B897" s="9">
        <f>IFERROR(__xludf.DUMMYFUNCTION("""COMPUTED_VALUE"""),1003411.0)</f>
        <v>1003411</v>
      </c>
      <c r="C897" s="9">
        <f>IFERROR(__xludf.DUMMYFUNCTION("""COMPUTED_VALUE"""),91397.0)</f>
        <v>91397</v>
      </c>
      <c r="D897" s="9"/>
      <c r="E897" s="9"/>
      <c r="F897" s="9">
        <f>IFERROR(__xludf.DUMMYFUNCTION("""COMPUTED_VALUE"""),2.49)</f>
        <v>2.49</v>
      </c>
      <c r="G897" s="9">
        <f>IFERROR(__xludf.DUMMYFUNCTION("""COMPUTED_VALUE"""),2.49)</f>
        <v>2.49</v>
      </c>
      <c r="H897" s="9">
        <f>IFERROR(__xludf.DUMMYFUNCTION("""COMPUTED_VALUE"""),1.0)</f>
        <v>1</v>
      </c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</row>
    <row r="898" ht="15.75" customHeight="1">
      <c r="A898" s="11">
        <f>IFERROR(__xludf.DUMMYFUNCTION("""COMPUTED_VALUE"""),44471.0)</f>
        <v>44471</v>
      </c>
      <c r="B898" s="9">
        <f>IFERROR(__xludf.DUMMYFUNCTION("""COMPUTED_VALUE"""),1003411.0)</f>
        <v>1003411</v>
      </c>
      <c r="C898" s="9">
        <f>IFERROR(__xludf.DUMMYFUNCTION("""COMPUTED_VALUE"""),101270.0)</f>
        <v>101270</v>
      </c>
      <c r="D898" s="10" t="str">
        <f>IFERROR(__xludf.DUMMYFUNCTION("""COMPUTED_VALUE"""),"Vive le bio")</f>
        <v>Vive le bio</v>
      </c>
      <c r="E898" s="10"/>
      <c r="F898" s="9">
        <f>IFERROR(__xludf.DUMMYFUNCTION("""COMPUTED_VALUE"""),2.84444444444444)</f>
        <v>2.844444444</v>
      </c>
      <c r="G898" s="9">
        <f>IFERROR(__xludf.DUMMYFUNCTION("""COMPUTED_VALUE"""),2.56)</f>
        <v>2.56</v>
      </c>
      <c r="H898" s="9">
        <f>IFERROR(__xludf.DUMMYFUNCTION("""COMPUTED_VALUE"""),2.0)</f>
        <v>2</v>
      </c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</row>
    <row r="899" ht="15.75" customHeight="1">
      <c r="A899" s="11">
        <f>IFERROR(__xludf.DUMMYFUNCTION("""COMPUTED_VALUE"""),44471.0)</f>
        <v>44471</v>
      </c>
      <c r="B899" s="9">
        <f>IFERROR(__xludf.DUMMYFUNCTION("""COMPUTED_VALUE"""),1003411.0)</f>
        <v>1003411</v>
      </c>
      <c r="C899" s="9">
        <f>IFERROR(__xludf.DUMMYFUNCTION("""COMPUTED_VALUE"""),101279.0)</f>
        <v>101279</v>
      </c>
      <c r="D899" s="9"/>
      <c r="E899" s="9"/>
      <c r="F899" s="9">
        <f>IFERROR(__xludf.DUMMYFUNCTION("""COMPUTED_VALUE"""),2.85)</f>
        <v>2.85</v>
      </c>
      <c r="G899" s="9">
        <f>IFERROR(__xludf.DUMMYFUNCTION("""COMPUTED_VALUE"""),2.85)</f>
        <v>2.85</v>
      </c>
      <c r="H899" s="9">
        <f>IFERROR(__xludf.DUMMYFUNCTION("""COMPUTED_VALUE"""),2.0)</f>
        <v>2</v>
      </c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</row>
    <row r="900" ht="15.75" customHeight="1">
      <c r="A900" s="11">
        <f>IFERROR(__xludf.DUMMYFUNCTION("""COMPUTED_VALUE"""),44471.0)</f>
        <v>44471</v>
      </c>
      <c r="B900" s="9">
        <f>IFERROR(__xludf.DUMMYFUNCTION("""COMPUTED_VALUE"""),1003411.0)</f>
        <v>1003411</v>
      </c>
      <c r="C900" s="9">
        <f>IFERROR(__xludf.DUMMYFUNCTION("""COMPUTED_VALUE"""),101282.0)</f>
        <v>101282</v>
      </c>
      <c r="D900" s="9"/>
      <c r="E900" s="9"/>
      <c r="F900" s="9">
        <f>IFERROR(__xludf.DUMMYFUNCTION("""COMPUTED_VALUE"""),2.85)</f>
        <v>2.85</v>
      </c>
      <c r="G900" s="9">
        <f>IFERROR(__xludf.DUMMYFUNCTION("""COMPUTED_VALUE"""),2.85)</f>
        <v>2.85</v>
      </c>
      <c r="H900" s="9">
        <f>IFERROR(__xludf.DUMMYFUNCTION("""COMPUTED_VALUE"""),2.0)</f>
        <v>2</v>
      </c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</row>
    <row r="901" ht="15.75" customHeight="1">
      <c r="A901" s="11">
        <f>IFERROR(__xludf.DUMMYFUNCTION("""COMPUTED_VALUE"""),44471.0)</f>
        <v>44471</v>
      </c>
      <c r="B901" s="9">
        <f>IFERROR(__xludf.DUMMYFUNCTION("""COMPUTED_VALUE"""),1003412.0)</f>
        <v>1003412</v>
      </c>
      <c r="C901" s="9">
        <f>IFERROR(__xludf.DUMMYFUNCTION("""COMPUTED_VALUE"""),78338.0)</f>
        <v>78338</v>
      </c>
      <c r="D901" s="9"/>
      <c r="E901" s="10" t="str">
        <f>IFERROR(__xludf.DUMMYFUNCTION("""COMPUTED_VALUE"""),"PREMIERE")</f>
        <v>PREMIERE</v>
      </c>
      <c r="F901" s="10">
        <f>IFERROR(__xludf.DUMMYFUNCTION("""COMPUTED_VALUE"""),19.0)</f>
        <v>19</v>
      </c>
      <c r="G901" s="9">
        <f>IFERROR(__xludf.DUMMYFUNCTION("""COMPUTED_VALUE"""),19.0)</f>
        <v>19</v>
      </c>
      <c r="H901" s="9">
        <f>IFERROR(__xludf.DUMMYFUNCTION("""COMPUTED_VALUE"""),1.0)</f>
        <v>1</v>
      </c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</row>
    <row r="902" ht="15.75" customHeight="1">
      <c r="A902" s="11">
        <f>IFERROR(__xludf.DUMMYFUNCTION("""COMPUTED_VALUE"""),44471.0)</f>
        <v>44471</v>
      </c>
      <c r="B902" s="9">
        <f>IFERROR(__xludf.DUMMYFUNCTION("""COMPUTED_VALUE"""),1003412.0)</f>
        <v>1003412</v>
      </c>
      <c r="C902" s="9">
        <f>IFERROR(__xludf.DUMMYFUNCTION("""COMPUTED_VALUE"""),9504.0)</f>
        <v>9504</v>
      </c>
      <c r="D902" s="9"/>
      <c r="E902" s="10" t="str">
        <f>IFERROR(__xludf.DUMMYFUNCTION("""COMPUTED_VALUE"""),"PREMIERE")</f>
        <v>PREMIERE</v>
      </c>
      <c r="F902" s="10">
        <f>IFERROR(__xludf.DUMMYFUNCTION("""COMPUTED_VALUE"""),2.8)</f>
        <v>2.8</v>
      </c>
      <c r="G902" s="9">
        <f>IFERROR(__xludf.DUMMYFUNCTION("""COMPUTED_VALUE"""),2.8)</f>
        <v>2.8</v>
      </c>
      <c r="H902" s="9">
        <f>IFERROR(__xludf.DUMMYFUNCTION("""COMPUTED_VALUE"""),1.0)</f>
        <v>1</v>
      </c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</row>
    <row r="903" ht="15.75" customHeight="1">
      <c r="A903" s="11">
        <f>IFERROR(__xludf.DUMMYFUNCTION("""COMPUTED_VALUE"""),44471.0)</f>
        <v>44471</v>
      </c>
      <c r="B903" s="9">
        <f>IFERROR(__xludf.DUMMYFUNCTION("""COMPUTED_VALUE"""),1003412.0)</f>
        <v>1003412</v>
      </c>
      <c r="C903" s="9">
        <f>IFERROR(__xludf.DUMMYFUNCTION("""COMPUTED_VALUE"""),109996.0)</f>
        <v>109996</v>
      </c>
      <c r="D903" s="9"/>
      <c r="E903" s="10" t="str">
        <f>IFERROR(__xludf.DUMMYFUNCTION("""COMPUTED_VALUE"""),"PREMIERE")</f>
        <v>PREMIERE</v>
      </c>
      <c r="F903" s="10">
        <f>IFERROR(__xludf.DUMMYFUNCTION("""COMPUTED_VALUE"""),9.7)</f>
        <v>9.7</v>
      </c>
      <c r="G903" s="9">
        <f>IFERROR(__xludf.DUMMYFUNCTION("""COMPUTED_VALUE"""),9.7)</f>
        <v>9.7</v>
      </c>
      <c r="H903" s="9">
        <f>IFERROR(__xludf.DUMMYFUNCTION("""COMPUTED_VALUE"""),1.0)</f>
        <v>1</v>
      </c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</row>
    <row r="904" ht="15.75" customHeight="1">
      <c r="A904" s="11">
        <f>IFERROR(__xludf.DUMMYFUNCTION("""COMPUTED_VALUE"""),44471.0)</f>
        <v>44471</v>
      </c>
      <c r="B904" s="9">
        <f>IFERROR(__xludf.DUMMYFUNCTION("""COMPUTED_VALUE"""),1003412.0)</f>
        <v>1003412</v>
      </c>
      <c r="C904" s="9">
        <f>IFERROR(__xludf.DUMMYFUNCTION("""COMPUTED_VALUE"""),71322.0)</f>
        <v>71322</v>
      </c>
      <c r="D904" s="9"/>
      <c r="E904" s="10" t="str">
        <f>IFERROR(__xludf.DUMMYFUNCTION("""COMPUTED_VALUE"""),"PREMIERE")</f>
        <v>PREMIERE</v>
      </c>
      <c r="F904" s="10">
        <f>IFERROR(__xludf.DUMMYFUNCTION("""COMPUTED_VALUE"""),12.92)</f>
        <v>12.92</v>
      </c>
      <c r="G904" s="9">
        <f>IFERROR(__xludf.DUMMYFUNCTION("""COMPUTED_VALUE"""),12.92)</f>
        <v>12.92</v>
      </c>
      <c r="H904" s="9">
        <f>IFERROR(__xludf.DUMMYFUNCTION("""COMPUTED_VALUE"""),1.0)</f>
        <v>1</v>
      </c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</row>
    <row r="905" ht="15.75" customHeight="1">
      <c r="A905" s="11">
        <f>IFERROR(__xludf.DUMMYFUNCTION("""COMPUTED_VALUE"""),44471.0)</f>
        <v>44471</v>
      </c>
      <c r="B905" s="9">
        <f>IFERROR(__xludf.DUMMYFUNCTION("""COMPUTED_VALUE"""),1003412.0)</f>
        <v>1003412</v>
      </c>
      <c r="C905" s="9">
        <f>IFERROR(__xludf.DUMMYFUNCTION("""COMPUTED_VALUE"""),68321.0)</f>
        <v>68321</v>
      </c>
      <c r="D905" s="9"/>
      <c r="E905" s="10" t="str">
        <f>IFERROR(__xludf.DUMMYFUNCTION("""COMPUTED_VALUE"""),"PREMIERE")</f>
        <v>PREMIERE</v>
      </c>
      <c r="F905" s="10">
        <f>IFERROR(__xludf.DUMMYFUNCTION("""COMPUTED_VALUE"""),7.52)</f>
        <v>7.52</v>
      </c>
      <c r="G905" s="9">
        <f>IFERROR(__xludf.DUMMYFUNCTION("""COMPUTED_VALUE"""),7.52)</f>
        <v>7.52</v>
      </c>
      <c r="H905" s="9">
        <f>IFERROR(__xludf.DUMMYFUNCTION("""COMPUTED_VALUE"""),3.0)</f>
        <v>3</v>
      </c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</row>
    <row r="906" ht="15.75" customHeight="1">
      <c r="A906" s="11">
        <f>IFERROR(__xludf.DUMMYFUNCTION("""COMPUTED_VALUE"""),44471.0)</f>
        <v>44471</v>
      </c>
      <c r="B906" s="9">
        <f>IFERROR(__xludf.DUMMYFUNCTION("""COMPUTED_VALUE"""),1003412.0)</f>
        <v>1003412</v>
      </c>
      <c r="C906" s="9">
        <f>IFERROR(__xludf.DUMMYFUNCTION("""COMPUTED_VALUE"""),113880.0)</f>
        <v>113880</v>
      </c>
      <c r="D906" s="9"/>
      <c r="E906" s="10" t="str">
        <f>IFERROR(__xludf.DUMMYFUNCTION("""COMPUTED_VALUE"""),"PREMIERE")</f>
        <v>PREMIERE</v>
      </c>
      <c r="F906" s="10">
        <f>IFERROR(__xludf.DUMMYFUNCTION("""COMPUTED_VALUE"""),19.23)</f>
        <v>19.23</v>
      </c>
      <c r="G906" s="9">
        <f>IFERROR(__xludf.DUMMYFUNCTION("""COMPUTED_VALUE"""),19.23)</f>
        <v>19.23</v>
      </c>
      <c r="H906" s="9">
        <f>IFERROR(__xludf.DUMMYFUNCTION("""COMPUTED_VALUE"""),3.0)</f>
        <v>3</v>
      </c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</row>
    <row r="907" ht="15.75" customHeight="1">
      <c r="A907" s="11">
        <f>IFERROR(__xludf.DUMMYFUNCTION("""COMPUTED_VALUE"""),44471.0)</f>
        <v>44471</v>
      </c>
      <c r="B907" s="9">
        <f>IFERROR(__xludf.DUMMYFUNCTION("""COMPUTED_VALUE"""),1003412.0)</f>
        <v>1003412</v>
      </c>
      <c r="C907" s="9">
        <f>IFERROR(__xludf.DUMMYFUNCTION("""COMPUTED_VALUE"""),19277.0)</f>
        <v>19277</v>
      </c>
      <c r="D907" s="9"/>
      <c r="E907" s="10" t="str">
        <f>IFERROR(__xludf.DUMMYFUNCTION("""COMPUTED_VALUE"""),"PREMIERE")</f>
        <v>PREMIERE</v>
      </c>
      <c r="F907" s="10">
        <f>IFERROR(__xludf.DUMMYFUNCTION("""COMPUTED_VALUE"""),12.44)</f>
        <v>12.44</v>
      </c>
      <c r="G907" s="9">
        <f>IFERROR(__xludf.DUMMYFUNCTION("""COMPUTED_VALUE"""),12.44)</f>
        <v>12.44</v>
      </c>
      <c r="H907" s="9">
        <f>IFERROR(__xludf.DUMMYFUNCTION("""COMPUTED_VALUE"""),3.0)</f>
        <v>3</v>
      </c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</row>
    <row r="908" ht="15.75" customHeight="1">
      <c r="A908" s="11">
        <f>IFERROR(__xludf.DUMMYFUNCTION("""COMPUTED_VALUE"""),44471.0)</f>
        <v>44471</v>
      </c>
      <c r="B908" s="9">
        <f>IFERROR(__xludf.DUMMYFUNCTION("""COMPUTED_VALUE"""),1003413.0)</f>
        <v>1003413</v>
      </c>
      <c r="C908" s="9">
        <f>IFERROR(__xludf.DUMMYFUNCTION("""COMPUTED_VALUE"""),83599.0)</f>
        <v>83599</v>
      </c>
      <c r="D908" s="10" t="str">
        <f>IFERROR(__xludf.DUMMYFUNCTION("""COMPUTED_VALUE"""),"Vive le bio")</f>
        <v>Vive le bio</v>
      </c>
      <c r="E908" s="10"/>
      <c r="F908" s="9">
        <f>IFERROR(__xludf.DUMMYFUNCTION("""COMPUTED_VALUE"""),5.6)</f>
        <v>5.6</v>
      </c>
      <c r="G908" s="9">
        <f>IFERROR(__xludf.DUMMYFUNCTION("""COMPUTED_VALUE"""),5.04)</f>
        <v>5.04</v>
      </c>
      <c r="H908" s="9">
        <f>IFERROR(__xludf.DUMMYFUNCTION("""COMPUTED_VALUE"""),1.0)</f>
        <v>1</v>
      </c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</row>
    <row r="909" ht="15.75" customHeight="1">
      <c r="A909" s="11">
        <f>IFERROR(__xludf.DUMMYFUNCTION("""COMPUTED_VALUE"""),44471.0)</f>
        <v>44471</v>
      </c>
      <c r="B909" s="9">
        <f>IFERROR(__xludf.DUMMYFUNCTION("""COMPUTED_VALUE"""),1003413.0)</f>
        <v>1003413</v>
      </c>
      <c r="C909" s="9">
        <f>IFERROR(__xludf.DUMMYFUNCTION("""COMPUTED_VALUE"""),83601.0)</f>
        <v>83601</v>
      </c>
      <c r="D909" s="9"/>
      <c r="E909" s="9"/>
      <c r="F909" s="9">
        <f>IFERROR(__xludf.DUMMYFUNCTION("""COMPUTED_VALUE"""),5.87)</f>
        <v>5.87</v>
      </c>
      <c r="G909" s="9">
        <f>IFERROR(__xludf.DUMMYFUNCTION("""COMPUTED_VALUE"""),5.87)</f>
        <v>5.87</v>
      </c>
      <c r="H909" s="9">
        <f>IFERROR(__xludf.DUMMYFUNCTION("""COMPUTED_VALUE"""),1.0)</f>
        <v>1</v>
      </c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</row>
    <row r="910" ht="15.75" customHeight="1">
      <c r="A910" s="11">
        <f>IFERROR(__xludf.DUMMYFUNCTION("""COMPUTED_VALUE"""),44471.0)</f>
        <v>44471</v>
      </c>
      <c r="B910" s="9">
        <f>IFERROR(__xludf.DUMMYFUNCTION("""COMPUTED_VALUE"""),1003413.0)</f>
        <v>1003413</v>
      </c>
      <c r="C910" s="9">
        <f>IFERROR(__xludf.DUMMYFUNCTION("""COMPUTED_VALUE"""),90690.0)</f>
        <v>90690</v>
      </c>
      <c r="D910" s="9"/>
      <c r="E910" s="9"/>
      <c r="F910" s="9">
        <f>IFERROR(__xludf.DUMMYFUNCTION("""COMPUTED_VALUE"""),1.55)</f>
        <v>1.55</v>
      </c>
      <c r="G910" s="9">
        <f>IFERROR(__xludf.DUMMYFUNCTION("""COMPUTED_VALUE"""),1.55)</f>
        <v>1.55</v>
      </c>
      <c r="H910" s="9">
        <f>IFERROR(__xludf.DUMMYFUNCTION("""COMPUTED_VALUE"""),1.0)</f>
        <v>1</v>
      </c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</row>
    <row r="911" ht="15.75" customHeight="1">
      <c r="A911" s="11">
        <f>IFERROR(__xludf.DUMMYFUNCTION("""COMPUTED_VALUE"""),44471.0)</f>
        <v>44471</v>
      </c>
      <c r="B911" s="9">
        <f>IFERROR(__xludf.DUMMYFUNCTION("""COMPUTED_VALUE"""),1003413.0)</f>
        <v>1003413</v>
      </c>
      <c r="C911" s="9">
        <f>IFERROR(__xludf.DUMMYFUNCTION("""COMPUTED_VALUE"""),83634.0)</f>
        <v>83634</v>
      </c>
      <c r="D911" s="9"/>
      <c r="E911" s="9"/>
      <c r="F911" s="9">
        <f>IFERROR(__xludf.DUMMYFUNCTION("""COMPUTED_VALUE"""),5.49)</f>
        <v>5.49</v>
      </c>
      <c r="G911" s="9">
        <f>IFERROR(__xludf.DUMMYFUNCTION("""COMPUTED_VALUE"""),5.49)</f>
        <v>5.49</v>
      </c>
      <c r="H911" s="9">
        <f>IFERROR(__xludf.DUMMYFUNCTION("""COMPUTED_VALUE"""),1.0)</f>
        <v>1</v>
      </c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</row>
    <row r="912" ht="15.75" customHeight="1">
      <c r="A912" s="11">
        <f>IFERROR(__xludf.DUMMYFUNCTION("""COMPUTED_VALUE"""),44471.0)</f>
        <v>44471</v>
      </c>
      <c r="B912" s="9">
        <f>IFERROR(__xludf.DUMMYFUNCTION("""COMPUTED_VALUE"""),1003413.0)</f>
        <v>1003413</v>
      </c>
      <c r="C912" s="9">
        <f>IFERROR(__xludf.DUMMYFUNCTION("""COMPUTED_VALUE"""),29820.0)</f>
        <v>29820</v>
      </c>
      <c r="D912" s="9"/>
      <c r="E912" s="9"/>
      <c r="F912" s="9">
        <f>IFERROR(__xludf.DUMMYFUNCTION("""COMPUTED_VALUE"""),59.8)</f>
        <v>59.8</v>
      </c>
      <c r="G912" s="9">
        <f>IFERROR(__xludf.DUMMYFUNCTION("""COMPUTED_VALUE"""),59.8)</f>
        <v>59.8</v>
      </c>
      <c r="H912" s="9">
        <f>IFERROR(__xludf.DUMMYFUNCTION("""COMPUTED_VALUE"""),3.0)</f>
        <v>3</v>
      </c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</row>
    <row r="913" ht="15.75" customHeight="1">
      <c r="A913" s="11">
        <f>IFERROR(__xludf.DUMMYFUNCTION("""COMPUTED_VALUE"""),44471.0)</f>
        <v>44471</v>
      </c>
      <c r="B913" s="9">
        <f>IFERROR(__xludf.DUMMYFUNCTION("""COMPUTED_VALUE"""),1003414.0)</f>
        <v>1003414</v>
      </c>
      <c r="C913" s="9">
        <f>IFERROR(__xludf.DUMMYFUNCTION("""COMPUTED_VALUE"""),113960.0)</f>
        <v>113960</v>
      </c>
      <c r="D913" s="9"/>
      <c r="E913" s="9"/>
      <c r="F913" s="9">
        <f>IFERROR(__xludf.DUMMYFUNCTION("""COMPUTED_VALUE"""),2.13)</f>
        <v>2.13</v>
      </c>
      <c r="G913" s="9">
        <f>IFERROR(__xludf.DUMMYFUNCTION("""COMPUTED_VALUE"""),2.13)</f>
        <v>2.13</v>
      </c>
      <c r="H913" s="9">
        <f>IFERROR(__xludf.DUMMYFUNCTION("""COMPUTED_VALUE"""),1.0)</f>
        <v>1</v>
      </c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</row>
    <row r="914" ht="15.75" customHeight="1">
      <c r="A914" s="11">
        <f>IFERROR(__xludf.DUMMYFUNCTION("""COMPUTED_VALUE"""),44471.0)</f>
        <v>44471</v>
      </c>
      <c r="B914" s="9">
        <f>IFERROR(__xludf.DUMMYFUNCTION("""COMPUTED_VALUE"""),1003414.0)</f>
        <v>1003414</v>
      </c>
      <c r="C914" s="9">
        <f>IFERROR(__xludf.DUMMYFUNCTION("""COMPUTED_VALUE"""),117312.0)</f>
        <v>117312</v>
      </c>
      <c r="D914" s="9"/>
      <c r="E914" s="9"/>
      <c r="F914" s="9">
        <f>IFERROR(__xludf.DUMMYFUNCTION("""COMPUTED_VALUE"""),5.51)</f>
        <v>5.51</v>
      </c>
      <c r="G914" s="9">
        <f>IFERROR(__xludf.DUMMYFUNCTION("""COMPUTED_VALUE"""),5.51)</f>
        <v>5.51</v>
      </c>
      <c r="H914" s="9">
        <f>IFERROR(__xludf.DUMMYFUNCTION("""COMPUTED_VALUE"""),1.0)</f>
        <v>1</v>
      </c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</row>
    <row r="915" ht="15.75" customHeight="1">
      <c r="A915" s="11">
        <f>IFERROR(__xludf.DUMMYFUNCTION("""COMPUTED_VALUE"""),44471.0)</f>
        <v>44471</v>
      </c>
      <c r="B915" s="9">
        <f>IFERROR(__xludf.DUMMYFUNCTION("""COMPUTED_VALUE"""),1003414.0)</f>
        <v>1003414</v>
      </c>
      <c r="C915" s="9">
        <f>IFERROR(__xludf.DUMMYFUNCTION("""COMPUTED_VALUE"""),109309.0)</f>
        <v>109309</v>
      </c>
      <c r="D915" s="9"/>
      <c r="E915" s="9"/>
      <c r="F915" s="9">
        <f>IFERROR(__xludf.DUMMYFUNCTION("""COMPUTED_VALUE"""),8.27)</f>
        <v>8.27</v>
      </c>
      <c r="G915" s="9">
        <f>IFERROR(__xludf.DUMMYFUNCTION("""COMPUTED_VALUE"""),8.27)</f>
        <v>8.27</v>
      </c>
      <c r="H915" s="9">
        <f>IFERROR(__xludf.DUMMYFUNCTION("""COMPUTED_VALUE"""),1.0)</f>
        <v>1</v>
      </c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</row>
    <row r="916" ht="15.75" customHeight="1">
      <c r="A916" s="11">
        <f>IFERROR(__xludf.DUMMYFUNCTION("""COMPUTED_VALUE"""),44471.0)</f>
        <v>44471</v>
      </c>
      <c r="B916" s="9">
        <f>IFERROR(__xludf.DUMMYFUNCTION("""COMPUTED_VALUE"""),1003414.0)</f>
        <v>1003414</v>
      </c>
      <c r="C916" s="9">
        <f>IFERROR(__xludf.DUMMYFUNCTION("""COMPUTED_VALUE"""),110579.0)</f>
        <v>110579</v>
      </c>
      <c r="D916" s="10" t="str">
        <f>IFERROR(__xludf.DUMMYFUNCTION("""COMPUTED_VALUE"""),"Vive le bio")</f>
        <v>Vive le bio</v>
      </c>
      <c r="E916" s="10"/>
      <c r="F916" s="9">
        <f>IFERROR(__xludf.DUMMYFUNCTION("""COMPUTED_VALUE"""),14.6333333333333)</f>
        <v>14.63333333</v>
      </c>
      <c r="G916" s="9">
        <f>IFERROR(__xludf.DUMMYFUNCTION("""COMPUTED_VALUE"""),13.17)</f>
        <v>13.17</v>
      </c>
      <c r="H916" s="9">
        <f>IFERROR(__xludf.DUMMYFUNCTION("""COMPUTED_VALUE"""),1.0)</f>
        <v>1</v>
      </c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</row>
    <row r="917" ht="15.75" customHeight="1">
      <c r="A917" s="11">
        <f>IFERROR(__xludf.DUMMYFUNCTION("""COMPUTED_VALUE"""),44471.0)</f>
        <v>44471</v>
      </c>
      <c r="B917" s="9">
        <f>IFERROR(__xludf.DUMMYFUNCTION("""COMPUTED_VALUE"""),1003414.0)</f>
        <v>1003414</v>
      </c>
      <c r="C917" s="9">
        <f>IFERROR(__xludf.DUMMYFUNCTION("""COMPUTED_VALUE"""),121622.0)</f>
        <v>121622</v>
      </c>
      <c r="D917" s="10" t="str">
        <f>IFERROR(__xludf.DUMMYFUNCTION("""COMPUTED_VALUE"""),"Vive le bio")</f>
        <v>Vive le bio</v>
      </c>
      <c r="E917" s="10"/>
      <c r="F917" s="9">
        <f>IFERROR(__xludf.DUMMYFUNCTION("""COMPUTED_VALUE"""),1.76666666666666)</f>
        <v>1.766666667</v>
      </c>
      <c r="G917" s="9">
        <f>IFERROR(__xludf.DUMMYFUNCTION("""COMPUTED_VALUE"""),1.59)</f>
        <v>1.59</v>
      </c>
      <c r="H917" s="9">
        <f>IFERROR(__xludf.DUMMYFUNCTION("""COMPUTED_VALUE"""),1.0)</f>
        <v>1</v>
      </c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</row>
    <row r="918" ht="15.75" customHeight="1">
      <c r="A918" s="11">
        <f>IFERROR(__xludf.DUMMYFUNCTION("""COMPUTED_VALUE"""),44471.0)</f>
        <v>44471</v>
      </c>
      <c r="B918" s="9">
        <f>IFERROR(__xludf.DUMMYFUNCTION("""COMPUTED_VALUE"""),1003414.0)</f>
        <v>1003414</v>
      </c>
      <c r="C918" s="9">
        <f>IFERROR(__xludf.DUMMYFUNCTION("""COMPUTED_VALUE"""),83640.0)</f>
        <v>83640</v>
      </c>
      <c r="D918" s="10" t="str">
        <f>IFERROR(__xludf.DUMMYFUNCTION("""COMPUTED_VALUE"""),"DLC courtes")</f>
        <v>DLC courtes</v>
      </c>
      <c r="E918" s="10"/>
      <c r="F918" s="9">
        <f>IFERROR(__xludf.DUMMYFUNCTION("""COMPUTED_VALUE"""),2.7375)</f>
        <v>2.7375</v>
      </c>
      <c r="G918" s="9">
        <f>IFERROR(__xludf.DUMMYFUNCTION("""COMPUTED_VALUE"""),2.19)</f>
        <v>2.19</v>
      </c>
      <c r="H918" s="9">
        <f>IFERROR(__xludf.DUMMYFUNCTION("""COMPUTED_VALUE"""),1.0)</f>
        <v>1</v>
      </c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</row>
    <row r="919" ht="15.75" customHeight="1">
      <c r="A919" s="11">
        <f>IFERROR(__xludf.DUMMYFUNCTION("""COMPUTED_VALUE"""),44471.0)</f>
        <v>44471</v>
      </c>
      <c r="B919" s="9">
        <f>IFERROR(__xludf.DUMMYFUNCTION("""COMPUTED_VALUE"""),1003414.0)</f>
        <v>1003414</v>
      </c>
      <c r="C919" s="9">
        <f>IFERROR(__xludf.DUMMYFUNCTION("""COMPUTED_VALUE"""),121868.0)</f>
        <v>121868</v>
      </c>
      <c r="D919" s="9"/>
      <c r="E919" s="9"/>
      <c r="F919" s="9">
        <f>IFERROR(__xludf.DUMMYFUNCTION("""COMPUTED_VALUE"""),6.37)</f>
        <v>6.37</v>
      </c>
      <c r="G919" s="9">
        <f>IFERROR(__xludf.DUMMYFUNCTION("""COMPUTED_VALUE"""),6.37)</f>
        <v>6.37</v>
      </c>
      <c r="H919" s="9">
        <f>IFERROR(__xludf.DUMMYFUNCTION("""COMPUTED_VALUE"""),1.0)</f>
        <v>1</v>
      </c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</row>
    <row r="920" ht="15.75" customHeight="1">
      <c r="A920" s="11">
        <f>IFERROR(__xludf.DUMMYFUNCTION("""COMPUTED_VALUE"""),44471.0)</f>
        <v>44471</v>
      </c>
      <c r="B920" s="9">
        <f>IFERROR(__xludf.DUMMYFUNCTION("""COMPUTED_VALUE"""),1003414.0)</f>
        <v>1003414</v>
      </c>
      <c r="C920" s="9">
        <f>IFERROR(__xludf.DUMMYFUNCTION("""COMPUTED_VALUE"""),81025.0)</f>
        <v>81025</v>
      </c>
      <c r="D920" s="9"/>
      <c r="E920" s="9"/>
      <c r="F920" s="9">
        <f>IFERROR(__xludf.DUMMYFUNCTION("""COMPUTED_VALUE"""),2.44)</f>
        <v>2.44</v>
      </c>
      <c r="G920" s="9">
        <f>IFERROR(__xludf.DUMMYFUNCTION("""COMPUTED_VALUE"""),2.44)</f>
        <v>2.44</v>
      </c>
      <c r="H920" s="9">
        <f>IFERROR(__xludf.DUMMYFUNCTION("""COMPUTED_VALUE"""),1.0)</f>
        <v>1</v>
      </c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</row>
    <row r="921" ht="15.75" customHeight="1">
      <c r="A921" s="11">
        <f>IFERROR(__xludf.DUMMYFUNCTION("""COMPUTED_VALUE"""),44471.0)</f>
        <v>44471</v>
      </c>
      <c r="B921" s="9">
        <f>IFERROR(__xludf.DUMMYFUNCTION("""COMPUTED_VALUE"""),1003414.0)</f>
        <v>1003414</v>
      </c>
      <c r="C921" s="9">
        <f>IFERROR(__xludf.DUMMYFUNCTION("""COMPUTED_VALUE"""),119932.0)</f>
        <v>119932</v>
      </c>
      <c r="D921" s="9"/>
      <c r="E921" s="9"/>
      <c r="F921" s="9">
        <f>IFERROR(__xludf.DUMMYFUNCTION("""COMPUTED_VALUE"""),3.58)</f>
        <v>3.58</v>
      </c>
      <c r="G921" s="9">
        <f>IFERROR(__xludf.DUMMYFUNCTION("""COMPUTED_VALUE"""),3.58)</f>
        <v>3.58</v>
      </c>
      <c r="H921" s="9">
        <f>IFERROR(__xludf.DUMMYFUNCTION("""COMPUTED_VALUE"""),1.0)</f>
        <v>1</v>
      </c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</row>
    <row r="922" ht="15.75" customHeight="1">
      <c r="A922" s="11">
        <f>IFERROR(__xludf.DUMMYFUNCTION("""COMPUTED_VALUE"""),44471.0)</f>
        <v>44471</v>
      </c>
      <c r="B922" s="9">
        <f>IFERROR(__xludf.DUMMYFUNCTION("""COMPUTED_VALUE"""),1003414.0)</f>
        <v>1003414</v>
      </c>
      <c r="C922" s="9">
        <f>IFERROR(__xludf.DUMMYFUNCTION("""COMPUTED_VALUE"""),44707.0)</f>
        <v>44707</v>
      </c>
      <c r="D922" s="9"/>
      <c r="E922" s="9"/>
      <c r="F922" s="9">
        <f>IFERROR(__xludf.DUMMYFUNCTION("""COMPUTED_VALUE"""),2.36)</f>
        <v>2.36</v>
      </c>
      <c r="G922" s="9">
        <f>IFERROR(__xludf.DUMMYFUNCTION("""COMPUTED_VALUE"""),2.36)</f>
        <v>2.36</v>
      </c>
      <c r="H922" s="9">
        <f>IFERROR(__xludf.DUMMYFUNCTION("""COMPUTED_VALUE"""),1.0)</f>
        <v>1</v>
      </c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</row>
    <row r="923" ht="15.75" customHeight="1">
      <c r="A923" s="11">
        <f>IFERROR(__xludf.DUMMYFUNCTION("""COMPUTED_VALUE"""),44471.0)</f>
        <v>44471</v>
      </c>
      <c r="B923" s="9">
        <f>IFERROR(__xludf.DUMMYFUNCTION("""COMPUTED_VALUE"""),1003414.0)</f>
        <v>1003414</v>
      </c>
      <c r="C923" s="9">
        <f>IFERROR(__xludf.DUMMYFUNCTION("""COMPUTED_VALUE"""),83646.0)</f>
        <v>83646</v>
      </c>
      <c r="D923" s="9"/>
      <c r="E923" s="9"/>
      <c r="F923" s="9">
        <f>IFERROR(__xludf.DUMMYFUNCTION("""COMPUTED_VALUE"""),4.76)</f>
        <v>4.76</v>
      </c>
      <c r="G923" s="9">
        <f>IFERROR(__xludf.DUMMYFUNCTION("""COMPUTED_VALUE"""),4.76)</f>
        <v>4.76</v>
      </c>
      <c r="H923" s="9">
        <f>IFERROR(__xludf.DUMMYFUNCTION("""COMPUTED_VALUE"""),2.0)</f>
        <v>2</v>
      </c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</row>
    <row r="924" ht="15.75" customHeight="1">
      <c r="A924" s="11">
        <f>IFERROR(__xludf.DUMMYFUNCTION("""COMPUTED_VALUE"""),44471.0)</f>
        <v>44471</v>
      </c>
      <c r="B924" s="9">
        <f>IFERROR(__xludf.DUMMYFUNCTION("""COMPUTED_VALUE"""),1003414.0)</f>
        <v>1003414</v>
      </c>
      <c r="C924" s="9">
        <f>IFERROR(__xludf.DUMMYFUNCTION("""COMPUTED_VALUE"""),88319.0)</f>
        <v>88319</v>
      </c>
      <c r="D924" s="10" t="str">
        <f>IFERROR(__xludf.DUMMYFUNCTION("""COMPUTED_VALUE"""),"Offre speciale")</f>
        <v>Offre speciale</v>
      </c>
      <c r="E924" s="10"/>
      <c r="F924" s="9">
        <f>IFERROR(__xludf.DUMMYFUNCTION("""COMPUTED_VALUE"""),8.54444444444444)</f>
        <v>8.544444444</v>
      </c>
      <c r="G924" s="9">
        <f>IFERROR(__xludf.DUMMYFUNCTION("""COMPUTED_VALUE"""),7.69)</f>
        <v>7.69</v>
      </c>
      <c r="H924" s="9">
        <f>IFERROR(__xludf.DUMMYFUNCTION("""COMPUTED_VALUE"""),2.0)</f>
        <v>2</v>
      </c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</row>
    <row r="925" ht="15.75" customHeight="1">
      <c r="A925" s="11">
        <f>IFERROR(__xludf.DUMMYFUNCTION("""COMPUTED_VALUE"""),44471.0)</f>
        <v>44471</v>
      </c>
      <c r="B925" s="9">
        <f>IFERROR(__xludf.DUMMYFUNCTION("""COMPUTED_VALUE"""),1003414.0)</f>
        <v>1003414</v>
      </c>
      <c r="C925" s="9">
        <f>IFERROR(__xludf.DUMMYFUNCTION("""COMPUTED_VALUE"""),111605.0)</f>
        <v>111605</v>
      </c>
      <c r="D925" s="10" t="str">
        <f>IFERROR(__xludf.DUMMYFUNCTION("""COMPUTED_VALUE"""),"DLC courtes")</f>
        <v>DLC courtes</v>
      </c>
      <c r="E925" s="10"/>
      <c r="F925" s="9">
        <f>IFERROR(__xludf.DUMMYFUNCTION("""COMPUTED_VALUE"""),3.71428571428571)</f>
        <v>3.714285714</v>
      </c>
      <c r="G925" s="9">
        <f>IFERROR(__xludf.DUMMYFUNCTION("""COMPUTED_VALUE"""),2.6)</f>
        <v>2.6</v>
      </c>
      <c r="H925" s="9">
        <f>IFERROR(__xludf.DUMMYFUNCTION("""COMPUTED_VALUE"""),2.0)</f>
        <v>2</v>
      </c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</row>
    <row r="926" ht="15.75" customHeight="1">
      <c r="A926" s="11">
        <f>IFERROR(__xludf.DUMMYFUNCTION("""COMPUTED_VALUE"""),44471.0)</f>
        <v>44471</v>
      </c>
      <c r="B926" s="9">
        <f>IFERROR(__xludf.DUMMYFUNCTION("""COMPUTED_VALUE"""),1003415.0)</f>
        <v>1003415</v>
      </c>
      <c r="C926" s="9">
        <f>IFERROR(__xludf.DUMMYFUNCTION("""COMPUTED_VALUE"""),76567.0)</f>
        <v>76567</v>
      </c>
      <c r="D926" s="9"/>
      <c r="E926" s="10" t="str">
        <f>IFERROR(__xludf.DUMMYFUNCTION("""COMPUTED_VALUE"""),"GWZDELIV")</f>
        <v>GWZDELIV</v>
      </c>
      <c r="F926" s="10">
        <f>IFERROR(__xludf.DUMMYFUNCTION("""COMPUTED_VALUE"""),195.73)</f>
        <v>195.73</v>
      </c>
      <c r="G926" s="9">
        <f>IFERROR(__xludf.DUMMYFUNCTION("""COMPUTED_VALUE"""),195.73)</f>
        <v>195.73</v>
      </c>
      <c r="H926" s="9">
        <f>IFERROR(__xludf.DUMMYFUNCTION("""COMPUTED_VALUE"""),7.0)</f>
        <v>7</v>
      </c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</row>
    <row r="927" ht="15.75" customHeight="1">
      <c r="A927" s="11">
        <f>IFERROR(__xludf.DUMMYFUNCTION("""COMPUTED_VALUE"""),44471.0)</f>
        <v>44471</v>
      </c>
      <c r="B927" s="9">
        <f>IFERROR(__xludf.DUMMYFUNCTION("""COMPUTED_VALUE"""),1003416.0)</f>
        <v>1003416</v>
      </c>
      <c r="C927" s="9">
        <f>IFERROR(__xludf.DUMMYFUNCTION("""COMPUTED_VALUE"""),14401.0)</f>
        <v>14401</v>
      </c>
      <c r="D927" s="9"/>
      <c r="E927" s="9"/>
      <c r="F927" s="9">
        <f>IFERROR(__xludf.DUMMYFUNCTION("""COMPUTED_VALUE"""),62.48)</f>
        <v>62.48</v>
      </c>
      <c r="G927" s="9">
        <f>IFERROR(__xludf.DUMMYFUNCTION("""COMPUTED_VALUE"""),62.48)</f>
        <v>62.48</v>
      </c>
      <c r="H927" s="9">
        <f>IFERROR(__xludf.DUMMYFUNCTION("""COMPUTED_VALUE"""),10.0)</f>
        <v>10</v>
      </c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</row>
    <row r="928" ht="15.75" customHeight="1">
      <c r="A928" s="11">
        <f>IFERROR(__xludf.DUMMYFUNCTION("""COMPUTED_VALUE"""),44471.0)</f>
        <v>44471</v>
      </c>
      <c r="B928" s="9">
        <f>IFERROR(__xludf.DUMMYFUNCTION("""COMPUTED_VALUE"""),1003417.0)</f>
        <v>1003417</v>
      </c>
      <c r="C928" s="9">
        <f>IFERROR(__xludf.DUMMYFUNCTION("""COMPUTED_VALUE"""),111730.0)</f>
        <v>111730</v>
      </c>
      <c r="D928" s="9"/>
      <c r="E928" s="10" t="str">
        <f>IFERROR(__xludf.DUMMYFUNCTION("""COMPUTED_VALUE"""),"GREENRELAIS")</f>
        <v>GREENRELAIS</v>
      </c>
      <c r="F928" s="10">
        <f>IFERROR(__xludf.DUMMYFUNCTION("""COMPUTED_VALUE"""),9.68)</f>
        <v>9.68</v>
      </c>
      <c r="G928" s="9">
        <f>IFERROR(__xludf.DUMMYFUNCTION("""COMPUTED_VALUE"""),9.68)</f>
        <v>9.68</v>
      </c>
      <c r="H928" s="9">
        <f>IFERROR(__xludf.DUMMYFUNCTION("""COMPUTED_VALUE"""),1.0)</f>
        <v>1</v>
      </c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</row>
    <row r="929" ht="15.75" customHeight="1">
      <c r="A929" s="11">
        <f>IFERROR(__xludf.DUMMYFUNCTION("""COMPUTED_VALUE"""),44471.0)</f>
        <v>44471</v>
      </c>
      <c r="B929" s="9">
        <f>IFERROR(__xludf.DUMMYFUNCTION("""COMPUTED_VALUE"""),1003417.0)</f>
        <v>1003417</v>
      </c>
      <c r="C929" s="9">
        <f>IFERROR(__xludf.DUMMYFUNCTION("""COMPUTED_VALUE"""),119431.0)</f>
        <v>119431</v>
      </c>
      <c r="D929" s="9"/>
      <c r="E929" s="10" t="str">
        <f>IFERROR(__xludf.DUMMYFUNCTION("""COMPUTED_VALUE"""),"GREENRELAIS")</f>
        <v>GREENRELAIS</v>
      </c>
      <c r="F929" s="10">
        <f>IFERROR(__xludf.DUMMYFUNCTION("""COMPUTED_VALUE"""),2.98)</f>
        <v>2.98</v>
      </c>
      <c r="G929" s="9">
        <f>IFERROR(__xludf.DUMMYFUNCTION("""COMPUTED_VALUE"""),2.98)</f>
        <v>2.98</v>
      </c>
      <c r="H929" s="9">
        <f>IFERROR(__xludf.DUMMYFUNCTION("""COMPUTED_VALUE"""),1.0)</f>
        <v>1</v>
      </c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</row>
    <row r="930" ht="15.75" customHeight="1">
      <c r="A930" s="11">
        <f>IFERROR(__xludf.DUMMYFUNCTION("""COMPUTED_VALUE"""),44471.0)</f>
        <v>44471</v>
      </c>
      <c r="B930" s="9">
        <f>IFERROR(__xludf.DUMMYFUNCTION("""COMPUTED_VALUE"""),1003417.0)</f>
        <v>1003417</v>
      </c>
      <c r="C930" s="9">
        <f>IFERROR(__xludf.DUMMYFUNCTION("""COMPUTED_VALUE"""),81510.0)</f>
        <v>81510</v>
      </c>
      <c r="D930" s="9"/>
      <c r="E930" s="10" t="str">
        <f>IFERROR(__xludf.DUMMYFUNCTION("""COMPUTED_VALUE"""),"GREENRELAIS")</f>
        <v>GREENRELAIS</v>
      </c>
      <c r="F930" s="10">
        <f>IFERROR(__xludf.DUMMYFUNCTION("""COMPUTED_VALUE"""),18.37)</f>
        <v>18.37</v>
      </c>
      <c r="G930" s="9">
        <f>IFERROR(__xludf.DUMMYFUNCTION("""COMPUTED_VALUE"""),18.37)</f>
        <v>18.37</v>
      </c>
      <c r="H930" s="9">
        <f>IFERROR(__xludf.DUMMYFUNCTION("""COMPUTED_VALUE"""),2.0)</f>
        <v>2</v>
      </c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</row>
    <row r="931" ht="15.75" customHeight="1">
      <c r="A931" s="11">
        <f>IFERROR(__xludf.DUMMYFUNCTION("""COMPUTED_VALUE"""),44471.0)</f>
        <v>44471</v>
      </c>
      <c r="B931" s="9">
        <f>IFERROR(__xludf.DUMMYFUNCTION("""COMPUTED_VALUE"""),1003417.0)</f>
        <v>1003417</v>
      </c>
      <c r="C931" s="9">
        <f>IFERROR(__xludf.DUMMYFUNCTION("""COMPUTED_VALUE"""),76455.0)</f>
        <v>76455</v>
      </c>
      <c r="D931" s="9"/>
      <c r="E931" s="10" t="str">
        <f>IFERROR(__xludf.DUMMYFUNCTION("""COMPUTED_VALUE"""),"GREENRELAIS")</f>
        <v>GREENRELAIS</v>
      </c>
      <c r="F931" s="10">
        <f>IFERROR(__xludf.DUMMYFUNCTION("""COMPUTED_VALUE"""),6.45)</f>
        <v>6.45</v>
      </c>
      <c r="G931" s="9">
        <f>IFERROR(__xludf.DUMMYFUNCTION("""COMPUTED_VALUE"""),6.45)</f>
        <v>6.45</v>
      </c>
      <c r="H931" s="9">
        <f>IFERROR(__xludf.DUMMYFUNCTION("""COMPUTED_VALUE"""),3.0)</f>
        <v>3</v>
      </c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</row>
    <row r="932" ht="15.75" customHeight="1">
      <c r="A932" s="11">
        <f>IFERROR(__xludf.DUMMYFUNCTION("""COMPUTED_VALUE"""),44471.0)</f>
        <v>44471</v>
      </c>
      <c r="B932" s="9">
        <f>IFERROR(__xludf.DUMMYFUNCTION("""COMPUTED_VALUE"""),1003417.0)</f>
        <v>1003417</v>
      </c>
      <c r="C932" s="9">
        <f>IFERROR(__xludf.DUMMYFUNCTION("""COMPUTED_VALUE"""),83487.0)</f>
        <v>83487</v>
      </c>
      <c r="D932" s="9"/>
      <c r="E932" s="10" t="str">
        <f>IFERROR(__xludf.DUMMYFUNCTION("""COMPUTED_VALUE"""),"GREENRELAIS")</f>
        <v>GREENRELAIS</v>
      </c>
      <c r="F932" s="10">
        <f>IFERROR(__xludf.DUMMYFUNCTION("""COMPUTED_VALUE"""),18.8)</f>
        <v>18.8</v>
      </c>
      <c r="G932" s="9">
        <f>IFERROR(__xludf.DUMMYFUNCTION("""COMPUTED_VALUE"""),18.8)</f>
        <v>18.8</v>
      </c>
      <c r="H932" s="9">
        <f>IFERROR(__xludf.DUMMYFUNCTION("""COMPUTED_VALUE"""),3.0)</f>
        <v>3</v>
      </c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</row>
    <row r="933" ht="15.75" customHeight="1">
      <c r="A933" s="11">
        <f>IFERROR(__xludf.DUMMYFUNCTION("""COMPUTED_VALUE"""),44471.0)</f>
        <v>44471</v>
      </c>
      <c r="B933" s="9">
        <f>IFERROR(__xludf.DUMMYFUNCTION("""COMPUTED_VALUE"""),1003418.0)</f>
        <v>1003418</v>
      </c>
      <c r="C933" s="9">
        <f>IFERROR(__xludf.DUMMYFUNCTION("""COMPUTED_VALUE"""),7264.0)</f>
        <v>7264</v>
      </c>
      <c r="D933" s="9"/>
      <c r="E933" s="9"/>
      <c r="F933" s="9">
        <f>IFERROR(__xludf.DUMMYFUNCTION("""COMPUTED_VALUE"""),2.39)</f>
        <v>2.39</v>
      </c>
      <c r="G933" s="9">
        <f>IFERROR(__xludf.DUMMYFUNCTION("""COMPUTED_VALUE"""),2.39)</f>
        <v>2.39</v>
      </c>
      <c r="H933" s="9">
        <f>IFERROR(__xludf.DUMMYFUNCTION("""COMPUTED_VALUE"""),1.0)</f>
        <v>1</v>
      </c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</row>
    <row r="934" ht="15.75" customHeight="1">
      <c r="A934" s="11">
        <f>IFERROR(__xludf.DUMMYFUNCTION("""COMPUTED_VALUE"""),44471.0)</f>
        <v>44471</v>
      </c>
      <c r="B934" s="9">
        <f>IFERROR(__xludf.DUMMYFUNCTION("""COMPUTED_VALUE"""),1003418.0)</f>
        <v>1003418</v>
      </c>
      <c r="C934" s="9">
        <f>IFERROR(__xludf.DUMMYFUNCTION("""COMPUTED_VALUE"""),81939.0)</f>
        <v>81939</v>
      </c>
      <c r="D934" s="9"/>
      <c r="E934" s="9"/>
      <c r="F934" s="9">
        <f>IFERROR(__xludf.DUMMYFUNCTION("""COMPUTED_VALUE"""),6.78)</f>
        <v>6.78</v>
      </c>
      <c r="G934" s="9">
        <f>IFERROR(__xludf.DUMMYFUNCTION("""COMPUTED_VALUE"""),6.78)</f>
        <v>6.78</v>
      </c>
      <c r="H934" s="9">
        <f>IFERROR(__xludf.DUMMYFUNCTION("""COMPUTED_VALUE"""),1.0)</f>
        <v>1</v>
      </c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</row>
    <row r="935" ht="15.75" customHeight="1">
      <c r="A935" s="11">
        <f>IFERROR(__xludf.DUMMYFUNCTION("""COMPUTED_VALUE"""),44471.0)</f>
        <v>44471</v>
      </c>
      <c r="B935" s="9">
        <f>IFERROR(__xludf.DUMMYFUNCTION("""COMPUTED_VALUE"""),1003418.0)</f>
        <v>1003418</v>
      </c>
      <c r="C935" s="9">
        <f>IFERROR(__xludf.DUMMYFUNCTION("""COMPUTED_VALUE"""),73390.0)</f>
        <v>73390</v>
      </c>
      <c r="D935" s="10" t="str">
        <f>IFERROR(__xludf.DUMMYFUNCTION("""COMPUTED_VALUE"""),"DLC courtes")</f>
        <v>DLC courtes</v>
      </c>
      <c r="E935" s="10"/>
      <c r="F935" s="9">
        <f>IFERROR(__xludf.DUMMYFUNCTION("""COMPUTED_VALUE"""),2.58749999999999)</f>
        <v>2.5875</v>
      </c>
      <c r="G935" s="9">
        <f>IFERROR(__xludf.DUMMYFUNCTION("""COMPUTED_VALUE"""),2.07)</f>
        <v>2.07</v>
      </c>
      <c r="H935" s="9">
        <f>IFERROR(__xludf.DUMMYFUNCTION("""COMPUTED_VALUE"""),1.0)</f>
        <v>1</v>
      </c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</row>
    <row r="936" ht="15.75" customHeight="1">
      <c r="A936" s="11">
        <f>IFERROR(__xludf.DUMMYFUNCTION("""COMPUTED_VALUE"""),44471.0)</f>
        <v>44471</v>
      </c>
      <c r="B936" s="9">
        <f>IFERROR(__xludf.DUMMYFUNCTION("""COMPUTED_VALUE"""),1003418.0)</f>
        <v>1003418</v>
      </c>
      <c r="C936" s="9">
        <f>IFERROR(__xludf.DUMMYFUNCTION("""COMPUTED_VALUE"""),121477.0)</f>
        <v>121477</v>
      </c>
      <c r="D936" s="9"/>
      <c r="E936" s="9"/>
      <c r="F936" s="9">
        <f>IFERROR(__xludf.DUMMYFUNCTION("""COMPUTED_VALUE"""),2.22)</f>
        <v>2.22</v>
      </c>
      <c r="G936" s="9">
        <f>IFERROR(__xludf.DUMMYFUNCTION("""COMPUTED_VALUE"""),2.22)</f>
        <v>2.22</v>
      </c>
      <c r="H936" s="9">
        <f>IFERROR(__xludf.DUMMYFUNCTION("""COMPUTED_VALUE"""),1.0)</f>
        <v>1</v>
      </c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</row>
    <row r="937" ht="15.75" customHeight="1">
      <c r="A937" s="11">
        <f>IFERROR(__xludf.DUMMYFUNCTION("""COMPUTED_VALUE"""),44471.0)</f>
        <v>44471</v>
      </c>
      <c r="B937" s="9">
        <f>IFERROR(__xludf.DUMMYFUNCTION("""COMPUTED_VALUE"""),1003418.0)</f>
        <v>1003418</v>
      </c>
      <c r="C937" s="9">
        <f>IFERROR(__xludf.DUMMYFUNCTION("""COMPUTED_VALUE"""),77481.0)</f>
        <v>77481</v>
      </c>
      <c r="D937" s="9"/>
      <c r="E937" s="9"/>
      <c r="F937" s="9">
        <f>IFERROR(__xludf.DUMMYFUNCTION("""COMPUTED_VALUE"""),3.24)</f>
        <v>3.24</v>
      </c>
      <c r="G937" s="9">
        <f>IFERROR(__xludf.DUMMYFUNCTION("""COMPUTED_VALUE"""),3.24)</f>
        <v>3.24</v>
      </c>
      <c r="H937" s="9">
        <f>IFERROR(__xludf.DUMMYFUNCTION("""COMPUTED_VALUE"""),1.0)</f>
        <v>1</v>
      </c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</row>
    <row r="938" ht="15.75" customHeight="1">
      <c r="A938" s="11">
        <f>IFERROR(__xludf.DUMMYFUNCTION("""COMPUTED_VALUE"""),44471.0)</f>
        <v>44471</v>
      </c>
      <c r="B938" s="9">
        <f>IFERROR(__xludf.DUMMYFUNCTION("""COMPUTED_VALUE"""),1003418.0)</f>
        <v>1003418</v>
      </c>
      <c r="C938" s="9">
        <f>IFERROR(__xludf.DUMMYFUNCTION("""COMPUTED_VALUE"""),114946.0)</f>
        <v>114946</v>
      </c>
      <c r="D938" s="9"/>
      <c r="E938" s="9"/>
      <c r="F938" s="9">
        <f>IFERROR(__xludf.DUMMYFUNCTION("""COMPUTED_VALUE"""),2.37)</f>
        <v>2.37</v>
      </c>
      <c r="G938" s="9">
        <f>IFERROR(__xludf.DUMMYFUNCTION("""COMPUTED_VALUE"""),2.37)</f>
        <v>2.37</v>
      </c>
      <c r="H938" s="9">
        <f>IFERROR(__xludf.DUMMYFUNCTION("""COMPUTED_VALUE"""),1.0)</f>
        <v>1</v>
      </c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</row>
    <row r="939" ht="15.75" customHeight="1">
      <c r="A939" s="11">
        <f>IFERROR(__xludf.DUMMYFUNCTION("""COMPUTED_VALUE"""),44471.0)</f>
        <v>44471</v>
      </c>
      <c r="B939" s="9">
        <f>IFERROR(__xludf.DUMMYFUNCTION("""COMPUTED_VALUE"""),1003418.0)</f>
        <v>1003418</v>
      </c>
      <c r="C939" s="9">
        <f>IFERROR(__xludf.DUMMYFUNCTION("""COMPUTED_VALUE"""),77310.0)</f>
        <v>77310</v>
      </c>
      <c r="D939" s="9"/>
      <c r="E939" s="9"/>
      <c r="F939" s="9">
        <f>IFERROR(__xludf.DUMMYFUNCTION("""COMPUTED_VALUE"""),8.89)</f>
        <v>8.89</v>
      </c>
      <c r="G939" s="9">
        <f>IFERROR(__xludf.DUMMYFUNCTION("""COMPUTED_VALUE"""),8.89)</f>
        <v>8.89</v>
      </c>
      <c r="H939" s="9">
        <f>IFERROR(__xludf.DUMMYFUNCTION("""COMPUTED_VALUE"""),2.0)</f>
        <v>2</v>
      </c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</row>
    <row r="940" ht="15.75" customHeight="1">
      <c r="A940" s="11">
        <f>IFERROR(__xludf.DUMMYFUNCTION("""COMPUTED_VALUE"""),44471.0)</f>
        <v>44471</v>
      </c>
      <c r="B940" s="9">
        <f>IFERROR(__xludf.DUMMYFUNCTION("""COMPUTED_VALUE"""),1003418.0)</f>
        <v>1003418</v>
      </c>
      <c r="C940" s="9">
        <f>IFERROR(__xludf.DUMMYFUNCTION("""COMPUTED_VALUE"""),101339.0)</f>
        <v>101339</v>
      </c>
      <c r="D940" s="9"/>
      <c r="E940" s="9"/>
      <c r="F940" s="9">
        <f>IFERROR(__xludf.DUMMYFUNCTION("""COMPUTED_VALUE"""),12.99)</f>
        <v>12.99</v>
      </c>
      <c r="G940" s="9">
        <f>IFERROR(__xludf.DUMMYFUNCTION("""COMPUTED_VALUE"""),12.99)</f>
        <v>12.99</v>
      </c>
      <c r="H940" s="9">
        <f>IFERROR(__xludf.DUMMYFUNCTION("""COMPUTED_VALUE"""),2.0)</f>
        <v>2</v>
      </c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</row>
    <row r="941" ht="15.75" customHeight="1">
      <c r="A941" s="11">
        <f>IFERROR(__xludf.DUMMYFUNCTION("""COMPUTED_VALUE"""),44471.0)</f>
        <v>44471</v>
      </c>
      <c r="B941" s="9">
        <f>IFERROR(__xludf.DUMMYFUNCTION("""COMPUTED_VALUE"""),1003418.0)</f>
        <v>1003418</v>
      </c>
      <c r="C941" s="9">
        <f>IFERROR(__xludf.DUMMYFUNCTION("""COMPUTED_VALUE"""),68938.0)</f>
        <v>68938</v>
      </c>
      <c r="D941" s="9"/>
      <c r="E941" s="9"/>
      <c r="F941" s="9">
        <f>IFERROR(__xludf.DUMMYFUNCTION("""COMPUTED_VALUE"""),4.92)</f>
        <v>4.92</v>
      </c>
      <c r="G941" s="9">
        <f>IFERROR(__xludf.DUMMYFUNCTION("""COMPUTED_VALUE"""),4.92)</f>
        <v>4.92</v>
      </c>
      <c r="H941" s="9">
        <f>IFERROR(__xludf.DUMMYFUNCTION("""COMPUTED_VALUE"""),2.0)</f>
        <v>2</v>
      </c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</row>
    <row r="942" ht="15.75" customHeight="1">
      <c r="A942" s="11">
        <f>IFERROR(__xludf.DUMMYFUNCTION("""COMPUTED_VALUE"""),44471.0)</f>
        <v>44471</v>
      </c>
      <c r="B942" s="9">
        <f>IFERROR(__xludf.DUMMYFUNCTION("""COMPUTED_VALUE"""),1003418.0)</f>
        <v>1003418</v>
      </c>
      <c r="C942" s="9">
        <f>IFERROR(__xludf.DUMMYFUNCTION("""COMPUTED_VALUE"""),83001.0)</f>
        <v>83001</v>
      </c>
      <c r="D942" s="9"/>
      <c r="E942" s="9"/>
      <c r="F942" s="9">
        <f>IFERROR(__xludf.DUMMYFUNCTION("""COMPUTED_VALUE"""),2.61)</f>
        <v>2.61</v>
      </c>
      <c r="G942" s="9">
        <f>IFERROR(__xludf.DUMMYFUNCTION("""COMPUTED_VALUE"""),2.61)</f>
        <v>2.61</v>
      </c>
      <c r="H942" s="9">
        <f>IFERROR(__xludf.DUMMYFUNCTION("""COMPUTED_VALUE"""),2.0)</f>
        <v>2</v>
      </c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</row>
    <row r="943" ht="15.75" customHeight="1">
      <c r="A943" s="11">
        <f>IFERROR(__xludf.DUMMYFUNCTION("""COMPUTED_VALUE"""),44471.0)</f>
        <v>44471</v>
      </c>
      <c r="B943" s="9">
        <f>IFERROR(__xludf.DUMMYFUNCTION("""COMPUTED_VALUE"""),1003418.0)</f>
        <v>1003418</v>
      </c>
      <c r="C943" s="9">
        <f>IFERROR(__xludf.DUMMYFUNCTION("""COMPUTED_VALUE"""),10651.0)</f>
        <v>10651</v>
      </c>
      <c r="D943" s="10" t="str">
        <f>IFERROR(__xludf.DUMMYFUNCTION("""COMPUTED_VALUE"""),"DLC courtes")</f>
        <v>DLC courtes</v>
      </c>
      <c r="E943" s="10"/>
      <c r="F943" s="9">
        <f>IFERROR(__xludf.DUMMYFUNCTION("""COMPUTED_VALUE"""),2.68749999999999)</f>
        <v>2.6875</v>
      </c>
      <c r="G943" s="9">
        <f>IFERROR(__xludf.DUMMYFUNCTION("""COMPUTED_VALUE"""),2.15)</f>
        <v>2.15</v>
      </c>
      <c r="H943" s="9">
        <f>IFERROR(__xludf.DUMMYFUNCTION("""COMPUTED_VALUE"""),2.0)</f>
        <v>2</v>
      </c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</row>
    <row r="944" ht="15.75" customHeight="1">
      <c r="A944" s="11">
        <f>IFERROR(__xludf.DUMMYFUNCTION("""COMPUTED_VALUE"""),44471.0)</f>
        <v>44471</v>
      </c>
      <c r="B944" s="9">
        <f>IFERROR(__xludf.DUMMYFUNCTION("""COMPUTED_VALUE"""),1003418.0)</f>
        <v>1003418</v>
      </c>
      <c r="C944" s="9">
        <f>IFERROR(__xludf.DUMMYFUNCTION("""COMPUTED_VALUE"""),114350.0)</f>
        <v>114350</v>
      </c>
      <c r="D944" s="9"/>
      <c r="E944" s="9"/>
      <c r="F944" s="9">
        <f>IFERROR(__xludf.DUMMYFUNCTION("""COMPUTED_VALUE"""),14.52)</f>
        <v>14.52</v>
      </c>
      <c r="G944" s="9">
        <f>IFERROR(__xludf.DUMMYFUNCTION("""COMPUTED_VALUE"""),14.52)</f>
        <v>14.52</v>
      </c>
      <c r="H944" s="9">
        <f>IFERROR(__xludf.DUMMYFUNCTION("""COMPUTED_VALUE"""),4.0)</f>
        <v>4</v>
      </c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</row>
    <row r="945" ht="15.75" customHeight="1">
      <c r="A945" s="11">
        <f>IFERROR(__xludf.DUMMYFUNCTION("""COMPUTED_VALUE"""),44471.0)</f>
        <v>44471</v>
      </c>
      <c r="B945" s="9">
        <f>IFERROR(__xludf.DUMMYFUNCTION("""COMPUTED_VALUE"""),1003418.0)</f>
        <v>1003418</v>
      </c>
      <c r="C945" s="9">
        <f>IFERROR(__xludf.DUMMYFUNCTION("""COMPUTED_VALUE"""),112188.0)</f>
        <v>112188</v>
      </c>
      <c r="D945" s="9"/>
      <c r="E945" s="9"/>
      <c r="F945" s="9">
        <f>IFERROR(__xludf.DUMMYFUNCTION("""COMPUTED_VALUE"""),22.14)</f>
        <v>22.14</v>
      </c>
      <c r="G945" s="9">
        <f>IFERROR(__xludf.DUMMYFUNCTION("""COMPUTED_VALUE"""),22.14)</f>
        <v>22.14</v>
      </c>
      <c r="H945" s="9">
        <f>IFERROR(__xludf.DUMMYFUNCTION("""COMPUTED_VALUE"""),6.0)</f>
        <v>6</v>
      </c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</row>
    <row r="946" ht="15.75" customHeight="1">
      <c r="A946" s="11">
        <f>IFERROR(__xludf.DUMMYFUNCTION("""COMPUTED_VALUE"""),44471.0)</f>
        <v>44471</v>
      </c>
      <c r="B946" s="9">
        <f>IFERROR(__xludf.DUMMYFUNCTION("""COMPUTED_VALUE"""),1003418.0)</f>
        <v>1003418</v>
      </c>
      <c r="C946" s="9">
        <f>IFERROR(__xludf.DUMMYFUNCTION("""COMPUTED_VALUE"""),73916.0)</f>
        <v>73916</v>
      </c>
      <c r="D946" s="9"/>
      <c r="E946" s="9"/>
      <c r="F946" s="9">
        <f>IFERROR(__xludf.DUMMYFUNCTION("""COMPUTED_VALUE"""),40.41)</f>
        <v>40.41</v>
      </c>
      <c r="G946" s="9">
        <f>IFERROR(__xludf.DUMMYFUNCTION("""COMPUTED_VALUE"""),40.41)</f>
        <v>40.41</v>
      </c>
      <c r="H946" s="9">
        <f>IFERROR(__xludf.DUMMYFUNCTION("""COMPUTED_VALUE"""),15.0)</f>
        <v>15</v>
      </c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</row>
    <row r="947" ht="15.75" customHeight="1">
      <c r="A947" s="11">
        <f>IFERROR(__xludf.DUMMYFUNCTION("""COMPUTED_VALUE"""),44471.0)</f>
        <v>44471</v>
      </c>
      <c r="B947" s="9">
        <f>IFERROR(__xludf.DUMMYFUNCTION("""COMPUTED_VALUE"""),1003419.0)</f>
        <v>1003419</v>
      </c>
      <c r="C947" s="9">
        <f>IFERROR(__xludf.DUMMYFUNCTION("""COMPUTED_VALUE"""),118906.0)</f>
        <v>118906</v>
      </c>
      <c r="D947" s="9"/>
      <c r="E947" s="9"/>
      <c r="F947" s="9">
        <f>IFERROR(__xludf.DUMMYFUNCTION("""COMPUTED_VALUE"""),21.82)</f>
        <v>21.82</v>
      </c>
      <c r="G947" s="9">
        <f>IFERROR(__xludf.DUMMYFUNCTION("""COMPUTED_VALUE"""),21.82)</f>
        <v>21.82</v>
      </c>
      <c r="H947" s="9">
        <f>IFERROR(__xludf.DUMMYFUNCTION("""COMPUTED_VALUE"""),3.0)</f>
        <v>3</v>
      </c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</row>
    <row r="948" ht="15.75" customHeight="1">
      <c r="A948" s="11">
        <f>IFERROR(__xludf.DUMMYFUNCTION("""COMPUTED_VALUE"""),44471.0)</f>
        <v>44471</v>
      </c>
      <c r="B948" s="9">
        <f>IFERROR(__xludf.DUMMYFUNCTION("""COMPUTED_VALUE"""),1003420.0)</f>
        <v>1003420</v>
      </c>
      <c r="C948" s="9">
        <f>IFERROR(__xludf.DUMMYFUNCTION("""COMPUTED_VALUE"""),14393.0)</f>
        <v>14393</v>
      </c>
      <c r="D948" s="9"/>
      <c r="E948" s="10" t="str">
        <f>IFERROR(__xludf.DUMMYFUNCTION("""COMPUTED_VALUE"""),"GREENRELAIS")</f>
        <v>GREENRELAIS</v>
      </c>
      <c r="F948" s="10">
        <f>IFERROR(__xludf.DUMMYFUNCTION("""COMPUTED_VALUE"""),2.22)</f>
        <v>2.22</v>
      </c>
      <c r="G948" s="9">
        <f>IFERROR(__xludf.DUMMYFUNCTION("""COMPUTED_VALUE"""),2.22)</f>
        <v>2.22</v>
      </c>
      <c r="H948" s="9">
        <f>IFERROR(__xludf.DUMMYFUNCTION("""COMPUTED_VALUE"""),1.0)</f>
        <v>1</v>
      </c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</row>
    <row r="949" ht="15.75" customHeight="1">
      <c r="A949" s="11">
        <f>IFERROR(__xludf.DUMMYFUNCTION("""COMPUTED_VALUE"""),44471.0)</f>
        <v>44471</v>
      </c>
      <c r="B949" s="9">
        <f>IFERROR(__xludf.DUMMYFUNCTION("""COMPUTED_VALUE"""),1003420.0)</f>
        <v>1003420</v>
      </c>
      <c r="C949" s="9">
        <f>IFERROR(__xludf.DUMMYFUNCTION("""COMPUTED_VALUE"""),4255.0)</f>
        <v>4255</v>
      </c>
      <c r="D949" s="9"/>
      <c r="E949" s="10" t="str">
        <f>IFERROR(__xludf.DUMMYFUNCTION("""COMPUTED_VALUE"""),"GREENRELAIS")</f>
        <v>GREENRELAIS</v>
      </c>
      <c r="F949" s="10">
        <f>IFERROR(__xludf.DUMMYFUNCTION("""COMPUTED_VALUE"""),6.3)</f>
        <v>6.3</v>
      </c>
      <c r="G949" s="9">
        <f>IFERROR(__xludf.DUMMYFUNCTION("""COMPUTED_VALUE"""),6.3)</f>
        <v>6.3</v>
      </c>
      <c r="H949" s="9">
        <f>IFERROR(__xludf.DUMMYFUNCTION("""COMPUTED_VALUE"""),3.0)</f>
        <v>3</v>
      </c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</row>
    <row r="950" ht="15.75" customHeight="1">
      <c r="A950" s="11">
        <f>IFERROR(__xludf.DUMMYFUNCTION("""COMPUTED_VALUE"""),44471.0)</f>
        <v>44471</v>
      </c>
      <c r="B950" s="9">
        <f>IFERROR(__xludf.DUMMYFUNCTION("""COMPUTED_VALUE"""),1003420.0)</f>
        <v>1003420</v>
      </c>
      <c r="C950" s="9">
        <f>IFERROR(__xludf.DUMMYFUNCTION("""COMPUTED_VALUE"""),4264.0)</f>
        <v>4264</v>
      </c>
      <c r="D950" s="9"/>
      <c r="E950" s="10" t="str">
        <f>IFERROR(__xludf.DUMMYFUNCTION("""COMPUTED_VALUE"""),"GREENRELAIS")</f>
        <v>GREENRELAIS</v>
      </c>
      <c r="F950" s="10">
        <f>IFERROR(__xludf.DUMMYFUNCTION("""COMPUTED_VALUE"""),7.15)</f>
        <v>7.15</v>
      </c>
      <c r="G950" s="9">
        <f>IFERROR(__xludf.DUMMYFUNCTION("""COMPUTED_VALUE"""),7.15)</f>
        <v>7.15</v>
      </c>
      <c r="H950" s="9">
        <f>IFERROR(__xludf.DUMMYFUNCTION("""COMPUTED_VALUE"""),3.0)</f>
        <v>3</v>
      </c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</row>
    <row r="951" ht="15.75" customHeight="1">
      <c r="A951" s="11">
        <f>IFERROR(__xludf.DUMMYFUNCTION("""COMPUTED_VALUE"""),44471.0)</f>
        <v>44471</v>
      </c>
      <c r="B951" s="9">
        <f>IFERROR(__xludf.DUMMYFUNCTION("""COMPUTED_VALUE"""),1003420.0)</f>
        <v>1003420</v>
      </c>
      <c r="C951" s="9">
        <f>IFERROR(__xludf.DUMMYFUNCTION("""COMPUTED_VALUE"""),101298.0)</f>
        <v>101298</v>
      </c>
      <c r="D951" s="10" t="str">
        <f>IFERROR(__xludf.DUMMYFUNCTION("""COMPUTED_VALUE"""),"Natur'vox Carryboo couches Sept 21")</f>
        <v>Natur'vox Carryboo couches Sept 21</v>
      </c>
      <c r="E951" s="10" t="str">
        <f>IFERROR(__xludf.DUMMYFUNCTION("""COMPUTED_VALUE"""),"GREENRELAIS")</f>
        <v>GREENRELAIS</v>
      </c>
      <c r="F951" s="10">
        <f>IFERROR(__xludf.DUMMYFUNCTION("""COMPUTED_VALUE"""),98.2266666666666)</f>
        <v>98.22666667</v>
      </c>
      <c r="G951" s="9">
        <f>IFERROR(__xludf.DUMMYFUNCTION("""COMPUTED_VALUE"""),73.67)</f>
        <v>73.67</v>
      </c>
      <c r="H951" s="9">
        <f>IFERROR(__xludf.DUMMYFUNCTION("""COMPUTED_VALUE"""),6.0)</f>
        <v>6</v>
      </c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</row>
    <row r="952" ht="15.75" customHeight="1">
      <c r="A952" s="11">
        <f>IFERROR(__xludf.DUMMYFUNCTION("""COMPUTED_VALUE"""),44471.0)</f>
        <v>44471</v>
      </c>
      <c r="B952" s="9">
        <f>IFERROR(__xludf.DUMMYFUNCTION("""COMPUTED_VALUE"""),1003421.0)</f>
        <v>1003421</v>
      </c>
      <c r="C952" s="9">
        <f>IFERROR(__xludf.DUMMYFUNCTION("""COMPUTED_VALUE"""),118255.0)</f>
        <v>118255</v>
      </c>
      <c r="D952" s="9"/>
      <c r="E952" s="9"/>
      <c r="F952" s="9">
        <f>IFERROR(__xludf.DUMMYFUNCTION("""COMPUTED_VALUE"""),3.64)</f>
        <v>3.64</v>
      </c>
      <c r="G952" s="9">
        <f>IFERROR(__xludf.DUMMYFUNCTION("""COMPUTED_VALUE"""),3.64)</f>
        <v>3.64</v>
      </c>
      <c r="H952" s="9">
        <f>IFERROR(__xludf.DUMMYFUNCTION("""COMPUTED_VALUE"""),1.0)</f>
        <v>1</v>
      </c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</row>
    <row r="953" ht="15.75" customHeight="1">
      <c r="A953" s="11">
        <f>IFERROR(__xludf.DUMMYFUNCTION("""COMPUTED_VALUE"""),44471.0)</f>
        <v>44471</v>
      </c>
      <c r="B953" s="9">
        <f>IFERROR(__xludf.DUMMYFUNCTION("""COMPUTED_VALUE"""),1003421.0)</f>
        <v>1003421</v>
      </c>
      <c r="C953" s="9">
        <f>IFERROR(__xludf.DUMMYFUNCTION("""COMPUTED_VALUE"""),118257.0)</f>
        <v>118257</v>
      </c>
      <c r="D953" s="9"/>
      <c r="E953" s="9"/>
      <c r="F953" s="9">
        <f>IFERROR(__xludf.DUMMYFUNCTION("""COMPUTED_VALUE"""),1.59)</f>
        <v>1.59</v>
      </c>
      <c r="G953" s="9">
        <f>IFERROR(__xludf.DUMMYFUNCTION("""COMPUTED_VALUE"""),1.59)</f>
        <v>1.59</v>
      </c>
      <c r="H953" s="9">
        <f>IFERROR(__xludf.DUMMYFUNCTION("""COMPUTED_VALUE"""),1.0)</f>
        <v>1</v>
      </c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</row>
    <row r="954" ht="15.75" customHeight="1">
      <c r="A954" s="11">
        <f>IFERROR(__xludf.DUMMYFUNCTION("""COMPUTED_VALUE"""),44471.0)</f>
        <v>44471</v>
      </c>
      <c r="B954" s="9">
        <f>IFERROR(__xludf.DUMMYFUNCTION("""COMPUTED_VALUE"""),1003421.0)</f>
        <v>1003421</v>
      </c>
      <c r="C954" s="9">
        <f>IFERROR(__xludf.DUMMYFUNCTION("""COMPUTED_VALUE"""),81109.0)</f>
        <v>81109</v>
      </c>
      <c r="D954" s="9"/>
      <c r="E954" s="9"/>
      <c r="F954" s="9">
        <f>IFERROR(__xludf.DUMMYFUNCTION("""COMPUTED_VALUE"""),2.45)</f>
        <v>2.45</v>
      </c>
      <c r="G954" s="9">
        <f>IFERROR(__xludf.DUMMYFUNCTION("""COMPUTED_VALUE"""),2.45)</f>
        <v>2.45</v>
      </c>
      <c r="H954" s="9">
        <f>IFERROR(__xludf.DUMMYFUNCTION("""COMPUTED_VALUE"""),1.0)</f>
        <v>1</v>
      </c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</row>
    <row r="955" ht="15.75" customHeight="1">
      <c r="A955" s="11">
        <f>IFERROR(__xludf.DUMMYFUNCTION("""COMPUTED_VALUE"""),44471.0)</f>
        <v>44471</v>
      </c>
      <c r="B955" s="9">
        <f>IFERROR(__xludf.DUMMYFUNCTION("""COMPUTED_VALUE"""),1003421.0)</f>
        <v>1003421</v>
      </c>
      <c r="C955" s="9">
        <f>IFERROR(__xludf.DUMMYFUNCTION("""COMPUTED_VALUE"""),116678.0)</f>
        <v>116678</v>
      </c>
      <c r="D955" s="9"/>
      <c r="E955" s="9"/>
      <c r="F955" s="9">
        <f>IFERROR(__xludf.DUMMYFUNCTION("""COMPUTED_VALUE"""),14.13)</f>
        <v>14.13</v>
      </c>
      <c r="G955" s="9">
        <f>IFERROR(__xludf.DUMMYFUNCTION("""COMPUTED_VALUE"""),14.13)</f>
        <v>14.13</v>
      </c>
      <c r="H955" s="9">
        <f>IFERROR(__xludf.DUMMYFUNCTION("""COMPUTED_VALUE"""),1.0)</f>
        <v>1</v>
      </c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</row>
    <row r="956" ht="15.75" customHeight="1">
      <c r="A956" s="11">
        <f>IFERROR(__xludf.DUMMYFUNCTION("""COMPUTED_VALUE"""),44471.0)</f>
        <v>44471</v>
      </c>
      <c r="B956" s="9">
        <f>IFERROR(__xludf.DUMMYFUNCTION("""COMPUTED_VALUE"""),1003421.0)</f>
        <v>1003421</v>
      </c>
      <c r="C956" s="9">
        <f>IFERROR(__xludf.DUMMYFUNCTION("""COMPUTED_VALUE"""),122747.0)</f>
        <v>122747</v>
      </c>
      <c r="D956" s="9"/>
      <c r="E956" s="9"/>
      <c r="F956" s="9">
        <f>IFERROR(__xludf.DUMMYFUNCTION("""COMPUTED_VALUE"""),17.51)</f>
        <v>17.51</v>
      </c>
      <c r="G956" s="9">
        <f>IFERROR(__xludf.DUMMYFUNCTION("""COMPUTED_VALUE"""),17.51)</f>
        <v>17.51</v>
      </c>
      <c r="H956" s="9">
        <f>IFERROR(__xludf.DUMMYFUNCTION("""COMPUTED_VALUE"""),1.0)</f>
        <v>1</v>
      </c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</row>
    <row r="957" ht="15.75" customHeight="1">
      <c r="A957" s="11">
        <f>IFERROR(__xludf.DUMMYFUNCTION("""COMPUTED_VALUE"""),44471.0)</f>
        <v>44471</v>
      </c>
      <c r="B957" s="9">
        <f>IFERROR(__xludf.DUMMYFUNCTION("""COMPUTED_VALUE"""),1003421.0)</f>
        <v>1003421</v>
      </c>
      <c r="C957" s="9">
        <f>IFERROR(__xludf.DUMMYFUNCTION("""COMPUTED_VALUE"""),45489.0)</f>
        <v>45489</v>
      </c>
      <c r="D957" s="9"/>
      <c r="E957" s="9"/>
      <c r="F957" s="9">
        <f>IFERROR(__xludf.DUMMYFUNCTION("""COMPUTED_VALUE"""),4.24)</f>
        <v>4.24</v>
      </c>
      <c r="G957" s="9">
        <f>IFERROR(__xludf.DUMMYFUNCTION("""COMPUTED_VALUE"""),4.24)</f>
        <v>4.24</v>
      </c>
      <c r="H957" s="9">
        <f>IFERROR(__xludf.DUMMYFUNCTION("""COMPUTED_VALUE"""),1.0)</f>
        <v>1</v>
      </c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</row>
    <row r="958" ht="15.75" customHeight="1">
      <c r="A958" s="11">
        <f>IFERROR(__xludf.DUMMYFUNCTION("""COMPUTED_VALUE"""),44471.0)</f>
        <v>44471</v>
      </c>
      <c r="B958" s="9">
        <f>IFERROR(__xludf.DUMMYFUNCTION("""COMPUTED_VALUE"""),1003421.0)</f>
        <v>1003421</v>
      </c>
      <c r="C958" s="9">
        <f>IFERROR(__xludf.DUMMYFUNCTION("""COMPUTED_VALUE"""),88188.0)</f>
        <v>88188</v>
      </c>
      <c r="D958" s="9"/>
      <c r="E958" s="9"/>
      <c r="F958" s="9">
        <f>IFERROR(__xludf.DUMMYFUNCTION("""COMPUTED_VALUE"""),28.52)</f>
        <v>28.52</v>
      </c>
      <c r="G958" s="9">
        <f>IFERROR(__xludf.DUMMYFUNCTION("""COMPUTED_VALUE"""),28.52)</f>
        <v>28.52</v>
      </c>
      <c r="H958" s="9">
        <f>IFERROR(__xludf.DUMMYFUNCTION("""COMPUTED_VALUE"""),2.0)</f>
        <v>2</v>
      </c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</row>
    <row r="959" ht="15.75" customHeight="1">
      <c r="A959" s="11">
        <f>IFERROR(__xludf.DUMMYFUNCTION("""COMPUTED_VALUE"""),44471.0)</f>
        <v>44471</v>
      </c>
      <c r="B959" s="9">
        <f>IFERROR(__xludf.DUMMYFUNCTION("""COMPUTED_VALUE"""),1003421.0)</f>
        <v>1003421</v>
      </c>
      <c r="C959" s="9">
        <f>IFERROR(__xludf.DUMMYFUNCTION("""COMPUTED_VALUE"""),118253.0)</f>
        <v>118253</v>
      </c>
      <c r="D959" s="9"/>
      <c r="E959" s="9"/>
      <c r="F959" s="9">
        <f>IFERROR(__xludf.DUMMYFUNCTION("""COMPUTED_VALUE"""),12.03)</f>
        <v>12.03</v>
      </c>
      <c r="G959" s="9">
        <f>IFERROR(__xludf.DUMMYFUNCTION("""COMPUTED_VALUE"""),12.03)</f>
        <v>12.03</v>
      </c>
      <c r="H959" s="9">
        <f>IFERROR(__xludf.DUMMYFUNCTION("""COMPUTED_VALUE"""),2.0)</f>
        <v>2</v>
      </c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</row>
    <row r="960" ht="15.75" customHeight="1">
      <c r="A960" s="11">
        <f>IFERROR(__xludf.DUMMYFUNCTION("""COMPUTED_VALUE"""),44471.0)</f>
        <v>44471</v>
      </c>
      <c r="B960" s="9">
        <f>IFERROR(__xludf.DUMMYFUNCTION("""COMPUTED_VALUE"""),1003421.0)</f>
        <v>1003421</v>
      </c>
      <c r="C960" s="9">
        <f>IFERROR(__xludf.DUMMYFUNCTION("""COMPUTED_VALUE"""),103589.0)</f>
        <v>103589</v>
      </c>
      <c r="D960" s="10" t="str">
        <f>IFERROR(__xludf.DUMMYFUNCTION("""COMPUTED_VALUE"""),"Love &amp; Green Couches et Culottes sept 2021")</f>
        <v>Love &amp; Green Couches et Culottes sept 2021</v>
      </c>
      <c r="E960" s="10"/>
      <c r="F960" s="9">
        <f>IFERROR(__xludf.DUMMYFUNCTION("""COMPUTED_VALUE"""),62.0285714285714)</f>
        <v>62.02857143</v>
      </c>
      <c r="G960" s="9">
        <f>IFERROR(__xludf.DUMMYFUNCTION("""COMPUTED_VALUE"""),43.42)</f>
        <v>43.42</v>
      </c>
      <c r="H960" s="9">
        <f>IFERROR(__xludf.DUMMYFUNCTION("""COMPUTED_VALUE"""),4.0)</f>
        <v>4</v>
      </c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</row>
    <row r="961" ht="15.75" customHeight="1">
      <c r="A961" s="11">
        <f>IFERROR(__xludf.DUMMYFUNCTION("""COMPUTED_VALUE"""),44471.0)</f>
        <v>44471</v>
      </c>
      <c r="B961" s="9">
        <f>IFERROR(__xludf.DUMMYFUNCTION("""COMPUTED_VALUE"""),1003422.0)</f>
        <v>1003422</v>
      </c>
      <c r="C961" s="9">
        <f>IFERROR(__xludf.DUMMYFUNCTION("""COMPUTED_VALUE"""),109310.0)</f>
        <v>109310</v>
      </c>
      <c r="D961" s="9"/>
      <c r="E961" s="9"/>
      <c r="F961" s="9">
        <f>IFERROR(__xludf.DUMMYFUNCTION("""COMPUTED_VALUE"""),6.27)</f>
        <v>6.27</v>
      </c>
      <c r="G961" s="9">
        <f>IFERROR(__xludf.DUMMYFUNCTION("""COMPUTED_VALUE"""),6.27)</f>
        <v>6.27</v>
      </c>
      <c r="H961" s="9">
        <f>IFERROR(__xludf.DUMMYFUNCTION("""COMPUTED_VALUE"""),1.0)</f>
        <v>1</v>
      </c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</row>
    <row r="962" ht="15.75" customHeight="1">
      <c r="A962" s="11">
        <f>IFERROR(__xludf.DUMMYFUNCTION("""COMPUTED_VALUE"""),44471.0)</f>
        <v>44471</v>
      </c>
      <c r="B962" s="9">
        <f>IFERROR(__xludf.DUMMYFUNCTION("""COMPUTED_VALUE"""),1003422.0)</f>
        <v>1003422</v>
      </c>
      <c r="C962" s="9">
        <f>IFERROR(__xludf.DUMMYFUNCTION("""COMPUTED_VALUE"""),76413.0)</f>
        <v>76413</v>
      </c>
      <c r="D962" s="9"/>
      <c r="E962" s="9"/>
      <c r="F962" s="9">
        <f>IFERROR(__xludf.DUMMYFUNCTION("""COMPUTED_VALUE"""),1.76)</f>
        <v>1.76</v>
      </c>
      <c r="G962" s="9">
        <f>IFERROR(__xludf.DUMMYFUNCTION("""COMPUTED_VALUE"""),1.76)</f>
        <v>1.76</v>
      </c>
      <c r="H962" s="9">
        <f>IFERROR(__xludf.DUMMYFUNCTION("""COMPUTED_VALUE"""),1.0)</f>
        <v>1</v>
      </c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</row>
    <row r="963" ht="15.75" customHeight="1">
      <c r="A963" s="11">
        <f>IFERROR(__xludf.DUMMYFUNCTION("""COMPUTED_VALUE"""),44471.0)</f>
        <v>44471</v>
      </c>
      <c r="B963" s="9">
        <f>IFERROR(__xludf.DUMMYFUNCTION("""COMPUTED_VALUE"""),1003422.0)</f>
        <v>1003422</v>
      </c>
      <c r="C963" s="9">
        <f>IFERROR(__xludf.DUMMYFUNCTION("""COMPUTED_VALUE"""),86987.0)</f>
        <v>86987</v>
      </c>
      <c r="D963" s="9"/>
      <c r="E963" s="9"/>
      <c r="F963" s="9">
        <f>IFERROR(__xludf.DUMMYFUNCTION("""COMPUTED_VALUE"""),3.03)</f>
        <v>3.03</v>
      </c>
      <c r="G963" s="9">
        <f>IFERROR(__xludf.DUMMYFUNCTION("""COMPUTED_VALUE"""),3.03)</f>
        <v>3.03</v>
      </c>
      <c r="H963" s="9">
        <f>IFERROR(__xludf.DUMMYFUNCTION("""COMPUTED_VALUE"""),1.0)</f>
        <v>1</v>
      </c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</row>
    <row r="964" ht="15.75" customHeight="1">
      <c r="A964" s="11">
        <f>IFERROR(__xludf.DUMMYFUNCTION("""COMPUTED_VALUE"""),44471.0)</f>
        <v>44471</v>
      </c>
      <c r="B964" s="9">
        <f>IFERROR(__xludf.DUMMYFUNCTION("""COMPUTED_VALUE"""),1003422.0)</f>
        <v>1003422</v>
      </c>
      <c r="C964" s="9">
        <f>IFERROR(__xludf.DUMMYFUNCTION("""COMPUTED_VALUE"""),114267.0)</f>
        <v>114267</v>
      </c>
      <c r="D964" s="9"/>
      <c r="E964" s="9"/>
      <c r="F964" s="9">
        <f>IFERROR(__xludf.DUMMYFUNCTION("""COMPUTED_VALUE"""),7.34)</f>
        <v>7.34</v>
      </c>
      <c r="G964" s="9">
        <f>IFERROR(__xludf.DUMMYFUNCTION("""COMPUTED_VALUE"""),7.34)</f>
        <v>7.34</v>
      </c>
      <c r="H964" s="9">
        <f>IFERROR(__xludf.DUMMYFUNCTION("""COMPUTED_VALUE"""),1.0)</f>
        <v>1</v>
      </c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</row>
    <row r="965" ht="15.75" customHeight="1">
      <c r="A965" s="11">
        <f>IFERROR(__xludf.DUMMYFUNCTION("""COMPUTED_VALUE"""),44471.0)</f>
        <v>44471</v>
      </c>
      <c r="B965" s="9">
        <f>IFERROR(__xludf.DUMMYFUNCTION("""COMPUTED_VALUE"""),1003422.0)</f>
        <v>1003422</v>
      </c>
      <c r="C965" s="9">
        <f>IFERROR(__xludf.DUMMYFUNCTION("""COMPUTED_VALUE"""),87096.0)</f>
        <v>87096</v>
      </c>
      <c r="D965" s="10" t="str">
        <f>IFERROR(__xludf.DUMMYFUNCTION("""COMPUTED_VALUE"""),"Vive le bio")</f>
        <v>Vive le bio</v>
      </c>
      <c r="E965" s="10"/>
      <c r="F965" s="9">
        <f>IFERROR(__xludf.DUMMYFUNCTION("""COMPUTED_VALUE"""),3.85555555555555)</f>
        <v>3.855555556</v>
      </c>
      <c r="G965" s="9">
        <f>IFERROR(__xludf.DUMMYFUNCTION("""COMPUTED_VALUE"""),3.47)</f>
        <v>3.47</v>
      </c>
      <c r="H965" s="9">
        <f>IFERROR(__xludf.DUMMYFUNCTION("""COMPUTED_VALUE"""),1.0)</f>
        <v>1</v>
      </c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</row>
    <row r="966" ht="15.75" customHeight="1">
      <c r="A966" s="11">
        <f>IFERROR(__xludf.DUMMYFUNCTION("""COMPUTED_VALUE"""),44471.0)</f>
        <v>44471</v>
      </c>
      <c r="B966" s="9">
        <f>IFERROR(__xludf.DUMMYFUNCTION("""COMPUTED_VALUE"""),1003422.0)</f>
        <v>1003422</v>
      </c>
      <c r="C966" s="9">
        <f>IFERROR(__xludf.DUMMYFUNCTION("""COMPUTED_VALUE"""),69323.0)</f>
        <v>69323</v>
      </c>
      <c r="D966" s="9"/>
      <c r="E966" s="9"/>
      <c r="F966" s="9">
        <f>IFERROR(__xludf.DUMMYFUNCTION("""COMPUTED_VALUE"""),3.44)</f>
        <v>3.44</v>
      </c>
      <c r="G966" s="9">
        <f>IFERROR(__xludf.DUMMYFUNCTION("""COMPUTED_VALUE"""),3.44)</f>
        <v>3.44</v>
      </c>
      <c r="H966" s="9">
        <f>IFERROR(__xludf.DUMMYFUNCTION("""COMPUTED_VALUE"""),1.0)</f>
        <v>1</v>
      </c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</row>
    <row r="967" ht="15.75" customHeight="1">
      <c r="A967" s="11">
        <f>IFERROR(__xludf.DUMMYFUNCTION("""COMPUTED_VALUE"""),44471.0)</f>
        <v>44471</v>
      </c>
      <c r="B967" s="9">
        <f>IFERROR(__xludf.DUMMYFUNCTION("""COMPUTED_VALUE"""),1003422.0)</f>
        <v>1003422</v>
      </c>
      <c r="C967" s="9">
        <f>IFERROR(__xludf.DUMMYFUNCTION("""COMPUTED_VALUE"""),86360.0)</f>
        <v>86360</v>
      </c>
      <c r="D967" s="9"/>
      <c r="E967" s="9"/>
      <c r="F967" s="9">
        <f>IFERROR(__xludf.DUMMYFUNCTION("""COMPUTED_VALUE"""),8.3)</f>
        <v>8.3</v>
      </c>
      <c r="G967" s="9">
        <f>IFERROR(__xludf.DUMMYFUNCTION("""COMPUTED_VALUE"""),8.3)</f>
        <v>8.3</v>
      </c>
      <c r="H967" s="9">
        <f>IFERROR(__xludf.DUMMYFUNCTION("""COMPUTED_VALUE"""),1.0)</f>
        <v>1</v>
      </c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</row>
    <row r="968" ht="15.75" customHeight="1">
      <c r="A968" s="11">
        <f>IFERROR(__xludf.DUMMYFUNCTION("""COMPUTED_VALUE"""),44471.0)</f>
        <v>44471</v>
      </c>
      <c r="B968" s="9">
        <f>IFERROR(__xludf.DUMMYFUNCTION("""COMPUTED_VALUE"""),1003422.0)</f>
        <v>1003422</v>
      </c>
      <c r="C968" s="9">
        <f>IFERROR(__xludf.DUMMYFUNCTION("""COMPUTED_VALUE"""),5718.0)</f>
        <v>5718</v>
      </c>
      <c r="D968" s="9"/>
      <c r="E968" s="9"/>
      <c r="F968" s="9">
        <f>IFERROR(__xludf.DUMMYFUNCTION("""COMPUTED_VALUE"""),5.42)</f>
        <v>5.42</v>
      </c>
      <c r="G968" s="9">
        <f>IFERROR(__xludf.DUMMYFUNCTION("""COMPUTED_VALUE"""),5.42)</f>
        <v>5.42</v>
      </c>
      <c r="H968" s="9">
        <f>IFERROR(__xludf.DUMMYFUNCTION("""COMPUTED_VALUE"""),1.0)</f>
        <v>1</v>
      </c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</row>
    <row r="969" ht="15.75" customHeight="1">
      <c r="A969" s="11">
        <f>IFERROR(__xludf.DUMMYFUNCTION("""COMPUTED_VALUE"""),44471.0)</f>
        <v>44471</v>
      </c>
      <c r="B969" s="9">
        <f>IFERROR(__xludf.DUMMYFUNCTION("""COMPUTED_VALUE"""),1003422.0)</f>
        <v>1003422</v>
      </c>
      <c r="C969" s="9">
        <f>IFERROR(__xludf.DUMMYFUNCTION("""COMPUTED_VALUE"""),76360.0)</f>
        <v>76360</v>
      </c>
      <c r="D969" s="10" t="str">
        <f>IFERROR(__xludf.DUMMYFUNCTION("""COMPUTED_VALUE"""),"Vive le bio")</f>
        <v>Vive le bio</v>
      </c>
      <c r="E969" s="10"/>
      <c r="F969" s="9">
        <f>IFERROR(__xludf.DUMMYFUNCTION("""COMPUTED_VALUE"""),2.17777777777777)</f>
        <v>2.177777778</v>
      </c>
      <c r="G969" s="9">
        <f>IFERROR(__xludf.DUMMYFUNCTION("""COMPUTED_VALUE"""),1.96)</f>
        <v>1.96</v>
      </c>
      <c r="H969" s="9">
        <f>IFERROR(__xludf.DUMMYFUNCTION("""COMPUTED_VALUE"""),1.0)</f>
        <v>1</v>
      </c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</row>
    <row r="970" ht="15.75" customHeight="1">
      <c r="A970" s="11">
        <f>IFERROR(__xludf.DUMMYFUNCTION("""COMPUTED_VALUE"""),44471.0)</f>
        <v>44471</v>
      </c>
      <c r="B970" s="9">
        <f>IFERROR(__xludf.DUMMYFUNCTION("""COMPUTED_VALUE"""),1003422.0)</f>
        <v>1003422</v>
      </c>
      <c r="C970" s="9">
        <f>IFERROR(__xludf.DUMMYFUNCTION("""COMPUTED_VALUE"""),5551.0)</f>
        <v>5551</v>
      </c>
      <c r="D970" s="10" t="str">
        <f>IFERROR(__xludf.DUMMYFUNCTION("""COMPUTED_VALUE"""),"Vive le bio")</f>
        <v>Vive le bio</v>
      </c>
      <c r="E970" s="10"/>
      <c r="F970" s="9">
        <f>IFERROR(__xludf.DUMMYFUNCTION("""COMPUTED_VALUE"""),5.7)</f>
        <v>5.7</v>
      </c>
      <c r="G970" s="9">
        <f>IFERROR(__xludf.DUMMYFUNCTION("""COMPUTED_VALUE"""),5.13)</f>
        <v>5.13</v>
      </c>
      <c r="H970" s="9">
        <f>IFERROR(__xludf.DUMMYFUNCTION("""COMPUTED_VALUE"""),1.0)</f>
        <v>1</v>
      </c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</row>
    <row r="971" ht="15.75" customHeight="1">
      <c r="A971" s="11">
        <f>IFERROR(__xludf.DUMMYFUNCTION("""COMPUTED_VALUE"""),44471.0)</f>
        <v>44471</v>
      </c>
      <c r="B971" s="9">
        <f>IFERROR(__xludf.DUMMYFUNCTION("""COMPUTED_VALUE"""),1003422.0)</f>
        <v>1003422</v>
      </c>
      <c r="C971" s="9">
        <f>IFERROR(__xludf.DUMMYFUNCTION("""COMPUTED_VALUE"""),110575.0)</f>
        <v>110575</v>
      </c>
      <c r="D971" s="9"/>
      <c r="E971" s="9"/>
      <c r="F971" s="9">
        <f>IFERROR(__xludf.DUMMYFUNCTION("""COMPUTED_VALUE"""),3.77)</f>
        <v>3.77</v>
      </c>
      <c r="G971" s="9">
        <f>IFERROR(__xludf.DUMMYFUNCTION("""COMPUTED_VALUE"""),3.77)</f>
        <v>3.77</v>
      </c>
      <c r="H971" s="9">
        <f>IFERROR(__xludf.DUMMYFUNCTION("""COMPUTED_VALUE"""),2.0)</f>
        <v>2</v>
      </c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</row>
    <row r="972" ht="15.75" customHeight="1">
      <c r="A972" s="11">
        <f>IFERROR(__xludf.DUMMYFUNCTION("""COMPUTED_VALUE"""),44471.0)</f>
        <v>44471</v>
      </c>
      <c r="B972" s="9">
        <f>IFERROR(__xludf.DUMMYFUNCTION("""COMPUTED_VALUE"""),1003422.0)</f>
        <v>1003422</v>
      </c>
      <c r="C972" s="9">
        <f>IFERROR(__xludf.DUMMYFUNCTION("""COMPUTED_VALUE"""),29117.0)</f>
        <v>29117</v>
      </c>
      <c r="D972" s="9"/>
      <c r="E972" s="9"/>
      <c r="F972" s="9">
        <f>IFERROR(__xludf.DUMMYFUNCTION("""COMPUTED_VALUE"""),4.83)</f>
        <v>4.83</v>
      </c>
      <c r="G972" s="9">
        <f>IFERROR(__xludf.DUMMYFUNCTION("""COMPUTED_VALUE"""),4.83)</f>
        <v>4.83</v>
      </c>
      <c r="H972" s="9">
        <f>IFERROR(__xludf.DUMMYFUNCTION("""COMPUTED_VALUE"""),2.0)</f>
        <v>2</v>
      </c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</row>
    <row r="973" ht="15.75" customHeight="1">
      <c r="A973" s="11">
        <f>IFERROR(__xludf.DUMMYFUNCTION("""COMPUTED_VALUE"""),44471.0)</f>
        <v>44471</v>
      </c>
      <c r="B973" s="9">
        <f>IFERROR(__xludf.DUMMYFUNCTION("""COMPUTED_VALUE"""),1003423.0)</f>
        <v>1003423</v>
      </c>
      <c r="C973" s="9">
        <f>IFERROR(__xludf.DUMMYFUNCTION("""COMPUTED_VALUE"""),110084.0)</f>
        <v>110084</v>
      </c>
      <c r="D973" s="9"/>
      <c r="E973" s="9"/>
      <c r="F973" s="9">
        <f>IFERROR(__xludf.DUMMYFUNCTION("""COMPUTED_VALUE"""),1.69)</f>
        <v>1.69</v>
      </c>
      <c r="G973" s="9">
        <f>IFERROR(__xludf.DUMMYFUNCTION("""COMPUTED_VALUE"""),1.69)</f>
        <v>1.69</v>
      </c>
      <c r="H973" s="9">
        <f>IFERROR(__xludf.DUMMYFUNCTION("""COMPUTED_VALUE"""),1.0)</f>
        <v>1</v>
      </c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</row>
    <row r="974" ht="15.75" customHeight="1">
      <c r="A974" s="11">
        <f>IFERROR(__xludf.DUMMYFUNCTION("""COMPUTED_VALUE"""),44471.0)</f>
        <v>44471</v>
      </c>
      <c r="B974" s="9">
        <f>IFERROR(__xludf.DUMMYFUNCTION("""COMPUTED_VALUE"""),1003423.0)</f>
        <v>1003423</v>
      </c>
      <c r="C974" s="9">
        <f>IFERROR(__xludf.DUMMYFUNCTION("""COMPUTED_VALUE"""),46953.0)</f>
        <v>46953</v>
      </c>
      <c r="D974" s="9"/>
      <c r="E974" s="9"/>
      <c r="F974" s="9">
        <f>IFERROR(__xludf.DUMMYFUNCTION("""COMPUTED_VALUE"""),9.77)</f>
        <v>9.77</v>
      </c>
      <c r="G974" s="9">
        <f>IFERROR(__xludf.DUMMYFUNCTION("""COMPUTED_VALUE"""),9.77)</f>
        <v>9.77</v>
      </c>
      <c r="H974" s="9">
        <f>IFERROR(__xludf.DUMMYFUNCTION("""COMPUTED_VALUE"""),1.0)</f>
        <v>1</v>
      </c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</row>
    <row r="975" ht="15.75" customHeight="1">
      <c r="A975" s="11">
        <f>IFERROR(__xludf.DUMMYFUNCTION("""COMPUTED_VALUE"""),44471.0)</f>
        <v>44471</v>
      </c>
      <c r="B975" s="9">
        <f>IFERROR(__xludf.DUMMYFUNCTION("""COMPUTED_VALUE"""),1003423.0)</f>
        <v>1003423</v>
      </c>
      <c r="C975" s="9">
        <f>IFERROR(__xludf.DUMMYFUNCTION("""COMPUTED_VALUE"""),20055.0)</f>
        <v>20055</v>
      </c>
      <c r="D975" s="9"/>
      <c r="E975" s="9"/>
      <c r="F975" s="9">
        <f>IFERROR(__xludf.DUMMYFUNCTION("""COMPUTED_VALUE"""),1.82)</f>
        <v>1.82</v>
      </c>
      <c r="G975" s="9">
        <f>IFERROR(__xludf.DUMMYFUNCTION("""COMPUTED_VALUE"""),1.82)</f>
        <v>1.82</v>
      </c>
      <c r="H975" s="9">
        <f>IFERROR(__xludf.DUMMYFUNCTION("""COMPUTED_VALUE"""),1.0)</f>
        <v>1</v>
      </c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</row>
    <row r="976" ht="15.75" customHeight="1">
      <c r="A976" s="11">
        <f>IFERROR(__xludf.DUMMYFUNCTION("""COMPUTED_VALUE"""),44471.0)</f>
        <v>44471</v>
      </c>
      <c r="B976" s="9">
        <f>IFERROR(__xludf.DUMMYFUNCTION("""COMPUTED_VALUE"""),1003423.0)</f>
        <v>1003423</v>
      </c>
      <c r="C976" s="9">
        <f>IFERROR(__xludf.DUMMYFUNCTION("""COMPUTED_VALUE"""),115747.0)</f>
        <v>115747</v>
      </c>
      <c r="D976" s="9"/>
      <c r="E976" s="9"/>
      <c r="F976" s="9">
        <f>IFERROR(__xludf.DUMMYFUNCTION("""COMPUTED_VALUE"""),4.06)</f>
        <v>4.06</v>
      </c>
      <c r="G976" s="9">
        <f>IFERROR(__xludf.DUMMYFUNCTION("""COMPUTED_VALUE"""),4.06)</f>
        <v>4.06</v>
      </c>
      <c r="H976" s="9">
        <f>IFERROR(__xludf.DUMMYFUNCTION("""COMPUTED_VALUE"""),1.0)</f>
        <v>1</v>
      </c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</row>
    <row r="977" ht="15.75" customHeight="1">
      <c r="A977" s="11">
        <f>IFERROR(__xludf.DUMMYFUNCTION("""COMPUTED_VALUE"""),44471.0)</f>
        <v>44471</v>
      </c>
      <c r="B977" s="9">
        <f>IFERROR(__xludf.DUMMYFUNCTION("""COMPUTED_VALUE"""),1003423.0)</f>
        <v>1003423</v>
      </c>
      <c r="C977" s="9">
        <f>IFERROR(__xludf.DUMMYFUNCTION("""COMPUTED_VALUE"""),19835.0)</f>
        <v>19835</v>
      </c>
      <c r="D977" s="9"/>
      <c r="E977" s="9"/>
      <c r="F977" s="9">
        <f>IFERROR(__xludf.DUMMYFUNCTION("""COMPUTED_VALUE"""),3.42)</f>
        <v>3.42</v>
      </c>
      <c r="G977" s="9">
        <f>IFERROR(__xludf.DUMMYFUNCTION("""COMPUTED_VALUE"""),3.42)</f>
        <v>3.42</v>
      </c>
      <c r="H977" s="9">
        <f>IFERROR(__xludf.DUMMYFUNCTION("""COMPUTED_VALUE"""),1.0)</f>
        <v>1</v>
      </c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</row>
    <row r="978" ht="15.75" customHeight="1">
      <c r="A978" s="11">
        <f>IFERROR(__xludf.DUMMYFUNCTION("""COMPUTED_VALUE"""),44471.0)</f>
        <v>44471</v>
      </c>
      <c r="B978" s="9">
        <f>IFERROR(__xludf.DUMMYFUNCTION("""COMPUTED_VALUE"""),1003423.0)</f>
        <v>1003423</v>
      </c>
      <c r="C978" s="9">
        <f>IFERROR(__xludf.DUMMYFUNCTION("""COMPUTED_VALUE"""),9521.0)</f>
        <v>9521</v>
      </c>
      <c r="D978" s="9"/>
      <c r="E978" s="9"/>
      <c r="F978" s="9">
        <f>IFERROR(__xludf.DUMMYFUNCTION("""COMPUTED_VALUE"""),3.94)</f>
        <v>3.94</v>
      </c>
      <c r="G978" s="9">
        <f>IFERROR(__xludf.DUMMYFUNCTION("""COMPUTED_VALUE"""),3.94)</f>
        <v>3.94</v>
      </c>
      <c r="H978" s="9">
        <f>IFERROR(__xludf.DUMMYFUNCTION("""COMPUTED_VALUE"""),1.0)</f>
        <v>1</v>
      </c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</row>
    <row r="979" ht="15.75" customHeight="1">
      <c r="A979" s="11">
        <f>IFERROR(__xludf.DUMMYFUNCTION("""COMPUTED_VALUE"""),44471.0)</f>
        <v>44471</v>
      </c>
      <c r="B979" s="9">
        <f>IFERROR(__xludf.DUMMYFUNCTION("""COMPUTED_VALUE"""),1003423.0)</f>
        <v>1003423</v>
      </c>
      <c r="C979" s="9">
        <f>IFERROR(__xludf.DUMMYFUNCTION("""COMPUTED_VALUE"""),121499.0)</f>
        <v>121499</v>
      </c>
      <c r="D979" s="10" t="str">
        <f>IFERROR(__xludf.DUMMYFUNCTION("""COMPUTED_VALUE"""),"Vive le bio")</f>
        <v>Vive le bio</v>
      </c>
      <c r="E979" s="10"/>
      <c r="F979" s="9">
        <f>IFERROR(__xludf.DUMMYFUNCTION("""COMPUTED_VALUE"""),1.16666666666666)</f>
        <v>1.166666667</v>
      </c>
      <c r="G979" s="9">
        <f>IFERROR(__xludf.DUMMYFUNCTION("""COMPUTED_VALUE"""),1.05)</f>
        <v>1.05</v>
      </c>
      <c r="H979" s="9">
        <f>IFERROR(__xludf.DUMMYFUNCTION("""COMPUTED_VALUE"""),1.0)</f>
        <v>1</v>
      </c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</row>
    <row r="980" ht="15.75" customHeight="1">
      <c r="A980" s="11">
        <f>IFERROR(__xludf.DUMMYFUNCTION("""COMPUTED_VALUE"""),44471.0)</f>
        <v>44471</v>
      </c>
      <c r="B980" s="9">
        <f>IFERROR(__xludf.DUMMYFUNCTION("""COMPUTED_VALUE"""),1003423.0)</f>
        <v>1003423</v>
      </c>
      <c r="C980" s="9">
        <f>IFERROR(__xludf.DUMMYFUNCTION("""COMPUTED_VALUE"""),2792.0)</f>
        <v>2792</v>
      </c>
      <c r="D980" s="9"/>
      <c r="E980" s="9"/>
      <c r="F980" s="9">
        <f>IFERROR(__xludf.DUMMYFUNCTION("""COMPUTED_VALUE"""),7.68)</f>
        <v>7.68</v>
      </c>
      <c r="G980" s="9">
        <f>IFERROR(__xludf.DUMMYFUNCTION("""COMPUTED_VALUE"""),7.68)</f>
        <v>7.68</v>
      </c>
      <c r="H980" s="9">
        <f>IFERROR(__xludf.DUMMYFUNCTION("""COMPUTED_VALUE"""),1.0)</f>
        <v>1</v>
      </c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</row>
    <row r="981" ht="15.75" customHeight="1">
      <c r="A981" s="11">
        <f>IFERROR(__xludf.DUMMYFUNCTION("""COMPUTED_VALUE"""),44471.0)</f>
        <v>44471</v>
      </c>
      <c r="B981" s="9">
        <f>IFERROR(__xludf.DUMMYFUNCTION("""COMPUTED_VALUE"""),1003423.0)</f>
        <v>1003423</v>
      </c>
      <c r="C981" s="9">
        <f>IFERROR(__xludf.DUMMYFUNCTION("""COMPUTED_VALUE"""),48503.0)</f>
        <v>48503</v>
      </c>
      <c r="D981" s="9"/>
      <c r="E981" s="9"/>
      <c r="F981" s="9">
        <f>IFERROR(__xludf.DUMMYFUNCTION("""COMPUTED_VALUE"""),1.92)</f>
        <v>1.92</v>
      </c>
      <c r="G981" s="9">
        <f>IFERROR(__xludf.DUMMYFUNCTION("""COMPUTED_VALUE"""),1.92)</f>
        <v>1.92</v>
      </c>
      <c r="H981" s="9">
        <f>IFERROR(__xludf.DUMMYFUNCTION("""COMPUTED_VALUE"""),1.0)</f>
        <v>1</v>
      </c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</row>
    <row r="982" ht="15.75" customHeight="1">
      <c r="A982" s="11">
        <f>IFERROR(__xludf.DUMMYFUNCTION("""COMPUTED_VALUE"""),44471.0)</f>
        <v>44471</v>
      </c>
      <c r="B982" s="9">
        <f>IFERROR(__xludf.DUMMYFUNCTION("""COMPUTED_VALUE"""),1003423.0)</f>
        <v>1003423</v>
      </c>
      <c r="C982" s="9">
        <f>IFERROR(__xludf.DUMMYFUNCTION("""COMPUTED_VALUE"""),18126.0)</f>
        <v>18126</v>
      </c>
      <c r="D982" s="9"/>
      <c r="E982" s="9"/>
      <c r="F982" s="9">
        <f>IFERROR(__xludf.DUMMYFUNCTION("""COMPUTED_VALUE"""),10.44)</f>
        <v>10.44</v>
      </c>
      <c r="G982" s="9">
        <f>IFERROR(__xludf.DUMMYFUNCTION("""COMPUTED_VALUE"""),10.44)</f>
        <v>10.44</v>
      </c>
      <c r="H982" s="9">
        <f>IFERROR(__xludf.DUMMYFUNCTION("""COMPUTED_VALUE"""),1.0)</f>
        <v>1</v>
      </c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</row>
    <row r="983" ht="15.75" customHeight="1">
      <c r="A983" s="11">
        <f>IFERROR(__xludf.DUMMYFUNCTION("""COMPUTED_VALUE"""),44471.0)</f>
        <v>44471</v>
      </c>
      <c r="B983" s="9">
        <f>IFERROR(__xludf.DUMMYFUNCTION("""COMPUTED_VALUE"""),1003423.0)</f>
        <v>1003423</v>
      </c>
      <c r="C983" s="9">
        <f>IFERROR(__xludf.DUMMYFUNCTION("""COMPUTED_VALUE"""),115586.0)</f>
        <v>115586</v>
      </c>
      <c r="D983" s="9"/>
      <c r="E983" s="9"/>
      <c r="F983" s="9">
        <f>IFERROR(__xludf.DUMMYFUNCTION("""COMPUTED_VALUE"""),6.87)</f>
        <v>6.87</v>
      </c>
      <c r="G983" s="9">
        <f>IFERROR(__xludf.DUMMYFUNCTION("""COMPUTED_VALUE"""),6.87)</f>
        <v>6.87</v>
      </c>
      <c r="H983" s="9">
        <f>IFERROR(__xludf.DUMMYFUNCTION("""COMPUTED_VALUE"""),2.0)</f>
        <v>2</v>
      </c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</row>
    <row r="984" ht="15.75" customHeight="1">
      <c r="A984" s="11">
        <f>IFERROR(__xludf.DUMMYFUNCTION("""COMPUTED_VALUE"""),44471.0)</f>
        <v>44471</v>
      </c>
      <c r="B984" s="9">
        <f>IFERROR(__xludf.DUMMYFUNCTION("""COMPUTED_VALUE"""),1003423.0)</f>
        <v>1003423</v>
      </c>
      <c r="C984" s="9">
        <f>IFERROR(__xludf.DUMMYFUNCTION("""COMPUTED_VALUE"""),119932.0)</f>
        <v>119932</v>
      </c>
      <c r="D984" s="9"/>
      <c r="E984" s="9"/>
      <c r="F984" s="9">
        <f>IFERROR(__xludf.DUMMYFUNCTION("""COMPUTED_VALUE"""),7.15)</f>
        <v>7.15</v>
      </c>
      <c r="G984" s="9">
        <f>IFERROR(__xludf.DUMMYFUNCTION("""COMPUTED_VALUE"""),7.15)</f>
        <v>7.15</v>
      </c>
      <c r="H984" s="9">
        <f>IFERROR(__xludf.DUMMYFUNCTION("""COMPUTED_VALUE"""),2.0)</f>
        <v>2</v>
      </c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</row>
    <row r="985" ht="15.75" customHeight="1">
      <c r="A985" s="11">
        <f>IFERROR(__xludf.DUMMYFUNCTION("""COMPUTED_VALUE"""),44471.0)</f>
        <v>44471</v>
      </c>
      <c r="B985" s="9">
        <f>IFERROR(__xludf.DUMMYFUNCTION("""COMPUTED_VALUE"""),1003423.0)</f>
        <v>1003423</v>
      </c>
      <c r="C985" s="9">
        <f>IFERROR(__xludf.DUMMYFUNCTION("""COMPUTED_VALUE"""),81141.0)</f>
        <v>81141</v>
      </c>
      <c r="D985" s="9"/>
      <c r="E985" s="9"/>
      <c r="F985" s="9">
        <f>IFERROR(__xludf.DUMMYFUNCTION("""COMPUTED_VALUE"""),5.93)</f>
        <v>5.93</v>
      </c>
      <c r="G985" s="9">
        <f>IFERROR(__xludf.DUMMYFUNCTION("""COMPUTED_VALUE"""),5.93)</f>
        <v>5.93</v>
      </c>
      <c r="H985" s="9">
        <f>IFERROR(__xludf.DUMMYFUNCTION("""COMPUTED_VALUE"""),2.0)</f>
        <v>2</v>
      </c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</row>
    <row r="986" ht="15.75" customHeight="1">
      <c r="A986" s="11">
        <f>IFERROR(__xludf.DUMMYFUNCTION("""COMPUTED_VALUE"""),44471.0)</f>
        <v>44471</v>
      </c>
      <c r="B986" s="9">
        <f>IFERROR(__xludf.DUMMYFUNCTION("""COMPUTED_VALUE"""),1003423.0)</f>
        <v>1003423</v>
      </c>
      <c r="C986" s="9">
        <f>IFERROR(__xludf.DUMMYFUNCTION("""COMPUTED_VALUE"""),19848.0)</f>
        <v>19848</v>
      </c>
      <c r="D986" s="9"/>
      <c r="E986" s="9"/>
      <c r="F986" s="9">
        <f>IFERROR(__xludf.DUMMYFUNCTION("""COMPUTED_VALUE"""),7.22)</f>
        <v>7.22</v>
      </c>
      <c r="G986" s="9">
        <f>IFERROR(__xludf.DUMMYFUNCTION("""COMPUTED_VALUE"""),7.22)</f>
        <v>7.22</v>
      </c>
      <c r="H986" s="9">
        <f>IFERROR(__xludf.DUMMYFUNCTION("""COMPUTED_VALUE"""),2.0)</f>
        <v>2</v>
      </c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</row>
    <row r="987" ht="15.75" customHeight="1">
      <c r="A987" s="11">
        <f>IFERROR(__xludf.DUMMYFUNCTION("""COMPUTED_VALUE"""),44471.0)</f>
        <v>44471</v>
      </c>
      <c r="B987" s="9">
        <f>IFERROR(__xludf.DUMMYFUNCTION("""COMPUTED_VALUE"""),1003423.0)</f>
        <v>1003423</v>
      </c>
      <c r="C987" s="9">
        <f>IFERROR(__xludf.DUMMYFUNCTION("""COMPUTED_VALUE"""),80816.0)</f>
        <v>80816</v>
      </c>
      <c r="D987" s="9"/>
      <c r="E987" s="9"/>
      <c r="F987" s="9">
        <f>IFERROR(__xludf.DUMMYFUNCTION("""COMPUTED_VALUE"""),4.98)</f>
        <v>4.98</v>
      </c>
      <c r="G987" s="9">
        <f>IFERROR(__xludf.DUMMYFUNCTION("""COMPUTED_VALUE"""),4.98)</f>
        <v>4.98</v>
      </c>
      <c r="H987" s="9">
        <f>IFERROR(__xludf.DUMMYFUNCTION("""COMPUTED_VALUE"""),2.0)</f>
        <v>2</v>
      </c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</row>
    <row r="988" ht="15.75" customHeight="1">
      <c r="A988" s="11">
        <f>IFERROR(__xludf.DUMMYFUNCTION("""COMPUTED_VALUE"""),44471.0)</f>
        <v>44471</v>
      </c>
      <c r="B988" s="9">
        <f>IFERROR(__xludf.DUMMYFUNCTION("""COMPUTED_VALUE"""),1003423.0)</f>
        <v>1003423</v>
      </c>
      <c r="C988" s="9">
        <f>IFERROR(__xludf.DUMMYFUNCTION("""COMPUTED_VALUE"""),86470.0)</f>
        <v>86470</v>
      </c>
      <c r="D988" s="9"/>
      <c r="E988" s="9"/>
      <c r="F988" s="9">
        <f>IFERROR(__xludf.DUMMYFUNCTION("""COMPUTED_VALUE"""),4.07)</f>
        <v>4.07</v>
      </c>
      <c r="G988" s="9">
        <f>IFERROR(__xludf.DUMMYFUNCTION("""COMPUTED_VALUE"""),4.07)</f>
        <v>4.07</v>
      </c>
      <c r="H988" s="9">
        <f>IFERROR(__xludf.DUMMYFUNCTION("""COMPUTED_VALUE"""),3.0)</f>
        <v>3</v>
      </c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</row>
    <row r="989" ht="15.75" customHeight="1">
      <c r="A989" s="11">
        <f>IFERROR(__xludf.DUMMYFUNCTION("""COMPUTED_VALUE"""),44471.0)</f>
        <v>44471</v>
      </c>
      <c r="B989" s="9">
        <f>IFERROR(__xludf.DUMMYFUNCTION("""COMPUTED_VALUE"""),1003423.0)</f>
        <v>1003423</v>
      </c>
      <c r="C989" s="9">
        <f>IFERROR(__xludf.DUMMYFUNCTION("""COMPUTED_VALUE"""),71834.0)</f>
        <v>71834</v>
      </c>
      <c r="D989" s="9"/>
      <c r="E989" s="9"/>
      <c r="F989" s="9">
        <f>IFERROR(__xludf.DUMMYFUNCTION("""COMPUTED_VALUE"""),10.19)</f>
        <v>10.19</v>
      </c>
      <c r="G989" s="9">
        <f>IFERROR(__xludf.DUMMYFUNCTION("""COMPUTED_VALUE"""),10.19)</f>
        <v>10.19</v>
      </c>
      <c r="H989" s="9">
        <f>IFERROR(__xludf.DUMMYFUNCTION("""COMPUTED_VALUE"""),4.0)</f>
        <v>4</v>
      </c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</row>
    <row r="990" ht="15.75" customHeight="1">
      <c r="A990" s="11">
        <f>IFERROR(__xludf.DUMMYFUNCTION("""COMPUTED_VALUE"""),44471.0)</f>
        <v>44471</v>
      </c>
      <c r="B990" s="9">
        <f>IFERROR(__xludf.DUMMYFUNCTION("""COMPUTED_VALUE"""),1003424.0)</f>
        <v>1003424</v>
      </c>
      <c r="C990" s="9">
        <f>IFERROR(__xludf.DUMMYFUNCTION("""COMPUTED_VALUE"""),103589.0)</f>
        <v>103589</v>
      </c>
      <c r="D990" s="10" t="str">
        <f>IFERROR(__xludf.DUMMYFUNCTION("""COMPUTED_VALUE"""),"Love &amp; Green Couches et Culottes sept 2021")</f>
        <v>Love &amp; Green Couches et Culottes sept 2021</v>
      </c>
      <c r="E990" s="10"/>
      <c r="F990" s="9">
        <f>IFERROR(__xludf.DUMMYFUNCTION("""COMPUTED_VALUE"""),62.6571428571428)</f>
        <v>62.65714286</v>
      </c>
      <c r="G990" s="9">
        <f>IFERROR(__xludf.DUMMYFUNCTION("""COMPUTED_VALUE"""),43.86)</f>
        <v>43.86</v>
      </c>
      <c r="H990" s="9">
        <f>IFERROR(__xludf.DUMMYFUNCTION("""COMPUTED_VALUE"""),4.0)</f>
        <v>4</v>
      </c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</row>
    <row r="991" ht="15.75" customHeight="1">
      <c r="A991" s="11">
        <f>IFERROR(__xludf.DUMMYFUNCTION("""COMPUTED_VALUE"""),44471.0)</f>
        <v>44471</v>
      </c>
      <c r="B991" s="9">
        <f>IFERROR(__xludf.DUMMYFUNCTION("""COMPUTED_VALUE"""),1003425.0)</f>
        <v>1003425</v>
      </c>
      <c r="C991" s="9">
        <f>IFERROR(__xludf.DUMMYFUNCTION("""COMPUTED_VALUE"""),156020.0)</f>
        <v>156020</v>
      </c>
      <c r="D991" s="9"/>
      <c r="E991" s="10" t="str">
        <f>IFERROR(__xludf.DUMMYFUNCTION("""COMPUTED_VALUE"""),"PREMIERE")</f>
        <v>PREMIERE</v>
      </c>
      <c r="F991" s="10">
        <f>IFERROR(__xludf.DUMMYFUNCTION("""COMPUTED_VALUE"""),10.29)</f>
        <v>10.29</v>
      </c>
      <c r="G991" s="9">
        <f>IFERROR(__xludf.DUMMYFUNCTION("""COMPUTED_VALUE"""),10.29)</f>
        <v>10.29</v>
      </c>
      <c r="H991" s="9">
        <f>IFERROR(__xludf.DUMMYFUNCTION("""COMPUTED_VALUE"""),1.0)</f>
        <v>1</v>
      </c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</row>
    <row r="992" ht="15.75" customHeight="1">
      <c r="A992" s="11">
        <f>IFERROR(__xludf.DUMMYFUNCTION("""COMPUTED_VALUE"""),44471.0)</f>
        <v>44471</v>
      </c>
      <c r="B992" s="9">
        <f>IFERROR(__xludf.DUMMYFUNCTION("""COMPUTED_VALUE"""),1003425.0)</f>
        <v>1003425</v>
      </c>
      <c r="C992" s="9">
        <f>IFERROR(__xludf.DUMMYFUNCTION("""COMPUTED_VALUE"""),119728.0)</f>
        <v>119728</v>
      </c>
      <c r="D992" s="9"/>
      <c r="E992" s="10" t="str">
        <f>IFERROR(__xludf.DUMMYFUNCTION("""COMPUTED_VALUE"""),"PREMIERE")</f>
        <v>PREMIERE</v>
      </c>
      <c r="F992" s="10">
        <f>IFERROR(__xludf.DUMMYFUNCTION("""COMPUTED_VALUE"""),12.74)</f>
        <v>12.74</v>
      </c>
      <c r="G992" s="9">
        <f>IFERROR(__xludf.DUMMYFUNCTION("""COMPUTED_VALUE"""),12.74)</f>
        <v>12.74</v>
      </c>
      <c r="H992" s="9">
        <f>IFERROR(__xludf.DUMMYFUNCTION("""COMPUTED_VALUE"""),1.0)</f>
        <v>1</v>
      </c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</row>
    <row r="993" ht="15.75" customHeight="1">
      <c r="A993" s="11">
        <f>IFERROR(__xludf.DUMMYFUNCTION("""COMPUTED_VALUE"""),44471.0)</f>
        <v>44471</v>
      </c>
      <c r="B993" s="9">
        <f>IFERROR(__xludf.DUMMYFUNCTION("""COMPUTED_VALUE"""),1003425.0)</f>
        <v>1003425</v>
      </c>
      <c r="C993" s="9">
        <f>IFERROR(__xludf.DUMMYFUNCTION("""COMPUTED_VALUE"""),111941.0)</f>
        <v>111941</v>
      </c>
      <c r="D993" s="9"/>
      <c r="E993" s="10" t="str">
        <f>IFERROR(__xludf.DUMMYFUNCTION("""COMPUTED_VALUE"""),"PREMIERE")</f>
        <v>PREMIERE</v>
      </c>
      <c r="F993" s="10">
        <f>IFERROR(__xludf.DUMMYFUNCTION("""COMPUTED_VALUE"""),8.17)</f>
        <v>8.17</v>
      </c>
      <c r="G993" s="9">
        <f>IFERROR(__xludf.DUMMYFUNCTION("""COMPUTED_VALUE"""),8.17)</f>
        <v>8.17</v>
      </c>
      <c r="H993" s="9">
        <f>IFERROR(__xludf.DUMMYFUNCTION("""COMPUTED_VALUE"""),1.0)</f>
        <v>1</v>
      </c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</row>
    <row r="994" ht="15.75" customHeight="1">
      <c r="A994" s="11">
        <f>IFERROR(__xludf.DUMMYFUNCTION("""COMPUTED_VALUE"""),44471.0)</f>
        <v>44471</v>
      </c>
      <c r="B994" s="9">
        <f>IFERROR(__xludf.DUMMYFUNCTION("""COMPUTED_VALUE"""),1003425.0)</f>
        <v>1003425</v>
      </c>
      <c r="C994" s="9">
        <f>IFERROR(__xludf.DUMMYFUNCTION("""COMPUTED_VALUE"""),87758.0)</f>
        <v>87758</v>
      </c>
      <c r="D994" s="9"/>
      <c r="E994" s="10" t="str">
        <f>IFERROR(__xludf.DUMMYFUNCTION("""COMPUTED_VALUE"""),"PREMIERE")</f>
        <v>PREMIERE</v>
      </c>
      <c r="F994" s="10">
        <f>IFERROR(__xludf.DUMMYFUNCTION("""COMPUTED_VALUE"""),5.92)</f>
        <v>5.92</v>
      </c>
      <c r="G994" s="9">
        <f>IFERROR(__xludf.DUMMYFUNCTION("""COMPUTED_VALUE"""),5.92)</f>
        <v>5.92</v>
      </c>
      <c r="H994" s="9">
        <f>IFERROR(__xludf.DUMMYFUNCTION("""COMPUTED_VALUE"""),2.0)</f>
        <v>2</v>
      </c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</row>
    <row r="995" ht="15.75" customHeight="1">
      <c r="A995" s="11">
        <f>IFERROR(__xludf.DUMMYFUNCTION("""COMPUTED_VALUE"""),44471.0)</f>
        <v>44471</v>
      </c>
      <c r="B995" s="9">
        <f>IFERROR(__xludf.DUMMYFUNCTION("""COMPUTED_VALUE"""),1003426.0)</f>
        <v>1003426</v>
      </c>
      <c r="C995" s="9">
        <f>IFERROR(__xludf.DUMMYFUNCTION("""COMPUTED_VALUE"""),102898.0)</f>
        <v>102898</v>
      </c>
      <c r="D995" s="9"/>
      <c r="E995" s="9"/>
      <c r="F995" s="9">
        <f>IFERROR(__xludf.DUMMYFUNCTION("""COMPUTED_VALUE"""),4.52)</f>
        <v>4.52</v>
      </c>
      <c r="G995" s="9">
        <f>IFERROR(__xludf.DUMMYFUNCTION("""COMPUTED_VALUE"""),4.52)</f>
        <v>4.52</v>
      </c>
      <c r="H995" s="9">
        <f>IFERROR(__xludf.DUMMYFUNCTION("""COMPUTED_VALUE"""),1.0)</f>
        <v>1</v>
      </c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</row>
    <row r="996" ht="15.75" customHeight="1">
      <c r="A996" s="11">
        <f>IFERROR(__xludf.DUMMYFUNCTION("""COMPUTED_VALUE"""),44471.0)</f>
        <v>44471</v>
      </c>
      <c r="B996" s="9">
        <f>IFERROR(__xludf.DUMMYFUNCTION("""COMPUTED_VALUE"""),1003426.0)</f>
        <v>1003426</v>
      </c>
      <c r="C996" s="9">
        <f>IFERROR(__xludf.DUMMYFUNCTION("""COMPUTED_VALUE"""),71839.0)</f>
        <v>71839</v>
      </c>
      <c r="D996" s="9"/>
      <c r="E996" s="9"/>
      <c r="F996" s="9">
        <f>IFERROR(__xludf.DUMMYFUNCTION("""COMPUTED_VALUE"""),3.12)</f>
        <v>3.12</v>
      </c>
      <c r="G996" s="9">
        <f>IFERROR(__xludf.DUMMYFUNCTION("""COMPUTED_VALUE"""),3.12)</f>
        <v>3.12</v>
      </c>
      <c r="H996" s="9">
        <f>IFERROR(__xludf.DUMMYFUNCTION("""COMPUTED_VALUE"""),1.0)</f>
        <v>1</v>
      </c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</row>
    <row r="997" ht="15.75" customHeight="1">
      <c r="A997" s="11">
        <f>IFERROR(__xludf.DUMMYFUNCTION("""COMPUTED_VALUE"""),44471.0)</f>
        <v>44471</v>
      </c>
      <c r="B997" s="9">
        <f>IFERROR(__xludf.DUMMYFUNCTION("""COMPUTED_VALUE"""),1003426.0)</f>
        <v>1003426</v>
      </c>
      <c r="C997" s="9">
        <f>IFERROR(__xludf.DUMMYFUNCTION("""COMPUTED_VALUE"""),106785.0)</f>
        <v>106785</v>
      </c>
      <c r="D997" s="9"/>
      <c r="E997" s="9"/>
      <c r="F997" s="9">
        <f>IFERROR(__xludf.DUMMYFUNCTION("""COMPUTED_VALUE"""),2.06)</f>
        <v>2.06</v>
      </c>
      <c r="G997" s="9">
        <f>IFERROR(__xludf.DUMMYFUNCTION("""COMPUTED_VALUE"""),2.06)</f>
        <v>2.06</v>
      </c>
      <c r="H997" s="9">
        <f>IFERROR(__xludf.DUMMYFUNCTION("""COMPUTED_VALUE"""),2.0)</f>
        <v>2</v>
      </c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</row>
    <row r="998" ht="15.75" customHeight="1">
      <c r="A998" s="11">
        <f>IFERROR(__xludf.DUMMYFUNCTION("""COMPUTED_VALUE"""),44471.0)</f>
        <v>44471</v>
      </c>
      <c r="B998" s="9">
        <f>IFERROR(__xludf.DUMMYFUNCTION("""COMPUTED_VALUE"""),1003426.0)</f>
        <v>1003426</v>
      </c>
      <c r="C998" s="9">
        <f>IFERROR(__xludf.DUMMYFUNCTION("""COMPUTED_VALUE"""),106779.0)</f>
        <v>106779</v>
      </c>
      <c r="D998" s="9"/>
      <c r="E998" s="9"/>
      <c r="F998" s="9">
        <f>IFERROR(__xludf.DUMMYFUNCTION("""COMPUTED_VALUE"""),4.53)</f>
        <v>4.53</v>
      </c>
      <c r="G998" s="9">
        <f>IFERROR(__xludf.DUMMYFUNCTION("""COMPUTED_VALUE"""),4.53)</f>
        <v>4.53</v>
      </c>
      <c r="H998" s="9">
        <f>IFERROR(__xludf.DUMMYFUNCTION("""COMPUTED_VALUE"""),4.0)</f>
        <v>4</v>
      </c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</row>
    <row r="999" ht="15.75" customHeight="1">
      <c r="A999" s="11">
        <f>IFERROR(__xludf.DUMMYFUNCTION("""COMPUTED_VALUE"""),44471.0)</f>
        <v>44471</v>
      </c>
      <c r="B999" s="9">
        <f>IFERROR(__xludf.DUMMYFUNCTION("""COMPUTED_VALUE"""),1003426.0)</f>
        <v>1003426</v>
      </c>
      <c r="C999" s="9">
        <f>IFERROR(__xludf.DUMMYFUNCTION("""COMPUTED_VALUE"""),113129.0)</f>
        <v>113129</v>
      </c>
      <c r="D999" s="9"/>
      <c r="E999" s="9"/>
      <c r="F999" s="9">
        <f>IFERROR(__xludf.DUMMYFUNCTION("""COMPUTED_VALUE"""),58.73)</f>
        <v>58.73</v>
      </c>
      <c r="G999" s="9">
        <f>IFERROR(__xludf.DUMMYFUNCTION("""COMPUTED_VALUE"""),58.73)</f>
        <v>58.73</v>
      </c>
      <c r="H999" s="9">
        <f>IFERROR(__xludf.DUMMYFUNCTION("""COMPUTED_VALUE"""),4.0)</f>
        <v>4</v>
      </c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</row>
    <row r="1000" ht="15.75" customHeight="1">
      <c r="A1000" s="11">
        <f>IFERROR(__xludf.DUMMYFUNCTION("""COMPUTED_VALUE"""),44471.0)</f>
        <v>44471</v>
      </c>
      <c r="B1000" s="9">
        <f>IFERROR(__xludf.DUMMYFUNCTION("""COMPUTED_VALUE"""),1003426.0)</f>
        <v>1003426</v>
      </c>
      <c r="C1000" s="9">
        <f>IFERROR(__xludf.DUMMYFUNCTION("""COMPUTED_VALUE"""),85159.0)</f>
        <v>85159</v>
      </c>
      <c r="D1000" s="9"/>
      <c r="E1000" s="9"/>
      <c r="F1000" s="9">
        <f>IFERROR(__xludf.DUMMYFUNCTION("""COMPUTED_VALUE"""),16.11)</f>
        <v>16.11</v>
      </c>
      <c r="G1000" s="9">
        <f>IFERROR(__xludf.DUMMYFUNCTION("""COMPUTED_VALUE"""),16.11)</f>
        <v>16.11</v>
      </c>
      <c r="H1000" s="9">
        <f>IFERROR(__xludf.DUMMYFUNCTION("""COMPUTED_VALUE"""),6.0)</f>
        <v>6</v>
      </c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</row>
    <row r="1001" ht="15.75" customHeight="1">
      <c r="A1001" s="11">
        <f>IFERROR(__xludf.DUMMYFUNCTION("""COMPUTED_VALUE"""),44471.0)</f>
        <v>44471</v>
      </c>
      <c r="B1001" s="9">
        <f>IFERROR(__xludf.DUMMYFUNCTION("""COMPUTED_VALUE"""),1003428.0)</f>
        <v>1003428</v>
      </c>
      <c r="C1001" s="9">
        <f>IFERROR(__xludf.DUMMYFUNCTION("""COMPUTED_VALUE"""),43944.0)</f>
        <v>43944</v>
      </c>
      <c r="D1001" s="9"/>
      <c r="E1001" s="10" t="str">
        <f>IFERROR(__xludf.DUMMYFUNCTION("""COMPUTED_VALUE"""),"HAPPEEZ")</f>
        <v>HAPPEEZ</v>
      </c>
      <c r="F1001" s="10">
        <f>IFERROR(__xludf.DUMMYFUNCTION("""COMPUTED_VALUE"""),98.23)</f>
        <v>98.23</v>
      </c>
      <c r="G1001" s="9">
        <f>IFERROR(__xludf.DUMMYFUNCTION("""COMPUTED_VALUE"""),98.23)</f>
        <v>98.23</v>
      </c>
      <c r="H1001" s="9">
        <f>IFERROR(__xludf.DUMMYFUNCTION("""COMPUTED_VALUE"""),6.0)</f>
        <v>6</v>
      </c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</row>
    <row r="1002" ht="15.75" customHeight="1">
      <c r="A1002" s="11">
        <f>IFERROR(__xludf.DUMMYFUNCTION("""COMPUTED_VALUE"""),44471.0)</f>
        <v>44471</v>
      </c>
      <c r="B1002" s="9">
        <f>IFERROR(__xludf.DUMMYFUNCTION("""COMPUTED_VALUE"""),1003429.0)</f>
        <v>1003429</v>
      </c>
      <c r="C1002" s="9">
        <f>IFERROR(__xludf.DUMMYFUNCTION("""COMPUTED_VALUE"""),75809.0)</f>
        <v>75809</v>
      </c>
      <c r="D1002" s="9"/>
      <c r="E1002" s="10" t="str">
        <f>IFERROR(__xludf.DUMMYFUNCTION("""COMPUTED_VALUE"""),"GREENRELAIS")</f>
        <v>GREENRELAIS</v>
      </c>
      <c r="F1002" s="10">
        <f>IFERROR(__xludf.DUMMYFUNCTION("""COMPUTED_VALUE"""),9.6)</f>
        <v>9.6</v>
      </c>
      <c r="G1002" s="9">
        <f>IFERROR(__xludf.DUMMYFUNCTION("""COMPUTED_VALUE"""),9.6)</f>
        <v>9.6</v>
      </c>
      <c r="H1002" s="9">
        <f>IFERROR(__xludf.DUMMYFUNCTION("""COMPUTED_VALUE"""),2.0)</f>
        <v>2</v>
      </c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</row>
    <row r="1003" ht="15.75" customHeight="1">
      <c r="A1003" s="11">
        <f>IFERROR(__xludf.DUMMYFUNCTION("""COMPUTED_VALUE"""),44471.0)</f>
        <v>44471</v>
      </c>
      <c r="B1003" s="9">
        <f>IFERROR(__xludf.DUMMYFUNCTION("""COMPUTED_VALUE"""),1003429.0)</f>
        <v>1003429</v>
      </c>
      <c r="C1003" s="9">
        <f>IFERROR(__xludf.DUMMYFUNCTION("""COMPUTED_VALUE"""),9490.0)</f>
        <v>9490</v>
      </c>
      <c r="D1003" s="9"/>
      <c r="E1003" s="10" t="str">
        <f>IFERROR(__xludf.DUMMYFUNCTION("""COMPUTED_VALUE"""),"GREENRELAIS")</f>
        <v>GREENRELAIS</v>
      </c>
      <c r="F1003" s="10">
        <f>IFERROR(__xludf.DUMMYFUNCTION("""COMPUTED_VALUE"""),4.73)</f>
        <v>4.73</v>
      </c>
      <c r="G1003" s="9">
        <f>IFERROR(__xludf.DUMMYFUNCTION("""COMPUTED_VALUE"""),4.73)</f>
        <v>4.73</v>
      </c>
      <c r="H1003" s="9">
        <f>IFERROR(__xludf.DUMMYFUNCTION("""COMPUTED_VALUE"""),2.0)</f>
        <v>2</v>
      </c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</row>
    <row r="1004" ht="15.75" customHeight="1">
      <c r="A1004" s="11">
        <f>IFERROR(__xludf.DUMMYFUNCTION("""COMPUTED_VALUE"""),44471.0)</f>
        <v>44471</v>
      </c>
      <c r="B1004" s="9">
        <f>IFERROR(__xludf.DUMMYFUNCTION("""COMPUTED_VALUE"""),1003429.0)</f>
        <v>1003429</v>
      </c>
      <c r="C1004" s="9">
        <f>IFERROR(__xludf.DUMMYFUNCTION("""COMPUTED_VALUE"""),108258.0)</f>
        <v>108258</v>
      </c>
      <c r="D1004" s="9"/>
      <c r="E1004" s="10" t="str">
        <f>IFERROR(__xludf.DUMMYFUNCTION("""COMPUTED_VALUE"""),"GREENRELAIS")</f>
        <v>GREENRELAIS</v>
      </c>
      <c r="F1004" s="10">
        <f>IFERROR(__xludf.DUMMYFUNCTION("""COMPUTED_VALUE"""),38.25)</f>
        <v>38.25</v>
      </c>
      <c r="G1004" s="9">
        <f>IFERROR(__xludf.DUMMYFUNCTION("""COMPUTED_VALUE"""),38.25)</f>
        <v>38.25</v>
      </c>
      <c r="H1004" s="9">
        <f>IFERROR(__xludf.DUMMYFUNCTION("""COMPUTED_VALUE"""),4.0)</f>
        <v>4</v>
      </c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</row>
    <row r="1005" ht="15.75" customHeight="1">
      <c r="A1005" s="11">
        <f>IFERROR(__xludf.DUMMYFUNCTION("""COMPUTED_VALUE"""),44471.0)</f>
        <v>44471</v>
      </c>
      <c r="B1005" s="9">
        <f>IFERROR(__xludf.DUMMYFUNCTION("""COMPUTED_VALUE"""),1003430.0)</f>
        <v>1003430</v>
      </c>
      <c r="C1005" s="9">
        <f>IFERROR(__xludf.DUMMYFUNCTION("""COMPUTED_VALUE"""),79819.0)</f>
        <v>79819</v>
      </c>
      <c r="D1005" s="9"/>
      <c r="E1005" s="9"/>
      <c r="F1005" s="9">
        <f>IFERROR(__xludf.DUMMYFUNCTION("""COMPUTED_VALUE"""),5.77)</f>
        <v>5.77</v>
      </c>
      <c r="G1005" s="9">
        <f>IFERROR(__xludf.DUMMYFUNCTION("""COMPUTED_VALUE"""),5.77)</f>
        <v>5.77</v>
      </c>
      <c r="H1005" s="9">
        <f>IFERROR(__xludf.DUMMYFUNCTION("""COMPUTED_VALUE"""),1.0)</f>
        <v>1</v>
      </c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</row>
    <row r="1006" ht="15.75" customHeight="1">
      <c r="A1006" s="11">
        <f>IFERROR(__xludf.DUMMYFUNCTION("""COMPUTED_VALUE"""),44471.0)</f>
        <v>44471</v>
      </c>
      <c r="B1006" s="9">
        <f>IFERROR(__xludf.DUMMYFUNCTION("""COMPUTED_VALUE"""),1003430.0)</f>
        <v>1003430</v>
      </c>
      <c r="C1006" s="9">
        <f>IFERROR(__xludf.DUMMYFUNCTION("""COMPUTED_VALUE"""),6521.0)</f>
        <v>6521</v>
      </c>
      <c r="D1006" s="9"/>
      <c r="E1006" s="9"/>
      <c r="F1006" s="9">
        <f>IFERROR(__xludf.DUMMYFUNCTION("""COMPUTED_VALUE"""),8.81)</f>
        <v>8.81</v>
      </c>
      <c r="G1006" s="9">
        <f>IFERROR(__xludf.DUMMYFUNCTION("""COMPUTED_VALUE"""),8.81)</f>
        <v>8.81</v>
      </c>
      <c r="H1006" s="9">
        <f>IFERROR(__xludf.DUMMYFUNCTION("""COMPUTED_VALUE"""),1.0)</f>
        <v>1</v>
      </c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</row>
    <row r="1007" ht="15.75" customHeight="1">
      <c r="A1007" s="11">
        <f>IFERROR(__xludf.DUMMYFUNCTION("""COMPUTED_VALUE"""),44471.0)</f>
        <v>44471</v>
      </c>
      <c r="B1007" s="9">
        <f>IFERROR(__xludf.DUMMYFUNCTION("""COMPUTED_VALUE"""),1003430.0)</f>
        <v>1003430</v>
      </c>
      <c r="C1007" s="9">
        <f>IFERROR(__xludf.DUMMYFUNCTION("""COMPUTED_VALUE"""),46476.0)</f>
        <v>46476</v>
      </c>
      <c r="D1007" s="9"/>
      <c r="E1007" s="9"/>
      <c r="F1007" s="9">
        <f>IFERROR(__xludf.DUMMYFUNCTION("""COMPUTED_VALUE"""),8.93)</f>
        <v>8.93</v>
      </c>
      <c r="G1007" s="9">
        <f>IFERROR(__xludf.DUMMYFUNCTION("""COMPUTED_VALUE"""),8.93)</f>
        <v>8.93</v>
      </c>
      <c r="H1007" s="9">
        <f>IFERROR(__xludf.DUMMYFUNCTION("""COMPUTED_VALUE"""),1.0)</f>
        <v>1</v>
      </c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</row>
    <row r="1008" ht="15.75" customHeight="1">
      <c r="A1008" s="11">
        <f>IFERROR(__xludf.DUMMYFUNCTION("""COMPUTED_VALUE"""),44471.0)</f>
        <v>44471</v>
      </c>
      <c r="B1008" s="9">
        <f>IFERROR(__xludf.DUMMYFUNCTION("""COMPUTED_VALUE"""),1003430.0)</f>
        <v>1003430</v>
      </c>
      <c r="C1008" s="9">
        <f>IFERROR(__xludf.DUMMYFUNCTION("""COMPUTED_VALUE"""),117169.0)</f>
        <v>117169</v>
      </c>
      <c r="D1008" s="9"/>
      <c r="E1008" s="9"/>
      <c r="F1008" s="9">
        <f>IFERROR(__xludf.DUMMYFUNCTION("""COMPUTED_VALUE"""),17.79)</f>
        <v>17.79</v>
      </c>
      <c r="G1008" s="9">
        <f>IFERROR(__xludf.DUMMYFUNCTION("""COMPUTED_VALUE"""),17.79)</f>
        <v>17.79</v>
      </c>
      <c r="H1008" s="9">
        <f>IFERROR(__xludf.DUMMYFUNCTION("""COMPUTED_VALUE"""),2.0)</f>
        <v>2</v>
      </c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</row>
    <row r="1009" ht="15.75" customHeight="1">
      <c r="A1009" s="11">
        <f>IFERROR(__xludf.DUMMYFUNCTION("""COMPUTED_VALUE"""),44471.0)</f>
        <v>44471</v>
      </c>
      <c r="B1009" s="9">
        <f>IFERROR(__xludf.DUMMYFUNCTION("""COMPUTED_VALUE"""),1003430.0)</f>
        <v>1003430</v>
      </c>
      <c r="C1009" s="9">
        <f>IFERROR(__xludf.DUMMYFUNCTION("""COMPUTED_VALUE"""),71321.0)</f>
        <v>71321</v>
      </c>
      <c r="D1009" s="9"/>
      <c r="E1009" s="9"/>
      <c r="F1009" s="9">
        <f>IFERROR(__xludf.DUMMYFUNCTION("""COMPUTED_VALUE"""),42.67)</f>
        <v>42.67</v>
      </c>
      <c r="G1009" s="9">
        <f>IFERROR(__xludf.DUMMYFUNCTION("""COMPUTED_VALUE"""),42.67)</f>
        <v>42.67</v>
      </c>
      <c r="H1009" s="9">
        <f>IFERROR(__xludf.DUMMYFUNCTION("""COMPUTED_VALUE"""),2.0)</f>
        <v>2</v>
      </c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</row>
    <row r="1010" ht="15.75" customHeight="1">
      <c r="A1010" s="11">
        <f>IFERROR(__xludf.DUMMYFUNCTION("""COMPUTED_VALUE"""),44471.0)</f>
        <v>44471</v>
      </c>
      <c r="B1010" s="9">
        <f>IFERROR(__xludf.DUMMYFUNCTION("""COMPUTED_VALUE"""),1003430.0)</f>
        <v>1003430</v>
      </c>
      <c r="C1010" s="9">
        <f>IFERROR(__xludf.DUMMYFUNCTION("""COMPUTED_VALUE"""),9480.0)</f>
        <v>9480</v>
      </c>
      <c r="D1010" s="10" t="str">
        <f>IFERROR(__xludf.DUMMYFUNCTION("""COMPUTED_VALUE"""),"Vive le bio")</f>
        <v>Vive le bio</v>
      </c>
      <c r="E1010" s="10"/>
      <c r="F1010" s="9">
        <f>IFERROR(__xludf.DUMMYFUNCTION("""COMPUTED_VALUE"""),17.2888888888888)</f>
        <v>17.28888889</v>
      </c>
      <c r="G1010" s="9">
        <f>IFERROR(__xludf.DUMMYFUNCTION("""COMPUTED_VALUE"""),15.56)</f>
        <v>15.56</v>
      </c>
      <c r="H1010" s="9">
        <f>IFERROR(__xludf.DUMMYFUNCTION("""COMPUTED_VALUE"""),4.0)</f>
        <v>4</v>
      </c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</row>
    <row r="1011" ht="15.75" customHeight="1">
      <c r="A1011" s="11">
        <f>IFERROR(__xludf.DUMMYFUNCTION("""COMPUTED_VALUE"""),44471.0)</f>
        <v>44471</v>
      </c>
      <c r="B1011" s="9">
        <f>IFERROR(__xludf.DUMMYFUNCTION("""COMPUTED_VALUE"""),1003431.0)</f>
        <v>1003431</v>
      </c>
      <c r="C1011" s="9">
        <f>IFERROR(__xludf.DUMMYFUNCTION("""COMPUTED_VALUE"""),109200.0)</f>
        <v>109200</v>
      </c>
      <c r="D1011" s="9"/>
      <c r="E1011" s="10" t="str">
        <f>IFERROR(__xludf.DUMMYFUNCTION("""COMPUTED_VALUE"""),"GREENRELAIS")</f>
        <v>GREENRELAIS</v>
      </c>
      <c r="F1011" s="10">
        <f>IFERROR(__xludf.DUMMYFUNCTION("""COMPUTED_VALUE"""),3.64)</f>
        <v>3.64</v>
      </c>
      <c r="G1011" s="9">
        <f>IFERROR(__xludf.DUMMYFUNCTION("""COMPUTED_VALUE"""),3.64)</f>
        <v>3.64</v>
      </c>
      <c r="H1011" s="9">
        <f>IFERROR(__xludf.DUMMYFUNCTION("""COMPUTED_VALUE"""),1.0)</f>
        <v>1</v>
      </c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</row>
    <row r="1012" ht="15.75" customHeight="1">
      <c r="A1012" s="11">
        <f>IFERROR(__xludf.DUMMYFUNCTION("""COMPUTED_VALUE"""),44471.0)</f>
        <v>44471</v>
      </c>
      <c r="B1012" s="9">
        <f>IFERROR(__xludf.DUMMYFUNCTION("""COMPUTED_VALUE"""),1003431.0)</f>
        <v>1003431</v>
      </c>
      <c r="C1012" s="9">
        <f>IFERROR(__xludf.DUMMYFUNCTION("""COMPUTED_VALUE"""),92561.0)</f>
        <v>92561</v>
      </c>
      <c r="D1012" s="9"/>
      <c r="E1012" s="10" t="str">
        <f>IFERROR(__xludf.DUMMYFUNCTION("""COMPUTED_VALUE"""),"GREENRELAIS")</f>
        <v>GREENRELAIS</v>
      </c>
      <c r="F1012" s="10">
        <f>IFERROR(__xludf.DUMMYFUNCTION("""COMPUTED_VALUE"""),3.4)</f>
        <v>3.4</v>
      </c>
      <c r="G1012" s="9">
        <f>IFERROR(__xludf.DUMMYFUNCTION("""COMPUTED_VALUE"""),3.4)</f>
        <v>3.4</v>
      </c>
      <c r="H1012" s="9">
        <f>IFERROR(__xludf.DUMMYFUNCTION("""COMPUTED_VALUE"""),1.0)</f>
        <v>1</v>
      </c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</row>
    <row r="1013" ht="15.75" customHeight="1">
      <c r="A1013" s="11">
        <f>IFERROR(__xludf.DUMMYFUNCTION("""COMPUTED_VALUE"""),44471.0)</f>
        <v>44471</v>
      </c>
      <c r="B1013" s="9">
        <f>IFERROR(__xludf.DUMMYFUNCTION("""COMPUTED_VALUE"""),1003431.0)</f>
        <v>1003431</v>
      </c>
      <c r="C1013" s="9">
        <f>IFERROR(__xludf.DUMMYFUNCTION("""COMPUTED_VALUE"""),108833.0)</f>
        <v>108833</v>
      </c>
      <c r="D1013" s="10" t="str">
        <f>IFERROR(__xludf.DUMMYFUNCTION("""COMPUTED_VALUE"""),"Vive le bio")</f>
        <v>Vive le bio</v>
      </c>
      <c r="E1013" s="10" t="str">
        <f>IFERROR(__xludf.DUMMYFUNCTION("""COMPUTED_VALUE"""),"GREENRELAIS")</f>
        <v>GREENRELAIS</v>
      </c>
      <c r="F1013" s="10">
        <f>IFERROR(__xludf.DUMMYFUNCTION("""COMPUTED_VALUE"""),12.2)</f>
        <v>12.2</v>
      </c>
      <c r="G1013" s="9">
        <f>IFERROR(__xludf.DUMMYFUNCTION("""COMPUTED_VALUE"""),11.59)</f>
        <v>11.59</v>
      </c>
      <c r="H1013" s="9">
        <f>IFERROR(__xludf.DUMMYFUNCTION("""COMPUTED_VALUE"""),1.0)</f>
        <v>1</v>
      </c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</row>
    <row r="1014" ht="15.75" customHeight="1">
      <c r="A1014" s="11">
        <f>IFERROR(__xludf.DUMMYFUNCTION("""COMPUTED_VALUE"""),44471.0)</f>
        <v>44471</v>
      </c>
      <c r="B1014" s="9">
        <f>IFERROR(__xludf.DUMMYFUNCTION("""COMPUTED_VALUE"""),1003431.0)</f>
        <v>1003431</v>
      </c>
      <c r="C1014" s="9">
        <f>IFERROR(__xludf.DUMMYFUNCTION("""COMPUTED_VALUE"""),41513.0)</f>
        <v>41513</v>
      </c>
      <c r="D1014" s="9"/>
      <c r="E1014" s="10" t="str">
        <f>IFERROR(__xludf.DUMMYFUNCTION("""COMPUTED_VALUE"""),"GREENRELAIS")</f>
        <v>GREENRELAIS</v>
      </c>
      <c r="F1014" s="10">
        <f>IFERROR(__xludf.DUMMYFUNCTION("""COMPUTED_VALUE"""),8.63)</f>
        <v>8.63</v>
      </c>
      <c r="G1014" s="9">
        <f>IFERROR(__xludf.DUMMYFUNCTION("""COMPUTED_VALUE"""),8.63)</f>
        <v>8.63</v>
      </c>
      <c r="H1014" s="9">
        <f>IFERROR(__xludf.DUMMYFUNCTION("""COMPUTED_VALUE"""),1.0)</f>
        <v>1</v>
      </c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</row>
    <row r="1015" ht="15.75" customHeight="1">
      <c r="A1015" s="11">
        <f>IFERROR(__xludf.DUMMYFUNCTION("""COMPUTED_VALUE"""),44471.0)</f>
        <v>44471</v>
      </c>
      <c r="B1015" s="9">
        <f>IFERROR(__xludf.DUMMYFUNCTION("""COMPUTED_VALUE"""),1003431.0)</f>
        <v>1003431</v>
      </c>
      <c r="C1015" s="9">
        <f>IFERROR(__xludf.DUMMYFUNCTION("""COMPUTED_VALUE"""),118920.0)</f>
        <v>118920</v>
      </c>
      <c r="D1015" s="9"/>
      <c r="E1015" s="10" t="str">
        <f>IFERROR(__xludf.DUMMYFUNCTION("""COMPUTED_VALUE"""),"GREENRELAIS")</f>
        <v>GREENRELAIS</v>
      </c>
      <c r="F1015" s="10">
        <f>IFERROR(__xludf.DUMMYFUNCTION("""COMPUTED_VALUE"""),1.55)</f>
        <v>1.55</v>
      </c>
      <c r="G1015" s="9">
        <f>IFERROR(__xludf.DUMMYFUNCTION("""COMPUTED_VALUE"""),1.55)</f>
        <v>1.55</v>
      </c>
      <c r="H1015" s="9">
        <f>IFERROR(__xludf.DUMMYFUNCTION("""COMPUTED_VALUE"""),1.0)</f>
        <v>1</v>
      </c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</row>
    <row r="1016" ht="15.75" customHeight="1">
      <c r="A1016" s="11">
        <f>IFERROR(__xludf.DUMMYFUNCTION("""COMPUTED_VALUE"""),44471.0)</f>
        <v>44471</v>
      </c>
      <c r="B1016" s="9">
        <f>IFERROR(__xludf.DUMMYFUNCTION("""COMPUTED_VALUE"""),1003431.0)</f>
        <v>1003431</v>
      </c>
      <c r="C1016" s="9">
        <f>IFERROR(__xludf.DUMMYFUNCTION("""COMPUTED_VALUE"""),42694.0)</f>
        <v>42694</v>
      </c>
      <c r="D1016" s="9"/>
      <c r="E1016" s="10" t="str">
        <f>IFERROR(__xludf.DUMMYFUNCTION("""COMPUTED_VALUE"""),"GREENRELAIS")</f>
        <v>GREENRELAIS</v>
      </c>
      <c r="F1016" s="10">
        <f>IFERROR(__xludf.DUMMYFUNCTION("""COMPUTED_VALUE"""),5.48)</f>
        <v>5.48</v>
      </c>
      <c r="G1016" s="9">
        <f>IFERROR(__xludf.DUMMYFUNCTION("""COMPUTED_VALUE"""),5.48)</f>
        <v>5.48</v>
      </c>
      <c r="H1016" s="9">
        <f>IFERROR(__xludf.DUMMYFUNCTION("""COMPUTED_VALUE"""),1.0)</f>
        <v>1</v>
      </c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</row>
    <row r="1017" ht="15.75" customHeight="1">
      <c r="A1017" s="11">
        <f>IFERROR(__xludf.DUMMYFUNCTION("""COMPUTED_VALUE"""),44471.0)</f>
        <v>44471</v>
      </c>
      <c r="B1017" s="9">
        <f>IFERROR(__xludf.DUMMYFUNCTION("""COMPUTED_VALUE"""),1003431.0)</f>
        <v>1003431</v>
      </c>
      <c r="C1017" s="9">
        <f>IFERROR(__xludf.DUMMYFUNCTION("""COMPUTED_VALUE"""),88694.0)</f>
        <v>88694</v>
      </c>
      <c r="D1017" s="10" t="str">
        <f>IFERROR(__xludf.DUMMYFUNCTION("""COMPUTED_VALUE"""),"Vive le bio")</f>
        <v>Vive le bio</v>
      </c>
      <c r="E1017" s="10" t="str">
        <f>IFERROR(__xludf.DUMMYFUNCTION("""COMPUTED_VALUE"""),"GREENRELAIS")</f>
        <v>GREENRELAIS</v>
      </c>
      <c r="F1017" s="10">
        <f>IFERROR(__xludf.DUMMYFUNCTION("""COMPUTED_VALUE"""),5.87777777777777)</f>
        <v>5.877777778</v>
      </c>
      <c r="G1017" s="9">
        <f>IFERROR(__xludf.DUMMYFUNCTION("""COMPUTED_VALUE"""),5.29)</f>
        <v>5.29</v>
      </c>
      <c r="H1017" s="9">
        <f>IFERROR(__xludf.DUMMYFUNCTION("""COMPUTED_VALUE"""),2.0)</f>
        <v>2</v>
      </c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</row>
    <row r="1018" ht="15.75" customHeight="1">
      <c r="A1018" s="11">
        <f>IFERROR(__xludf.DUMMYFUNCTION("""COMPUTED_VALUE"""),44471.0)</f>
        <v>44471</v>
      </c>
      <c r="B1018" s="9">
        <f>IFERROR(__xludf.DUMMYFUNCTION("""COMPUTED_VALUE"""),1003431.0)</f>
        <v>1003431</v>
      </c>
      <c r="C1018" s="9">
        <f>IFERROR(__xludf.DUMMYFUNCTION("""COMPUTED_VALUE"""),90837.0)</f>
        <v>90837</v>
      </c>
      <c r="D1018" s="9"/>
      <c r="E1018" s="10" t="str">
        <f>IFERROR(__xludf.DUMMYFUNCTION("""COMPUTED_VALUE"""),"GREENRELAIS")</f>
        <v>GREENRELAIS</v>
      </c>
      <c r="F1018" s="10">
        <f>IFERROR(__xludf.DUMMYFUNCTION("""COMPUTED_VALUE"""),1.95)</f>
        <v>1.95</v>
      </c>
      <c r="G1018" s="9">
        <f>IFERROR(__xludf.DUMMYFUNCTION("""COMPUTED_VALUE"""),1.95)</f>
        <v>1.95</v>
      </c>
      <c r="H1018" s="9">
        <f>IFERROR(__xludf.DUMMYFUNCTION("""COMPUTED_VALUE"""),2.0)</f>
        <v>2</v>
      </c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</row>
    <row r="1019" ht="15.75" customHeight="1">
      <c r="A1019" s="11">
        <f>IFERROR(__xludf.DUMMYFUNCTION("""COMPUTED_VALUE"""),44471.0)</f>
        <v>44471</v>
      </c>
      <c r="B1019" s="9">
        <f>IFERROR(__xludf.DUMMYFUNCTION("""COMPUTED_VALUE"""),1003431.0)</f>
        <v>1003431</v>
      </c>
      <c r="C1019" s="9">
        <f>IFERROR(__xludf.DUMMYFUNCTION("""COMPUTED_VALUE"""),113093.0)</f>
        <v>113093</v>
      </c>
      <c r="D1019" s="9"/>
      <c r="E1019" s="10" t="str">
        <f>IFERROR(__xludf.DUMMYFUNCTION("""COMPUTED_VALUE"""),"GREENRELAIS")</f>
        <v>GREENRELAIS</v>
      </c>
      <c r="F1019" s="10">
        <f>IFERROR(__xludf.DUMMYFUNCTION("""COMPUTED_VALUE"""),3.07)</f>
        <v>3.07</v>
      </c>
      <c r="G1019" s="9">
        <f>IFERROR(__xludf.DUMMYFUNCTION("""COMPUTED_VALUE"""),3.07)</f>
        <v>3.07</v>
      </c>
      <c r="H1019" s="9">
        <f>IFERROR(__xludf.DUMMYFUNCTION("""COMPUTED_VALUE"""),2.0)</f>
        <v>2</v>
      </c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</row>
    <row r="1020" ht="15.75" customHeight="1">
      <c r="A1020" s="11">
        <f>IFERROR(__xludf.DUMMYFUNCTION("""COMPUTED_VALUE"""),44471.0)</f>
        <v>44471</v>
      </c>
      <c r="B1020" s="9">
        <f>IFERROR(__xludf.DUMMYFUNCTION("""COMPUTED_VALUE"""),1003431.0)</f>
        <v>1003431</v>
      </c>
      <c r="C1020" s="9">
        <f>IFERROR(__xludf.DUMMYFUNCTION("""COMPUTED_VALUE"""),8695.0)</f>
        <v>8695</v>
      </c>
      <c r="D1020" s="10" t="str">
        <f>IFERROR(__xludf.DUMMYFUNCTION("""COMPUTED_VALUE"""),"Offre speciale")</f>
        <v>Offre speciale</v>
      </c>
      <c r="E1020" s="10" t="str">
        <f>IFERROR(__xludf.DUMMYFUNCTION("""COMPUTED_VALUE"""),"GREENRELAIS")</f>
        <v>GREENRELAIS</v>
      </c>
      <c r="F1020" s="10">
        <f>IFERROR(__xludf.DUMMYFUNCTION("""COMPUTED_VALUE"""),6.37647058823529)</f>
        <v>6.376470588</v>
      </c>
      <c r="G1020" s="9">
        <f>IFERROR(__xludf.DUMMYFUNCTION("""COMPUTED_VALUE"""),5.42)</f>
        <v>5.42</v>
      </c>
      <c r="H1020" s="9">
        <f>IFERROR(__xludf.DUMMYFUNCTION("""COMPUTED_VALUE"""),3.0)</f>
        <v>3</v>
      </c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</row>
    <row r="1021" ht="15.75" customHeight="1">
      <c r="A1021" s="11">
        <f>IFERROR(__xludf.DUMMYFUNCTION("""COMPUTED_VALUE"""),44471.0)</f>
        <v>44471</v>
      </c>
      <c r="B1021" s="9">
        <f>IFERROR(__xludf.DUMMYFUNCTION("""COMPUTED_VALUE"""),1003431.0)</f>
        <v>1003431</v>
      </c>
      <c r="C1021" s="9">
        <f>IFERROR(__xludf.DUMMYFUNCTION("""COMPUTED_VALUE"""),69321.0)</f>
        <v>69321</v>
      </c>
      <c r="D1021" s="9"/>
      <c r="E1021" s="10" t="str">
        <f>IFERROR(__xludf.DUMMYFUNCTION("""COMPUTED_VALUE"""),"GREENRELAIS")</f>
        <v>GREENRELAIS</v>
      </c>
      <c r="F1021" s="10">
        <f>IFERROR(__xludf.DUMMYFUNCTION("""COMPUTED_VALUE"""),7.38)</f>
        <v>7.38</v>
      </c>
      <c r="G1021" s="9">
        <f>IFERROR(__xludf.DUMMYFUNCTION("""COMPUTED_VALUE"""),7.38)</f>
        <v>7.38</v>
      </c>
      <c r="H1021" s="9">
        <f>IFERROR(__xludf.DUMMYFUNCTION("""COMPUTED_VALUE"""),3.0)</f>
        <v>3</v>
      </c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</row>
    <row r="1022" ht="15.75" customHeight="1">
      <c r="A1022" s="11">
        <f>IFERROR(__xludf.DUMMYFUNCTION("""COMPUTED_VALUE"""),44471.0)</f>
        <v>44471</v>
      </c>
      <c r="B1022" s="9">
        <f>IFERROR(__xludf.DUMMYFUNCTION("""COMPUTED_VALUE"""),1003432.0)</f>
        <v>1003432</v>
      </c>
      <c r="C1022" s="9">
        <f>IFERROR(__xludf.DUMMYFUNCTION("""COMPUTED_VALUE"""),88268.0)</f>
        <v>88268</v>
      </c>
      <c r="D1022" s="9"/>
      <c r="E1022" s="9"/>
      <c r="F1022" s="9">
        <f>IFERROR(__xludf.DUMMYFUNCTION("""COMPUTED_VALUE"""),3.18)</f>
        <v>3.18</v>
      </c>
      <c r="G1022" s="9">
        <f>IFERROR(__xludf.DUMMYFUNCTION("""COMPUTED_VALUE"""),3.18)</f>
        <v>3.18</v>
      </c>
      <c r="H1022" s="9">
        <f>IFERROR(__xludf.DUMMYFUNCTION("""COMPUTED_VALUE"""),3.0)</f>
        <v>3</v>
      </c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</row>
    <row r="1023" ht="15.75" customHeight="1">
      <c r="A1023" s="11">
        <f>IFERROR(__xludf.DUMMYFUNCTION("""COMPUTED_VALUE"""),44471.0)</f>
        <v>44471</v>
      </c>
      <c r="B1023" s="9">
        <f>IFERROR(__xludf.DUMMYFUNCTION("""COMPUTED_VALUE"""),1003433.0)</f>
        <v>1003433</v>
      </c>
      <c r="C1023" s="9">
        <f>IFERROR(__xludf.DUMMYFUNCTION("""COMPUTED_VALUE"""),87419.0)</f>
        <v>87419</v>
      </c>
      <c r="D1023" s="9"/>
      <c r="E1023" s="9"/>
      <c r="F1023" s="9">
        <f>IFERROR(__xludf.DUMMYFUNCTION("""COMPUTED_VALUE"""),3.0)</f>
        <v>3</v>
      </c>
      <c r="G1023" s="9">
        <f>IFERROR(__xludf.DUMMYFUNCTION("""COMPUTED_VALUE"""),3.0)</f>
        <v>3</v>
      </c>
      <c r="H1023" s="9">
        <f>IFERROR(__xludf.DUMMYFUNCTION("""COMPUTED_VALUE"""),1.0)</f>
        <v>1</v>
      </c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</row>
    <row r="1024" ht="15.75" customHeight="1">
      <c r="A1024" s="11">
        <f>IFERROR(__xludf.DUMMYFUNCTION("""COMPUTED_VALUE"""),44471.0)</f>
        <v>44471</v>
      </c>
      <c r="B1024" s="9">
        <f>IFERROR(__xludf.DUMMYFUNCTION("""COMPUTED_VALUE"""),1003433.0)</f>
        <v>1003433</v>
      </c>
      <c r="C1024" s="9">
        <f>IFERROR(__xludf.DUMMYFUNCTION("""COMPUTED_VALUE"""),44125.0)</f>
        <v>44125</v>
      </c>
      <c r="D1024" s="9"/>
      <c r="E1024" s="9"/>
      <c r="F1024" s="9">
        <f>IFERROR(__xludf.DUMMYFUNCTION("""COMPUTED_VALUE"""),2.16)</f>
        <v>2.16</v>
      </c>
      <c r="G1024" s="9">
        <f>IFERROR(__xludf.DUMMYFUNCTION("""COMPUTED_VALUE"""),2.16)</f>
        <v>2.16</v>
      </c>
      <c r="H1024" s="9">
        <f>IFERROR(__xludf.DUMMYFUNCTION("""COMPUTED_VALUE"""),1.0)</f>
        <v>1</v>
      </c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</row>
    <row r="1025" ht="15.75" customHeight="1">
      <c r="A1025" s="11">
        <f>IFERROR(__xludf.DUMMYFUNCTION("""COMPUTED_VALUE"""),44471.0)</f>
        <v>44471</v>
      </c>
      <c r="B1025" s="9">
        <f>IFERROR(__xludf.DUMMYFUNCTION("""COMPUTED_VALUE"""),1003433.0)</f>
        <v>1003433</v>
      </c>
      <c r="C1025" s="9">
        <f>IFERROR(__xludf.DUMMYFUNCTION("""COMPUTED_VALUE"""),82821.0)</f>
        <v>82821</v>
      </c>
      <c r="D1025" s="9"/>
      <c r="E1025" s="9"/>
      <c r="F1025" s="9">
        <f>IFERROR(__xludf.DUMMYFUNCTION("""COMPUTED_VALUE"""),7.82)</f>
        <v>7.82</v>
      </c>
      <c r="G1025" s="9">
        <f>IFERROR(__xludf.DUMMYFUNCTION("""COMPUTED_VALUE"""),7.82)</f>
        <v>7.82</v>
      </c>
      <c r="H1025" s="9">
        <f>IFERROR(__xludf.DUMMYFUNCTION("""COMPUTED_VALUE"""),1.0)</f>
        <v>1</v>
      </c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</row>
    <row r="1026" ht="15.75" customHeight="1">
      <c r="A1026" s="11">
        <f>IFERROR(__xludf.DUMMYFUNCTION("""COMPUTED_VALUE"""),44471.0)</f>
        <v>44471</v>
      </c>
      <c r="B1026" s="9">
        <f>IFERROR(__xludf.DUMMYFUNCTION("""COMPUTED_VALUE"""),1003433.0)</f>
        <v>1003433</v>
      </c>
      <c r="C1026" s="9">
        <f>IFERROR(__xludf.DUMMYFUNCTION("""COMPUTED_VALUE"""),45846.0)</f>
        <v>45846</v>
      </c>
      <c r="D1026" s="10" t="str">
        <f>IFERROR(__xludf.DUMMYFUNCTION("""COMPUTED_VALUE"""),"Vive le bio")</f>
        <v>Vive le bio</v>
      </c>
      <c r="E1026" s="10"/>
      <c r="F1026" s="9">
        <f>IFERROR(__xludf.DUMMYFUNCTION("""COMPUTED_VALUE"""),3.08888888888888)</f>
        <v>3.088888889</v>
      </c>
      <c r="G1026" s="9">
        <f>IFERROR(__xludf.DUMMYFUNCTION("""COMPUTED_VALUE"""),2.78)</f>
        <v>2.78</v>
      </c>
      <c r="H1026" s="9">
        <f>IFERROR(__xludf.DUMMYFUNCTION("""COMPUTED_VALUE"""),1.0)</f>
        <v>1</v>
      </c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</row>
    <row r="1027" ht="15.75" customHeight="1">
      <c r="A1027" s="11">
        <f>IFERROR(__xludf.DUMMYFUNCTION("""COMPUTED_VALUE"""),44471.0)</f>
        <v>44471</v>
      </c>
      <c r="B1027" s="9">
        <f>IFERROR(__xludf.DUMMYFUNCTION("""COMPUTED_VALUE"""),1003433.0)</f>
        <v>1003433</v>
      </c>
      <c r="C1027" s="9">
        <f>IFERROR(__xludf.DUMMYFUNCTION("""COMPUTED_VALUE"""),87282.0)</f>
        <v>87282</v>
      </c>
      <c r="D1027" s="10" t="str">
        <f>IFERROR(__xludf.DUMMYFUNCTION("""COMPUTED_VALUE"""),"Vive le bio")</f>
        <v>Vive le bio</v>
      </c>
      <c r="E1027" s="10"/>
      <c r="F1027" s="9">
        <f>IFERROR(__xludf.DUMMYFUNCTION("""COMPUTED_VALUE"""),3.14444444444444)</f>
        <v>3.144444444</v>
      </c>
      <c r="G1027" s="9">
        <f>IFERROR(__xludf.DUMMYFUNCTION("""COMPUTED_VALUE"""),2.83)</f>
        <v>2.83</v>
      </c>
      <c r="H1027" s="9">
        <f>IFERROR(__xludf.DUMMYFUNCTION("""COMPUTED_VALUE"""),1.0)</f>
        <v>1</v>
      </c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</row>
    <row r="1028" ht="15.75" customHeight="1">
      <c r="A1028" s="11">
        <f>IFERROR(__xludf.DUMMYFUNCTION("""COMPUTED_VALUE"""),44471.0)</f>
        <v>44471</v>
      </c>
      <c r="B1028" s="9">
        <f>IFERROR(__xludf.DUMMYFUNCTION("""COMPUTED_VALUE"""),1003433.0)</f>
        <v>1003433</v>
      </c>
      <c r="C1028" s="9">
        <f>IFERROR(__xludf.DUMMYFUNCTION("""COMPUTED_VALUE"""),5668.0)</f>
        <v>5668</v>
      </c>
      <c r="D1028" s="10" t="str">
        <f>IFERROR(__xludf.DUMMYFUNCTION("""COMPUTED_VALUE"""),"Vive le bio")</f>
        <v>Vive le bio</v>
      </c>
      <c r="E1028" s="10"/>
      <c r="F1028" s="9">
        <f>IFERROR(__xludf.DUMMYFUNCTION("""COMPUTED_VALUE"""),4.28888888888888)</f>
        <v>4.288888889</v>
      </c>
      <c r="G1028" s="9">
        <f>IFERROR(__xludf.DUMMYFUNCTION("""COMPUTED_VALUE"""),3.86)</f>
        <v>3.86</v>
      </c>
      <c r="H1028" s="9">
        <f>IFERROR(__xludf.DUMMYFUNCTION("""COMPUTED_VALUE"""),1.0)</f>
        <v>1</v>
      </c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</row>
    <row r="1029" ht="15.75" customHeight="1">
      <c r="A1029" s="11">
        <f>IFERROR(__xludf.DUMMYFUNCTION("""COMPUTED_VALUE"""),44471.0)</f>
        <v>44471</v>
      </c>
      <c r="B1029" s="9">
        <f>IFERROR(__xludf.DUMMYFUNCTION("""COMPUTED_VALUE"""),1003433.0)</f>
        <v>1003433</v>
      </c>
      <c r="C1029" s="9">
        <f>IFERROR(__xludf.DUMMYFUNCTION("""COMPUTED_VALUE"""),45867.0)</f>
        <v>45867</v>
      </c>
      <c r="D1029" s="9"/>
      <c r="E1029" s="9"/>
      <c r="F1029" s="9">
        <f>IFERROR(__xludf.DUMMYFUNCTION("""COMPUTED_VALUE"""),2.7)</f>
        <v>2.7</v>
      </c>
      <c r="G1029" s="9">
        <f>IFERROR(__xludf.DUMMYFUNCTION("""COMPUTED_VALUE"""),2.7)</f>
        <v>2.7</v>
      </c>
      <c r="H1029" s="9">
        <f>IFERROR(__xludf.DUMMYFUNCTION("""COMPUTED_VALUE"""),1.0)</f>
        <v>1</v>
      </c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</row>
    <row r="1030" ht="15.75" customHeight="1">
      <c r="A1030" s="11">
        <f>IFERROR(__xludf.DUMMYFUNCTION("""COMPUTED_VALUE"""),44471.0)</f>
        <v>44471</v>
      </c>
      <c r="B1030" s="9">
        <f>IFERROR(__xludf.DUMMYFUNCTION("""COMPUTED_VALUE"""),1003433.0)</f>
        <v>1003433</v>
      </c>
      <c r="C1030" s="9">
        <f>IFERROR(__xludf.DUMMYFUNCTION("""COMPUTED_VALUE"""),5524.0)</f>
        <v>5524</v>
      </c>
      <c r="D1030" s="10" t="str">
        <f>IFERROR(__xludf.DUMMYFUNCTION("""COMPUTED_VALUE"""),"Vive le bio")</f>
        <v>Vive le bio</v>
      </c>
      <c r="E1030" s="10"/>
      <c r="F1030" s="9">
        <f>IFERROR(__xludf.DUMMYFUNCTION("""COMPUTED_VALUE"""),5.32222222222222)</f>
        <v>5.322222222</v>
      </c>
      <c r="G1030" s="9">
        <f>IFERROR(__xludf.DUMMYFUNCTION("""COMPUTED_VALUE"""),4.79)</f>
        <v>4.79</v>
      </c>
      <c r="H1030" s="9">
        <f>IFERROR(__xludf.DUMMYFUNCTION("""COMPUTED_VALUE"""),1.0)</f>
        <v>1</v>
      </c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</row>
    <row r="1031" ht="15.75" customHeight="1">
      <c r="A1031" s="11">
        <f>IFERROR(__xludf.DUMMYFUNCTION("""COMPUTED_VALUE"""),44471.0)</f>
        <v>44471</v>
      </c>
      <c r="B1031" s="9">
        <f>IFERROR(__xludf.DUMMYFUNCTION("""COMPUTED_VALUE"""),1003433.0)</f>
        <v>1003433</v>
      </c>
      <c r="C1031" s="9">
        <f>IFERROR(__xludf.DUMMYFUNCTION("""COMPUTED_VALUE"""),111960.0)</f>
        <v>111960</v>
      </c>
      <c r="D1031" s="9"/>
      <c r="E1031" s="9"/>
      <c r="F1031" s="9">
        <f>IFERROR(__xludf.DUMMYFUNCTION("""COMPUTED_VALUE"""),10.09)</f>
        <v>10.09</v>
      </c>
      <c r="G1031" s="9">
        <f>IFERROR(__xludf.DUMMYFUNCTION("""COMPUTED_VALUE"""),10.09)</f>
        <v>10.09</v>
      </c>
      <c r="H1031" s="9">
        <f>IFERROR(__xludf.DUMMYFUNCTION("""COMPUTED_VALUE"""),1.0)</f>
        <v>1</v>
      </c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</row>
    <row r="1032" ht="15.75" customHeight="1">
      <c r="A1032" s="11">
        <f>IFERROR(__xludf.DUMMYFUNCTION("""COMPUTED_VALUE"""),44471.0)</f>
        <v>44471</v>
      </c>
      <c r="B1032" s="9">
        <f>IFERROR(__xludf.DUMMYFUNCTION("""COMPUTED_VALUE"""),1003433.0)</f>
        <v>1003433</v>
      </c>
      <c r="C1032" s="9">
        <f>IFERROR(__xludf.DUMMYFUNCTION("""COMPUTED_VALUE"""),5665.0)</f>
        <v>5665</v>
      </c>
      <c r="D1032" s="10" t="str">
        <f>IFERROR(__xludf.DUMMYFUNCTION("""COMPUTED_VALUE"""),"Vive le bio")</f>
        <v>Vive le bio</v>
      </c>
      <c r="E1032" s="10"/>
      <c r="F1032" s="9">
        <f>IFERROR(__xludf.DUMMYFUNCTION("""COMPUTED_VALUE"""),4.35555555555555)</f>
        <v>4.355555556</v>
      </c>
      <c r="G1032" s="9">
        <f>IFERROR(__xludf.DUMMYFUNCTION("""COMPUTED_VALUE"""),3.92)</f>
        <v>3.92</v>
      </c>
      <c r="H1032" s="9">
        <f>IFERROR(__xludf.DUMMYFUNCTION("""COMPUTED_VALUE"""),1.0)</f>
        <v>1</v>
      </c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</row>
    <row r="1033" ht="15.75" customHeight="1">
      <c r="A1033" s="11">
        <f>IFERROR(__xludf.DUMMYFUNCTION("""COMPUTED_VALUE"""),44471.0)</f>
        <v>44471</v>
      </c>
      <c r="B1033" s="9">
        <f>IFERROR(__xludf.DUMMYFUNCTION("""COMPUTED_VALUE"""),1003433.0)</f>
        <v>1003433</v>
      </c>
      <c r="C1033" s="9">
        <f>IFERROR(__xludf.DUMMYFUNCTION("""COMPUTED_VALUE"""),87421.0)</f>
        <v>87421</v>
      </c>
      <c r="D1033" s="9"/>
      <c r="E1033" s="9"/>
      <c r="F1033" s="9">
        <f>IFERROR(__xludf.DUMMYFUNCTION("""COMPUTED_VALUE"""),2.6)</f>
        <v>2.6</v>
      </c>
      <c r="G1033" s="9">
        <f>IFERROR(__xludf.DUMMYFUNCTION("""COMPUTED_VALUE"""),2.6)</f>
        <v>2.6</v>
      </c>
      <c r="H1033" s="9">
        <f>IFERROR(__xludf.DUMMYFUNCTION("""COMPUTED_VALUE"""),1.0)</f>
        <v>1</v>
      </c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</row>
    <row r="1034" ht="15.75" customHeight="1">
      <c r="A1034" s="11">
        <f>IFERROR(__xludf.DUMMYFUNCTION("""COMPUTED_VALUE"""),44471.0)</f>
        <v>44471</v>
      </c>
      <c r="B1034" s="9">
        <f>IFERROR(__xludf.DUMMYFUNCTION("""COMPUTED_VALUE"""),1003433.0)</f>
        <v>1003433</v>
      </c>
      <c r="C1034" s="9">
        <f>IFERROR(__xludf.DUMMYFUNCTION("""COMPUTED_VALUE"""),77392.0)</f>
        <v>77392</v>
      </c>
      <c r="D1034" s="10" t="str">
        <f>IFERROR(__xludf.DUMMYFUNCTION("""COMPUTED_VALUE"""),"Vive le bio")</f>
        <v>Vive le bio</v>
      </c>
      <c r="E1034" s="10"/>
      <c r="F1034" s="9">
        <f>IFERROR(__xludf.DUMMYFUNCTION("""COMPUTED_VALUE"""),2.78888888888888)</f>
        <v>2.788888889</v>
      </c>
      <c r="G1034" s="9">
        <f>IFERROR(__xludf.DUMMYFUNCTION("""COMPUTED_VALUE"""),2.51)</f>
        <v>2.51</v>
      </c>
      <c r="H1034" s="9">
        <f>IFERROR(__xludf.DUMMYFUNCTION("""COMPUTED_VALUE"""),1.0)</f>
        <v>1</v>
      </c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</row>
    <row r="1035" ht="15.75" customHeight="1">
      <c r="A1035" s="11">
        <f>IFERROR(__xludf.DUMMYFUNCTION("""COMPUTED_VALUE"""),44471.0)</f>
        <v>44471</v>
      </c>
      <c r="B1035" s="9">
        <f>IFERROR(__xludf.DUMMYFUNCTION("""COMPUTED_VALUE"""),1003433.0)</f>
        <v>1003433</v>
      </c>
      <c r="C1035" s="9">
        <f>IFERROR(__xludf.DUMMYFUNCTION("""COMPUTED_VALUE"""),77318.0)</f>
        <v>77318</v>
      </c>
      <c r="D1035" s="10" t="str">
        <f>IFERROR(__xludf.DUMMYFUNCTION("""COMPUTED_VALUE"""),"Vive le bio")</f>
        <v>Vive le bio</v>
      </c>
      <c r="E1035" s="10"/>
      <c r="F1035" s="9">
        <f>IFERROR(__xludf.DUMMYFUNCTION("""COMPUTED_VALUE"""),6.0)</f>
        <v>6</v>
      </c>
      <c r="G1035" s="9">
        <f>IFERROR(__xludf.DUMMYFUNCTION("""COMPUTED_VALUE"""),5.4)</f>
        <v>5.4</v>
      </c>
      <c r="H1035" s="9">
        <f>IFERROR(__xludf.DUMMYFUNCTION("""COMPUTED_VALUE"""),2.0)</f>
        <v>2</v>
      </c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</row>
    <row r="1036" ht="15.75" customHeight="1">
      <c r="A1036" s="11">
        <f>IFERROR(__xludf.DUMMYFUNCTION("""COMPUTED_VALUE"""),44471.0)</f>
        <v>44471</v>
      </c>
      <c r="B1036" s="9">
        <f>IFERROR(__xludf.DUMMYFUNCTION("""COMPUTED_VALUE"""),1003433.0)</f>
        <v>1003433</v>
      </c>
      <c r="C1036" s="9">
        <f>IFERROR(__xludf.DUMMYFUNCTION("""COMPUTED_VALUE"""),101298.0)</f>
        <v>101298</v>
      </c>
      <c r="D1036" s="10" t="str">
        <f>IFERROR(__xludf.DUMMYFUNCTION("""COMPUTED_VALUE"""),"Natur'vox Carryboo couches Sept 21")</f>
        <v>Natur'vox Carryboo couches Sept 21</v>
      </c>
      <c r="E1036" s="10"/>
      <c r="F1036" s="9">
        <f>IFERROR(__xludf.DUMMYFUNCTION("""COMPUTED_VALUE"""),33.08)</f>
        <v>33.08</v>
      </c>
      <c r="G1036" s="9">
        <f>IFERROR(__xludf.DUMMYFUNCTION("""COMPUTED_VALUE"""),24.81)</f>
        <v>24.81</v>
      </c>
      <c r="H1036" s="9">
        <f>IFERROR(__xludf.DUMMYFUNCTION("""COMPUTED_VALUE"""),2.0)</f>
        <v>2</v>
      </c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</row>
    <row r="1037" ht="15.75" customHeight="1">
      <c r="A1037" s="11">
        <f>IFERROR(__xludf.DUMMYFUNCTION("""COMPUTED_VALUE"""),44471.0)</f>
        <v>44471</v>
      </c>
      <c r="B1037" s="9">
        <f>IFERROR(__xludf.DUMMYFUNCTION("""COMPUTED_VALUE"""),1003433.0)</f>
        <v>1003433</v>
      </c>
      <c r="C1037" s="9">
        <f>IFERROR(__xludf.DUMMYFUNCTION("""COMPUTED_VALUE"""),101299.0)</f>
        <v>101299</v>
      </c>
      <c r="D1037" s="10" t="str">
        <f>IFERROR(__xludf.DUMMYFUNCTION("""COMPUTED_VALUE"""),"Natur'vox Carryboo couches Sept 21")</f>
        <v>Natur'vox Carryboo couches Sept 21</v>
      </c>
      <c r="E1037" s="10"/>
      <c r="F1037" s="9">
        <f>IFERROR(__xludf.DUMMYFUNCTION("""COMPUTED_VALUE"""),33.08)</f>
        <v>33.08</v>
      </c>
      <c r="G1037" s="9">
        <f>IFERROR(__xludf.DUMMYFUNCTION("""COMPUTED_VALUE"""),24.81)</f>
        <v>24.81</v>
      </c>
      <c r="H1037" s="9">
        <f>IFERROR(__xludf.DUMMYFUNCTION("""COMPUTED_VALUE"""),2.0)</f>
        <v>2</v>
      </c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</row>
    <row r="1038" ht="15.75" customHeight="1">
      <c r="A1038" s="11">
        <f>IFERROR(__xludf.DUMMYFUNCTION("""COMPUTED_VALUE"""),44471.0)</f>
        <v>44471</v>
      </c>
      <c r="B1038" s="9">
        <f>IFERROR(__xludf.DUMMYFUNCTION("""COMPUTED_VALUE"""),1003433.0)</f>
        <v>1003433</v>
      </c>
      <c r="C1038" s="9">
        <f>IFERROR(__xludf.DUMMYFUNCTION("""COMPUTED_VALUE"""),5529.0)</f>
        <v>5529</v>
      </c>
      <c r="D1038" s="10" t="str">
        <f>IFERROR(__xludf.DUMMYFUNCTION("""COMPUTED_VALUE"""),"Offre speciale")</f>
        <v>Offre speciale</v>
      </c>
      <c r="E1038" s="10"/>
      <c r="F1038" s="9">
        <f>IFERROR(__xludf.DUMMYFUNCTION("""COMPUTED_VALUE"""),5.77647058823529)</f>
        <v>5.776470588</v>
      </c>
      <c r="G1038" s="9">
        <f>IFERROR(__xludf.DUMMYFUNCTION("""COMPUTED_VALUE"""),4.91)</f>
        <v>4.91</v>
      </c>
      <c r="H1038" s="9">
        <f>IFERROR(__xludf.DUMMYFUNCTION("""COMPUTED_VALUE"""),2.0)</f>
        <v>2</v>
      </c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</row>
    <row r="1039" ht="15.75" customHeight="1">
      <c r="A1039" s="11">
        <f>IFERROR(__xludf.DUMMYFUNCTION("""COMPUTED_VALUE"""),44471.0)</f>
        <v>44471</v>
      </c>
      <c r="B1039" s="9">
        <f>IFERROR(__xludf.DUMMYFUNCTION("""COMPUTED_VALUE"""),1003433.0)</f>
        <v>1003433</v>
      </c>
      <c r="C1039" s="9">
        <f>IFERROR(__xludf.DUMMYFUNCTION("""COMPUTED_VALUE"""),77316.0)</f>
        <v>77316</v>
      </c>
      <c r="D1039" s="10" t="str">
        <f>IFERROR(__xludf.DUMMYFUNCTION("""COMPUTED_VALUE"""),"Vive le bio")</f>
        <v>Vive le bio</v>
      </c>
      <c r="E1039" s="10"/>
      <c r="F1039" s="9">
        <f>IFERROR(__xludf.DUMMYFUNCTION("""COMPUTED_VALUE"""),5.41111111111111)</f>
        <v>5.411111111</v>
      </c>
      <c r="G1039" s="9">
        <f>IFERROR(__xludf.DUMMYFUNCTION("""COMPUTED_VALUE"""),4.87)</f>
        <v>4.87</v>
      </c>
      <c r="H1039" s="9">
        <f>IFERROR(__xludf.DUMMYFUNCTION("""COMPUTED_VALUE"""),2.0)</f>
        <v>2</v>
      </c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</row>
    <row r="1040" ht="15.75" customHeight="1">
      <c r="A1040" s="11">
        <f>IFERROR(__xludf.DUMMYFUNCTION("""COMPUTED_VALUE"""),44471.0)</f>
        <v>44471</v>
      </c>
      <c r="B1040" s="9">
        <f>IFERROR(__xludf.DUMMYFUNCTION("""COMPUTED_VALUE"""),1003433.0)</f>
        <v>1003433</v>
      </c>
      <c r="C1040" s="9">
        <f>IFERROR(__xludf.DUMMYFUNCTION("""COMPUTED_VALUE"""),77389.0)</f>
        <v>77389</v>
      </c>
      <c r="D1040" s="10" t="str">
        <f>IFERROR(__xludf.DUMMYFUNCTION("""COMPUTED_VALUE"""),"Vive le bio")</f>
        <v>Vive le bio</v>
      </c>
      <c r="E1040" s="10"/>
      <c r="F1040" s="9">
        <f>IFERROR(__xludf.DUMMYFUNCTION("""COMPUTED_VALUE"""),5.17777777777777)</f>
        <v>5.177777778</v>
      </c>
      <c r="G1040" s="9">
        <f>IFERROR(__xludf.DUMMYFUNCTION("""COMPUTED_VALUE"""),4.66)</f>
        <v>4.66</v>
      </c>
      <c r="H1040" s="9">
        <f>IFERROR(__xludf.DUMMYFUNCTION("""COMPUTED_VALUE"""),2.0)</f>
        <v>2</v>
      </c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</row>
    <row r="1041" ht="15.75" customHeight="1">
      <c r="A1041" s="11">
        <f>IFERROR(__xludf.DUMMYFUNCTION("""COMPUTED_VALUE"""),44471.0)</f>
        <v>44471</v>
      </c>
      <c r="B1041" s="9">
        <f>IFERROR(__xludf.DUMMYFUNCTION("""COMPUTED_VALUE"""),1003433.0)</f>
        <v>1003433</v>
      </c>
      <c r="C1041" s="9">
        <f>IFERROR(__xludf.DUMMYFUNCTION("""COMPUTED_VALUE"""),110573.0)</f>
        <v>110573</v>
      </c>
      <c r="D1041" s="9"/>
      <c r="E1041" s="9"/>
      <c r="F1041" s="9">
        <f>IFERROR(__xludf.DUMMYFUNCTION("""COMPUTED_VALUE"""),7.7)</f>
        <v>7.7</v>
      </c>
      <c r="G1041" s="9">
        <f>IFERROR(__xludf.DUMMYFUNCTION("""COMPUTED_VALUE"""),7.7)</f>
        <v>7.7</v>
      </c>
      <c r="H1041" s="9">
        <f>IFERROR(__xludf.DUMMYFUNCTION("""COMPUTED_VALUE"""),4.0)</f>
        <v>4</v>
      </c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</row>
    <row r="1042" ht="15.75" customHeight="1">
      <c r="A1042" s="11">
        <f>IFERROR(__xludf.DUMMYFUNCTION("""COMPUTED_VALUE"""),44471.0)</f>
        <v>44471</v>
      </c>
      <c r="B1042" s="9">
        <f>IFERROR(__xludf.DUMMYFUNCTION("""COMPUTED_VALUE"""),1003434.0)</f>
        <v>1003434</v>
      </c>
      <c r="C1042" s="9">
        <f>IFERROR(__xludf.DUMMYFUNCTION("""COMPUTED_VALUE"""),71326.0)</f>
        <v>71326</v>
      </c>
      <c r="D1042" s="9"/>
      <c r="E1042" s="9"/>
      <c r="F1042" s="9">
        <f>IFERROR(__xludf.DUMMYFUNCTION("""COMPUTED_VALUE"""),22.5)</f>
        <v>22.5</v>
      </c>
      <c r="G1042" s="9">
        <f>IFERROR(__xludf.DUMMYFUNCTION("""COMPUTED_VALUE"""),22.5)</f>
        <v>22.5</v>
      </c>
      <c r="H1042" s="9">
        <f>IFERROR(__xludf.DUMMYFUNCTION("""COMPUTED_VALUE"""),1.0)</f>
        <v>1</v>
      </c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</row>
    <row r="1043" ht="15.75" customHeight="1">
      <c r="A1043" s="11">
        <f>IFERROR(__xludf.DUMMYFUNCTION("""COMPUTED_VALUE"""),44471.0)</f>
        <v>44471</v>
      </c>
      <c r="B1043" s="9">
        <f>IFERROR(__xludf.DUMMYFUNCTION("""COMPUTED_VALUE"""),1003434.0)</f>
        <v>1003434</v>
      </c>
      <c r="C1043" s="9">
        <f>IFERROR(__xludf.DUMMYFUNCTION("""COMPUTED_VALUE"""),7999.0)</f>
        <v>7999</v>
      </c>
      <c r="D1043" s="9"/>
      <c r="E1043" s="9"/>
      <c r="F1043" s="9">
        <f>IFERROR(__xludf.DUMMYFUNCTION("""COMPUTED_VALUE"""),3.94)</f>
        <v>3.94</v>
      </c>
      <c r="G1043" s="9">
        <f>IFERROR(__xludf.DUMMYFUNCTION("""COMPUTED_VALUE"""),3.94)</f>
        <v>3.94</v>
      </c>
      <c r="H1043" s="9">
        <f>IFERROR(__xludf.DUMMYFUNCTION("""COMPUTED_VALUE"""),1.0)</f>
        <v>1</v>
      </c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</row>
    <row r="1044" ht="15.75" customHeight="1">
      <c r="A1044" s="11">
        <f>IFERROR(__xludf.DUMMYFUNCTION("""COMPUTED_VALUE"""),44471.0)</f>
        <v>44471</v>
      </c>
      <c r="B1044" s="9">
        <f>IFERROR(__xludf.DUMMYFUNCTION("""COMPUTED_VALUE"""),1003434.0)</f>
        <v>1003434</v>
      </c>
      <c r="C1044" s="9">
        <f>IFERROR(__xludf.DUMMYFUNCTION("""COMPUTED_VALUE"""),71322.0)</f>
        <v>71322</v>
      </c>
      <c r="D1044" s="9"/>
      <c r="E1044" s="9"/>
      <c r="F1044" s="9">
        <f>IFERROR(__xludf.DUMMYFUNCTION("""COMPUTED_VALUE"""),12.92)</f>
        <v>12.92</v>
      </c>
      <c r="G1044" s="9">
        <f>IFERROR(__xludf.DUMMYFUNCTION("""COMPUTED_VALUE"""),12.92)</f>
        <v>12.92</v>
      </c>
      <c r="H1044" s="9">
        <f>IFERROR(__xludf.DUMMYFUNCTION("""COMPUTED_VALUE"""),1.0)</f>
        <v>1</v>
      </c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</row>
    <row r="1045" ht="15.75" customHeight="1">
      <c r="A1045" s="11">
        <f>IFERROR(__xludf.DUMMYFUNCTION("""COMPUTED_VALUE"""),44471.0)</f>
        <v>44471</v>
      </c>
      <c r="B1045" s="9">
        <f>IFERROR(__xludf.DUMMYFUNCTION("""COMPUTED_VALUE"""),1003434.0)</f>
        <v>1003434</v>
      </c>
      <c r="C1045" s="9">
        <f>IFERROR(__xludf.DUMMYFUNCTION("""COMPUTED_VALUE"""),11490.0)</f>
        <v>11490</v>
      </c>
      <c r="D1045" s="10" t="str">
        <f>IFERROR(__xludf.DUMMYFUNCTION("""COMPUTED_VALUE"""),"Vive le bio")</f>
        <v>Vive le bio</v>
      </c>
      <c r="E1045" s="10"/>
      <c r="F1045" s="9">
        <f>IFERROR(__xludf.DUMMYFUNCTION("""COMPUTED_VALUE"""),7.42222222222222)</f>
        <v>7.422222222</v>
      </c>
      <c r="G1045" s="9">
        <f>IFERROR(__xludf.DUMMYFUNCTION("""COMPUTED_VALUE"""),6.68)</f>
        <v>6.68</v>
      </c>
      <c r="H1045" s="9">
        <f>IFERROR(__xludf.DUMMYFUNCTION("""COMPUTED_VALUE"""),2.0)</f>
        <v>2</v>
      </c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</row>
    <row r="1046" ht="15.75" customHeight="1">
      <c r="A1046" s="11">
        <f>IFERROR(__xludf.DUMMYFUNCTION("""COMPUTED_VALUE"""),44471.0)</f>
        <v>44471</v>
      </c>
      <c r="B1046" s="9">
        <f>IFERROR(__xludf.DUMMYFUNCTION("""COMPUTED_VALUE"""),1003434.0)</f>
        <v>1003434</v>
      </c>
      <c r="C1046" s="9">
        <f>IFERROR(__xludf.DUMMYFUNCTION("""COMPUTED_VALUE"""),11489.0)</f>
        <v>11489</v>
      </c>
      <c r="D1046" s="9"/>
      <c r="E1046" s="9"/>
      <c r="F1046" s="9">
        <f>IFERROR(__xludf.DUMMYFUNCTION("""COMPUTED_VALUE"""),7.05)</f>
        <v>7.05</v>
      </c>
      <c r="G1046" s="9">
        <f>IFERROR(__xludf.DUMMYFUNCTION("""COMPUTED_VALUE"""),7.05)</f>
        <v>7.05</v>
      </c>
      <c r="H1046" s="9">
        <f>IFERROR(__xludf.DUMMYFUNCTION("""COMPUTED_VALUE"""),2.0)</f>
        <v>2</v>
      </c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</row>
    <row r="1047" ht="15.75" customHeight="1">
      <c r="A1047" s="11">
        <f>IFERROR(__xludf.DUMMYFUNCTION("""COMPUTED_VALUE"""),44471.0)</f>
        <v>44471</v>
      </c>
      <c r="B1047" s="9">
        <f>IFERROR(__xludf.DUMMYFUNCTION("""COMPUTED_VALUE"""),1003435.0)</f>
        <v>1003435</v>
      </c>
      <c r="C1047" s="9">
        <f>IFERROR(__xludf.DUMMYFUNCTION("""COMPUTED_VALUE"""),199472.0)</f>
        <v>199472</v>
      </c>
      <c r="D1047" s="9"/>
      <c r="E1047" s="10" t="str">
        <f>IFERROR(__xludf.DUMMYFUNCTION("""COMPUTED_VALUE"""),"PREMIERE")</f>
        <v>PREMIERE</v>
      </c>
      <c r="F1047" s="10">
        <f>IFERROR(__xludf.DUMMYFUNCTION("""COMPUTED_VALUE"""),5.92)</f>
        <v>5.92</v>
      </c>
      <c r="G1047" s="9">
        <f>IFERROR(__xludf.DUMMYFUNCTION("""COMPUTED_VALUE"""),5.92)</f>
        <v>5.92</v>
      </c>
      <c r="H1047" s="9">
        <f>IFERROR(__xludf.DUMMYFUNCTION("""COMPUTED_VALUE"""),2.0)</f>
        <v>2</v>
      </c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</row>
    <row r="1048" ht="15.75" customHeight="1">
      <c r="A1048" s="11">
        <f>IFERROR(__xludf.DUMMYFUNCTION("""COMPUTED_VALUE"""),44471.0)</f>
        <v>44471</v>
      </c>
      <c r="B1048" s="9">
        <f>IFERROR(__xludf.DUMMYFUNCTION("""COMPUTED_VALUE"""),1003435.0)</f>
        <v>1003435</v>
      </c>
      <c r="C1048" s="9">
        <f>IFERROR(__xludf.DUMMYFUNCTION("""COMPUTED_VALUE"""),102607.0)</f>
        <v>102607</v>
      </c>
      <c r="D1048" s="9"/>
      <c r="E1048" s="10" t="str">
        <f>IFERROR(__xludf.DUMMYFUNCTION("""COMPUTED_VALUE"""),"PREMIERE")</f>
        <v>PREMIERE</v>
      </c>
      <c r="F1048" s="10">
        <f>IFERROR(__xludf.DUMMYFUNCTION("""COMPUTED_VALUE"""),35.97)</f>
        <v>35.97</v>
      </c>
      <c r="G1048" s="9">
        <f>IFERROR(__xludf.DUMMYFUNCTION("""COMPUTED_VALUE"""),35.97)</f>
        <v>35.97</v>
      </c>
      <c r="H1048" s="9">
        <f>IFERROR(__xludf.DUMMYFUNCTION("""COMPUTED_VALUE"""),6.0)</f>
        <v>6</v>
      </c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</row>
    <row r="1049" ht="15.75" customHeight="1">
      <c r="A1049" s="11">
        <f>IFERROR(__xludf.DUMMYFUNCTION("""COMPUTED_VALUE"""),44471.0)</f>
        <v>44471</v>
      </c>
      <c r="B1049" s="9">
        <f>IFERROR(__xludf.DUMMYFUNCTION("""COMPUTED_VALUE"""),1003436.0)</f>
        <v>1003436</v>
      </c>
      <c r="C1049" s="9">
        <f>IFERROR(__xludf.DUMMYFUNCTION("""COMPUTED_VALUE"""),87767.0)</f>
        <v>87767</v>
      </c>
      <c r="D1049" s="10" t="str">
        <f>IFERROR(__xludf.DUMMYFUNCTION("""COMPUTED_VALUE"""),"Zero Dechet")</f>
        <v>Zero Dechet</v>
      </c>
      <c r="E1049" s="10"/>
      <c r="F1049" s="9">
        <f>IFERROR(__xludf.DUMMYFUNCTION("""COMPUTED_VALUE"""),3.67058823529411)</f>
        <v>3.670588235</v>
      </c>
      <c r="G1049" s="9">
        <f>IFERROR(__xludf.DUMMYFUNCTION("""COMPUTED_VALUE"""),3.12)</f>
        <v>3.12</v>
      </c>
      <c r="H1049" s="9">
        <f>IFERROR(__xludf.DUMMYFUNCTION("""COMPUTED_VALUE"""),1.0)</f>
        <v>1</v>
      </c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</row>
    <row r="1050" ht="15.75" customHeight="1">
      <c r="A1050" s="11">
        <f>IFERROR(__xludf.DUMMYFUNCTION("""COMPUTED_VALUE"""),44471.0)</f>
        <v>44471</v>
      </c>
      <c r="B1050" s="9">
        <f>IFERROR(__xludf.DUMMYFUNCTION("""COMPUTED_VALUE"""),1003436.0)</f>
        <v>1003436</v>
      </c>
      <c r="C1050" s="9">
        <f>IFERROR(__xludf.DUMMYFUNCTION("""COMPUTED_VALUE"""),87765.0)</f>
        <v>87765</v>
      </c>
      <c r="D1050" s="10" t="str">
        <f>IFERROR(__xludf.DUMMYFUNCTION("""COMPUTED_VALUE"""),"Zero Dechet")</f>
        <v>Zero Dechet</v>
      </c>
      <c r="E1050" s="10"/>
      <c r="F1050" s="9">
        <f>IFERROR(__xludf.DUMMYFUNCTION("""COMPUTED_VALUE"""),3.67058823529411)</f>
        <v>3.670588235</v>
      </c>
      <c r="G1050" s="9">
        <f>IFERROR(__xludf.DUMMYFUNCTION("""COMPUTED_VALUE"""),3.12)</f>
        <v>3.12</v>
      </c>
      <c r="H1050" s="9">
        <f>IFERROR(__xludf.DUMMYFUNCTION("""COMPUTED_VALUE"""),1.0)</f>
        <v>1</v>
      </c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</row>
    <row r="1051" ht="15.75" customHeight="1">
      <c r="A1051" s="11">
        <f>IFERROR(__xludf.DUMMYFUNCTION("""COMPUTED_VALUE"""),44471.0)</f>
        <v>44471</v>
      </c>
      <c r="B1051" s="9">
        <f>IFERROR(__xludf.DUMMYFUNCTION("""COMPUTED_VALUE"""),1003436.0)</f>
        <v>1003436</v>
      </c>
      <c r="C1051" s="9">
        <f>IFERROR(__xludf.DUMMYFUNCTION("""COMPUTED_VALUE"""),75818.0)</f>
        <v>75818</v>
      </c>
      <c r="D1051" s="9"/>
      <c r="E1051" s="9"/>
      <c r="F1051" s="9">
        <f>IFERROR(__xludf.DUMMYFUNCTION("""COMPUTED_VALUE"""),12.74)</f>
        <v>12.74</v>
      </c>
      <c r="G1051" s="9">
        <f>IFERROR(__xludf.DUMMYFUNCTION("""COMPUTED_VALUE"""),12.74)</f>
        <v>12.74</v>
      </c>
      <c r="H1051" s="9">
        <f>IFERROR(__xludf.DUMMYFUNCTION("""COMPUTED_VALUE"""),1.0)</f>
        <v>1</v>
      </c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</row>
    <row r="1052" ht="15.75" customHeight="1">
      <c r="A1052" s="11">
        <f>IFERROR(__xludf.DUMMYFUNCTION("""COMPUTED_VALUE"""),44471.0)</f>
        <v>44471</v>
      </c>
      <c r="B1052" s="9">
        <f>IFERROR(__xludf.DUMMYFUNCTION("""COMPUTED_VALUE"""),1003436.0)</f>
        <v>1003436</v>
      </c>
      <c r="C1052" s="9">
        <f>IFERROR(__xludf.DUMMYFUNCTION("""COMPUTED_VALUE"""),70339.0)</f>
        <v>70339</v>
      </c>
      <c r="D1052" s="9"/>
      <c r="E1052" s="9"/>
      <c r="F1052" s="9">
        <f>IFERROR(__xludf.DUMMYFUNCTION("""COMPUTED_VALUE"""),28.64)</f>
        <v>28.64</v>
      </c>
      <c r="G1052" s="9">
        <f>IFERROR(__xludf.DUMMYFUNCTION("""COMPUTED_VALUE"""),28.64)</f>
        <v>28.64</v>
      </c>
      <c r="H1052" s="9">
        <f>IFERROR(__xludf.DUMMYFUNCTION("""COMPUTED_VALUE"""),1.0)</f>
        <v>1</v>
      </c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</row>
    <row r="1053" ht="15.75" customHeight="1">
      <c r="A1053" s="11">
        <f>IFERROR(__xludf.DUMMYFUNCTION("""COMPUTED_VALUE"""),44471.0)</f>
        <v>44471</v>
      </c>
      <c r="B1053" s="9">
        <f>IFERROR(__xludf.DUMMYFUNCTION("""COMPUTED_VALUE"""),1003436.0)</f>
        <v>1003436</v>
      </c>
      <c r="C1053" s="9">
        <f>IFERROR(__xludf.DUMMYFUNCTION("""COMPUTED_VALUE"""),200585.0)</f>
        <v>200585</v>
      </c>
      <c r="D1053" s="9"/>
      <c r="E1053" s="9"/>
      <c r="F1053" s="9">
        <f>IFERROR(__xludf.DUMMYFUNCTION("""COMPUTED_VALUE"""),6.43)</f>
        <v>6.43</v>
      </c>
      <c r="G1053" s="9">
        <f>IFERROR(__xludf.DUMMYFUNCTION("""COMPUTED_VALUE"""),6.43)</f>
        <v>6.43</v>
      </c>
      <c r="H1053" s="9">
        <f>IFERROR(__xludf.DUMMYFUNCTION("""COMPUTED_VALUE"""),1.0)</f>
        <v>1</v>
      </c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</row>
    <row r="1054" ht="15.75" customHeight="1">
      <c r="A1054" s="11">
        <f>IFERROR(__xludf.DUMMYFUNCTION("""COMPUTED_VALUE"""),44471.0)</f>
        <v>44471</v>
      </c>
      <c r="B1054" s="9">
        <f>IFERROR(__xludf.DUMMYFUNCTION("""COMPUTED_VALUE"""),1003436.0)</f>
        <v>1003436</v>
      </c>
      <c r="C1054" s="9">
        <f>IFERROR(__xludf.DUMMYFUNCTION("""COMPUTED_VALUE"""),27509.0)</f>
        <v>27509</v>
      </c>
      <c r="D1054" s="9"/>
      <c r="E1054" s="9"/>
      <c r="F1054" s="9">
        <f>IFERROR(__xludf.DUMMYFUNCTION("""COMPUTED_VALUE"""),7.44)</f>
        <v>7.44</v>
      </c>
      <c r="G1054" s="9">
        <f>IFERROR(__xludf.DUMMYFUNCTION("""COMPUTED_VALUE"""),7.44)</f>
        <v>7.44</v>
      </c>
      <c r="H1054" s="9">
        <f>IFERROR(__xludf.DUMMYFUNCTION("""COMPUTED_VALUE"""),1.0)</f>
        <v>1</v>
      </c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</row>
    <row r="1055" ht="15.75" customHeight="1">
      <c r="A1055" s="11">
        <f>IFERROR(__xludf.DUMMYFUNCTION("""COMPUTED_VALUE"""),44471.0)</f>
        <v>44471</v>
      </c>
      <c r="B1055" s="9">
        <f>IFERROR(__xludf.DUMMYFUNCTION("""COMPUTED_VALUE"""),1003436.0)</f>
        <v>1003436</v>
      </c>
      <c r="C1055" s="9">
        <f>IFERROR(__xludf.DUMMYFUNCTION("""COMPUTED_VALUE"""),110436.0)</f>
        <v>110436</v>
      </c>
      <c r="D1055" s="9"/>
      <c r="E1055" s="9"/>
      <c r="F1055" s="9">
        <f>IFERROR(__xludf.DUMMYFUNCTION("""COMPUTED_VALUE"""),6.7)</f>
        <v>6.7</v>
      </c>
      <c r="G1055" s="9">
        <f>IFERROR(__xludf.DUMMYFUNCTION("""COMPUTED_VALUE"""),6.7)</f>
        <v>6.7</v>
      </c>
      <c r="H1055" s="9">
        <f>IFERROR(__xludf.DUMMYFUNCTION("""COMPUTED_VALUE"""),1.0)</f>
        <v>1</v>
      </c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</row>
    <row r="1056" ht="15.75" customHeight="1">
      <c r="A1056" s="11">
        <f>IFERROR(__xludf.DUMMYFUNCTION("""COMPUTED_VALUE"""),44471.0)</f>
        <v>44471</v>
      </c>
      <c r="B1056" s="9">
        <f>IFERROR(__xludf.DUMMYFUNCTION("""COMPUTED_VALUE"""),1003437.0)</f>
        <v>1003437</v>
      </c>
      <c r="C1056" s="9">
        <f>IFERROR(__xludf.DUMMYFUNCTION("""COMPUTED_VALUE"""),77049.0)</f>
        <v>77049</v>
      </c>
      <c r="D1056" s="9"/>
      <c r="E1056" s="9"/>
      <c r="F1056" s="9">
        <f>IFERROR(__xludf.DUMMYFUNCTION("""COMPUTED_VALUE"""),10.39)</f>
        <v>10.39</v>
      </c>
      <c r="G1056" s="9">
        <f>IFERROR(__xludf.DUMMYFUNCTION("""COMPUTED_VALUE"""),10.39)</f>
        <v>10.39</v>
      </c>
      <c r="H1056" s="9">
        <f>IFERROR(__xludf.DUMMYFUNCTION("""COMPUTED_VALUE"""),1.0)</f>
        <v>1</v>
      </c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</row>
    <row r="1057" ht="15.75" customHeight="1">
      <c r="A1057" s="11">
        <f>IFERROR(__xludf.DUMMYFUNCTION("""COMPUTED_VALUE"""),44471.0)</f>
        <v>44471</v>
      </c>
      <c r="B1057" s="9">
        <f>IFERROR(__xludf.DUMMYFUNCTION("""COMPUTED_VALUE"""),1003437.0)</f>
        <v>1003437</v>
      </c>
      <c r="C1057" s="9">
        <f>IFERROR(__xludf.DUMMYFUNCTION("""COMPUTED_VALUE"""),6425.0)</f>
        <v>6425</v>
      </c>
      <c r="D1057" s="9"/>
      <c r="E1057" s="9"/>
      <c r="F1057" s="9">
        <f>IFERROR(__xludf.DUMMYFUNCTION("""COMPUTED_VALUE"""),16.68)</f>
        <v>16.68</v>
      </c>
      <c r="G1057" s="9">
        <f>IFERROR(__xludf.DUMMYFUNCTION("""COMPUTED_VALUE"""),16.68)</f>
        <v>16.68</v>
      </c>
      <c r="H1057" s="9">
        <f>IFERROR(__xludf.DUMMYFUNCTION("""COMPUTED_VALUE"""),1.0)</f>
        <v>1</v>
      </c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</row>
    <row r="1058" ht="15.75" customHeight="1">
      <c r="A1058" s="11">
        <f>IFERROR(__xludf.DUMMYFUNCTION("""COMPUTED_VALUE"""),44471.0)</f>
        <v>44471</v>
      </c>
      <c r="B1058" s="9">
        <f>IFERROR(__xludf.DUMMYFUNCTION("""COMPUTED_VALUE"""),1003438.0)</f>
        <v>1003438</v>
      </c>
      <c r="C1058" s="9">
        <f>IFERROR(__xludf.DUMMYFUNCTION("""COMPUTED_VALUE"""),110084.0)</f>
        <v>110084</v>
      </c>
      <c r="D1058" s="9"/>
      <c r="E1058" s="10" t="str">
        <f>IFERROR(__xludf.DUMMYFUNCTION("""COMPUTED_VALUE"""),"HAPPEEZ")</f>
        <v>HAPPEEZ</v>
      </c>
      <c r="F1058" s="10">
        <f>IFERROR(__xludf.DUMMYFUNCTION("""COMPUTED_VALUE"""),1.69)</f>
        <v>1.69</v>
      </c>
      <c r="G1058" s="9">
        <f>IFERROR(__xludf.DUMMYFUNCTION("""COMPUTED_VALUE"""),1.69)</f>
        <v>1.69</v>
      </c>
      <c r="H1058" s="9">
        <f>IFERROR(__xludf.DUMMYFUNCTION("""COMPUTED_VALUE"""),1.0)</f>
        <v>1</v>
      </c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</row>
    <row r="1059" ht="15.75" customHeight="1">
      <c r="A1059" s="11">
        <f>IFERROR(__xludf.DUMMYFUNCTION("""COMPUTED_VALUE"""),44471.0)</f>
        <v>44471</v>
      </c>
      <c r="B1059" s="9">
        <f>IFERROR(__xludf.DUMMYFUNCTION("""COMPUTED_VALUE"""),1003438.0)</f>
        <v>1003438</v>
      </c>
      <c r="C1059" s="9">
        <f>IFERROR(__xludf.DUMMYFUNCTION("""COMPUTED_VALUE"""),46774.0)</f>
        <v>46774</v>
      </c>
      <c r="D1059" s="9"/>
      <c r="E1059" s="10" t="str">
        <f>IFERROR(__xludf.DUMMYFUNCTION("""COMPUTED_VALUE"""),"HAPPEEZ")</f>
        <v>HAPPEEZ</v>
      </c>
      <c r="F1059" s="10">
        <f>IFERROR(__xludf.DUMMYFUNCTION("""COMPUTED_VALUE"""),2.26)</f>
        <v>2.26</v>
      </c>
      <c r="G1059" s="9">
        <f>IFERROR(__xludf.DUMMYFUNCTION("""COMPUTED_VALUE"""),2.26)</f>
        <v>2.26</v>
      </c>
      <c r="H1059" s="9">
        <f>IFERROR(__xludf.DUMMYFUNCTION("""COMPUTED_VALUE"""),1.0)</f>
        <v>1</v>
      </c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</row>
    <row r="1060" ht="15.75" customHeight="1">
      <c r="A1060" s="11">
        <f>IFERROR(__xludf.DUMMYFUNCTION("""COMPUTED_VALUE"""),44471.0)</f>
        <v>44471</v>
      </c>
      <c r="B1060" s="9">
        <f>IFERROR(__xludf.DUMMYFUNCTION("""COMPUTED_VALUE"""),1003438.0)</f>
        <v>1003438</v>
      </c>
      <c r="C1060" s="9">
        <f>IFERROR(__xludf.DUMMYFUNCTION("""COMPUTED_VALUE"""),10524.0)</f>
        <v>10524</v>
      </c>
      <c r="D1060" s="10" t="str">
        <f>IFERROR(__xludf.DUMMYFUNCTION("""COMPUTED_VALUE"""),"Vive le bio")</f>
        <v>Vive le bio</v>
      </c>
      <c r="E1060" s="10" t="str">
        <f>IFERROR(__xludf.DUMMYFUNCTION("""COMPUTED_VALUE"""),"HAPPEEZ")</f>
        <v>HAPPEEZ</v>
      </c>
      <c r="F1060" s="10">
        <f>IFERROR(__xludf.DUMMYFUNCTION("""COMPUTED_VALUE"""),8.06666666666666)</f>
        <v>8.066666667</v>
      </c>
      <c r="G1060" s="9">
        <f>IFERROR(__xludf.DUMMYFUNCTION("""COMPUTED_VALUE"""),7.26)</f>
        <v>7.26</v>
      </c>
      <c r="H1060" s="9">
        <f>IFERROR(__xludf.DUMMYFUNCTION("""COMPUTED_VALUE"""),1.0)</f>
        <v>1</v>
      </c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</row>
    <row r="1061" ht="15.75" customHeight="1">
      <c r="A1061" s="11">
        <f>IFERROR(__xludf.DUMMYFUNCTION("""COMPUTED_VALUE"""),44471.0)</f>
        <v>44471</v>
      </c>
      <c r="B1061" s="9">
        <f>IFERROR(__xludf.DUMMYFUNCTION("""COMPUTED_VALUE"""),1003438.0)</f>
        <v>1003438</v>
      </c>
      <c r="C1061" s="9">
        <f>IFERROR(__xludf.DUMMYFUNCTION("""COMPUTED_VALUE"""),22112.0)</f>
        <v>22112</v>
      </c>
      <c r="D1061" s="9"/>
      <c r="E1061" s="10" t="str">
        <f>IFERROR(__xludf.DUMMYFUNCTION("""COMPUTED_VALUE"""),"HAPPEEZ")</f>
        <v>HAPPEEZ</v>
      </c>
      <c r="F1061" s="10">
        <f>IFERROR(__xludf.DUMMYFUNCTION("""COMPUTED_VALUE"""),6.79)</f>
        <v>6.79</v>
      </c>
      <c r="G1061" s="9">
        <f>IFERROR(__xludf.DUMMYFUNCTION("""COMPUTED_VALUE"""),6.79)</f>
        <v>6.79</v>
      </c>
      <c r="H1061" s="9">
        <f>IFERROR(__xludf.DUMMYFUNCTION("""COMPUTED_VALUE"""),1.0)</f>
        <v>1</v>
      </c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</row>
    <row r="1062" ht="15.75" customHeight="1">
      <c r="A1062" s="11">
        <f>IFERROR(__xludf.DUMMYFUNCTION("""COMPUTED_VALUE"""),44471.0)</f>
        <v>44471</v>
      </c>
      <c r="B1062" s="9">
        <f>IFERROR(__xludf.DUMMYFUNCTION("""COMPUTED_VALUE"""),1003438.0)</f>
        <v>1003438</v>
      </c>
      <c r="C1062" s="9">
        <f>IFERROR(__xludf.DUMMYFUNCTION("""COMPUTED_VALUE"""),48616.0)</f>
        <v>48616</v>
      </c>
      <c r="D1062" s="10" t="str">
        <f>IFERROR(__xludf.DUMMYFUNCTION("""COMPUTED_VALUE"""),"Vive le bio")</f>
        <v>Vive le bio</v>
      </c>
      <c r="E1062" s="10" t="str">
        <f>IFERROR(__xludf.DUMMYFUNCTION("""COMPUTED_VALUE"""),"HAPPEEZ")</f>
        <v>HAPPEEZ</v>
      </c>
      <c r="F1062" s="10">
        <f>IFERROR(__xludf.DUMMYFUNCTION("""COMPUTED_VALUE"""),9.7578947368421)</f>
        <v>9.757894737</v>
      </c>
      <c r="G1062" s="9">
        <f>IFERROR(__xludf.DUMMYFUNCTION("""COMPUTED_VALUE"""),9.27)</f>
        <v>9.27</v>
      </c>
      <c r="H1062" s="9">
        <f>IFERROR(__xludf.DUMMYFUNCTION("""COMPUTED_VALUE"""),1.0)</f>
        <v>1</v>
      </c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</row>
    <row r="1063" ht="15.75" customHeight="1">
      <c r="A1063" s="11">
        <f>IFERROR(__xludf.DUMMYFUNCTION("""COMPUTED_VALUE"""),44471.0)</f>
        <v>44471</v>
      </c>
      <c r="B1063" s="9">
        <f>IFERROR(__xludf.DUMMYFUNCTION("""COMPUTED_VALUE"""),1003438.0)</f>
        <v>1003438</v>
      </c>
      <c r="C1063" s="9">
        <f>IFERROR(__xludf.DUMMYFUNCTION("""COMPUTED_VALUE"""),100238.0)</f>
        <v>100238</v>
      </c>
      <c r="D1063" s="9"/>
      <c r="E1063" s="10" t="str">
        <f>IFERROR(__xludf.DUMMYFUNCTION("""COMPUTED_VALUE"""),"HAPPEEZ")</f>
        <v>HAPPEEZ</v>
      </c>
      <c r="F1063" s="10">
        <f>IFERROR(__xludf.DUMMYFUNCTION("""COMPUTED_VALUE"""),3.79)</f>
        <v>3.79</v>
      </c>
      <c r="G1063" s="9">
        <f>IFERROR(__xludf.DUMMYFUNCTION("""COMPUTED_VALUE"""),3.79)</f>
        <v>3.79</v>
      </c>
      <c r="H1063" s="9">
        <f>IFERROR(__xludf.DUMMYFUNCTION("""COMPUTED_VALUE"""),1.0)</f>
        <v>1</v>
      </c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</row>
    <row r="1064" ht="15.75" customHeight="1">
      <c r="A1064" s="11">
        <f>IFERROR(__xludf.DUMMYFUNCTION("""COMPUTED_VALUE"""),44471.0)</f>
        <v>44471</v>
      </c>
      <c r="B1064" s="9">
        <f>IFERROR(__xludf.DUMMYFUNCTION("""COMPUTED_VALUE"""),1003438.0)</f>
        <v>1003438</v>
      </c>
      <c r="C1064" s="9">
        <f>IFERROR(__xludf.DUMMYFUNCTION("""COMPUTED_VALUE"""),128352.0)</f>
        <v>128352</v>
      </c>
      <c r="D1064" s="9"/>
      <c r="E1064" s="10" t="str">
        <f>IFERROR(__xludf.DUMMYFUNCTION("""COMPUTED_VALUE"""),"HAPPEEZ")</f>
        <v>HAPPEEZ</v>
      </c>
      <c r="F1064" s="10">
        <f>IFERROR(__xludf.DUMMYFUNCTION("""COMPUTED_VALUE"""),4.35)</f>
        <v>4.35</v>
      </c>
      <c r="G1064" s="9">
        <f>IFERROR(__xludf.DUMMYFUNCTION("""COMPUTED_VALUE"""),4.35)</f>
        <v>4.35</v>
      </c>
      <c r="H1064" s="9">
        <f>IFERROR(__xludf.DUMMYFUNCTION("""COMPUTED_VALUE"""),1.0)</f>
        <v>1</v>
      </c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</row>
    <row r="1065" ht="15.75" customHeight="1">
      <c r="A1065" s="11">
        <f>IFERROR(__xludf.DUMMYFUNCTION("""COMPUTED_VALUE"""),44471.0)</f>
        <v>44471</v>
      </c>
      <c r="B1065" s="9">
        <f>IFERROR(__xludf.DUMMYFUNCTION("""COMPUTED_VALUE"""),1003438.0)</f>
        <v>1003438</v>
      </c>
      <c r="C1065" s="9">
        <f>IFERROR(__xludf.DUMMYFUNCTION("""COMPUTED_VALUE"""),77439.0)</f>
        <v>77439</v>
      </c>
      <c r="D1065" s="9"/>
      <c r="E1065" s="10" t="str">
        <f>IFERROR(__xludf.DUMMYFUNCTION("""COMPUTED_VALUE"""),"HAPPEEZ")</f>
        <v>HAPPEEZ</v>
      </c>
      <c r="F1065" s="10">
        <f>IFERROR(__xludf.DUMMYFUNCTION("""COMPUTED_VALUE"""),2.32)</f>
        <v>2.32</v>
      </c>
      <c r="G1065" s="9">
        <f>IFERROR(__xludf.DUMMYFUNCTION("""COMPUTED_VALUE"""),2.32)</f>
        <v>2.32</v>
      </c>
      <c r="H1065" s="9">
        <f>IFERROR(__xludf.DUMMYFUNCTION("""COMPUTED_VALUE"""),1.0)</f>
        <v>1</v>
      </c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</row>
    <row r="1066" ht="15.75" customHeight="1">
      <c r="A1066" s="11">
        <f>IFERROR(__xludf.DUMMYFUNCTION("""COMPUTED_VALUE"""),44471.0)</f>
        <v>44471</v>
      </c>
      <c r="B1066" s="9">
        <f>IFERROR(__xludf.DUMMYFUNCTION("""COMPUTED_VALUE"""),1003438.0)</f>
        <v>1003438</v>
      </c>
      <c r="C1066" s="9">
        <f>IFERROR(__xludf.DUMMYFUNCTION("""COMPUTED_VALUE"""),71404.0)</f>
        <v>71404</v>
      </c>
      <c r="D1066" s="9"/>
      <c r="E1066" s="10" t="str">
        <f>IFERROR(__xludf.DUMMYFUNCTION("""COMPUTED_VALUE"""),"HAPPEEZ")</f>
        <v>HAPPEEZ</v>
      </c>
      <c r="F1066" s="10">
        <f>IFERROR(__xludf.DUMMYFUNCTION("""COMPUTED_VALUE"""),7.64)</f>
        <v>7.64</v>
      </c>
      <c r="G1066" s="9">
        <f>IFERROR(__xludf.DUMMYFUNCTION("""COMPUTED_VALUE"""),7.64)</f>
        <v>7.64</v>
      </c>
      <c r="H1066" s="9">
        <f>IFERROR(__xludf.DUMMYFUNCTION("""COMPUTED_VALUE"""),1.0)</f>
        <v>1</v>
      </c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</row>
    <row r="1067" ht="15.75" customHeight="1">
      <c r="A1067" s="11">
        <f>IFERROR(__xludf.DUMMYFUNCTION("""COMPUTED_VALUE"""),44471.0)</f>
        <v>44471</v>
      </c>
      <c r="B1067" s="9">
        <f>IFERROR(__xludf.DUMMYFUNCTION("""COMPUTED_VALUE"""),1003438.0)</f>
        <v>1003438</v>
      </c>
      <c r="C1067" s="9">
        <f>IFERROR(__xludf.DUMMYFUNCTION("""COMPUTED_VALUE"""),26349.0)</f>
        <v>26349</v>
      </c>
      <c r="D1067" s="9"/>
      <c r="E1067" s="10" t="str">
        <f>IFERROR(__xludf.DUMMYFUNCTION("""COMPUTED_VALUE"""),"HAPPEEZ")</f>
        <v>HAPPEEZ</v>
      </c>
      <c r="F1067" s="10">
        <f>IFERROR(__xludf.DUMMYFUNCTION("""COMPUTED_VALUE"""),1.85)</f>
        <v>1.85</v>
      </c>
      <c r="G1067" s="9">
        <f>IFERROR(__xludf.DUMMYFUNCTION("""COMPUTED_VALUE"""),1.85)</f>
        <v>1.85</v>
      </c>
      <c r="H1067" s="9">
        <f>IFERROR(__xludf.DUMMYFUNCTION("""COMPUTED_VALUE"""),1.0)</f>
        <v>1</v>
      </c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</row>
    <row r="1068" ht="15.75" customHeight="1">
      <c r="A1068" s="11">
        <f>IFERROR(__xludf.DUMMYFUNCTION("""COMPUTED_VALUE"""),44471.0)</f>
        <v>44471</v>
      </c>
      <c r="B1068" s="9">
        <f>IFERROR(__xludf.DUMMYFUNCTION("""COMPUTED_VALUE"""),1003438.0)</f>
        <v>1003438</v>
      </c>
      <c r="C1068" s="9">
        <f>IFERROR(__xludf.DUMMYFUNCTION("""COMPUTED_VALUE"""),48502.0)</f>
        <v>48502</v>
      </c>
      <c r="D1068" s="10" t="str">
        <f>IFERROR(__xludf.DUMMYFUNCTION("""COMPUTED_VALUE"""),"Vive le bio")</f>
        <v>Vive le bio</v>
      </c>
      <c r="E1068" s="10" t="str">
        <f>IFERROR(__xludf.DUMMYFUNCTION("""COMPUTED_VALUE"""),"HAPPEEZ")</f>
        <v>HAPPEEZ</v>
      </c>
      <c r="F1068" s="10">
        <f>IFERROR(__xludf.DUMMYFUNCTION("""COMPUTED_VALUE"""),1.95555555555555)</f>
        <v>1.955555556</v>
      </c>
      <c r="G1068" s="9">
        <f>IFERROR(__xludf.DUMMYFUNCTION("""COMPUTED_VALUE"""),1.76)</f>
        <v>1.76</v>
      </c>
      <c r="H1068" s="9">
        <f>IFERROR(__xludf.DUMMYFUNCTION("""COMPUTED_VALUE"""),1.0)</f>
        <v>1</v>
      </c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</row>
    <row r="1069" ht="15.75" customHeight="1">
      <c r="A1069" s="11">
        <f>IFERROR(__xludf.DUMMYFUNCTION("""COMPUTED_VALUE"""),44471.0)</f>
        <v>44471</v>
      </c>
      <c r="B1069" s="9">
        <f>IFERROR(__xludf.DUMMYFUNCTION("""COMPUTED_VALUE"""),1003438.0)</f>
        <v>1003438</v>
      </c>
      <c r="C1069" s="9">
        <f>IFERROR(__xludf.DUMMYFUNCTION("""COMPUTED_VALUE"""),122728.0)</f>
        <v>122728</v>
      </c>
      <c r="D1069" s="9"/>
      <c r="E1069" s="10" t="str">
        <f>IFERROR(__xludf.DUMMYFUNCTION("""COMPUTED_VALUE"""),"HAPPEEZ")</f>
        <v>HAPPEEZ</v>
      </c>
      <c r="F1069" s="10">
        <f>IFERROR(__xludf.DUMMYFUNCTION("""COMPUTED_VALUE"""),1.79)</f>
        <v>1.79</v>
      </c>
      <c r="G1069" s="9">
        <f>IFERROR(__xludf.DUMMYFUNCTION("""COMPUTED_VALUE"""),1.79)</f>
        <v>1.79</v>
      </c>
      <c r="H1069" s="9">
        <f>IFERROR(__xludf.DUMMYFUNCTION("""COMPUTED_VALUE"""),1.0)</f>
        <v>1</v>
      </c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</row>
    <row r="1070" ht="15.75" customHeight="1">
      <c r="A1070" s="11">
        <f>IFERROR(__xludf.DUMMYFUNCTION("""COMPUTED_VALUE"""),44471.0)</f>
        <v>44471</v>
      </c>
      <c r="B1070" s="9">
        <f>IFERROR(__xludf.DUMMYFUNCTION("""COMPUTED_VALUE"""),1003438.0)</f>
        <v>1003438</v>
      </c>
      <c r="C1070" s="9">
        <f>IFERROR(__xludf.DUMMYFUNCTION("""COMPUTED_VALUE"""),119241.0)</f>
        <v>119241</v>
      </c>
      <c r="D1070" s="9"/>
      <c r="E1070" s="10" t="str">
        <f>IFERROR(__xludf.DUMMYFUNCTION("""COMPUTED_VALUE"""),"HAPPEEZ")</f>
        <v>HAPPEEZ</v>
      </c>
      <c r="F1070" s="10">
        <f>IFERROR(__xludf.DUMMYFUNCTION("""COMPUTED_VALUE"""),5.42)</f>
        <v>5.42</v>
      </c>
      <c r="G1070" s="9">
        <f>IFERROR(__xludf.DUMMYFUNCTION("""COMPUTED_VALUE"""),5.42)</f>
        <v>5.42</v>
      </c>
      <c r="H1070" s="9">
        <f>IFERROR(__xludf.DUMMYFUNCTION("""COMPUTED_VALUE"""),1.0)</f>
        <v>1</v>
      </c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</row>
    <row r="1071" ht="15.75" customHeight="1">
      <c r="A1071" s="11">
        <f>IFERROR(__xludf.DUMMYFUNCTION("""COMPUTED_VALUE"""),44471.0)</f>
        <v>44471</v>
      </c>
      <c r="B1071" s="9">
        <f>IFERROR(__xludf.DUMMYFUNCTION("""COMPUTED_VALUE"""),1003438.0)</f>
        <v>1003438</v>
      </c>
      <c r="C1071" s="9">
        <f>IFERROR(__xludf.DUMMYFUNCTION("""COMPUTED_VALUE"""),109311.0)</f>
        <v>109311</v>
      </c>
      <c r="D1071" s="9"/>
      <c r="E1071" s="10" t="str">
        <f>IFERROR(__xludf.DUMMYFUNCTION("""COMPUTED_VALUE"""),"HAPPEEZ")</f>
        <v>HAPPEEZ</v>
      </c>
      <c r="F1071" s="10">
        <f>IFERROR(__xludf.DUMMYFUNCTION("""COMPUTED_VALUE"""),8.13)</f>
        <v>8.13</v>
      </c>
      <c r="G1071" s="9">
        <f>IFERROR(__xludf.DUMMYFUNCTION("""COMPUTED_VALUE"""),8.13)</f>
        <v>8.13</v>
      </c>
      <c r="H1071" s="9">
        <f>IFERROR(__xludf.DUMMYFUNCTION("""COMPUTED_VALUE"""),1.0)</f>
        <v>1</v>
      </c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</row>
    <row r="1072" ht="15.75" customHeight="1">
      <c r="A1072" s="11">
        <f>IFERROR(__xludf.DUMMYFUNCTION("""COMPUTED_VALUE"""),44471.0)</f>
        <v>44471</v>
      </c>
      <c r="B1072" s="9">
        <f>IFERROR(__xludf.DUMMYFUNCTION("""COMPUTED_VALUE"""),1003438.0)</f>
        <v>1003438</v>
      </c>
      <c r="C1072" s="9">
        <f>IFERROR(__xludf.DUMMYFUNCTION("""COMPUTED_VALUE"""),71398.0)</f>
        <v>71398</v>
      </c>
      <c r="D1072" s="10" t="str">
        <f>IFERROR(__xludf.DUMMYFUNCTION("""COMPUTED_VALUE"""),"Offre speciale")</f>
        <v>Offre speciale</v>
      </c>
      <c r="E1072" s="10" t="str">
        <f>IFERROR(__xludf.DUMMYFUNCTION("""COMPUTED_VALUE"""),"HAPPEEZ")</f>
        <v>HAPPEEZ</v>
      </c>
      <c r="F1072" s="10">
        <f>IFERROR(__xludf.DUMMYFUNCTION("""COMPUTED_VALUE"""),4.70588235294117)</f>
        <v>4.705882353</v>
      </c>
      <c r="G1072" s="9">
        <f>IFERROR(__xludf.DUMMYFUNCTION("""COMPUTED_VALUE"""),4.0)</f>
        <v>4</v>
      </c>
      <c r="H1072" s="9">
        <f>IFERROR(__xludf.DUMMYFUNCTION("""COMPUTED_VALUE"""),1.0)</f>
        <v>1</v>
      </c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</row>
    <row r="1073" ht="15.75" customHeight="1">
      <c r="A1073" s="11">
        <f>IFERROR(__xludf.DUMMYFUNCTION("""COMPUTED_VALUE"""),44471.0)</f>
        <v>44471</v>
      </c>
      <c r="B1073" s="9">
        <f>IFERROR(__xludf.DUMMYFUNCTION("""COMPUTED_VALUE"""),1003438.0)</f>
        <v>1003438</v>
      </c>
      <c r="C1073" s="9">
        <f>IFERROR(__xludf.DUMMYFUNCTION("""COMPUTED_VALUE"""),109308.0)</f>
        <v>109308</v>
      </c>
      <c r="D1073" s="9"/>
      <c r="E1073" s="10" t="str">
        <f>IFERROR(__xludf.DUMMYFUNCTION("""COMPUTED_VALUE"""),"HAPPEEZ")</f>
        <v>HAPPEEZ</v>
      </c>
      <c r="F1073" s="10">
        <f>IFERROR(__xludf.DUMMYFUNCTION("""COMPUTED_VALUE"""),8.17)</f>
        <v>8.17</v>
      </c>
      <c r="G1073" s="9">
        <f>IFERROR(__xludf.DUMMYFUNCTION("""COMPUTED_VALUE"""),8.17)</f>
        <v>8.17</v>
      </c>
      <c r="H1073" s="9">
        <f>IFERROR(__xludf.DUMMYFUNCTION("""COMPUTED_VALUE"""),1.0)</f>
        <v>1</v>
      </c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</row>
    <row r="1074" ht="15.75" customHeight="1">
      <c r="A1074" s="11">
        <f>IFERROR(__xludf.DUMMYFUNCTION("""COMPUTED_VALUE"""),44471.0)</f>
        <v>44471</v>
      </c>
      <c r="B1074" s="9">
        <f>IFERROR(__xludf.DUMMYFUNCTION("""COMPUTED_VALUE"""),1003438.0)</f>
        <v>1003438</v>
      </c>
      <c r="C1074" s="9">
        <f>IFERROR(__xludf.DUMMYFUNCTION("""COMPUTED_VALUE"""),77481.0)</f>
        <v>77481</v>
      </c>
      <c r="D1074" s="9"/>
      <c r="E1074" s="10" t="str">
        <f>IFERROR(__xludf.DUMMYFUNCTION("""COMPUTED_VALUE"""),"HAPPEEZ")</f>
        <v>HAPPEEZ</v>
      </c>
      <c r="F1074" s="10">
        <f>IFERROR(__xludf.DUMMYFUNCTION("""COMPUTED_VALUE"""),3.24)</f>
        <v>3.24</v>
      </c>
      <c r="G1074" s="9">
        <f>IFERROR(__xludf.DUMMYFUNCTION("""COMPUTED_VALUE"""),3.24)</f>
        <v>3.24</v>
      </c>
      <c r="H1074" s="9">
        <f>IFERROR(__xludf.DUMMYFUNCTION("""COMPUTED_VALUE"""),1.0)</f>
        <v>1</v>
      </c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</row>
    <row r="1075" ht="15.75" customHeight="1">
      <c r="A1075" s="11">
        <f>IFERROR(__xludf.DUMMYFUNCTION("""COMPUTED_VALUE"""),44471.0)</f>
        <v>44471</v>
      </c>
      <c r="B1075" s="9">
        <f>IFERROR(__xludf.DUMMYFUNCTION("""COMPUTED_VALUE"""),1003438.0)</f>
        <v>1003438</v>
      </c>
      <c r="C1075" s="9">
        <f>IFERROR(__xludf.DUMMYFUNCTION("""COMPUTED_VALUE"""),119229.0)</f>
        <v>119229</v>
      </c>
      <c r="D1075" s="10" t="str">
        <f>IFERROR(__xludf.DUMMYFUNCTION("""COMPUTED_VALUE"""),"Offre speciale")</f>
        <v>Offre speciale</v>
      </c>
      <c r="E1075" s="10" t="str">
        <f>IFERROR(__xludf.DUMMYFUNCTION("""COMPUTED_VALUE"""),"HAPPEEZ")</f>
        <v>HAPPEEZ</v>
      </c>
      <c r="F1075" s="10">
        <f>IFERROR(__xludf.DUMMYFUNCTION("""COMPUTED_VALUE"""),6.76470588235294)</f>
        <v>6.764705882</v>
      </c>
      <c r="G1075" s="9">
        <f>IFERROR(__xludf.DUMMYFUNCTION("""COMPUTED_VALUE"""),5.75)</f>
        <v>5.75</v>
      </c>
      <c r="H1075" s="9">
        <f>IFERROR(__xludf.DUMMYFUNCTION("""COMPUTED_VALUE"""),2.0)</f>
        <v>2</v>
      </c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</row>
    <row r="1076" ht="15.75" customHeight="1">
      <c r="A1076" s="11">
        <f>IFERROR(__xludf.DUMMYFUNCTION("""COMPUTED_VALUE"""),44471.0)</f>
        <v>44471</v>
      </c>
      <c r="B1076" s="9">
        <f>IFERROR(__xludf.DUMMYFUNCTION("""COMPUTED_VALUE"""),1003438.0)</f>
        <v>1003438</v>
      </c>
      <c r="C1076" s="9">
        <f>IFERROR(__xludf.DUMMYFUNCTION("""COMPUTED_VALUE"""),109309.0)</f>
        <v>109309</v>
      </c>
      <c r="D1076" s="9"/>
      <c r="E1076" s="10" t="str">
        <f>IFERROR(__xludf.DUMMYFUNCTION("""COMPUTED_VALUE"""),"HAPPEEZ")</f>
        <v>HAPPEEZ</v>
      </c>
      <c r="F1076" s="10">
        <f>IFERROR(__xludf.DUMMYFUNCTION("""COMPUTED_VALUE"""),16.53)</f>
        <v>16.53</v>
      </c>
      <c r="G1076" s="9">
        <f>IFERROR(__xludf.DUMMYFUNCTION("""COMPUTED_VALUE"""),16.53)</f>
        <v>16.53</v>
      </c>
      <c r="H1076" s="9">
        <f>IFERROR(__xludf.DUMMYFUNCTION("""COMPUTED_VALUE"""),2.0)</f>
        <v>2</v>
      </c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</row>
    <row r="1077" ht="15.75" customHeight="1">
      <c r="A1077" s="11">
        <f>IFERROR(__xludf.DUMMYFUNCTION("""COMPUTED_VALUE"""),44471.0)</f>
        <v>44471</v>
      </c>
      <c r="B1077" s="9">
        <f>IFERROR(__xludf.DUMMYFUNCTION("""COMPUTED_VALUE"""),1003438.0)</f>
        <v>1003438</v>
      </c>
      <c r="C1077" s="9">
        <f>IFERROR(__xludf.DUMMYFUNCTION("""COMPUTED_VALUE"""),121479.0)</f>
        <v>121479</v>
      </c>
      <c r="D1077" s="10" t="str">
        <f>IFERROR(__xludf.DUMMYFUNCTION("""COMPUTED_VALUE"""),"Vive le bio")</f>
        <v>Vive le bio</v>
      </c>
      <c r="E1077" s="10" t="str">
        <f>IFERROR(__xludf.DUMMYFUNCTION("""COMPUTED_VALUE"""),"HAPPEEZ")</f>
        <v>HAPPEEZ</v>
      </c>
      <c r="F1077" s="10">
        <f>IFERROR(__xludf.DUMMYFUNCTION("""COMPUTED_VALUE"""),3.66666666666666)</f>
        <v>3.666666667</v>
      </c>
      <c r="G1077" s="9">
        <f>IFERROR(__xludf.DUMMYFUNCTION("""COMPUTED_VALUE"""),3.3)</f>
        <v>3.3</v>
      </c>
      <c r="H1077" s="9">
        <f>IFERROR(__xludf.DUMMYFUNCTION("""COMPUTED_VALUE"""),2.0)</f>
        <v>2</v>
      </c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</row>
    <row r="1078" ht="15.75" customHeight="1">
      <c r="A1078" s="11">
        <f>IFERROR(__xludf.DUMMYFUNCTION("""COMPUTED_VALUE"""),44471.0)</f>
        <v>44471</v>
      </c>
      <c r="B1078" s="9">
        <f>IFERROR(__xludf.DUMMYFUNCTION("""COMPUTED_VALUE"""),1003438.0)</f>
        <v>1003438</v>
      </c>
      <c r="C1078" s="9">
        <f>IFERROR(__xludf.DUMMYFUNCTION("""COMPUTED_VALUE"""),78426.0)</f>
        <v>78426</v>
      </c>
      <c r="D1078" s="9"/>
      <c r="E1078" s="10" t="str">
        <f>IFERROR(__xludf.DUMMYFUNCTION("""COMPUTED_VALUE"""),"HAPPEEZ")</f>
        <v>HAPPEEZ</v>
      </c>
      <c r="F1078" s="10">
        <f>IFERROR(__xludf.DUMMYFUNCTION("""COMPUTED_VALUE"""),23.14)</f>
        <v>23.14</v>
      </c>
      <c r="G1078" s="9">
        <f>IFERROR(__xludf.DUMMYFUNCTION("""COMPUTED_VALUE"""),23.14)</f>
        <v>23.14</v>
      </c>
      <c r="H1078" s="9">
        <f>IFERROR(__xludf.DUMMYFUNCTION("""COMPUTED_VALUE"""),3.0)</f>
        <v>3</v>
      </c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</row>
    <row r="1079" ht="15.75" customHeight="1">
      <c r="A1079" s="11">
        <f>IFERROR(__xludf.DUMMYFUNCTION("""COMPUTED_VALUE"""),44471.0)</f>
        <v>44471</v>
      </c>
      <c r="B1079" s="9">
        <f>IFERROR(__xludf.DUMMYFUNCTION("""COMPUTED_VALUE"""),1003438.0)</f>
        <v>1003438</v>
      </c>
      <c r="C1079" s="9">
        <f>IFERROR(__xludf.DUMMYFUNCTION("""COMPUTED_VALUE"""),47508.0)</f>
        <v>47508</v>
      </c>
      <c r="D1079" s="9"/>
      <c r="E1079" s="10" t="str">
        <f>IFERROR(__xludf.DUMMYFUNCTION("""COMPUTED_VALUE"""),"HAPPEEZ")</f>
        <v>HAPPEEZ</v>
      </c>
      <c r="F1079" s="10">
        <f>IFERROR(__xludf.DUMMYFUNCTION("""COMPUTED_VALUE"""),11.9)</f>
        <v>11.9</v>
      </c>
      <c r="G1079" s="9">
        <f>IFERROR(__xludf.DUMMYFUNCTION("""COMPUTED_VALUE"""),11.9)</f>
        <v>11.9</v>
      </c>
      <c r="H1079" s="9">
        <f>IFERROR(__xludf.DUMMYFUNCTION("""COMPUTED_VALUE"""),3.0)</f>
        <v>3</v>
      </c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</row>
    <row r="1080" ht="15.75" customHeight="1">
      <c r="A1080" s="11">
        <f>IFERROR(__xludf.DUMMYFUNCTION("""COMPUTED_VALUE"""),44471.0)</f>
        <v>44471</v>
      </c>
      <c r="B1080" s="9">
        <f>IFERROR(__xludf.DUMMYFUNCTION("""COMPUTED_VALUE"""),1003438.0)</f>
        <v>1003438</v>
      </c>
      <c r="C1080" s="9">
        <f>IFERROR(__xludf.DUMMYFUNCTION("""COMPUTED_VALUE"""),100395.0)</f>
        <v>100395</v>
      </c>
      <c r="D1080" s="10" t="str">
        <f>IFERROR(__xludf.DUMMYFUNCTION("""COMPUTED_VALUE"""),"Vive le bio")</f>
        <v>Vive le bio</v>
      </c>
      <c r="E1080" s="10" t="str">
        <f>IFERROR(__xludf.DUMMYFUNCTION("""COMPUTED_VALUE"""),"HAPPEEZ")</f>
        <v>HAPPEEZ</v>
      </c>
      <c r="F1080" s="10">
        <f>IFERROR(__xludf.DUMMYFUNCTION("""COMPUTED_VALUE"""),9.27777777777777)</f>
        <v>9.277777778</v>
      </c>
      <c r="G1080" s="9">
        <f>IFERROR(__xludf.DUMMYFUNCTION("""COMPUTED_VALUE"""),8.35)</f>
        <v>8.35</v>
      </c>
      <c r="H1080" s="9">
        <f>IFERROR(__xludf.DUMMYFUNCTION("""COMPUTED_VALUE"""),4.0)</f>
        <v>4</v>
      </c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</row>
    <row r="1081" ht="15.75" customHeight="1">
      <c r="A1081" s="11">
        <f>IFERROR(__xludf.DUMMYFUNCTION("""COMPUTED_VALUE"""),44471.0)</f>
        <v>44471</v>
      </c>
      <c r="B1081" s="9">
        <f>IFERROR(__xludf.DUMMYFUNCTION("""COMPUTED_VALUE"""),1003439.0)</f>
        <v>1003439</v>
      </c>
      <c r="C1081" s="9">
        <f>IFERROR(__xludf.DUMMYFUNCTION("""COMPUTED_VALUE"""),112190.0)</f>
        <v>112190</v>
      </c>
      <c r="D1081" s="9"/>
      <c r="E1081" s="9"/>
      <c r="F1081" s="9">
        <f>IFERROR(__xludf.DUMMYFUNCTION("""COMPUTED_VALUE"""),3.82)</f>
        <v>3.82</v>
      </c>
      <c r="G1081" s="9">
        <f>IFERROR(__xludf.DUMMYFUNCTION("""COMPUTED_VALUE"""),3.82)</f>
        <v>3.82</v>
      </c>
      <c r="H1081" s="9">
        <f>IFERROR(__xludf.DUMMYFUNCTION("""COMPUTED_VALUE"""),1.0)</f>
        <v>1</v>
      </c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</row>
    <row r="1082" ht="15.75" customHeight="1">
      <c r="A1082" s="11">
        <f>IFERROR(__xludf.DUMMYFUNCTION("""COMPUTED_VALUE"""),44471.0)</f>
        <v>44471</v>
      </c>
      <c r="B1082" s="9">
        <f>IFERROR(__xludf.DUMMYFUNCTION("""COMPUTED_VALUE"""),1003439.0)</f>
        <v>1003439</v>
      </c>
      <c r="C1082" s="9">
        <f>IFERROR(__xludf.DUMMYFUNCTION("""COMPUTED_VALUE"""),77425.0)</f>
        <v>77425</v>
      </c>
      <c r="D1082" s="9"/>
      <c r="E1082" s="9"/>
      <c r="F1082" s="9">
        <f>IFERROR(__xludf.DUMMYFUNCTION("""COMPUTED_VALUE"""),5.08)</f>
        <v>5.08</v>
      </c>
      <c r="G1082" s="9">
        <f>IFERROR(__xludf.DUMMYFUNCTION("""COMPUTED_VALUE"""),5.08)</f>
        <v>5.08</v>
      </c>
      <c r="H1082" s="9">
        <f>IFERROR(__xludf.DUMMYFUNCTION("""COMPUTED_VALUE"""),2.0)</f>
        <v>2</v>
      </c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</row>
    <row r="1083" ht="15.75" customHeight="1">
      <c r="A1083" s="11">
        <f>IFERROR(__xludf.DUMMYFUNCTION("""COMPUTED_VALUE"""),44471.0)</f>
        <v>44471</v>
      </c>
      <c r="B1083" s="9">
        <f>IFERROR(__xludf.DUMMYFUNCTION("""COMPUTED_VALUE"""),1003439.0)</f>
        <v>1003439</v>
      </c>
      <c r="C1083" s="9">
        <f>IFERROR(__xludf.DUMMYFUNCTION("""COMPUTED_VALUE"""),73630.0)</f>
        <v>73630</v>
      </c>
      <c r="D1083" s="9"/>
      <c r="E1083" s="9"/>
      <c r="F1083" s="9">
        <f>IFERROR(__xludf.DUMMYFUNCTION("""COMPUTED_VALUE"""),11.02)</f>
        <v>11.02</v>
      </c>
      <c r="G1083" s="9">
        <f>IFERROR(__xludf.DUMMYFUNCTION("""COMPUTED_VALUE"""),11.02)</f>
        <v>11.02</v>
      </c>
      <c r="H1083" s="9">
        <f>IFERROR(__xludf.DUMMYFUNCTION("""COMPUTED_VALUE"""),3.0)</f>
        <v>3</v>
      </c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</row>
    <row r="1084" ht="15.75" customHeight="1">
      <c r="A1084" s="11">
        <f>IFERROR(__xludf.DUMMYFUNCTION("""COMPUTED_VALUE"""),44471.0)</f>
        <v>44471</v>
      </c>
      <c r="B1084" s="9">
        <f>IFERROR(__xludf.DUMMYFUNCTION("""COMPUTED_VALUE"""),1003439.0)</f>
        <v>1003439</v>
      </c>
      <c r="C1084" s="9">
        <f>IFERROR(__xludf.DUMMYFUNCTION("""COMPUTED_VALUE"""),76636.0)</f>
        <v>76636</v>
      </c>
      <c r="D1084" s="9"/>
      <c r="E1084" s="9"/>
      <c r="F1084" s="9">
        <f>IFERROR(__xludf.DUMMYFUNCTION("""COMPUTED_VALUE"""),10.77)</f>
        <v>10.77</v>
      </c>
      <c r="G1084" s="9">
        <f>IFERROR(__xludf.DUMMYFUNCTION("""COMPUTED_VALUE"""),10.77)</f>
        <v>10.77</v>
      </c>
      <c r="H1084" s="9">
        <f>IFERROR(__xludf.DUMMYFUNCTION("""COMPUTED_VALUE"""),3.0)</f>
        <v>3</v>
      </c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</row>
    <row r="1085" ht="15.75" customHeight="1">
      <c r="A1085" s="11">
        <f>IFERROR(__xludf.DUMMYFUNCTION("""COMPUTED_VALUE"""),44471.0)</f>
        <v>44471</v>
      </c>
      <c r="B1085" s="9">
        <f>IFERROR(__xludf.DUMMYFUNCTION("""COMPUTED_VALUE"""),1003439.0)</f>
        <v>1003439</v>
      </c>
      <c r="C1085" s="9">
        <f>IFERROR(__xludf.DUMMYFUNCTION("""COMPUTED_VALUE"""),73805.0)</f>
        <v>73805</v>
      </c>
      <c r="D1085" s="10" t="str">
        <f>IFERROR(__xludf.DUMMYFUNCTION("""COMPUTED_VALUE"""),"Vive le bio")</f>
        <v>Vive le bio</v>
      </c>
      <c r="E1085" s="10"/>
      <c r="F1085" s="9">
        <f>IFERROR(__xludf.DUMMYFUNCTION("""COMPUTED_VALUE"""),14.7888888888888)</f>
        <v>14.78888889</v>
      </c>
      <c r="G1085" s="9">
        <f>IFERROR(__xludf.DUMMYFUNCTION("""COMPUTED_VALUE"""),13.31)</f>
        <v>13.31</v>
      </c>
      <c r="H1085" s="9">
        <f>IFERROR(__xludf.DUMMYFUNCTION("""COMPUTED_VALUE"""),3.0)</f>
        <v>3</v>
      </c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</row>
    <row r="1086" ht="15.75" customHeight="1">
      <c r="A1086" s="11">
        <f>IFERROR(__xludf.DUMMYFUNCTION("""COMPUTED_VALUE"""),44471.0)</f>
        <v>44471</v>
      </c>
      <c r="B1086" s="9">
        <f>IFERROR(__xludf.DUMMYFUNCTION("""COMPUTED_VALUE"""),1003439.0)</f>
        <v>1003439</v>
      </c>
      <c r="C1086" s="9">
        <f>IFERROR(__xludf.DUMMYFUNCTION("""COMPUTED_VALUE"""),87851.0)</f>
        <v>87851</v>
      </c>
      <c r="D1086" s="10" t="str">
        <f>IFERROR(__xludf.DUMMYFUNCTION("""COMPUTED_VALUE"""),"Offre speciale")</f>
        <v>Offre speciale</v>
      </c>
      <c r="E1086" s="10"/>
      <c r="F1086" s="9">
        <f>IFERROR(__xludf.DUMMYFUNCTION("""COMPUTED_VALUE"""),9.30588235294117)</f>
        <v>9.305882353</v>
      </c>
      <c r="G1086" s="9">
        <f>IFERROR(__xludf.DUMMYFUNCTION("""COMPUTED_VALUE"""),7.91)</f>
        <v>7.91</v>
      </c>
      <c r="H1086" s="9">
        <f>IFERROR(__xludf.DUMMYFUNCTION("""COMPUTED_VALUE"""),4.0)</f>
        <v>4</v>
      </c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</row>
    <row r="1087" ht="15.75" customHeight="1">
      <c r="A1087" s="11">
        <f>IFERROR(__xludf.DUMMYFUNCTION("""COMPUTED_VALUE"""),44471.0)</f>
        <v>44471</v>
      </c>
      <c r="B1087" s="9">
        <f>IFERROR(__xludf.DUMMYFUNCTION("""COMPUTED_VALUE"""),1003439.0)</f>
        <v>1003439</v>
      </c>
      <c r="C1087" s="9">
        <f>IFERROR(__xludf.DUMMYFUNCTION("""COMPUTED_VALUE"""),77396.0)</f>
        <v>77396</v>
      </c>
      <c r="D1087" s="9"/>
      <c r="E1087" s="9"/>
      <c r="F1087" s="9">
        <f>IFERROR(__xludf.DUMMYFUNCTION("""COMPUTED_VALUE"""),24.43)</f>
        <v>24.43</v>
      </c>
      <c r="G1087" s="9">
        <f>IFERROR(__xludf.DUMMYFUNCTION("""COMPUTED_VALUE"""),24.43)</f>
        <v>24.43</v>
      </c>
      <c r="H1087" s="9">
        <f>IFERROR(__xludf.DUMMYFUNCTION("""COMPUTED_VALUE"""),5.0)</f>
        <v>5</v>
      </c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</row>
    <row r="1088" ht="15.75" customHeight="1">
      <c r="A1088" s="11">
        <f>IFERROR(__xludf.DUMMYFUNCTION("""COMPUTED_VALUE"""),44471.0)</f>
        <v>44471</v>
      </c>
      <c r="B1088" s="9">
        <f>IFERROR(__xludf.DUMMYFUNCTION("""COMPUTED_VALUE"""),1003439.0)</f>
        <v>1003439</v>
      </c>
      <c r="C1088" s="9">
        <f>IFERROR(__xludf.DUMMYFUNCTION("""COMPUTED_VALUE"""),19345.0)</f>
        <v>19345</v>
      </c>
      <c r="D1088" s="9"/>
      <c r="E1088" s="9"/>
      <c r="F1088" s="9">
        <f>IFERROR(__xludf.DUMMYFUNCTION("""COMPUTED_VALUE"""),13.82)</f>
        <v>13.82</v>
      </c>
      <c r="G1088" s="9">
        <f>IFERROR(__xludf.DUMMYFUNCTION("""COMPUTED_VALUE"""),13.82)</f>
        <v>13.82</v>
      </c>
      <c r="H1088" s="9">
        <f>IFERROR(__xludf.DUMMYFUNCTION("""COMPUTED_VALUE"""),6.0)</f>
        <v>6</v>
      </c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</row>
    <row r="1089" ht="15.75" customHeight="1">
      <c r="A1089" s="11">
        <f>IFERROR(__xludf.DUMMYFUNCTION("""COMPUTED_VALUE"""),44471.0)</f>
        <v>44471</v>
      </c>
      <c r="B1089" s="9">
        <f>IFERROR(__xludf.DUMMYFUNCTION("""COMPUTED_VALUE"""),1003439.0)</f>
        <v>1003439</v>
      </c>
      <c r="C1089" s="9">
        <f>IFERROR(__xludf.DUMMYFUNCTION("""COMPUTED_VALUE"""),96003.0)</f>
        <v>96003</v>
      </c>
      <c r="D1089" s="9"/>
      <c r="E1089" s="9"/>
      <c r="F1089" s="9">
        <f>IFERROR(__xludf.DUMMYFUNCTION("""COMPUTED_VALUE"""),20.59)</f>
        <v>20.59</v>
      </c>
      <c r="G1089" s="9">
        <f>IFERROR(__xludf.DUMMYFUNCTION("""COMPUTED_VALUE"""),20.59)</f>
        <v>20.59</v>
      </c>
      <c r="H1089" s="9">
        <f>IFERROR(__xludf.DUMMYFUNCTION("""COMPUTED_VALUE"""),6.0)</f>
        <v>6</v>
      </c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</row>
    <row r="1090" ht="15.75" customHeight="1">
      <c r="A1090" s="11">
        <f>IFERROR(__xludf.DUMMYFUNCTION("""COMPUTED_VALUE"""),44471.0)</f>
        <v>44471</v>
      </c>
      <c r="B1090" s="9">
        <f>IFERROR(__xludf.DUMMYFUNCTION("""COMPUTED_VALUE"""),1003439.0)</f>
        <v>1003439</v>
      </c>
      <c r="C1090" s="9">
        <f>IFERROR(__xludf.DUMMYFUNCTION("""COMPUTED_VALUE"""),68374.0)</f>
        <v>68374</v>
      </c>
      <c r="D1090" s="9"/>
      <c r="E1090" s="9"/>
      <c r="F1090" s="9">
        <f>IFERROR(__xludf.DUMMYFUNCTION("""COMPUTED_VALUE"""),17.3)</f>
        <v>17.3</v>
      </c>
      <c r="G1090" s="9">
        <f>IFERROR(__xludf.DUMMYFUNCTION("""COMPUTED_VALUE"""),17.3)</f>
        <v>17.3</v>
      </c>
      <c r="H1090" s="9">
        <f>IFERROR(__xludf.DUMMYFUNCTION("""COMPUTED_VALUE"""),8.0)</f>
        <v>8</v>
      </c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</row>
    <row r="1091" ht="15.75" customHeight="1">
      <c r="A1091" s="11">
        <f>IFERROR(__xludf.DUMMYFUNCTION("""COMPUTED_VALUE"""),44471.0)</f>
        <v>44471</v>
      </c>
      <c r="B1091" s="9">
        <f>IFERROR(__xludf.DUMMYFUNCTION("""COMPUTED_VALUE"""),1003440.0)</f>
        <v>1003440</v>
      </c>
      <c r="C1091" s="9">
        <f>IFERROR(__xludf.DUMMYFUNCTION("""COMPUTED_VALUE"""),42748.0)</f>
        <v>42748</v>
      </c>
      <c r="D1091" s="9"/>
      <c r="E1091" s="9"/>
      <c r="F1091" s="9">
        <f>IFERROR(__xludf.DUMMYFUNCTION("""COMPUTED_VALUE"""),57.96)</f>
        <v>57.96</v>
      </c>
      <c r="G1091" s="9">
        <f>IFERROR(__xludf.DUMMYFUNCTION("""COMPUTED_VALUE"""),57.96)</f>
        <v>57.96</v>
      </c>
      <c r="H1091" s="9">
        <f>IFERROR(__xludf.DUMMYFUNCTION("""COMPUTED_VALUE"""),6.0)</f>
        <v>6</v>
      </c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</row>
    <row r="1092" ht="15.75" customHeight="1">
      <c r="A1092" s="11">
        <f>IFERROR(__xludf.DUMMYFUNCTION("""COMPUTED_VALUE"""),44471.0)</f>
        <v>44471</v>
      </c>
      <c r="B1092" s="9">
        <f>IFERROR(__xludf.DUMMYFUNCTION("""COMPUTED_VALUE"""),1003441.0)</f>
        <v>1003441</v>
      </c>
      <c r="C1092" s="9">
        <f>IFERROR(__xludf.DUMMYFUNCTION("""COMPUTED_VALUE"""),68512.0)</f>
        <v>68512</v>
      </c>
      <c r="D1092" s="10" t="str">
        <f>IFERROR(__xludf.DUMMYFUNCTION("""COMPUTED_VALUE"""),"Hipp 2021")</f>
        <v>Hipp 2021</v>
      </c>
      <c r="E1092" s="10" t="str">
        <f>IFERROR(__xludf.DUMMYFUNCTION("""COMPUTED_VALUE"""),"PREMIERE")</f>
        <v>PREMIERE</v>
      </c>
      <c r="F1092" s="10">
        <f>IFERROR(__xludf.DUMMYFUNCTION("""COMPUTED_VALUE"""),2.12941176470588)</f>
        <v>2.129411765</v>
      </c>
      <c r="G1092" s="9">
        <f>IFERROR(__xludf.DUMMYFUNCTION("""COMPUTED_VALUE"""),1.81)</f>
        <v>1.81</v>
      </c>
      <c r="H1092" s="9">
        <f>IFERROR(__xludf.DUMMYFUNCTION("""COMPUTED_VALUE"""),1.0)</f>
        <v>1</v>
      </c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</row>
    <row r="1093" ht="15.75" customHeight="1">
      <c r="A1093" s="11">
        <f>IFERROR(__xludf.DUMMYFUNCTION("""COMPUTED_VALUE"""),44471.0)</f>
        <v>44471</v>
      </c>
      <c r="B1093" s="9">
        <f>IFERROR(__xludf.DUMMYFUNCTION("""COMPUTED_VALUE"""),1003441.0)</f>
        <v>1003441</v>
      </c>
      <c r="C1093" s="9">
        <f>IFERROR(__xludf.DUMMYFUNCTION("""COMPUTED_VALUE"""),46936.0)</f>
        <v>46936</v>
      </c>
      <c r="D1093" s="10" t="str">
        <f>IFERROR(__xludf.DUMMYFUNCTION("""COMPUTED_VALUE"""),"dlc courte")</f>
        <v>dlc courte</v>
      </c>
      <c r="E1093" s="10" t="str">
        <f>IFERROR(__xludf.DUMMYFUNCTION("""COMPUTED_VALUE"""),"PREMIERE")</f>
        <v>PREMIERE</v>
      </c>
      <c r="F1093" s="10">
        <f>IFERROR(__xludf.DUMMYFUNCTION("""COMPUTED_VALUE"""),2.88)</f>
        <v>2.88</v>
      </c>
      <c r="G1093" s="9">
        <f>IFERROR(__xludf.DUMMYFUNCTION("""COMPUTED_VALUE"""),1.44)</f>
        <v>1.44</v>
      </c>
      <c r="H1093" s="9">
        <f>IFERROR(__xludf.DUMMYFUNCTION("""COMPUTED_VALUE"""),1.0)</f>
        <v>1</v>
      </c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</row>
    <row r="1094" ht="15.75" customHeight="1">
      <c r="A1094" s="11">
        <f>IFERROR(__xludf.DUMMYFUNCTION("""COMPUTED_VALUE"""),44471.0)</f>
        <v>44471</v>
      </c>
      <c r="B1094" s="9">
        <f>IFERROR(__xludf.DUMMYFUNCTION("""COMPUTED_VALUE"""),1003441.0)</f>
        <v>1003441</v>
      </c>
      <c r="C1094" s="9">
        <f>IFERROR(__xludf.DUMMYFUNCTION("""COMPUTED_VALUE"""),70405.0)</f>
        <v>70405</v>
      </c>
      <c r="D1094" s="9"/>
      <c r="E1094" s="10" t="str">
        <f>IFERROR(__xludf.DUMMYFUNCTION("""COMPUTED_VALUE"""),"PREMIERE")</f>
        <v>PREMIERE</v>
      </c>
      <c r="F1094" s="10">
        <f>IFERROR(__xludf.DUMMYFUNCTION("""COMPUTED_VALUE"""),1.88)</f>
        <v>1.88</v>
      </c>
      <c r="G1094" s="9">
        <f>IFERROR(__xludf.DUMMYFUNCTION("""COMPUTED_VALUE"""),1.88)</f>
        <v>1.88</v>
      </c>
      <c r="H1094" s="9">
        <f>IFERROR(__xludf.DUMMYFUNCTION("""COMPUTED_VALUE"""),1.0)</f>
        <v>1</v>
      </c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</row>
    <row r="1095" ht="15.75" customHeight="1">
      <c r="A1095" s="11">
        <f>IFERROR(__xludf.DUMMYFUNCTION("""COMPUTED_VALUE"""),44471.0)</f>
        <v>44471</v>
      </c>
      <c r="B1095" s="9">
        <f>IFERROR(__xludf.DUMMYFUNCTION("""COMPUTED_VALUE"""),1003441.0)</f>
        <v>1003441</v>
      </c>
      <c r="C1095" s="9">
        <f>IFERROR(__xludf.DUMMYFUNCTION("""COMPUTED_VALUE"""),99037.0)</f>
        <v>99037</v>
      </c>
      <c r="D1095" s="9"/>
      <c r="E1095" s="10" t="str">
        <f>IFERROR(__xludf.DUMMYFUNCTION("""COMPUTED_VALUE"""),"PREMIERE")</f>
        <v>PREMIERE</v>
      </c>
      <c r="F1095" s="10">
        <f>IFERROR(__xludf.DUMMYFUNCTION("""COMPUTED_VALUE"""),2.14)</f>
        <v>2.14</v>
      </c>
      <c r="G1095" s="9">
        <f>IFERROR(__xludf.DUMMYFUNCTION("""COMPUTED_VALUE"""),2.14)</f>
        <v>2.14</v>
      </c>
      <c r="H1095" s="9">
        <f>IFERROR(__xludf.DUMMYFUNCTION("""COMPUTED_VALUE"""),1.0)</f>
        <v>1</v>
      </c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</row>
    <row r="1096" ht="15.75" customHeight="1">
      <c r="A1096" s="11">
        <f>IFERROR(__xludf.DUMMYFUNCTION("""COMPUTED_VALUE"""),44471.0)</f>
        <v>44471</v>
      </c>
      <c r="B1096" s="9">
        <f>IFERROR(__xludf.DUMMYFUNCTION("""COMPUTED_VALUE"""),1003441.0)</f>
        <v>1003441</v>
      </c>
      <c r="C1096" s="9">
        <f>IFERROR(__xludf.DUMMYFUNCTION("""COMPUTED_VALUE"""),20405.0)</f>
        <v>20405</v>
      </c>
      <c r="D1096" s="9"/>
      <c r="E1096" s="10" t="str">
        <f>IFERROR(__xludf.DUMMYFUNCTION("""COMPUTED_VALUE"""),"PREMIERE")</f>
        <v>PREMIERE</v>
      </c>
      <c r="F1096" s="10">
        <f>IFERROR(__xludf.DUMMYFUNCTION("""COMPUTED_VALUE"""),2.39)</f>
        <v>2.39</v>
      </c>
      <c r="G1096" s="9">
        <f>IFERROR(__xludf.DUMMYFUNCTION("""COMPUTED_VALUE"""),2.39)</f>
        <v>2.39</v>
      </c>
      <c r="H1096" s="9">
        <f>IFERROR(__xludf.DUMMYFUNCTION("""COMPUTED_VALUE"""),1.0)</f>
        <v>1</v>
      </c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</row>
    <row r="1097" ht="15.75" customHeight="1">
      <c r="A1097" s="11">
        <f>IFERROR(__xludf.DUMMYFUNCTION("""COMPUTED_VALUE"""),44471.0)</f>
        <v>44471</v>
      </c>
      <c r="B1097" s="9">
        <f>IFERROR(__xludf.DUMMYFUNCTION("""COMPUTED_VALUE"""),1003441.0)</f>
        <v>1003441</v>
      </c>
      <c r="C1097" s="9">
        <f>IFERROR(__xludf.DUMMYFUNCTION("""COMPUTED_VALUE"""),68510.0)</f>
        <v>68510</v>
      </c>
      <c r="D1097" s="10" t="str">
        <f>IFERROR(__xludf.DUMMYFUNCTION("""COMPUTED_VALUE"""),"Vive le bio")</f>
        <v>Vive le bio</v>
      </c>
      <c r="E1097" s="10" t="str">
        <f>IFERROR(__xludf.DUMMYFUNCTION("""COMPUTED_VALUE"""),"PREMIERE")</f>
        <v>PREMIERE</v>
      </c>
      <c r="F1097" s="10">
        <f>IFERROR(__xludf.DUMMYFUNCTION("""COMPUTED_VALUE"""),1.98947368421052)</f>
        <v>1.989473684</v>
      </c>
      <c r="G1097" s="9">
        <f>IFERROR(__xludf.DUMMYFUNCTION("""COMPUTED_VALUE"""),1.89)</f>
        <v>1.89</v>
      </c>
      <c r="H1097" s="9">
        <f>IFERROR(__xludf.DUMMYFUNCTION("""COMPUTED_VALUE"""),1.0)</f>
        <v>1</v>
      </c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</row>
    <row r="1098" ht="15.75" customHeight="1">
      <c r="A1098" s="11">
        <f>IFERROR(__xludf.DUMMYFUNCTION("""COMPUTED_VALUE"""),44471.0)</f>
        <v>44471</v>
      </c>
      <c r="B1098" s="9">
        <f>IFERROR(__xludf.DUMMYFUNCTION("""COMPUTED_VALUE"""),1003441.0)</f>
        <v>1003441</v>
      </c>
      <c r="C1098" s="9">
        <f>IFERROR(__xludf.DUMMYFUNCTION("""COMPUTED_VALUE"""),70574.0)</f>
        <v>70574</v>
      </c>
      <c r="D1098" s="9"/>
      <c r="E1098" s="10" t="str">
        <f>IFERROR(__xludf.DUMMYFUNCTION("""COMPUTED_VALUE"""),"PREMIERE")</f>
        <v>PREMIERE</v>
      </c>
      <c r="F1098" s="10">
        <f>IFERROR(__xludf.DUMMYFUNCTION("""COMPUTED_VALUE"""),2.29)</f>
        <v>2.29</v>
      </c>
      <c r="G1098" s="9">
        <f>IFERROR(__xludf.DUMMYFUNCTION("""COMPUTED_VALUE"""),2.29)</f>
        <v>2.29</v>
      </c>
      <c r="H1098" s="9">
        <f>IFERROR(__xludf.DUMMYFUNCTION("""COMPUTED_VALUE"""),1.0)</f>
        <v>1</v>
      </c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</row>
    <row r="1099" ht="15.75" customHeight="1">
      <c r="A1099" s="11">
        <f>IFERROR(__xludf.DUMMYFUNCTION("""COMPUTED_VALUE"""),44471.0)</f>
        <v>44471</v>
      </c>
      <c r="B1099" s="9">
        <f>IFERROR(__xludf.DUMMYFUNCTION("""COMPUTED_VALUE"""),1003441.0)</f>
        <v>1003441</v>
      </c>
      <c r="C1099" s="9">
        <f>IFERROR(__xludf.DUMMYFUNCTION("""COMPUTED_VALUE"""),139305.0)</f>
        <v>139305</v>
      </c>
      <c r="D1099" s="9"/>
      <c r="E1099" s="10" t="str">
        <f>IFERROR(__xludf.DUMMYFUNCTION("""COMPUTED_VALUE"""),"PREMIERE")</f>
        <v>PREMIERE</v>
      </c>
      <c r="F1099" s="10">
        <f>IFERROR(__xludf.DUMMYFUNCTION("""COMPUTED_VALUE"""),2.29)</f>
        <v>2.29</v>
      </c>
      <c r="G1099" s="9">
        <f>IFERROR(__xludf.DUMMYFUNCTION("""COMPUTED_VALUE"""),2.29)</f>
        <v>2.29</v>
      </c>
      <c r="H1099" s="9">
        <f>IFERROR(__xludf.DUMMYFUNCTION("""COMPUTED_VALUE"""),1.0)</f>
        <v>1</v>
      </c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</row>
    <row r="1100" ht="15.75" customHeight="1">
      <c r="A1100" s="11">
        <f>IFERROR(__xludf.DUMMYFUNCTION("""COMPUTED_VALUE"""),44471.0)</f>
        <v>44471</v>
      </c>
      <c r="B1100" s="9">
        <f>IFERROR(__xludf.DUMMYFUNCTION("""COMPUTED_VALUE"""),1003441.0)</f>
        <v>1003441</v>
      </c>
      <c r="C1100" s="9">
        <f>IFERROR(__xludf.DUMMYFUNCTION("""COMPUTED_VALUE"""),46900.0)</f>
        <v>46900</v>
      </c>
      <c r="D1100" s="10" t="str">
        <f>IFERROR(__xludf.DUMMYFUNCTION("""COMPUTED_VALUE"""),"Vive le bio")</f>
        <v>Vive le bio</v>
      </c>
      <c r="E1100" s="10" t="str">
        <f>IFERROR(__xludf.DUMMYFUNCTION("""COMPUTED_VALUE"""),"PREMIERE")</f>
        <v>PREMIERE</v>
      </c>
      <c r="F1100" s="10">
        <f>IFERROR(__xludf.DUMMYFUNCTION("""COMPUTED_VALUE"""),2.08888888888888)</f>
        <v>2.088888889</v>
      </c>
      <c r="G1100" s="9">
        <f>IFERROR(__xludf.DUMMYFUNCTION("""COMPUTED_VALUE"""),1.88)</f>
        <v>1.88</v>
      </c>
      <c r="H1100" s="9">
        <f>IFERROR(__xludf.DUMMYFUNCTION("""COMPUTED_VALUE"""),1.0)</f>
        <v>1</v>
      </c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</row>
    <row r="1101" ht="15.75" customHeight="1">
      <c r="A1101" s="11">
        <f>IFERROR(__xludf.DUMMYFUNCTION("""COMPUTED_VALUE"""),44471.0)</f>
        <v>44471</v>
      </c>
      <c r="B1101" s="9">
        <f>IFERROR(__xludf.DUMMYFUNCTION("""COMPUTED_VALUE"""),1003441.0)</f>
        <v>1003441</v>
      </c>
      <c r="C1101" s="9">
        <f>IFERROR(__xludf.DUMMYFUNCTION("""COMPUTED_VALUE"""),11068.0)</f>
        <v>11068</v>
      </c>
      <c r="D1101" s="9"/>
      <c r="E1101" s="10" t="str">
        <f>IFERROR(__xludf.DUMMYFUNCTION("""COMPUTED_VALUE"""),"PREMIERE")</f>
        <v>PREMIERE</v>
      </c>
      <c r="F1101" s="10">
        <f>IFERROR(__xludf.DUMMYFUNCTION("""COMPUTED_VALUE"""),2.05)</f>
        <v>2.05</v>
      </c>
      <c r="G1101" s="9">
        <f>IFERROR(__xludf.DUMMYFUNCTION("""COMPUTED_VALUE"""),2.05)</f>
        <v>2.05</v>
      </c>
      <c r="H1101" s="9">
        <f>IFERROR(__xludf.DUMMYFUNCTION("""COMPUTED_VALUE"""),1.0)</f>
        <v>1</v>
      </c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</row>
    <row r="1102" ht="15.75" customHeight="1">
      <c r="A1102" s="11">
        <f>IFERROR(__xludf.DUMMYFUNCTION("""COMPUTED_VALUE"""),44471.0)</f>
        <v>44471</v>
      </c>
      <c r="B1102" s="9">
        <f>IFERROR(__xludf.DUMMYFUNCTION("""COMPUTED_VALUE"""),1003441.0)</f>
        <v>1003441</v>
      </c>
      <c r="C1102" s="9">
        <f>IFERROR(__xludf.DUMMYFUNCTION("""COMPUTED_VALUE"""),70575.0)</f>
        <v>70575</v>
      </c>
      <c r="D1102" s="9"/>
      <c r="E1102" s="10" t="str">
        <f>IFERROR(__xludf.DUMMYFUNCTION("""COMPUTED_VALUE"""),"PREMIERE")</f>
        <v>PREMIERE</v>
      </c>
      <c r="F1102" s="10">
        <f>IFERROR(__xludf.DUMMYFUNCTION("""COMPUTED_VALUE"""),2.18)</f>
        <v>2.18</v>
      </c>
      <c r="G1102" s="9">
        <f>IFERROR(__xludf.DUMMYFUNCTION("""COMPUTED_VALUE"""),2.18)</f>
        <v>2.18</v>
      </c>
      <c r="H1102" s="9">
        <f>IFERROR(__xludf.DUMMYFUNCTION("""COMPUTED_VALUE"""),1.0)</f>
        <v>1</v>
      </c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</row>
    <row r="1103" ht="15.75" customHeight="1">
      <c r="A1103" s="11">
        <f>IFERROR(__xludf.DUMMYFUNCTION("""COMPUTED_VALUE"""),44471.0)</f>
        <v>44471</v>
      </c>
      <c r="B1103" s="9">
        <f>IFERROR(__xludf.DUMMYFUNCTION("""COMPUTED_VALUE"""),1003441.0)</f>
        <v>1003441</v>
      </c>
      <c r="C1103" s="9">
        <f>IFERROR(__xludf.DUMMYFUNCTION("""COMPUTED_VALUE"""),139298.0)</f>
        <v>139298</v>
      </c>
      <c r="D1103" s="9"/>
      <c r="E1103" s="10" t="str">
        <f>IFERROR(__xludf.DUMMYFUNCTION("""COMPUTED_VALUE"""),"PREMIERE")</f>
        <v>PREMIERE</v>
      </c>
      <c r="F1103" s="10">
        <f>IFERROR(__xludf.DUMMYFUNCTION("""COMPUTED_VALUE"""),2.68)</f>
        <v>2.68</v>
      </c>
      <c r="G1103" s="9">
        <f>IFERROR(__xludf.DUMMYFUNCTION("""COMPUTED_VALUE"""),2.68)</f>
        <v>2.68</v>
      </c>
      <c r="H1103" s="9">
        <f>IFERROR(__xludf.DUMMYFUNCTION("""COMPUTED_VALUE"""),1.0)</f>
        <v>1</v>
      </c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</row>
    <row r="1104" ht="15.75" customHeight="1">
      <c r="A1104" s="11">
        <f>IFERROR(__xludf.DUMMYFUNCTION("""COMPUTED_VALUE"""),44471.0)</f>
        <v>44471</v>
      </c>
      <c r="B1104" s="9">
        <f>IFERROR(__xludf.DUMMYFUNCTION("""COMPUTED_VALUE"""),1003441.0)</f>
        <v>1003441</v>
      </c>
      <c r="C1104" s="9">
        <f>IFERROR(__xludf.DUMMYFUNCTION("""COMPUTED_VALUE"""),41981.0)</f>
        <v>41981</v>
      </c>
      <c r="D1104" s="9"/>
      <c r="E1104" s="10" t="str">
        <f>IFERROR(__xludf.DUMMYFUNCTION("""COMPUTED_VALUE"""),"PREMIERE")</f>
        <v>PREMIERE</v>
      </c>
      <c r="F1104" s="10">
        <f>IFERROR(__xludf.DUMMYFUNCTION("""COMPUTED_VALUE"""),2.68)</f>
        <v>2.68</v>
      </c>
      <c r="G1104" s="9">
        <f>IFERROR(__xludf.DUMMYFUNCTION("""COMPUTED_VALUE"""),2.68)</f>
        <v>2.68</v>
      </c>
      <c r="H1104" s="9">
        <f>IFERROR(__xludf.DUMMYFUNCTION("""COMPUTED_VALUE"""),1.0)</f>
        <v>1</v>
      </c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</row>
    <row r="1105" ht="15.75" customHeight="1">
      <c r="A1105" s="11">
        <f>IFERROR(__xludf.DUMMYFUNCTION("""COMPUTED_VALUE"""),44471.0)</f>
        <v>44471</v>
      </c>
      <c r="B1105" s="9">
        <f>IFERROR(__xludf.DUMMYFUNCTION("""COMPUTED_VALUE"""),1003441.0)</f>
        <v>1003441</v>
      </c>
      <c r="C1105" s="9">
        <f>IFERROR(__xludf.DUMMYFUNCTION("""COMPUTED_VALUE"""),20419.0)</f>
        <v>20419</v>
      </c>
      <c r="D1105" s="9"/>
      <c r="E1105" s="10" t="str">
        <f>IFERROR(__xludf.DUMMYFUNCTION("""COMPUTED_VALUE"""),"PREMIERE")</f>
        <v>PREMIERE</v>
      </c>
      <c r="F1105" s="10">
        <f>IFERROR(__xludf.DUMMYFUNCTION("""COMPUTED_VALUE"""),2.19)</f>
        <v>2.19</v>
      </c>
      <c r="G1105" s="9">
        <f>IFERROR(__xludf.DUMMYFUNCTION("""COMPUTED_VALUE"""),2.19)</f>
        <v>2.19</v>
      </c>
      <c r="H1105" s="9">
        <f>IFERROR(__xludf.DUMMYFUNCTION("""COMPUTED_VALUE"""),1.0)</f>
        <v>1</v>
      </c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</row>
    <row r="1106" ht="15.75" customHeight="1">
      <c r="A1106" s="11">
        <f>IFERROR(__xludf.DUMMYFUNCTION("""COMPUTED_VALUE"""),44471.0)</f>
        <v>44471</v>
      </c>
      <c r="B1106" s="9">
        <f>IFERROR(__xludf.DUMMYFUNCTION("""COMPUTED_VALUE"""),1003441.0)</f>
        <v>1003441</v>
      </c>
      <c r="C1106" s="9">
        <f>IFERROR(__xludf.DUMMYFUNCTION("""COMPUTED_VALUE"""),44825.0)</f>
        <v>44825</v>
      </c>
      <c r="D1106" s="9"/>
      <c r="E1106" s="10" t="str">
        <f>IFERROR(__xludf.DUMMYFUNCTION("""COMPUTED_VALUE"""),"PREMIERE")</f>
        <v>PREMIERE</v>
      </c>
      <c r="F1106" s="10">
        <f>IFERROR(__xludf.DUMMYFUNCTION("""COMPUTED_VALUE"""),2.44)</f>
        <v>2.44</v>
      </c>
      <c r="G1106" s="9">
        <f>IFERROR(__xludf.DUMMYFUNCTION("""COMPUTED_VALUE"""),2.44)</f>
        <v>2.44</v>
      </c>
      <c r="H1106" s="9">
        <f>IFERROR(__xludf.DUMMYFUNCTION("""COMPUTED_VALUE"""),1.0)</f>
        <v>1</v>
      </c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</row>
    <row r="1107" ht="15.75" customHeight="1">
      <c r="A1107" s="11">
        <f>IFERROR(__xludf.DUMMYFUNCTION("""COMPUTED_VALUE"""),44471.0)</f>
        <v>44471</v>
      </c>
      <c r="B1107" s="9">
        <f>IFERROR(__xludf.DUMMYFUNCTION("""COMPUTED_VALUE"""),1003441.0)</f>
        <v>1003441</v>
      </c>
      <c r="C1107" s="9">
        <f>IFERROR(__xludf.DUMMYFUNCTION("""COMPUTED_VALUE"""),108982.0)</f>
        <v>108982</v>
      </c>
      <c r="D1107" s="9"/>
      <c r="E1107" s="10" t="str">
        <f>IFERROR(__xludf.DUMMYFUNCTION("""COMPUTED_VALUE"""),"PREMIERE")</f>
        <v>PREMIERE</v>
      </c>
      <c r="F1107" s="10">
        <f>IFERROR(__xludf.DUMMYFUNCTION("""COMPUTED_VALUE"""),2.94)</f>
        <v>2.94</v>
      </c>
      <c r="G1107" s="9">
        <f>IFERROR(__xludf.DUMMYFUNCTION("""COMPUTED_VALUE"""),2.94)</f>
        <v>2.94</v>
      </c>
      <c r="H1107" s="9">
        <f>IFERROR(__xludf.DUMMYFUNCTION("""COMPUTED_VALUE"""),1.0)</f>
        <v>1</v>
      </c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</row>
    <row r="1108" ht="15.75" customHeight="1">
      <c r="A1108" s="11">
        <f>IFERROR(__xludf.DUMMYFUNCTION("""COMPUTED_VALUE"""),44471.0)</f>
        <v>44471</v>
      </c>
      <c r="B1108" s="9">
        <f>IFERROR(__xludf.DUMMYFUNCTION("""COMPUTED_VALUE"""),1003441.0)</f>
        <v>1003441</v>
      </c>
      <c r="C1108" s="9">
        <f>IFERROR(__xludf.DUMMYFUNCTION("""COMPUTED_VALUE"""),110761.0)</f>
        <v>110761</v>
      </c>
      <c r="D1108" s="10" t="str">
        <f>IFERROR(__xludf.DUMMYFUNCTION("""COMPUTED_VALUE"""),"Offre speciale")</f>
        <v>Offre speciale</v>
      </c>
      <c r="E1108" s="10" t="str">
        <f>IFERROR(__xludf.DUMMYFUNCTION("""COMPUTED_VALUE"""),"PREMIERE")</f>
        <v>PREMIERE</v>
      </c>
      <c r="F1108" s="10">
        <f>IFERROR(__xludf.DUMMYFUNCTION("""COMPUTED_VALUE"""),2.48888888888888)</f>
        <v>2.488888889</v>
      </c>
      <c r="G1108" s="9">
        <f>IFERROR(__xludf.DUMMYFUNCTION("""COMPUTED_VALUE"""),2.24)</f>
        <v>2.24</v>
      </c>
      <c r="H1108" s="9">
        <f>IFERROR(__xludf.DUMMYFUNCTION("""COMPUTED_VALUE"""),1.0)</f>
        <v>1</v>
      </c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</row>
    <row r="1109" ht="15.75" customHeight="1">
      <c r="A1109" s="11">
        <f>IFERROR(__xludf.DUMMYFUNCTION("""COMPUTED_VALUE"""),44471.0)</f>
        <v>44471</v>
      </c>
      <c r="B1109" s="9">
        <f>IFERROR(__xludf.DUMMYFUNCTION("""COMPUTED_VALUE"""),1003441.0)</f>
        <v>1003441</v>
      </c>
      <c r="C1109" s="9">
        <f>IFERROR(__xludf.DUMMYFUNCTION("""COMPUTED_VALUE"""),70422.0)</f>
        <v>70422</v>
      </c>
      <c r="D1109" s="9"/>
      <c r="E1109" s="10" t="str">
        <f>IFERROR(__xludf.DUMMYFUNCTION("""COMPUTED_VALUE"""),"PREMIERE")</f>
        <v>PREMIERE</v>
      </c>
      <c r="F1109" s="10">
        <f>IFERROR(__xludf.DUMMYFUNCTION("""COMPUTED_VALUE"""),3.2)</f>
        <v>3.2</v>
      </c>
      <c r="G1109" s="9">
        <f>IFERROR(__xludf.DUMMYFUNCTION("""COMPUTED_VALUE"""),3.2)</f>
        <v>3.2</v>
      </c>
      <c r="H1109" s="9">
        <f>IFERROR(__xludf.DUMMYFUNCTION("""COMPUTED_VALUE"""),1.0)</f>
        <v>1</v>
      </c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</row>
    <row r="1110" ht="15.75" customHeight="1">
      <c r="A1110" s="11">
        <f>IFERROR(__xludf.DUMMYFUNCTION("""COMPUTED_VALUE"""),44471.0)</f>
        <v>44471</v>
      </c>
      <c r="B1110" s="9">
        <f>IFERROR(__xludf.DUMMYFUNCTION("""COMPUTED_VALUE"""),1003441.0)</f>
        <v>1003441</v>
      </c>
      <c r="C1110" s="9">
        <f>IFERROR(__xludf.DUMMYFUNCTION("""COMPUTED_VALUE"""),41986.0)</f>
        <v>41986</v>
      </c>
      <c r="D1110" s="9"/>
      <c r="E1110" s="10" t="str">
        <f>IFERROR(__xludf.DUMMYFUNCTION("""COMPUTED_VALUE"""),"PREMIERE")</f>
        <v>PREMIERE</v>
      </c>
      <c r="F1110" s="10">
        <f>IFERROR(__xludf.DUMMYFUNCTION("""COMPUTED_VALUE"""),3.2)</f>
        <v>3.2</v>
      </c>
      <c r="G1110" s="9">
        <f>IFERROR(__xludf.DUMMYFUNCTION("""COMPUTED_VALUE"""),3.2)</f>
        <v>3.2</v>
      </c>
      <c r="H1110" s="9">
        <f>IFERROR(__xludf.DUMMYFUNCTION("""COMPUTED_VALUE"""),1.0)</f>
        <v>1</v>
      </c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</row>
    <row r="1111" ht="15.75" customHeight="1">
      <c r="A1111" s="11">
        <f>IFERROR(__xludf.DUMMYFUNCTION("""COMPUTED_VALUE"""),44471.0)</f>
        <v>44471</v>
      </c>
      <c r="B1111" s="9">
        <f>IFERROR(__xludf.DUMMYFUNCTION("""COMPUTED_VALUE"""),1003441.0)</f>
        <v>1003441</v>
      </c>
      <c r="C1111" s="9">
        <f>IFERROR(__xludf.DUMMYFUNCTION("""COMPUTED_VALUE"""),4340.0)</f>
        <v>4340</v>
      </c>
      <c r="D1111" s="9"/>
      <c r="E1111" s="10" t="str">
        <f>IFERROR(__xludf.DUMMYFUNCTION("""COMPUTED_VALUE"""),"PREMIERE")</f>
        <v>PREMIERE</v>
      </c>
      <c r="F1111" s="10">
        <f>IFERROR(__xludf.DUMMYFUNCTION("""COMPUTED_VALUE"""),3.33)</f>
        <v>3.33</v>
      </c>
      <c r="G1111" s="9">
        <f>IFERROR(__xludf.DUMMYFUNCTION("""COMPUTED_VALUE"""),3.33)</f>
        <v>3.33</v>
      </c>
      <c r="H1111" s="9">
        <f>IFERROR(__xludf.DUMMYFUNCTION("""COMPUTED_VALUE"""),1.0)</f>
        <v>1</v>
      </c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</row>
    <row r="1112" ht="15.75" customHeight="1">
      <c r="A1112" s="11">
        <f>IFERROR(__xludf.DUMMYFUNCTION("""COMPUTED_VALUE"""),44471.0)</f>
        <v>44471</v>
      </c>
      <c r="B1112" s="9">
        <f>IFERROR(__xludf.DUMMYFUNCTION("""COMPUTED_VALUE"""),1003441.0)</f>
        <v>1003441</v>
      </c>
      <c r="C1112" s="9">
        <f>IFERROR(__xludf.DUMMYFUNCTION("""COMPUTED_VALUE"""),99248.0)</f>
        <v>99248</v>
      </c>
      <c r="D1112" s="9"/>
      <c r="E1112" s="10" t="str">
        <f>IFERROR(__xludf.DUMMYFUNCTION("""COMPUTED_VALUE"""),"PREMIERE")</f>
        <v>PREMIERE</v>
      </c>
      <c r="F1112" s="10">
        <f>IFERROR(__xludf.DUMMYFUNCTION("""COMPUTED_VALUE"""),3.58)</f>
        <v>3.58</v>
      </c>
      <c r="G1112" s="9">
        <f>IFERROR(__xludf.DUMMYFUNCTION("""COMPUTED_VALUE"""),3.58)</f>
        <v>3.58</v>
      </c>
      <c r="H1112" s="9">
        <f>IFERROR(__xludf.DUMMYFUNCTION("""COMPUTED_VALUE"""),1.0)</f>
        <v>1</v>
      </c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</row>
    <row r="1113" ht="15.75" customHeight="1">
      <c r="A1113" s="11">
        <f>IFERROR(__xludf.DUMMYFUNCTION("""COMPUTED_VALUE"""),44471.0)</f>
        <v>44471</v>
      </c>
      <c r="B1113" s="9">
        <f>IFERROR(__xludf.DUMMYFUNCTION("""COMPUTED_VALUE"""),1003441.0)</f>
        <v>1003441</v>
      </c>
      <c r="C1113" s="9">
        <f>IFERROR(__xludf.DUMMYFUNCTION("""COMPUTED_VALUE"""),79430.0)</f>
        <v>79430</v>
      </c>
      <c r="D1113" s="9"/>
      <c r="E1113" s="10" t="str">
        <f>IFERROR(__xludf.DUMMYFUNCTION("""COMPUTED_VALUE"""),"PREMIERE")</f>
        <v>PREMIERE</v>
      </c>
      <c r="F1113" s="10">
        <f>IFERROR(__xludf.DUMMYFUNCTION("""COMPUTED_VALUE"""),2.21)</f>
        <v>2.21</v>
      </c>
      <c r="G1113" s="9">
        <f>IFERROR(__xludf.DUMMYFUNCTION("""COMPUTED_VALUE"""),2.21)</f>
        <v>2.21</v>
      </c>
      <c r="H1113" s="9">
        <f>IFERROR(__xludf.DUMMYFUNCTION("""COMPUTED_VALUE"""),1.0)</f>
        <v>1</v>
      </c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</row>
    <row r="1114" ht="15.75" customHeight="1">
      <c r="A1114" s="11">
        <f>IFERROR(__xludf.DUMMYFUNCTION("""COMPUTED_VALUE"""),44471.0)</f>
        <v>44471</v>
      </c>
      <c r="B1114" s="9">
        <f>IFERROR(__xludf.DUMMYFUNCTION("""COMPUTED_VALUE"""),1003441.0)</f>
        <v>1003441</v>
      </c>
      <c r="C1114" s="9">
        <f>IFERROR(__xludf.DUMMYFUNCTION("""COMPUTED_VALUE"""),4339.0)</f>
        <v>4339</v>
      </c>
      <c r="D1114" s="9"/>
      <c r="E1114" s="10" t="str">
        <f>IFERROR(__xludf.DUMMYFUNCTION("""COMPUTED_VALUE"""),"PREMIERE")</f>
        <v>PREMIERE</v>
      </c>
      <c r="F1114" s="10">
        <f>IFERROR(__xludf.DUMMYFUNCTION("""COMPUTED_VALUE"""),4.18)</f>
        <v>4.18</v>
      </c>
      <c r="G1114" s="9">
        <f>IFERROR(__xludf.DUMMYFUNCTION("""COMPUTED_VALUE"""),4.18)</f>
        <v>4.18</v>
      </c>
      <c r="H1114" s="9">
        <f>IFERROR(__xludf.DUMMYFUNCTION("""COMPUTED_VALUE"""),1.0)</f>
        <v>1</v>
      </c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</row>
    <row r="1115" ht="15.75" customHeight="1">
      <c r="A1115" s="11">
        <f>IFERROR(__xludf.DUMMYFUNCTION("""COMPUTED_VALUE"""),44471.0)</f>
        <v>44471</v>
      </c>
      <c r="B1115" s="9">
        <f>IFERROR(__xludf.DUMMYFUNCTION("""COMPUTED_VALUE"""),1003441.0)</f>
        <v>1003441</v>
      </c>
      <c r="C1115" s="9">
        <f>IFERROR(__xludf.DUMMYFUNCTION("""COMPUTED_VALUE"""),112114.0)</f>
        <v>112114</v>
      </c>
      <c r="D1115" s="9"/>
      <c r="E1115" s="10" t="str">
        <f>IFERROR(__xludf.DUMMYFUNCTION("""COMPUTED_VALUE"""),"PREMIERE")</f>
        <v>PREMIERE</v>
      </c>
      <c r="F1115" s="10">
        <f>IFERROR(__xludf.DUMMYFUNCTION("""COMPUTED_VALUE"""),2.22)</f>
        <v>2.22</v>
      </c>
      <c r="G1115" s="9">
        <f>IFERROR(__xludf.DUMMYFUNCTION("""COMPUTED_VALUE"""),2.22)</f>
        <v>2.22</v>
      </c>
      <c r="H1115" s="9">
        <f>IFERROR(__xludf.DUMMYFUNCTION("""COMPUTED_VALUE"""),1.0)</f>
        <v>1</v>
      </c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</row>
    <row r="1116" ht="15.75" customHeight="1">
      <c r="A1116" s="11">
        <f>IFERROR(__xludf.DUMMYFUNCTION("""COMPUTED_VALUE"""),44471.0)</f>
        <v>44471</v>
      </c>
      <c r="B1116" s="9">
        <f>IFERROR(__xludf.DUMMYFUNCTION("""COMPUTED_VALUE"""),1003441.0)</f>
        <v>1003441</v>
      </c>
      <c r="C1116" s="9">
        <f>IFERROR(__xludf.DUMMYFUNCTION("""COMPUTED_VALUE"""),70426.0)</f>
        <v>70426</v>
      </c>
      <c r="D1116" s="9"/>
      <c r="E1116" s="10" t="str">
        <f>IFERROR(__xludf.DUMMYFUNCTION("""COMPUTED_VALUE"""),"PREMIERE")</f>
        <v>PREMIERE</v>
      </c>
      <c r="F1116" s="10">
        <f>IFERROR(__xludf.DUMMYFUNCTION("""COMPUTED_VALUE"""),2.47)</f>
        <v>2.47</v>
      </c>
      <c r="G1116" s="9">
        <f>IFERROR(__xludf.DUMMYFUNCTION("""COMPUTED_VALUE"""),2.47)</f>
        <v>2.47</v>
      </c>
      <c r="H1116" s="9">
        <f>IFERROR(__xludf.DUMMYFUNCTION("""COMPUTED_VALUE"""),1.0)</f>
        <v>1</v>
      </c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</row>
    <row r="1117" ht="15.75" customHeight="1">
      <c r="A1117" s="11">
        <f>IFERROR(__xludf.DUMMYFUNCTION("""COMPUTED_VALUE"""),44471.0)</f>
        <v>44471</v>
      </c>
      <c r="B1117" s="9">
        <f>IFERROR(__xludf.DUMMYFUNCTION("""COMPUTED_VALUE"""),1003441.0)</f>
        <v>1003441</v>
      </c>
      <c r="C1117" s="9">
        <f>IFERROR(__xludf.DUMMYFUNCTION("""COMPUTED_VALUE"""),70428.0)</f>
        <v>70428</v>
      </c>
      <c r="D1117" s="9"/>
      <c r="E1117" s="10" t="str">
        <f>IFERROR(__xludf.DUMMYFUNCTION("""COMPUTED_VALUE"""),"PREMIERE")</f>
        <v>PREMIERE</v>
      </c>
      <c r="F1117" s="10">
        <f>IFERROR(__xludf.DUMMYFUNCTION("""COMPUTED_VALUE"""),2.47)</f>
        <v>2.47</v>
      </c>
      <c r="G1117" s="9">
        <f>IFERROR(__xludf.DUMMYFUNCTION("""COMPUTED_VALUE"""),2.47)</f>
        <v>2.47</v>
      </c>
      <c r="H1117" s="9">
        <f>IFERROR(__xludf.DUMMYFUNCTION("""COMPUTED_VALUE"""),1.0)</f>
        <v>1</v>
      </c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</row>
    <row r="1118" ht="15.75" customHeight="1">
      <c r="A1118" s="11">
        <f>IFERROR(__xludf.DUMMYFUNCTION("""COMPUTED_VALUE"""),44471.0)</f>
        <v>44471</v>
      </c>
      <c r="B1118" s="9">
        <f>IFERROR(__xludf.DUMMYFUNCTION("""COMPUTED_VALUE"""),1003441.0)</f>
        <v>1003441</v>
      </c>
      <c r="C1118" s="9">
        <f>IFERROR(__xludf.DUMMYFUNCTION("""COMPUTED_VALUE"""),82408.0)</f>
        <v>82408</v>
      </c>
      <c r="D1118" s="10" t="str">
        <f>IFERROR(__xludf.DUMMYFUNCTION("""COMPUTED_VALUE"""),"dlc courte")</f>
        <v>dlc courte</v>
      </c>
      <c r="E1118" s="10" t="str">
        <f>IFERROR(__xludf.DUMMYFUNCTION("""COMPUTED_VALUE"""),"PREMIERE")</f>
        <v>PREMIERE</v>
      </c>
      <c r="F1118" s="10">
        <f>IFERROR(__xludf.DUMMYFUNCTION("""COMPUTED_VALUE"""),4.46)</f>
        <v>4.46</v>
      </c>
      <c r="G1118" s="9">
        <f>IFERROR(__xludf.DUMMYFUNCTION("""COMPUTED_VALUE"""),2.23)</f>
        <v>2.23</v>
      </c>
      <c r="H1118" s="9">
        <f>IFERROR(__xludf.DUMMYFUNCTION("""COMPUTED_VALUE"""),1.0)</f>
        <v>1</v>
      </c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</row>
    <row r="1119" ht="15.75" customHeight="1">
      <c r="A1119" s="11">
        <f>IFERROR(__xludf.DUMMYFUNCTION("""COMPUTED_VALUE"""),44471.0)</f>
        <v>44471</v>
      </c>
      <c r="B1119" s="9">
        <f>IFERROR(__xludf.DUMMYFUNCTION("""COMPUTED_VALUE"""),1003441.0)</f>
        <v>1003441</v>
      </c>
      <c r="C1119" s="9">
        <f>IFERROR(__xludf.DUMMYFUNCTION("""COMPUTED_VALUE"""),117649.0)</f>
        <v>117649</v>
      </c>
      <c r="D1119" s="10" t="str">
        <f>IFERROR(__xludf.DUMMYFUNCTION("""COMPUTED_VALUE"""),"Hipp 2021")</f>
        <v>Hipp 2021</v>
      </c>
      <c r="E1119" s="10" t="str">
        <f>IFERROR(__xludf.DUMMYFUNCTION("""COMPUTED_VALUE"""),"PREMIERE")</f>
        <v>PREMIERE</v>
      </c>
      <c r="F1119" s="10">
        <f>IFERROR(__xludf.DUMMYFUNCTION("""COMPUTED_VALUE"""),3.48235294117647)</f>
        <v>3.482352941</v>
      </c>
      <c r="G1119" s="9">
        <f>IFERROR(__xludf.DUMMYFUNCTION("""COMPUTED_VALUE"""),2.96)</f>
        <v>2.96</v>
      </c>
      <c r="H1119" s="9">
        <f>IFERROR(__xludf.DUMMYFUNCTION("""COMPUTED_VALUE"""),1.0)</f>
        <v>1</v>
      </c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</row>
    <row r="1120" ht="15.75" customHeight="1">
      <c r="A1120" s="11">
        <f>IFERROR(__xludf.DUMMYFUNCTION("""COMPUTED_VALUE"""),44471.0)</f>
        <v>44471</v>
      </c>
      <c r="B1120" s="9">
        <f>IFERROR(__xludf.DUMMYFUNCTION("""COMPUTED_VALUE"""),1003441.0)</f>
        <v>1003441</v>
      </c>
      <c r="C1120" s="9">
        <f>IFERROR(__xludf.DUMMYFUNCTION("""COMPUTED_VALUE"""),11071.0)</f>
        <v>11071</v>
      </c>
      <c r="D1120" s="10" t="str">
        <f>IFERROR(__xludf.DUMMYFUNCTION("""COMPUTED_VALUE"""),"Hipp 2021")</f>
        <v>Hipp 2021</v>
      </c>
      <c r="E1120" s="10" t="str">
        <f>IFERROR(__xludf.DUMMYFUNCTION("""COMPUTED_VALUE"""),"PREMIERE")</f>
        <v>PREMIERE</v>
      </c>
      <c r="F1120" s="10">
        <f>IFERROR(__xludf.DUMMYFUNCTION("""COMPUTED_VALUE"""),2.61176470588235)</f>
        <v>2.611764706</v>
      </c>
      <c r="G1120" s="9">
        <f>IFERROR(__xludf.DUMMYFUNCTION("""COMPUTED_VALUE"""),2.22)</f>
        <v>2.22</v>
      </c>
      <c r="H1120" s="9">
        <f>IFERROR(__xludf.DUMMYFUNCTION("""COMPUTED_VALUE"""),1.0)</f>
        <v>1</v>
      </c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</row>
    <row r="1121" ht="15.75" customHeight="1">
      <c r="A1121" s="11">
        <f>IFERROR(__xludf.DUMMYFUNCTION("""COMPUTED_VALUE"""),44471.0)</f>
        <v>44471</v>
      </c>
      <c r="B1121" s="9">
        <f>IFERROR(__xludf.DUMMYFUNCTION("""COMPUTED_VALUE"""),1003442.0)</f>
        <v>1003442</v>
      </c>
      <c r="C1121" s="9">
        <f>IFERROR(__xludf.DUMMYFUNCTION("""COMPUTED_VALUE"""),14399.0)</f>
        <v>14399</v>
      </c>
      <c r="D1121" s="9"/>
      <c r="E1121" s="9"/>
      <c r="F1121" s="9">
        <f>IFERROR(__xludf.DUMMYFUNCTION("""COMPUTED_VALUE"""),2.39)</f>
        <v>2.39</v>
      </c>
      <c r="G1121" s="9">
        <f>IFERROR(__xludf.DUMMYFUNCTION("""COMPUTED_VALUE"""),2.39)</f>
        <v>2.39</v>
      </c>
      <c r="H1121" s="9">
        <f>IFERROR(__xludf.DUMMYFUNCTION("""COMPUTED_VALUE"""),1.0)</f>
        <v>1</v>
      </c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</row>
    <row r="1122" ht="15.75" customHeight="1">
      <c r="A1122" s="11">
        <f>IFERROR(__xludf.DUMMYFUNCTION("""COMPUTED_VALUE"""),44471.0)</f>
        <v>44471</v>
      </c>
      <c r="B1122" s="9">
        <f>IFERROR(__xludf.DUMMYFUNCTION("""COMPUTED_VALUE"""),1003442.0)</f>
        <v>1003442</v>
      </c>
      <c r="C1122" s="9">
        <f>IFERROR(__xludf.DUMMYFUNCTION("""COMPUTED_VALUE"""),79263.0)</f>
        <v>79263</v>
      </c>
      <c r="D1122" s="9"/>
      <c r="E1122" s="9"/>
      <c r="F1122" s="9">
        <f>IFERROR(__xludf.DUMMYFUNCTION("""COMPUTED_VALUE"""),3.39)</f>
        <v>3.39</v>
      </c>
      <c r="G1122" s="9">
        <f>IFERROR(__xludf.DUMMYFUNCTION("""COMPUTED_VALUE"""),3.39)</f>
        <v>3.39</v>
      </c>
      <c r="H1122" s="9">
        <f>IFERROR(__xludf.DUMMYFUNCTION("""COMPUTED_VALUE"""),1.0)</f>
        <v>1</v>
      </c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</row>
    <row r="1123" ht="15.75" customHeight="1">
      <c r="A1123" s="11">
        <f>IFERROR(__xludf.DUMMYFUNCTION("""COMPUTED_VALUE"""),44471.0)</f>
        <v>44471</v>
      </c>
      <c r="B1123" s="9">
        <f>IFERROR(__xludf.DUMMYFUNCTION("""COMPUTED_VALUE"""),1003442.0)</f>
        <v>1003442</v>
      </c>
      <c r="C1123" s="9">
        <f>IFERROR(__xludf.DUMMYFUNCTION("""COMPUTED_VALUE"""),68510.0)</f>
        <v>68510</v>
      </c>
      <c r="D1123" s="10" t="str">
        <f>IFERROR(__xludf.DUMMYFUNCTION("""COMPUTED_VALUE"""),"Vive le bio")</f>
        <v>Vive le bio</v>
      </c>
      <c r="E1123" s="10"/>
      <c r="F1123" s="9">
        <f>IFERROR(__xludf.DUMMYFUNCTION("""COMPUTED_VALUE"""),1.98947368421052)</f>
        <v>1.989473684</v>
      </c>
      <c r="G1123" s="9">
        <f>IFERROR(__xludf.DUMMYFUNCTION("""COMPUTED_VALUE"""),1.89)</f>
        <v>1.89</v>
      </c>
      <c r="H1123" s="9">
        <f>IFERROR(__xludf.DUMMYFUNCTION("""COMPUTED_VALUE"""),1.0)</f>
        <v>1</v>
      </c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</row>
    <row r="1124" ht="15.75" customHeight="1">
      <c r="A1124" s="11">
        <f>IFERROR(__xludf.DUMMYFUNCTION("""COMPUTED_VALUE"""),44471.0)</f>
        <v>44471</v>
      </c>
      <c r="B1124" s="9">
        <f>IFERROR(__xludf.DUMMYFUNCTION("""COMPUTED_VALUE"""),1003442.0)</f>
        <v>1003442</v>
      </c>
      <c r="C1124" s="9">
        <f>IFERROR(__xludf.DUMMYFUNCTION("""COMPUTED_VALUE"""),70574.0)</f>
        <v>70574</v>
      </c>
      <c r="D1124" s="9"/>
      <c r="E1124" s="9"/>
      <c r="F1124" s="9">
        <f>IFERROR(__xludf.DUMMYFUNCTION("""COMPUTED_VALUE"""),2.29)</f>
        <v>2.29</v>
      </c>
      <c r="G1124" s="9">
        <f>IFERROR(__xludf.DUMMYFUNCTION("""COMPUTED_VALUE"""),2.29)</f>
        <v>2.29</v>
      </c>
      <c r="H1124" s="9">
        <f>IFERROR(__xludf.DUMMYFUNCTION("""COMPUTED_VALUE"""),1.0)</f>
        <v>1</v>
      </c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</row>
    <row r="1125" ht="15.75" customHeight="1">
      <c r="A1125" s="11">
        <f>IFERROR(__xludf.DUMMYFUNCTION("""COMPUTED_VALUE"""),44471.0)</f>
        <v>44471</v>
      </c>
      <c r="B1125" s="9">
        <f>IFERROR(__xludf.DUMMYFUNCTION("""COMPUTED_VALUE"""),1003442.0)</f>
        <v>1003442</v>
      </c>
      <c r="C1125" s="9">
        <f>IFERROR(__xludf.DUMMYFUNCTION("""COMPUTED_VALUE"""),14393.0)</f>
        <v>14393</v>
      </c>
      <c r="D1125" s="9"/>
      <c r="E1125" s="9"/>
      <c r="F1125" s="9">
        <f>IFERROR(__xludf.DUMMYFUNCTION("""COMPUTED_VALUE"""),2.22)</f>
        <v>2.22</v>
      </c>
      <c r="G1125" s="9">
        <f>IFERROR(__xludf.DUMMYFUNCTION("""COMPUTED_VALUE"""),2.22)</f>
        <v>2.22</v>
      </c>
      <c r="H1125" s="9">
        <f>IFERROR(__xludf.DUMMYFUNCTION("""COMPUTED_VALUE"""),1.0)</f>
        <v>1</v>
      </c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</row>
    <row r="1126" ht="15.75" customHeight="1">
      <c r="A1126" s="11">
        <f>IFERROR(__xludf.DUMMYFUNCTION("""COMPUTED_VALUE"""),44471.0)</f>
        <v>44471</v>
      </c>
      <c r="B1126" s="9">
        <f>IFERROR(__xludf.DUMMYFUNCTION("""COMPUTED_VALUE"""),1003442.0)</f>
        <v>1003442</v>
      </c>
      <c r="C1126" s="9">
        <f>IFERROR(__xludf.DUMMYFUNCTION("""COMPUTED_VALUE"""),117665.0)</f>
        <v>117665</v>
      </c>
      <c r="D1126" s="9"/>
      <c r="E1126" s="9"/>
      <c r="F1126" s="9">
        <f>IFERROR(__xludf.DUMMYFUNCTION("""COMPUTED_VALUE"""),36.67)</f>
        <v>36.67</v>
      </c>
      <c r="G1126" s="9">
        <f>IFERROR(__xludf.DUMMYFUNCTION("""COMPUTED_VALUE"""),36.67)</f>
        <v>36.67</v>
      </c>
      <c r="H1126" s="9">
        <f>IFERROR(__xludf.DUMMYFUNCTION("""COMPUTED_VALUE"""),4.0)</f>
        <v>4</v>
      </c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</row>
    <row r="1127" ht="15.75" customHeight="1">
      <c r="A1127" s="11">
        <f>IFERROR(__xludf.DUMMYFUNCTION("""COMPUTED_VALUE"""),44471.0)</f>
        <v>44471</v>
      </c>
      <c r="B1127" s="9">
        <f>IFERROR(__xludf.DUMMYFUNCTION("""COMPUTED_VALUE"""),1003443.0)</f>
        <v>1003443</v>
      </c>
      <c r="C1127" s="9">
        <f>IFERROR(__xludf.DUMMYFUNCTION("""COMPUTED_VALUE"""),9547.0)</f>
        <v>9547</v>
      </c>
      <c r="D1127" s="9"/>
      <c r="E1127" s="10" t="str">
        <f>IFERROR(__xludf.DUMMYFUNCTION("""COMPUTED_VALUE"""),"GREENRELAIS")</f>
        <v>GREENRELAIS</v>
      </c>
      <c r="F1127" s="10">
        <f>IFERROR(__xludf.DUMMYFUNCTION("""COMPUTED_VALUE"""),2.57)</f>
        <v>2.57</v>
      </c>
      <c r="G1127" s="9">
        <f>IFERROR(__xludf.DUMMYFUNCTION("""COMPUTED_VALUE"""),2.57)</f>
        <v>2.57</v>
      </c>
      <c r="H1127" s="9">
        <f>IFERROR(__xludf.DUMMYFUNCTION("""COMPUTED_VALUE"""),1.0)</f>
        <v>1</v>
      </c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</row>
    <row r="1128" ht="15.75" customHeight="1">
      <c r="A1128" s="11">
        <f>IFERROR(__xludf.DUMMYFUNCTION("""COMPUTED_VALUE"""),44471.0)</f>
        <v>44471</v>
      </c>
      <c r="B1128" s="9">
        <f>IFERROR(__xludf.DUMMYFUNCTION("""COMPUTED_VALUE"""),1003443.0)</f>
        <v>1003443</v>
      </c>
      <c r="C1128" s="9">
        <f>IFERROR(__xludf.DUMMYFUNCTION("""COMPUTED_VALUE"""),105329.0)</f>
        <v>105329</v>
      </c>
      <c r="D1128" s="9"/>
      <c r="E1128" s="10" t="str">
        <f>IFERROR(__xludf.DUMMYFUNCTION("""COMPUTED_VALUE"""),"GREENRELAIS")</f>
        <v>GREENRELAIS</v>
      </c>
      <c r="F1128" s="10">
        <f>IFERROR(__xludf.DUMMYFUNCTION("""COMPUTED_VALUE"""),1.12)</f>
        <v>1.12</v>
      </c>
      <c r="G1128" s="9">
        <f>IFERROR(__xludf.DUMMYFUNCTION("""COMPUTED_VALUE"""),1.12)</f>
        <v>1.12</v>
      </c>
      <c r="H1128" s="9">
        <f>IFERROR(__xludf.DUMMYFUNCTION("""COMPUTED_VALUE"""),1.0)</f>
        <v>1</v>
      </c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</row>
    <row r="1129" ht="15.75" customHeight="1">
      <c r="A1129" s="11">
        <f>IFERROR(__xludf.DUMMYFUNCTION("""COMPUTED_VALUE"""),44471.0)</f>
        <v>44471</v>
      </c>
      <c r="B1129" s="9">
        <f>IFERROR(__xludf.DUMMYFUNCTION("""COMPUTED_VALUE"""),1003443.0)</f>
        <v>1003443</v>
      </c>
      <c r="C1129" s="9">
        <f>IFERROR(__xludf.DUMMYFUNCTION("""COMPUTED_VALUE"""),5521.0)</f>
        <v>5521</v>
      </c>
      <c r="D1129" s="10" t="str">
        <f>IFERROR(__xludf.DUMMYFUNCTION("""COMPUTED_VALUE"""),"Vive le bio")</f>
        <v>Vive le bio</v>
      </c>
      <c r="E1129" s="10" t="str">
        <f>IFERROR(__xludf.DUMMYFUNCTION("""COMPUTED_VALUE"""),"GREENRELAIS")</f>
        <v>GREENRELAIS</v>
      </c>
      <c r="F1129" s="10">
        <f>IFERROR(__xludf.DUMMYFUNCTION("""COMPUTED_VALUE"""),10.3222222222222)</f>
        <v>10.32222222</v>
      </c>
      <c r="G1129" s="9">
        <f>IFERROR(__xludf.DUMMYFUNCTION("""COMPUTED_VALUE"""),9.29)</f>
        <v>9.29</v>
      </c>
      <c r="H1129" s="9">
        <f>IFERROR(__xludf.DUMMYFUNCTION("""COMPUTED_VALUE"""),2.0)</f>
        <v>2</v>
      </c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</row>
    <row r="1130" ht="15.75" customHeight="1">
      <c r="A1130" s="11">
        <f>IFERROR(__xludf.DUMMYFUNCTION("""COMPUTED_VALUE"""),44471.0)</f>
        <v>44471</v>
      </c>
      <c r="B1130" s="9">
        <f>IFERROR(__xludf.DUMMYFUNCTION("""COMPUTED_VALUE"""),1003443.0)</f>
        <v>1003443</v>
      </c>
      <c r="C1130" s="9">
        <f>IFERROR(__xludf.DUMMYFUNCTION("""COMPUTED_VALUE"""),77390.0)</f>
        <v>77390</v>
      </c>
      <c r="D1130" s="10" t="str">
        <f>IFERROR(__xludf.DUMMYFUNCTION("""COMPUTED_VALUE"""),"Offre Speciale")</f>
        <v>Offre Speciale</v>
      </c>
      <c r="E1130" s="10" t="str">
        <f>IFERROR(__xludf.DUMMYFUNCTION("""COMPUTED_VALUE"""),"GREENRELAIS")</f>
        <v>GREENRELAIS</v>
      </c>
      <c r="F1130" s="10">
        <f>IFERROR(__xludf.DUMMYFUNCTION("""COMPUTED_VALUE"""),45.8863636363636)</f>
        <v>45.88636364</v>
      </c>
      <c r="G1130" s="9">
        <f>IFERROR(__xludf.DUMMYFUNCTION("""COMPUTED_VALUE"""),40.38)</f>
        <v>40.38</v>
      </c>
      <c r="H1130" s="9">
        <f>IFERROR(__xludf.DUMMYFUNCTION("""COMPUTED_VALUE"""),2.0)</f>
        <v>2</v>
      </c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</row>
    <row r="1131" ht="15.75" customHeight="1">
      <c r="A1131" s="11">
        <f>IFERROR(__xludf.DUMMYFUNCTION("""COMPUTED_VALUE"""),44471.0)</f>
        <v>44471</v>
      </c>
      <c r="B1131" s="9">
        <f>IFERROR(__xludf.DUMMYFUNCTION("""COMPUTED_VALUE"""),1003443.0)</f>
        <v>1003443</v>
      </c>
      <c r="C1131" s="9">
        <f>IFERROR(__xludf.DUMMYFUNCTION("""COMPUTED_VALUE"""),81235.0)</f>
        <v>81235</v>
      </c>
      <c r="D1131" s="9"/>
      <c r="E1131" s="10" t="str">
        <f>IFERROR(__xludf.DUMMYFUNCTION("""COMPUTED_VALUE"""),"GREENRELAIS")</f>
        <v>GREENRELAIS</v>
      </c>
      <c r="F1131" s="10">
        <f>IFERROR(__xludf.DUMMYFUNCTION("""COMPUTED_VALUE"""),19.3)</f>
        <v>19.3</v>
      </c>
      <c r="G1131" s="9">
        <f>IFERROR(__xludf.DUMMYFUNCTION("""COMPUTED_VALUE"""),19.3)</f>
        <v>19.3</v>
      </c>
      <c r="H1131" s="9">
        <f>IFERROR(__xludf.DUMMYFUNCTION("""COMPUTED_VALUE"""),3.0)</f>
        <v>3</v>
      </c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</row>
    <row r="1132" ht="15.75" customHeight="1">
      <c r="A1132" s="11">
        <f>IFERROR(__xludf.DUMMYFUNCTION("""COMPUTED_VALUE"""),44471.0)</f>
        <v>44471</v>
      </c>
      <c r="B1132" s="9">
        <f>IFERROR(__xludf.DUMMYFUNCTION("""COMPUTED_VALUE"""),1003444.0)</f>
        <v>1003444</v>
      </c>
      <c r="C1132" s="9">
        <f>IFERROR(__xludf.DUMMYFUNCTION("""COMPUTED_VALUE"""),147300.0)</f>
        <v>147300</v>
      </c>
      <c r="D1132" s="9"/>
      <c r="E1132" s="10" t="str">
        <f>IFERROR(__xludf.DUMMYFUNCTION("""COMPUTED_VALUE"""),"PREMIERE")</f>
        <v>PREMIERE</v>
      </c>
      <c r="F1132" s="10">
        <f>IFERROR(__xludf.DUMMYFUNCTION("""COMPUTED_VALUE"""),2.7)</f>
        <v>2.7</v>
      </c>
      <c r="G1132" s="9">
        <f>IFERROR(__xludf.DUMMYFUNCTION("""COMPUTED_VALUE"""),2.7)</f>
        <v>2.7</v>
      </c>
      <c r="H1132" s="9">
        <f>IFERROR(__xludf.DUMMYFUNCTION("""COMPUTED_VALUE"""),1.0)</f>
        <v>1</v>
      </c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</row>
    <row r="1133" ht="15.75" customHeight="1">
      <c r="A1133" s="11">
        <f>IFERROR(__xludf.DUMMYFUNCTION("""COMPUTED_VALUE"""),44471.0)</f>
        <v>44471</v>
      </c>
      <c r="B1133" s="9">
        <f>IFERROR(__xludf.DUMMYFUNCTION("""COMPUTED_VALUE"""),1003444.0)</f>
        <v>1003444</v>
      </c>
      <c r="C1133" s="9">
        <f>IFERROR(__xludf.DUMMYFUNCTION("""COMPUTED_VALUE"""),109930.0)</f>
        <v>109930</v>
      </c>
      <c r="D1133" s="9"/>
      <c r="E1133" s="10" t="str">
        <f>IFERROR(__xludf.DUMMYFUNCTION("""COMPUTED_VALUE"""),"PREMIERE")</f>
        <v>PREMIERE</v>
      </c>
      <c r="F1133" s="10">
        <f>IFERROR(__xludf.DUMMYFUNCTION("""COMPUTED_VALUE"""),16.41)</f>
        <v>16.41</v>
      </c>
      <c r="G1133" s="9">
        <f>IFERROR(__xludf.DUMMYFUNCTION("""COMPUTED_VALUE"""),16.41)</f>
        <v>16.41</v>
      </c>
      <c r="H1133" s="9">
        <f>IFERROR(__xludf.DUMMYFUNCTION("""COMPUTED_VALUE"""),2.0)</f>
        <v>2</v>
      </c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</row>
    <row r="1134" ht="15.75" customHeight="1">
      <c r="A1134" s="11">
        <f>IFERROR(__xludf.DUMMYFUNCTION("""COMPUTED_VALUE"""),44471.0)</f>
        <v>44471</v>
      </c>
      <c r="B1134" s="9">
        <f>IFERROR(__xludf.DUMMYFUNCTION("""COMPUTED_VALUE"""),1003444.0)</f>
        <v>1003444</v>
      </c>
      <c r="C1134" s="9">
        <f>IFERROR(__xludf.DUMMYFUNCTION("""COMPUTED_VALUE"""),121543.0)</f>
        <v>121543</v>
      </c>
      <c r="D1134" s="9"/>
      <c r="E1134" s="10" t="str">
        <f>IFERROR(__xludf.DUMMYFUNCTION("""COMPUTED_VALUE"""),"PREMIERE")</f>
        <v>PREMIERE</v>
      </c>
      <c r="F1134" s="10">
        <f>IFERROR(__xludf.DUMMYFUNCTION("""COMPUTED_VALUE"""),3.67)</f>
        <v>3.67</v>
      </c>
      <c r="G1134" s="9">
        <f>IFERROR(__xludf.DUMMYFUNCTION("""COMPUTED_VALUE"""),3.67)</f>
        <v>3.67</v>
      </c>
      <c r="H1134" s="9">
        <f>IFERROR(__xludf.DUMMYFUNCTION("""COMPUTED_VALUE"""),2.0)</f>
        <v>2</v>
      </c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</row>
    <row r="1135" ht="15.75" customHeight="1">
      <c r="A1135" s="11">
        <f>IFERROR(__xludf.DUMMYFUNCTION("""COMPUTED_VALUE"""),44471.0)</f>
        <v>44471</v>
      </c>
      <c r="B1135" s="9">
        <f>IFERROR(__xludf.DUMMYFUNCTION("""COMPUTED_VALUE"""),1003444.0)</f>
        <v>1003444</v>
      </c>
      <c r="C1135" s="9">
        <f>IFERROR(__xludf.DUMMYFUNCTION("""COMPUTED_VALUE"""),88215.0)</f>
        <v>88215</v>
      </c>
      <c r="D1135" s="9"/>
      <c r="E1135" s="10" t="str">
        <f>IFERROR(__xludf.DUMMYFUNCTION("""COMPUTED_VALUE"""),"PREMIERE")</f>
        <v>PREMIERE</v>
      </c>
      <c r="F1135" s="10">
        <f>IFERROR(__xludf.DUMMYFUNCTION("""COMPUTED_VALUE"""),12.19)</f>
        <v>12.19</v>
      </c>
      <c r="G1135" s="9">
        <f>IFERROR(__xludf.DUMMYFUNCTION("""COMPUTED_VALUE"""),12.19)</f>
        <v>12.19</v>
      </c>
      <c r="H1135" s="9">
        <f>IFERROR(__xludf.DUMMYFUNCTION("""COMPUTED_VALUE"""),4.0)</f>
        <v>4</v>
      </c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</row>
    <row r="1136" ht="15.75" customHeight="1">
      <c r="A1136" s="11">
        <f>IFERROR(__xludf.DUMMYFUNCTION("""COMPUTED_VALUE"""),44471.0)</f>
        <v>44471</v>
      </c>
      <c r="B1136" s="9">
        <f>IFERROR(__xludf.DUMMYFUNCTION("""COMPUTED_VALUE"""),1003446.0)</f>
        <v>1003446</v>
      </c>
      <c r="C1136" s="9">
        <f>IFERROR(__xludf.DUMMYFUNCTION("""COMPUTED_VALUE"""),83093.0)</f>
        <v>83093</v>
      </c>
      <c r="D1136" s="9"/>
      <c r="E1136" s="9"/>
      <c r="F1136" s="9">
        <f>IFERROR(__xludf.DUMMYFUNCTION("""COMPUTED_VALUE"""),7.32)</f>
        <v>7.32</v>
      </c>
      <c r="G1136" s="9">
        <f>IFERROR(__xludf.DUMMYFUNCTION("""COMPUTED_VALUE"""),7.32)</f>
        <v>7.32</v>
      </c>
      <c r="H1136" s="9">
        <f>IFERROR(__xludf.DUMMYFUNCTION("""COMPUTED_VALUE"""),1.0)</f>
        <v>1</v>
      </c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</row>
    <row r="1137" ht="15.75" customHeight="1">
      <c r="A1137" s="11">
        <f>IFERROR(__xludf.DUMMYFUNCTION("""COMPUTED_VALUE"""),44471.0)</f>
        <v>44471</v>
      </c>
      <c r="B1137" s="9">
        <f>IFERROR(__xludf.DUMMYFUNCTION("""COMPUTED_VALUE"""),1003447.0)</f>
        <v>1003447</v>
      </c>
      <c r="C1137" s="9">
        <f>IFERROR(__xludf.DUMMYFUNCTION("""COMPUTED_VALUE"""),103638.0)</f>
        <v>103638</v>
      </c>
      <c r="D1137" s="9"/>
      <c r="E1137" s="9"/>
      <c r="F1137" s="9">
        <f>IFERROR(__xludf.DUMMYFUNCTION("""COMPUTED_VALUE"""),5.33)</f>
        <v>5.33</v>
      </c>
      <c r="G1137" s="9">
        <f>IFERROR(__xludf.DUMMYFUNCTION("""COMPUTED_VALUE"""),5.33)</f>
        <v>5.33</v>
      </c>
      <c r="H1137" s="9">
        <f>IFERROR(__xludf.DUMMYFUNCTION("""COMPUTED_VALUE"""),1.0)</f>
        <v>1</v>
      </c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</row>
    <row r="1138" ht="15.75" customHeight="1">
      <c r="A1138" s="11">
        <f>IFERROR(__xludf.DUMMYFUNCTION("""COMPUTED_VALUE"""),44471.0)</f>
        <v>44471</v>
      </c>
      <c r="B1138" s="9">
        <f>IFERROR(__xludf.DUMMYFUNCTION("""COMPUTED_VALUE"""),1003447.0)</f>
        <v>1003447</v>
      </c>
      <c r="C1138" s="9">
        <f>IFERROR(__xludf.DUMMYFUNCTION("""COMPUTED_VALUE"""),110072.0)</f>
        <v>110072</v>
      </c>
      <c r="D1138" s="9"/>
      <c r="E1138" s="9"/>
      <c r="F1138" s="9">
        <f>IFERROR(__xludf.DUMMYFUNCTION("""COMPUTED_VALUE"""),8.89)</f>
        <v>8.89</v>
      </c>
      <c r="G1138" s="9">
        <f>IFERROR(__xludf.DUMMYFUNCTION("""COMPUTED_VALUE"""),8.89)</f>
        <v>8.89</v>
      </c>
      <c r="H1138" s="9">
        <f>IFERROR(__xludf.DUMMYFUNCTION("""COMPUTED_VALUE"""),2.0)</f>
        <v>2</v>
      </c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</row>
    <row r="1139" ht="15.75" customHeight="1">
      <c r="A1139" s="11">
        <f>IFERROR(__xludf.DUMMYFUNCTION("""COMPUTED_VALUE"""),44471.0)</f>
        <v>44471</v>
      </c>
      <c r="B1139" s="9">
        <f>IFERROR(__xludf.DUMMYFUNCTION("""COMPUTED_VALUE"""),1003447.0)</f>
        <v>1003447</v>
      </c>
      <c r="C1139" s="9">
        <f>IFERROR(__xludf.DUMMYFUNCTION("""COMPUTED_VALUE"""),110414.0)</f>
        <v>110414</v>
      </c>
      <c r="D1139" s="9"/>
      <c r="E1139" s="9"/>
      <c r="F1139" s="9">
        <f>IFERROR(__xludf.DUMMYFUNCTION("""COMPUTED_VALUE"""),9.36)</f>
        <v>9.36</v>
      </c>
      <c r="G1139" s="9">
        <f>IFERROR(__xludf.DUMMYFUNCTION("""COMPUTED_VALUE"""),9.36)</f>
        <v>9.36</v>
      </c>
      <c r="H1139" s="9">
        <f>IFERROR(__xludf.DUMMYFUNCTION("""COMPUTED_VALUE"""),2.0)</f>
        <v>2</v>
      </c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</row>
    <row r="1140" ht="15.75" customHeight="1">
      <c r="A1140" s="11">
        <f>IFERROR(__xludf.DUMMYFUNCTION("""COMPUTED_VALUE"""),44471.0)</f>
        <v>44471</v>
      </c>
      <c r="B1140" s="9">
        <f>IFERROR(__xludf.DUMMYFUNCTION("""COMPUTED_VALUE"""),1003447.0)</f>
        <v>1003447</v>
      </c>
      <c r="C1140" s="9">
        <f>IFERROR(__xludf.DUMMYFUNCTION("""COMPUTED_VALUE"""),103604.0)</f>
        <v>103604</v>
      </c>
      <c r="D1140" s="9"/>
      <c r="E1140" s="9"/>
      <c r="F1140" s="9">
        <f>IFERROR(__xludf.DUMMYFUNCTION("""COMPUTED_VALUE"""),7.25)</f>
        <v>7.25</v>
      </c>
      <c r="G1140" s="9">
        <f>IFERROR(__xludf.DUMMYFUNCTION("""COMPUTED_VALUE"""),7.25)</f>
        <v>7.25</v>
      </c>
      <c r="H1140" s="9">
        <f>IFERROR(__xludf.DUMMYFUNCTION("""COMPUTED_VALUE"""),3.0)</f>
        <v>3</v>
      </c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</row>
    <row r="1141" ht="15.75" customHeight="1">
      <c r="A1141" s="11">
        <f>IFERROR(__xludf.DUMMYFUNCTION("""COMPUTED_VALUE"""),44471.0)</f>
        <v>44471</v>
      </c>
      <c r="B1141" s="9">
        <f>IFERROR(__xludf.DUMMYFUNCTION("""COMPUTED_VALUE"""),1003447.0)</f>
        <v>1003447</v>
      </c>
      <c r="C1141" s="9">
        <f>IFERROR(__xludf.DUMMYFUNCTION("""COMPUTED_VALUE"""),103626.0)</f>
        <v>103626</v>
      </c>
      <c r="D1141" s="9"/>
      <c r="E1141" s="9"/>
      <c r="F1141" s="9">
        <f>IFERROR(__xludf.DUMMYFUNCTION("""COMPUTED_VALUE"""),9.75)</f>
        <v>9.75</v>
      </c>
      <c r="G1141" s="9">
        <f>IFERROR(__xludf.DUMMYFUNCTION("""COMPUTED_VALUE"""),9.75)</f>
        <v>9.75</v>
      </c>
      <c r="H1141" s="9">
        <f>IFERROR(__xludf.DUMMYFUNCTION("""COMPUTED_VALUE"""),3.0)</f>
        <v>3</v>
      </c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</row>
    <row r="1142" ht="15.75" customHeight="1">
      <c r="A1142" s="11">
        <f>IFERROR(__xludf.DUMMYFUNCTION("""COMPUTED_VALUE"""),44471.0)</f>
        <v>44471</v>
      </c>
      <c r="B1142" s="9">
        <f>IFERROR(__xludf.DUMMYFUNCTION("""COMPUTED_VALUE"""),1003447.0)</f>
        <v>1003447</v>
      </c>
      <c r="C1142" s="9">
        <f>IFERROR(__xludf.DUMMYFUNCTION("""COMPUTED_VALUE"""),103603.0)</f>
        <v>103603</v>
      </c>
      <c r="D1142" s="9"/>
      <c r="E1142" s="9"/>
      <c r="F1142" s="9">
        <f>IFERROR(__xludf.DUMMYFUNCTION("""COMPUTED_VALUE"""),7.67)</f>
        <v>7.67</v>
      </c>
      <c r="G1142" s="9">
        <f>IFERROR(__xludf.DUMMYFUNCTION("""COMPUTED_VALUE"""),7.67)</f>
        <v>7.67</v>
      </c>
      <c r="H1142" s="9">
        <f>IFERROR(__xludf.DUMMYFUNCTION("""COMPUTED_VALUE"""),3.0)</f>
        <v>3</v>
      </c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</row>
    <row r="1143" ht="15.75" customHeight="1">
      <c r="A1143" s="11">
        <f>IFERROR(__xludf.DUMMYFUNCTION("""COMPUTED_VALUE"""),44471.0)</f>
        <v>44471</v>
      </c>
      <c r="B1143" s="9">
        <f>IFERROR(__xludf.DUMMYFUNCTION("""COMPUTED_VALUE"""),1003447.0)</f>
        <v>1003447</v>
      </c>
      <c r="C1143" s="9">
        <f>IFERROR(__xludf.DUMMYFUNCTION("""COMPUTED_VALUE"""),103590.0)</f>
        <v>103590</v>
      </c>
      <c r="D1143" s="10" t="str">
        <f>IFERROR(__xludf.DUMMYFUNCTION("""COMPUTED_VALUE"""),"Love &amp; Green Couches et Culottes sept 2021")</f>
        <v>Love &amp; Green Couches et Culottes sept 2021</v>
      </c>
      <c r="E1143" s="10"/>
      <c r="F1143" s="9">
        <f>IFERROR(__xludf.DUMMYFUNCTION("""COMPUTED_VALUE"""),124.042857142857)</f>
        <v>124.0428571</v>
      </c>
      <c r="G1143" s="9">
        <f>IFERROR(__xludf.DUMMYFUNCTION("""COMPUTED_VALUE"""),86.83)</f>
        <v>86.83</v>
      </c>
      <c r="H1143" s="9">
        <f>IFERROR(__xludf.DUMMYFUNCTION("""COMPUTED_VALUE"""),8.0)</f>
        <v>8</v>
      </c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</row>
    <row r="1144" ht="15.75" customHeight="1">
      <c r="A1144" s="11">
        <f>IFERROR(__xludf.DUMMYFUNCTION("""COMPUTED_VALUE"""),44471.0)</f>
        <v>44471</v>
      </c>
      <c r="B1144" s="9">
        <f>IFERROR(__xludf.DUMMYFUNCTION("""COMPUTED_VALUE"""),1003448.0)</f>
        <v>1003448</v>
      </c>
      <c r="C1144" s="9">
        <f>IFERROR(__xludf.DUMMYFUNCTION("""COMPUTED_VALUE"""),29654.0)</f>
        <v>29654</v>
      </c>
      <c r="D1144" s="9"/>
      <c r="E1144" s="9"/>
      <c r="F1144" s="9">
        <f>IFERROR(__xludf.DUMMYFUNCTION("""COMPUTED_VALUE"""),1.38)</f>
        <v>1.38</v>
      </c>
      <c r="G1144" s="9">
        <f>IFERROR(__xludf.DUMMYFUNCTION("""COMPUTED_VALUE"""),1.38)</f>
        <v>1.38</v>
      </c>
      <c r="H1144" s="9">
        <f>IFERROR(__xludf.DUMMYFUNCTION("""COMPUTED_VALUE"""),1.0)</f>
        <v>1</v>
      </c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</row>
    <row r="1145" ht="15.75" customHeight="1">
      <c r="A1145" s="11">
        <f>IFERROR(__xludf.DUMMYFUNCTION("""COMPUTED_VALUE"""),44471.0)</f>
        <v>44471</v>
      </c>
      <c r="B1145" s="9">
        <f>IFERROR(__xludf.DUMMYFUNCTION("""COMPUTED_VALUE"""),1003448.0)</f>
        <v>1003448</v>
      </c>
      <c r="C1145" s="9">
        <f>IFERROR(__xludf.DUMMYFUNCTION("""COMPUTED_VALUE"""),102607.0)</f>
        <v>102607</v>
      </c>
      <c r="D1145" s="9"/>
      <c r="E1145" s="9"/>
      <c r="F1145" s="9">
        <f>IFERROR(__xludf.DUMMYFUNCTION("""COMPUTED_VALUE"""),5.99)</f>
        <v>5.99</v>
      </c>
      <c r="G1145" s="9">
        <f>IFERROR(__xludf.DUMMYFUNCTION("""COMPUTED_VALUE"""),5.99)</f>
        <v>5.99</v>
      </c>
      <c r="H1145" s="9">
        <f>IFERROR(__xludf.DUMMYFUNCTION("""COMPUTED_VALUE"""),1.0)</f>
        <v>1</v>
      </c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</row>
    <row r="1146" ht="15.75" customHeight="1">
      <c r="A1146" s="11">
        <f>IFERROR(__xludf.DUMMYFUNCTION("""COMPUTED_VALUE"""),44471.0)</f>
        <v>44471</v>
      </c>
      <c r="B1146" s="9">
        <f>IFERROR(__xludf.DUMMYFUNCTION("""COMPUTED_VALUE"""),1003449.0)</f>
        <v>1003449</v>
      </c>
      <c r="C1146" s="9">
        <f>IFERROR(__xludf.DUMMYFUNCTION("""COMPUTED_VALUE"""),95414.0)</f>
        <v>95414</v>
      </c>
      <c r="D1146" s="10" t="str">
        <f>IFERROR(__xludf.DUMMYFUNCTION("""COMPUTED_VALUE"""),"Offre speciale")</f>
        <v>Offre speciale</v>
      </c>
      <c r="E1146" s="10"/>
      <c r="F1146" s="9">
        <f>IFERROR(__xludf.DUMMYFUNCTION("""COMPUTED_VALUE"""),1.42222222222222)</f>
        <v>1.422222222</v>
      </c>
      <c r="G1146" s="9">
        <f>IFERROR(__xludf.DUMMYFUNCTION("""COMPUTED_VALUE"""),1.28)</f>
        <v>1.28</v>
      </c>
      <c r="H1146" s="9">
        <f>IFERROR(__xludf.DUMMYFUNCTION("""COMPUTED_VALUE"""),1.0)</f>
        <v>1</v>
      </c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</row>
    <row r="1147" ht="15.75" customHeight="1">
      <c r="A1147" s="11">
        <f>IFERROR(__xludf.DUMMYFUNCTION("""COMPUTED_VALUE"""),44471.0)</f>
        <v>44471</v>
      </c>
      <c r="B1147" s="9">
        <f>IFERROR(__xludf.DUMMYFUNCTION("""COMPUTED_VALUE"""),1003449.0)</f>
        <v>1003449</v>
      </c>
      <c r="C1147" s="9">
        <f>IFERROR(__xludf.DUMMYFUNCTION("""COMPUTED_VALUE"""),81172.0)</f>
        <v>81172</v>
      </c>
      <c r="D1147" s="9"/>
      <c r="E1147" s="9"/>
      <c r="F1147" s="9">
        <f>IFERROR(__xludf.DUMMYFUNCTION("""COMPUTED_VALUE"""),2.02)</f>
        <v>2.02</v>
      </c>
      <c r="G1147" s="9">
        <f>IFERROR(__xludf.DUMMYFUNCTION("""COMPUTED_VALUE"""),2.02)</f>
        <v>2.02</v>
      </c>
      <c r="H1147" s="9">
        <f>IFERROR(__xludf.DUMMYFUNCTION("""COMPUTED_VALUE"""),1.0)</f>
        <v>1</v>
      </c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</row>
    <row r="1148" ht="15.75" customHeight="1">
      <c r="A1148" s="11">
        <f>IFERROR(__xludf.DUMMYFUNCTION("""COMPUTED_VALUE"""),44471.0)</f>
        <v>44471</v>
      </c>
      <c r="B1148" s="9">
        <f>IFERROR(__xludf.DUMMYFUNCTION("""COMPUTED_VALUE"""),1003449.0)</f>
        <v>1003449</v>
      </c>
      <c r="C1148" s="9">
        <f>IFERROR(__xludf.DUMMYFUNCTION("""COMPUTED_VALUE"""),76466.0)</f>
        <v>76466</v>
      </c>
      <c r="D1148" s="9"/>
      <c r="E1148" s="9"/>
      <c r="F1148" s="9">
        <f>IFERROR(__xludf.DUMMYFUNCTION("""COMPUTED_VALUE"""),3.77)</f>
        <v>3.77</v>
      </c>
      <c r="G1148" s="9">
        <f>IFERROR(__xludf.DUMMYFUNCTION("""COMPUTED_VALUE"""),3.77)</f>
        <v>3.77</v>
      </c>
      <c r="H1148" s="9">
        <f>IFERROR(__xludf.DUMMYFUNCTION("""COMPUTED_VALUE"""),1.0)</f>
        <v>1</v>
      </c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</row>
    <row r="1149" ht="15.75" customHeight="1">
      <c r="A1149" s="11">
        <f>IFERROR(__xludf.DUMMYFUNCTION("""COMPUTED_VALUE"""),44471.0)</f>
        <v>44471</v>
      </c>
      <c r="B1149" s="9">
        <f>IFERROR(__xludf.DUMMYFUNCTION("""COMPUTED_VALUE"""),1003449.0)</f>
        <v>1003449</v>
      </c>
      <c r="C1149" s="9">
        <f>IFERROR(__xludf.DUMMYFUNCTION("""COMPUTED_VALUE"""),76455.0)</f>
        <v>76455</v>
      </c>
      <c r="D1149" s="9"/>
      <c r="E1149" s="9"/>
      <c r="F1149" s="9">
        <f>IFERROR(__xludf.DUMMYFUNCTION("""COMPUTED_VALUE"""),2.17)</f>
        <v>2.17</v>
      </c>
      <c r="G1149" s="9">
        <f>IFERROR(__xludf.DUMMYFUNCTION("""COMPUTED_VALUE"""),2.17)</f>
        <v>2.17</v>
      </c>
      <c r="H1149" s="9">
        <f>IFERROR(__xludf.DUMMYFUNCTION("""COMPUTED_VALUE"""),1.0)</f>
        <v>1</v>
      </c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</row>
    <row r="1150" ht="15.75" customHeight="1">
      <c r="A1150" s="11">
        <f>IFERROR(__xludf.DUMMYFUNCTION("""COMPUTED_VALUE"""),44471.0)</f>
        <v>44471</v>
      </c>
      <c r="B1150" s="9">
        <f>IFERROR(__xludf.DUMMYFUNCTION("""COMPUTED_VALUE"""),1003449.0)</f>
        <v>1003449</v>
      </c>
      <c r="C1150" s="9">
        <f>IFERROR(__xludf.DUMMYFUNCTION("""COMPUTED_VALUE"""),83596.0)</f>
        <v>83596</v>
      </c>
      <c r="D1150" s="9"/>
      <c r="E1150" s="9"/>
      <c r="F1150" s="9">
        <f>IFERROR(__xludf.DUMMYFUNCTION("""COMPUTED_VALUE"""),4.42)</f>
        <v>4.42</v>
      </c>
      <c r="G1150" s="9">
        <f>IFERROR(__xludf.DUMMYFUNCTION("""COMPUTED_VALUE"""),4.42)</f>
        <v>4.42</v>
      </c>
      <c r="H1150" s="9">
        <f>IFERROR(__xludf.DUMMYFUNCTION("""COMPUTED_VALUE"""),1.0)</f>
        <v>1</v>
      </c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</row>
    <row r="1151" ht="15.75" customHeight="1">
      <c r="A1151" s="11">
        <f>IFERROR(__xludf.DUMMYFUNCTION("""COMPUTED_VALUE"""),44471.0)</f>
        <v>44471</v>
      </c>
      <c r="B1151" s="9">
        <f>IFERROR(__xludf.DUMMYFUNCTION("""COMPUTED_VALUE"""),1003449.0)</f>
        <v>1003449</v>
      </c>
      <c r="C1151" s="9">
        <f>IFERROR(__xludf.DUMMYFUNCTION("""COMPUTED_VALUE"""),107406.0)</f>
        <v>107406</v>
      </c>
      <c r="D1151" s="9"/>
      <c r="E1151" s="9"/>
      <c r="F1151" s="9">
        <f>IFERROR(__xludf.DUMMYFUNCTION("""COMPUTED_VALUE"""),9.15)</f>
        <v>9.15</v>
      </c>
      <c r="G1151" s="9">
        <f>IFERROR(__xludf.DUMMYFUNCTION("""COMPUTED_VALUE"""),9.15)</f>
        <v>9.15</v>
      </c>
      <c r="H1151" s="9">
        <f>IFERROR(__xludf.DUMMYFUNCTION("""COMPUTED_VALUE"""),1.0)</f>
        <v>1</v>
      </c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</row>
    <row r="1152" ht="15.75" customHeight="1">
      <c r="A1152" s="11">
        <f>IFERROR(__xludf.DUMMYFUNCTION("""COMPUTED_VALUE"""),44471.0)</f>
        <v>44471</v>
      </c>
      <c r="B1152" s="9">
        <f>IFERROR(__xludf.DUMMYFUNCTION("""COMPUTED_VALUE"""),1003449.0)</f>
        <v>1003449</v>
      </c>
      <c r="C1152" s="9">
        <f>IFERROR(__xludf.DUMMYFUNCTION("""COMPUTED_VALUE"""),5485.0)</f>
        <v>5485</v>
      </c>
      <c r="D1152" s="9"/>
      <c r="E1152" s="9"/>
      <c r="F1152" s="9">
        <f>IFERROR(__xludf.DUMMYFUNCTION("""COMPUTED_VALUE"""),7.49)</f>
        <v>7.49</v>
      </c>
      <c r="G1152" s="9">
        <f>IFERROR(__xludf.DUMMYFUNCTION("""COMPUTED_VALUE"""),7.49)</f>
        <v>7.49</v>
      </c>
      <c r="H1152" s="9">
        <f>IFERROR(__xludf.DUMMYFUNCTION("""COMPUTED_VALUE"""),1.0)</f>
        <v>1</v>
      </c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</row>
    <row r="1153" ht="15.75" customHeight="1">
      <c r="A1153" s="11">
        <f>IFERROR(__xludf.DUMMYFUNCTION("""COMPUTED_VALUE"""),44471.0)</f>
        <v>44471</v>
      </c>
      <c r="B1153" s="9">
        <f>IFERROR(__xludf.DUMMYFUNCTION("""COMPUTED_VALUE"""),1003449.0)</f>
        <v>1003449</v>
      </c>
      <c r="C1153" s="9">
        <f>IFERROR(__xludf.DUMMYFUNCTION("""COMPUTED_VALUE"""),44758.0)</f>
        <v>44758</v>
      </c>
      <c r="D1153" s="9"/>
      <c r="E1153" s="9"/>
      <c r="F1153" s="9">
        <f>IFERROR(__xludf.DUMMYFUNCTION("""COMPUTED_VALUE"""),17.4)</f>
        <v>17.4</v>
      </c>
      <c r="G1153" s="9">
        <f>IFERROR(__xludf.DUMMYFUNCTION("""COMPUTED_VALUE"""),17.4)</f>
        <v>17.4</v>
      </c>
      <c r="H1153" s="9">
        <f>IFERROR(__xludf.DUMMYFUNCTION("""COMPUTED_VALUE"""),2.0)</f>
        <v>2</v>
      </c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</row>
    <row r="1154" ht="15.75" customHeight="1">
      <c r="A1154" s="11">
        <f>IFERROR(__xludf.DUMMYFUNCTION("""COMPUTED_VALUE"""),44471.0)</f>
        <v>44471</v>
      </c>
      <c r="B1154" s="9">
        <f>IFERROR(__xludf.DUMMYFUNCTION("""COMPUTED_VALUE"""),1003449.0)</f>
        <v>1003449</v>
      </c>
      <c r="C1154" s="9">
        <f>IFERROR(__xludf.DUMMYFUNCTION("""COMPUTED_VALUE"""),48180.0)</f>
        <v>48180</v>
      </c>
      <c r="D1154" s="9"/>
      <c r="E1154" s="9"/>
      <c r="F1154" s="9">
        <f>IFERROR(__xludf.DUMMYFUNCTION("""COMPUTED_VALUE"""),14.03)</f>
        <v>14.03</v>
      </c>
      <c r="G1154" s="9">
        <f>IFERROR(__xludf.DUMMYFUNCTION("""COMPUTED_VALUE"""),14.03)</f>
        <v>14.03</v>
      </c>
      <c r="H1154" s="9">
        <f>IFERROR(__xludf.DUMMYFUNCTION("""COMPUTED_VALUE"""),6.0)</f>
        <v>6</v>
      </c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</row>
    <row r="1155" ht="15.75" customHeight="1">
      <c r="A1155" s="11">
        <f>IFERROR(__xludf.DUMMYFUNCTION("""COMPUTED_VALUE"""),44471.0)</f>
        <v>44471</v>
      </c>
      <c r="B1155" s="9">
        <f>IFERROR(__xludf.DUMMYFUNCTION("""COMPUTED_VALUE"""),1003450.0)</f>
        <v>1003450</v>
      </c>
      <c r="C1155" s="9">
        <f>IFERROR(__xludf.DUMMYFUNCTION("""COMPUTED_VALUE"""),81320.0)</f>
        <v>81320</v>
      </c>
      <c r="D1155" s="10" t="str">
        <f>IFERROR(__xludf.DUMMYFUNCTION("""COMPUTED_VALUE"""),"Offre speciale")</f>
        <v>Offre speciale</v>
      </c>
      <c r="E1155" s="10" t="str">
        <f>IFERROR(__xludf.DUMMYFUNCTION("""COMPUTED_VALUE"""),"GREENRELAIS")</f>
        <v>GREENRELAIS</v>
      </c>
      <c r="F1155" s="10">
        <f>IFERROR(__xludf.DUMMYFUNCTION("""COMPUTED_VALUE"""),6.38823529411764)</f>
        <v>6.388235294</v>
      </c>
      <c r="G1155" s="9">
        <f>IFERROR(__xludf.DUMMYFUNCTION("""COMPUTED_VALUE"""),5.43)</f>
        <v>5.43</v>
      </c>
      <c r="H1155" s="9">
        <f>IFERROR(__xludf.DUMMYFUNCTION("""COMPUTED_VALUE"""),1.0)</f>
        <v>1</v>
      </c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</row>
    <row r="1156" ht="15.75" customHeight="1">
      <c r="A1156" s="11">
        <f>IFERROR(__xludf.DUMMYFUNCTION("""COMPUTED_VALUE"""),44471.0)</f>
        <v>44471</v>
      </c>
      <c r="B1156" s="9">
        <f>IFERROR(__xludf.DUMMYFUNCTION("""COMPUTED_VALUE"""),1003450.0)</f>
        <v>1003450</v>
      </c>
      <c r="C1156" s="9">
        <f>IFERROR(__xludf.DUMMYFUNCTION("""COMPUTED_VALUE"""),3438.0)</f>
        <v>3438</v>
      </c>
      <c r="D1156" s="9"/>
      <c r="E1156" s="10" t="str">
        <f>IFERROR(__xludf.DUMMYFUNCTION("""COMPUTED_VALUE"""),"GREENRELAIS")</f>
        <v>GREENRELAIS</v>
      </c>
      <c r="F1156" s="10">
        <f>IFERROR(__xludf.DUMMYFUNCTION("""COMPUTED_VALUE"""),4.42)</f>
        <v>4.42</v>
      </c>
      <c r="G1156" s="9">
        <f>IFERROR(__xludf.DUMMYFUNCTION("""COMPUTED_VALUE"""),4.42)</f>
        <v>4.42</v>
      </c>
      <c r="H1156" s="9">
        <f>IFERROR(__xludf.DUMMYFUNCTION("""COMPUTED_VALUE"""),1.0)</f>
        <v>1</v>
      </c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</row>
    <row r="1157" ht="15.75" customHeight="1">
      <c r="A1157" s="11">
        <f>IFERROR(__xludf.DUMMYFUNCTION("""COMPUTED_VALUE"""),44471.0)</f>
        <v>44471</v>
      </c>
      <c r="B1157" s="9">
        <f>IFERROR(__xludf.DUMMYFUNCTION("""COMPUTED_VALUE"""),1003450.0)</f>
        <v>1003450</v>
      </c>
      <c r="C1157" s="9">
        <f>IFERROR(__xludf.DUMMYFUNCTION("""COMPUTED_VALUE"""),16950.0)</f>
        <v>16950</v>
      </c>
      <c r="D1157" s="9"/>
      <c r="E1157" s="10" t="str">
        <f>IFERROR(__xludf.DUMMYFUNCTION("""COMPUTED_VALUE"""),"GREENRELAIS")</f>
        <v>GREENRELAIS</v>
      </c>
      <c r="F1157" s="10">
        <f>IFERROR(__xludf.DUMMYFUNCTION("""COMPUTED_VALUE"""),4.42)</f>
        <v>4.42</v>
      </c>
      <c r="G1157" s="9">
        <f>IFERROR(__xludf.DUMMYFUNCTION("""COMPUTED_VALUE"""),4.42)</f>
        <v>4.42</v>
      </c>
      <c r="H1157" s="9">
        <f>IFERROR(__xludf.DUMMYFUNCTION("""COMPUTED_VALUE"""),1.0)</f>
        <v>1</v>
      </c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</row>
    <row r="1158" ht="15.75" customHeight="1">
      <c r="A1158" s="11">
        <f>IFERROR(__xludf.DUMMYFUNCTION("""COMPUTED_VALUE"""),44471.0)</f>
        <v>44471</v>
      </c>
      <c r="B1158" s="9">
        <f>IFERROR(__xludf.DUMMYFUNCTION("""COMPUTED_VALUE"""),1003450.0)</f>
        <v>1003450</v>
      </c>
      <c r="C1158" s="9">
        <f>IFERROR(__xludf.DUMMYFUNCTION("""COMPUTED_VALUE"""),11796.0)</f>
        <v>11796</v>
      </c>
      <c r="D1158" s="10" t="str">
        <f>IFERROR(__xludf.DUMMYFUNCTION("""COMPUTED_VALUE"""),"Offre Speciale")</f>
        <v>Offre Speciale</v>
      </c>
      <c r="E1158" s="10" t="str">
        <f>IFERROR(__xludf.DUMMYFUNCTION("""COMPUTED_VALUE"""),"GREENRELAIS")</f>
        <v>GREENRELAIS</v>
      </c>
      <c r="F1158" s="10">
        <f>IFERROR(__xludf.DUMMYFUNCTION("""COMPUTED_VALUE"""),4.59493670886075)</f>
        <v>4.594936709</v>
      </c>
      <c r="G1158" s="9">
        <f>IFERROR(__xludf.DUMMYFUNCTION("""COMPUTED_VALUE"""),3.63)</f>
        <v>3.63</v>
      </c>
      <c r="H1158" s="9">
        <f>IFERROR(__xludf.DUMMYFUNCTION("""COMPUTED_VALUE"""),1.0)</f>
        <v>1</v>
      </c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</row>
    <row r="1159" ht="15.75" customHeight="1">
      <c r="A1159" s="11">
        <f>IFERROR(__xludf.DUMMYFUNCTION("""COMPUTED_VALUE"""),44471.0)</f>
        <v>44471</v>
      </c>
      <c r="B1159" s="9">
        <f>IFERROR(__xludf.DUMMYFUNCTION("""COMPUTED_VALUE"""),1003450.0)</f>
        <v>1003450</v>
      </c>
      <c r="C1159" s="9">
        <f>IFERROR(__xludf.DUMMYFUNCTION("""COMPUTED_VALUE"""),19853.0)</f>
        <v>19853</v>
      </c>
      <c r="D1159" s="9"/>
      <c r="E1159" s="10" t="str">
        <f>IFERROR(__xludf.DUMMYFUNCTION("""COMPUTED_VALUE"""),"GREENRELAIS")</f>
        <v>GREENRELAIS</v>
      </c>
      <c r="F1159" s="10">
        <f>IFERROR(__xludf.DUMMYFUNCTION("""COMPUTED_VALUE"""),13.08)</f>
        <v>13.08</v>
      </c>
      <c r="G1159" s="9">
        <f>IFERROR(__xludf.DUMMYFUNCTION("""COMPUTED_VALUE"""),13.08)</f>
        <v>13.08</v>
      </c>
      <c r="H1159" s="9">
        <f>IFERROR(__xludf.DUMMYFUNCTION("""COMPUTED_VALUE"""),2.0)</f>
        <v>2</v>
      </c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</row>
    <row r="1160" ht="15.75" customHeight="1">
      <c r="A1160" s="11">
        <f>IFERROR(__xludf.DUMMYFUNCTION("""COMPUTED_VALUE"""),44471.0)</f>
        <v>44471</v>
      </c>
      <c r="B1160" s="9">
        <f>IFERROR(__xludf.DUMMYFUNCTION("""COMPUTED_VALUE"""),1003450.0)</f>
        <v>1003450</v>
      </c>
      <c r="C1160" s="9">
        <f>IFERROR(__xludf.DUMMYFUNCTION("""COMPUTED_VALUE"""),48407.0)</f>
        <v>48407</v>
      </c>
      <c r="D1160" s="10" t="str">
        <f>IFERROR(__xludf.DUMMYFUNCTION("""COMPUTED_VALUE"""),"Vive le bio")</f>
        <v>Vive le bio</v>
      </c>
      <c r="E1160" s="10" t="str">
        <f>IFERROR(__xludf.DUMMYFUNCTION("""COMPUTED_VALUE"""),"GREENRELAIS")</f>
        <v>GREENRELAIS</v>
      </c>
      <c r="F1160" s="10">
        <f>IFERROR(__xludf.DUMMYFUNCTION("""COMPUTED_VALUE"""),9.78888888888889)</f>
        <v>9.788888889</v>
      </c>
      <c r="G1160" s="9">
        <f>IFERROR(__xludf.DUMMYFUNCTION("""COMPUTED_VALUE"""),8.81)</f>
        <v>8.81</v>
      </c>
      <c r="H1160" s="9">
        <f>IFERROR(__xludf.DUMMYFUNCTION("""COMPUTED_VALUE"""),2.0)</f>
        <v>2</v>
      </c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</row>
    <row r="1161" ht="15.75" customHeight="1">
      <c r="A1161" s="11">
        <f>IFERROR(__xludf.DUMMYFUNCTION("""COMPUTED_VALUE"""),44471.0)</f>
        <v>44471</v>
      </c>
      <c r="B1161" s="9">
        <f>IFERROR(__xludf.DUMMYFUNCTION("""COMPUTED_VALUE"""),1003450.0)</f>
        <v>1003450</v>
      </c>
      <c r="C1161" s="9">
        <f>IFERROR(__xludf.DUMMYFUNCTION("""COMPUTED_VALUE"""),48640.0)</f>
        <v>48640</v>
      </c>
      <c r="D1161" s="10" t="str">
        <f>IFERROR(__xludf.DUMMYFUNCTION("""COMPUTED_VALUE"""),"Vive le bio")</f>
        <v>Vive le bio</v>
      </c>
      <c r="E1161" s="10" t="str">
        <f>IFERROR(__xludf.DUMMYFUNCTION("""COMPUTED_VALUE"""),"GREENRELAIS")</f>
        <v>GREENRELAIS</v>
      </c>
      <c r="F1161" s="10">
        <f>IFERROR(__xludf.DUMMYFUNCTION("""COMPUTED_VALUE"""),12.1111111111111)</f>
        <v>12.11111111</v>
      </c>
      <c r="G1161" s="9">
        <f>IFERROR(__xludf.DUMMYFUNCTION("""COMPUTED_VALUE"""),10.9)</f>
        <v>10.9</v>
      </c>
      <c r="H1161" s="9">
        <f>IFERROR(__xludf.DUMMYFUNCTION("""COMPUTED_VALUE"""),2.0)</f>
        <v>2</v>
      </c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</row>
    <row r="1162" ht="15.75" customHeight="1">
      <c r="A1162" s="11">
        <f>IFERROR(__xludf.DUMMYFUNCTION("""COMPUTED_VALUE"""),44471.0)</f>
        <v>44471</v>
      </c>
      <c r="B1162" s="9">
        <f>IFERROR(__xludf.DUMMYFUNCTION("""COMPUTED_VALUE"""),1003450.0)</f>
        <v>1003450</v>
      </c>
      <c r="C1162" s="9">
        <f>IFERROR(__xludf.DUMMYFUNCTION("""COMPUTED_VALUE"""),23556.0)</f>
        <v>23556</v>
      </c>
      <c r="D1162" s="9"/>
      <c r="E1162" s="10" t="str">
        <f>IFERROR(__xludf.DUMMYFUNCTION("""COMPUTED_VALUE"""),"GREENRELAIS")</f>
        <v>GREENRELAIS</v>
      </c>
      <c r="F1162" s="10">
        <f>IFERROR(__xludf.DUMMYFUNCTION("""COMPUTED_VALUE"""),6.65)</f>
        <v>6.65</v>
      </c>
      <c r="G1162" s="9">
        <f>IFERROR(__xludf.DUMMYFUNCTION("""COMPUTED_VALUE"""),6.65)</f>
        <v>6.65</v>
      </c>
      <c r="H1162" s="9">
        <f>IFERROR(__xludf.DUMMYFUNCTION("""COMPUTED_VALUE"""),2.0)</f>
        <v>2</v>
      </c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</row>
    <row r="1163" ht="15.75" customHeight="1">
      <c r="A1163" s="11">
        <f>IFERROR(__xludf.DUMMYFUNCTION("""COMPUTED_VALUE"""),44471.0)</f>
        <v>44471</v>
      </c>
      <c r="B1163" s="9">
        <f>IFERROR(__xludf.DUMMYFUNCTION("""COMPUTED_VALUE"""),1003451.0)</f>
        <v>1003451</v>
      </c>
      <c r="C1163" s="9">
        <f>IFERROR(__xludf.DUMMYFUNCTION("""COMPUTED_VALUE"""),110724.0)</f>
        <v>110724</v>
      </c>
      <c r="D1163" s="9"/>
      <c r="E1163" s="10" t="str">
        <f>IFERROR(__xludf.DUMMYFUNCTION("""COMPUTED_VALUE"""),"PREMIERE")</f>
        <v>PREMIERE</v>
      </c>
      <c r="F1163" s="10">
        <f>IFERROR(__xludf.DUMMYFUNCTION("""COMPUTED_VALUE"""),2.51)</f>
        <v>2.51</v>
      </c>
      <c r="G1163" s="9">
        <f>IFERROR(__xludf.DUMMYFUNCTION("""COMPUTED_VALUE"""),2.51)</f>
        <v>2.51</v>
      </c>
      <c r="H1163" s="9">
        <f>IFERROR(__xludf.DUMMYFUNCTION("""COMPUTED_VALUE"""),1.0)</f>
        <v>1</v>
      </c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</row>
    <row r="1164" ht="15.75" customHeight="1">
      <c r="A1164" s="11">
        <f>IFERROR(__xludf.DUMMYFUNCTION("""COMPUTED_VALUE"""),44471.0)</f>
        <v>44471</v>
      </c>
      <c r="B1164" s="9">
        <f>IFERROR(__xludf.DUMMYFUNCTION("""COMPUTED_VALUE"""),1003451.0)</f>
        <v>1003451</v>
      </c>
      <c r="C1164" s="9">
        <f>IFERROR(__xludf.DUMMYFUNCTION("""COMPUTED_VALUE"""),111783.0)</f>
        <v>111783</v>
      </c>
      <c r="D1164" s="9"/>
      <c r="E1164" s="10" t="str">
        <f>IFERROR(__xludf.DUMMYFUNCTION("""COMPUTED_VALUE"""),"PREMIERE")</f>
        <v>PREMIERE</v>
      </c>
      <c r="F1164" s="10">
        <f>IFERROR(__xludf.DUMMYFUNCTION("""COMPUTED_VALUE"""),2.76)</f>
        <v>2.76</v>
      </c>
      <c r="G1164" s="9">
        <f>IFERROR(__xludf.DUMMYFUNCTION("""COMPUTED_VALUE"""),2.76)</f>
        <v>2.76</v>
      </c>
      <c r="H1164" s="9">
        <f>IFERROR(__xludf.DUMMYFUNCTION("""COMPUTED_VALUE"""),1.0)</f>
        <v>1</v>
      </c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</row>
    <row r="1165" ht="15.75" customHeight="1">
      <c r="A1165" s="11">
        <f>IFERROR(__xludf.DUMMYFUNCTION("""COMPUTED_VALUE"""),44471.0)</f>
        <v>44471</v>
      </c>
      <c r="B1165" s="9">
        <f>IFERROR(__xludf.DUMMYFUNCTION("""COMPUTED_VALUE"""),1003451.0)</f>
        <v>1003451</v>
      </c>
      <c r="C1165" s="9">
        <f>IFERROR(__xludf.DUMMYFUNCTION("""COMPUTED_VALUE"""),99270.0)</f>
        <v>99270</v>
      </c>
      <c r="D1165" s="9"/>
      <c r="E1165" s="10" t="str">
        <f>IFERROR(__xludf.DUMMYFUNCTION("""COMPUTED_VALUE"""),"PREMIERE")</f>
        <v>PREMIERE</v>
      </c>
      <c r="F1165" s="10">
        <f>IFERROR(__xludf.DUMMYFUNCTION("""COMPUTED_VALUE"""),5.78)</f>
        <v>5.78</v>
      </c>
      <c r="G1165" s="9">
        <f>IFERROR(__xludf.DUMMYFUNCTION("""COMPUTED_VALUE"""),5.78)</f>
        <v>5.78</v>
      </c>
      <c r="H1165" s="9">
        <f>IFERROR(__xludf.DUMMYFUNCTION("""COMPUTED_VALUE"""),1.0)</f>
        <v>1</v>
      </c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</row>
    <row r="1166" ht="15.75" customHeight="1">
      <c r="A1166" s="11">
        <f>IFERROR(__xludf.DUMMYFUNCTION("""COMPUTED_VALUE"""),44471.0)</f>
        <v>44471</v>
      </c>
      <c r="B1166" s="9">
        <f>IFERROR(__xludf.DUMMYFUNCTION("""COMPUTED_VALUE"""),1003451.0)</f>
        <v>1003451</v>
      </c>
      <c r="C1166" s="9">
        <f>IFERROR(__xludf.DUMMYFUNCTION("""COMPUTED_VALUE"""),121868.0)</f>
        <v>121868</v>
      </c>
      <c r="D1166" s="9"/>
      <c r="E1166" s="10" t="str">
        <f>IFERROR(__xludf.DUMMYFUNCTION("""COMPUTED_VALUE"""),"PREMIERE")</f>
        <v>PREMIERE</v>
      </c>
      <c r="F1166" s="10">
        <f>IFERROR(__xludf.DUMMYFUNCTION("""COMPUTED_VALUE"""),6.37)</f>
        <v>6.37</v>
      </c>
      <c r="G1166" s="9">
        <f>IFERROR(__xludf.DUMMYFUNCTION("""COMPUTED_VALUE"""),6.37)</f>
        <v>6.37</v>
      </c>
      <c r="H1166" s="9">
        <f>IFERROR(__xludf.DUMMYFUNCTION("""COMPUTED_VALUE"""),1.0)</f>
        <v>1</v>
      </c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</row>
    <row r="1167" ht="15.75" customHeight="1">
      <c r="A1167" s="11">
        <f>IFERROR(__xludf.DUMMYFUNCTION("""COMPUTED_VALUE"""),44471.0)</f>
        <v>44471</v>
      </c>
      <c r="B1167" s="9">
        <f>IFERROR(__xludf.DUMMYFUNCTION("""COMPUTED_VALUE"""),1003451.0)</f>
        <v>1003451</v>
      </c>
      <c r="C1167" s="9">
        <f>IFERROR(__xludf.DUMMYFUNCTION("""COMPUTED_VALUE"""),4887.0)</f>
        <v>4887</v>
      </c>
      <c r="D1167" s="9"/>
      <c r="E1167" s="10" t="str">
        <f>IFERROR(__xludf.DUMMYFUNCTION("""COMPUTED_VALUE"""),"PREMIERE")</f>
        <v>PREMIERE</v>
      </c>
      <c r="F1167" s="10">
        <f>IFERROR(__xludf.DUMMYFUNCTION("""COMPUTED_VALUE"""),5.69)</f>
        <v>5.69</v>
      </c>
      <c r="G1167" s="9">
        <f>IFERROR(__xludf.DUMMYFUNCTION("""COMPUTED_VALUE"""),5.69)</f>
        <v>5.69</v>
      </c>
      <c r="H1167" s="9">
        <f>IFERROR(__xludf.DUMMYFUNCTION("""COMPUTED_VALUE"""),1.0)</f>
        <v>1</v>
      </c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</row>
    <row r="1168" ht="15.75" customHeight="1">
      <c r="A1168" s="11">
        <f>IFERROR(__xludf.DUMMYFUNCTION("""COMPUTED_VALUE"""),44471.0)</f>
        <v>44471</v>
      </c>
      <c r="B1168" s="9">
        <f>IFERROR(__xludf.DUMMYFUNCTION("""COMPUTED_VALUE"""),1003451.0)</f>
        <v>1003451</v>
      </c>
      <c r="C1168" s="9">
        <f>IFERROR(__xludf.DUMMYFUNCTION("""COMPUTED_VALUE"""),7358.0)</f>
        <v>7358</v>
      </c>
      <c r="D1168" s="9"/>
      <c r="E1168" s="10" t="str">
        <f>IFERROR(__xludf.DUMMYFUNCTION("""COMPUTED_VALUE"""),"PREMIERE")</f>
        <v>PREMIERE</v>
      </c>
      <c r="F1168" s="10">
        <f>IFERROR(__xludf.DUMMYFUNCTION("""COMPUTED_VALUE"""),8.41)</f>
        <v>8.41</v>
      </c>
      <c r="G1168" s="9">
        <f>IFERROR(__xludf.DUMMYFUNCTION("""COMPUTED_VALUE"""),8.41)</f>
        <v>8.41</v>
      </c>
      <c r="H1168" s="9">
        <f>IFERROR(__xludf.DUMMYFUNCTION("""COMPUTED_VALUE"""),2.0)</f>
        <v>2</v>
      </c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</row>
    <row r="1169" ht="15.75" customHeight="1">
      <c r="A1169" s="11">
        <f>IFERROR(__xludf.DUMMYFUNCTION("""COMPUTED_VALUE"""),44471.0)</f>
        <v>44471</v>
      </c>
      <c r="B1169" s="9">
        <f>IFERROR(__xludf.DUMMYFUNCTION("""COMPUTED_VALUE"""),1003451.0)</f>
        <v>1003451</v>
      </c>
      <c r="C1169" s="9">
        <f>IFERROR(__xludf.DUMMYFUNCTION("""COMPUTED_VALUE"""),76731.0)</f>
        <v>76731</v>
      </c>
      <c r="D1169" s="10" t="str">
        <f>IFERROR(__xludf.DUMMYFUNCTION("""COMPUTED_VALUE"""),"Vive le bio")</f>
        <v>Vive le bio</v>
      </c>
      <c r="E1169" s="10" t="str">
        <f>IFERROR(__xludf.DUMMYFUNCTION("""COMPUTED_VALUE"""),"PREMIERE")</f>
        <v>PREMIERE</v>
      </c>
      <c r="F1169" s="10">
        <f>IFERROR(__xludf.DUMMYFUNCTION("""COMPUTED_VALUE"""),5.67777777777777)</f>
        <v>5.677777778</v>
      </c>
      <c r="G1169" s="9">
        <f>IFERROR(__xludf.DUMMYFUNCTION("""COMPUTED_VALUE"""),5.11)</f>
        <v>5.11</v>
      </c>
      <c r="H1169" s="9">
        <f>IFERROR(__xludf.DUMMYFUNCTION("""COMPUTED_VALUE"""),2.0)</f>
        <v>2</v>
      </c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</row>
    <row r="1170" ht="15.75" customHeight="1">
      <c r="A1170" s="11">
        <f>IFERROR(__xludf.DUMMYFUNCTION("""COMPUTED_VALUE"""),44471.0)</f>
        <v>44471</v>
      </c>
      <c r="B1170" s="9">
        <f>IFERROR(__xludf.DUMMYFUNCTION("""COMPUTED_VALUE"""),1003451.0)</f>
        <v>1003451</v>
      </c>
      <c r="C1170" s="9">
        <f>IFERROR(__xludf.DUMMYFUNCTION("""COMPUTED_VALUE"""),5869.0)</f>
        <v>5869</v>
      </c>
      <c r="D1170" s="9"/>
      <c r="E1170" s="10" t="str">
        <f>IFERROR(__xludf.DUMMYFUNCTION("""COMPUTED_VALUE"""),"PREMIERE")</f>
        <v>PREMIERE</v>
      </c>
      <c r="F1170" s="10">
        <f>IFERROR(__xludf.DUMMYFUNCTION("""COMPUTED_VALUE"""),5.64)</f>
        <v>5.64</v>
      </c>
      <c r="G1170" s="9">
        <f>IFERROR(__xludf.DUMMYFUNCTION("""COMPUTED_VALUE"""),5.64)</f>
        <v>5.64</v>
      </c>
      <c r="H1170" s="9">
        <f>IFERROR(__xludf.DUMMYFUNCTION("""COMPUTED_VALUE"""),2.0)</f>
        <v>2</v>
      </c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</row>
    <row r="1171" ht="15.75" customHeight="1">
      <c r="A1171" s="11">
        <f>IFERROR(__xludf.DUMMYFUNCTION("""COMPUTED_VALUE"""),44471.0)</f>
        <v>44471</v>
      </c>
      <c r="B1171" s="9">
        <f>IFERROR(__xludf.DUMMYFUNCTION("""COMPUTED_VALUE"""),1003451.0)</f>
        <v>1003451</v>
      </c>
      <c r="C1171" s="9">
        <f>IFERROR(__xludf.DUMMYFUNCTION("""COMPUTED_VALUE"""),44760.0)</f>
        <v>44760</v>
      </c>
      <c r="D1171" s="10" t="str">
        <f>IFERROR(__xludf.DUMMYFUNCTION("""COMPUTED_VALUE"""),"Vive le bio")</f>
        <v>Vive le bio</v>
      </c>
      <c r="E1171" s="10" t="str">
        <f>IFERROR(__xludf.DUMMYFUNCTION("""COMPUTED_VALUE"""),"PREMIERE")</f>
        <v>PREMIERE</v>
      </c>
      <c r="F1171" s="10">
        <f>IFERROR(__xludf.DUMMYFUNCTION("""COMPUTED_VALUE"""),6.05555555555555)</f>
        <v>6.055555556</v>
      </c>
      <c r="G1171" s="9">
        <f>IFERROR(__xludf.DUMMYFUNCTION("""COMPUTED_VALUE"""),5.45)</f>
        <v>5.45</v>
      </c>
      <c r="H1171" s="9">
        <f>IFERROR(__xludf.DUMMYFUNCTION("""COMPUTED_VALUE"""),4.0)</f>
        <v>4</v>
      </c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</row>
    <row r="1172" ht="15.75" customHeight="1">
      <c r="A1172" s="11">
        <f>IFERROR(__xludf.DUMMYFUNCTION("""COMPUTED_VALUE"""),44471.0)</f>
        <v>44471</v>
      </c>
      <c r="B1172" s="9">
        <f>IFERROR(__xludf.DUMMYFUNCTION("""COMPUTED_VALUE"""),1003452.0)</f>
        <v>1003452</v>
      </c>
      <c r="C1172" s="9">
        <f>IFERROR(__xludf.DUMMYFUNCTION("""COMPUTED_VALUE"""),80199.0)</f>
        <v>80199</v>
      </c>
      <c r="D1172" s="9"/>
      <c r="E1172" s="9"/>
      <c r="F1172" s="9">
        <f>IFERROR(__xludf.DUMMYFUNCTION("""COMPUTED_VALUE"""),33.19)</f>
        <v>33.19</v>
      </c>
      <c r="G1172" s="9">
        <f>IFERROR(__xludf.DUMMYFUNCTION("""COMPUTED_VALUE"""),33.19)</f>
        <v>33.19</v>
      </c>
      <c r="H1172" s="9">
        <f>IFERROR(__xludf.DUMMYFUNCTION("""COMPUTED_VALUE"""),20.0)</f>
        <v>20</v>
      </c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</row>
    <row r="1173" ht="15.75" customHeight="1">
      <c r="A1173" s="11">
        <f>IFERROR(__xludf.DUMMYFUNCTION("""COMPUTED_VALUE"""),44471.0)</f>
        <v>44471</v>
      </c>
      <c r="B1173" s="9">
        <f>IFERROR(__xludf.DUMMYFUNCTION("""COMPUTED_VALUE"""),1003453.0)</f>
        <v>1003453</v>
      </c>
      <c r="C1173" s="9">
        <f>IFERROR(__xludf.DUMMYFUNCTION("""COMPUTED_VALUE"""),82454.0)</f>
        <v>82454</v>
      </c>
      <c r="D1173" s="9"/>
      <c r="E1173" s="9"/>
      <c r="F1173" s="9">
        <f>IFERROR(__xludf.DUMMYFUNCTION("""COMPUTED_VALUE"""),2.5)</f>
        <v>2.5</v>
      </c>
      <c r="G1173" s="9">
        <f>IFERROR(__xludf.DUMMYFUNCTION("""COMPUTED_VALUE"""),2.5)</f>
        <v>2.5</v>
      </c>
      <c r="H1173" s="9">
        <f>IFERROR(__xludf.DUMMYFUNCTION("""COMPUTED_VALUE"""),1.0)</f>
        <v>1</v>
      </c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</row>
    <row r="1174" ht="15.75" customHeight="1">
      <c r="A1174" s="11">
        <f>IFERROR(__xludf.DUMMYFUNCTION("""COMPUTED_VALUE"""),44471.0)</f>
        <v>44471</v>
      </c>
      <c r="B1174" s="9">
        <f>IFERROR(__xludf.DUMMYFUNCTION("""COMPUTED_VALUE"""),1003453.0)</f>
        <v>1003453</v>
      </c>
      <c r="C1174" s="9">
        <f>IFERROR(__xludf.DUMMYFUNCTION("""COMPUTED_VALUE"""),79942.0)</f>
        <v>79942</v>
      </c>
      <c r="D1174" s="9"/>
      <c r="E1174" s="9"/>
      <c r="F1174" s="9">
        <f>IFERROR(__xludf.DUMMYFUNCTION("""COMPUTED_VALUE"""),14.75)</f>
        <v>14.75</v>
      </c>
      <c r="G1174" s="9">
        <f>IFERROR(__xludf.DUMMYFUNCTION("""COMPUTED_VALUE"""),14.75)</f>
        <v>14.75</v>
      </c>
      <c r="H1174" s="9">
        <f>IFERROR(__xludf.DUMMYFUNCTION("""COMPUTED_VALUE"""),1.0)</f>
        <v>1</v>
      </c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</row>
    <row r="1175" ht="15.75" customHeight="1">
      <c r="A1175" s="11">
        <f>IFERROR(__xludf.DUMMYFUNCTION("""COMPUTED_VALUE"""),44471.0)</f>
        <v>44471</v>
      </c>
      <c r="B1175" s="9">
        <f>IFERROR(__xludf.DUMMYFUNCTION("""COMPUTED_VALUE"""),1003453.0)</f>
        <v>1003453</v>
      </c>
      <c r="C1175" s="9">
        <f>IFERROR(__xludf.DUMMYFUNCTION("""COMPUTED_VALUE"""),76731.0)</f>
        <v>76731</v>
      </c>
      <c r="D1175" s="10" t="str">
        <f>IFERROR(__xludf.DUMMYFUNCTION("""COMPUTED_VALUE"""),"Vive le bio")</f>
        <v>Vive le bio</v>
      </c>
      <c r="E1175" s="10"/>
      <c r="F1175" s="9">
        <f>IFERROR(__xludf.DUMMYFUNCTION("""COMPUTED_VALUE"""),2.84444444444444)</f>
        <v>2.844444444</v>
      </c>
      <c r="G1175" s="9">
        <f>IFERROR(__xludf.DUMMYFUNCTION("""COMPUTED_VALUE"""),2.56)</f>
        <v>2.56</v>
      </c>
      <c r="H1175" s="9">
        <f>IFERROR(__xludf.DUMMYFUNCTION("""COMPUTED_VALUE"""),1.0)</f>
        <v>1</v>
      </c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</row>
    <row r="1176" ht="15.75" customHeight="1">
      <c r="A1176" s="11">
        <f>IFERROR(__xludf.DUMMYFUNCTION("""COMPUTED_VALUE"""),44471.0)</f>
        <v>44471</v>
      </c>
      <c r="B1176" s="9">
        <f>IFERROR(__xludf.DUMMYFUNCTION("""COMPUTED_VALUE"""),1003453.0)</f>
        <v>1003453</v>
      </c>
      <c r="C1176" s="9">
        <f>IFERROR(__xludf.DUMMYFUNCTION("""COMPUTED_VALUE"""),122082.0)</f>
        <v>122082</v>
      </c>
      <c r="D1176" s="9"/>
      <c r="E1176" s="9"/>
      <c r="F1176" s="9">
        <f>IFERROR(__xludf.DUMMYFUNCTION("""COMPUTED_VALUE"""),3.64)</f>
        <v>3.64</v>
      </c>
      <c r="G1176" s="9">
        <f>IFERROR(__xludf.DUMMYFUNCTION("""COMPUTED_VALUE"""),3.64)</f>
        <v>3.64</v>
      </c>
      <c r="H1176" s="9">
        <f>IFERROR(__xludf.DUMMYFUNCTION("""COMPUTED_VALUE"""),1.0)</f>
        <v>1</v>
      </c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</row>
    <row r="1177" ht="15.75" customHeight="1">
      <c r="A1177" s="11">
        <f>IFERROR(__xludf.DUMMYFUNCTION("""COMPUTED_VALUE"""),44471.0)</f>
        <v>44471</v>
      </c>
      <c r="B1177" s="9">
        <f>IFERROR(__xludf.DUMMYFUNCTION("""COMPUTED_VALUE"""),1003453.0)</f>
        <v>1003453</v>
      </c>
      <c r="C1177" s="9">
        <f>IFERROR(__xludf.DUMMYFUNCTION("""COMPUTED_VALUE"""),82458.0)</f>
        <v>82458</v>
      </c>
      <c r="D1177" s="9"/>
      <c r="E1177" s="9"/>
      <c r="F1177" s="9">
        <f>IFERROR(__xludf.DUMMYFUNCTION("""COMPUTED_VALUE"""),3.15)</f>
        <v>3.15</v>
      </c>
      <c r="G1177" s="9">
        <f>IFERROR(__xludf.DUMMYFUNCTION("""COMPUTED_VALUE"""),3.15)</f>
        <v>3.15</v>
      </c>
      <c r="H1177" s="9">
        <f>IFERROR(__xludf.DUMMYFUNCTION("""COMPUTED_VALUE"""),1.0)</f>
        <v>1</v>
      </c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</row>
    <row r="1178" ht="15.75" customHeight="1">
      <c r="A1178" s="11">
        <f>IFERROR(__xludf.DUMMYFUNCTION("""COMPUTED_VALUE"""),44471.0)</f>
        <v>44471</v>
      </c>
      <c r="B1178" s="9">
        <f>IFERROR(__xludf.DUMMYFUNCTION("""COMPUTED_VALUE"""),1003453.0)</f>
        <v>1003453</v>
      </c>
      <c r="C1178" s="9">
        <f>IFERROR(__xludf.DUMMYFUNCTION("""COMPUTED_VALUE"""),195244.0)</f>
        <v>195244</v>
      </c>
      <c r="D1178" s="9"/>
      <c r="E1178" s="9"/>
      <c r="F1178" s="9">
        <f>IFERROR(__xludf.DUMMYFUNCTION("""COMPUTED_VALUE"""),9.1)</f>
        <v>9.1</v>
      </c>
      <c r="G1178" s="9">
        <f>IFERROR(__xludf.DUMMYFUNCTION("""COMPUTED_VALUE"""),9.1)</f>
        <v>9.1</v>
      </c>
      <c r="H1178" s="9">
        <f>IFERROR(__xludf.DUMMYFUNCTION("""COMPUTED_VALUE"""),1.0)</f>
        <v>1</v>
      </c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</row>
    <row r="1179" ht="15.75" customHeight="1">
      <c r="A1179" s="11">
        <f>IFERROR(__xludf.DUMMYFUNCTION("""COMPUTED_VALUE"""),44471.0)</f>
        <v>44471</v>
      </c>
      <c r="B1179" s="9">
        <f>IFERROR(__xludf.DUMMYFUNCTION("""COMPUTED_VALUE"""),1003453.0)</f>
        <v>1003453</v>
      </c>
      <c r="C1179" s="9">
        <f>IFERROR(__xludf.DUMMYFUNCTION("""COMPUTED_VALUE"""),110860.0)</f>
        <v>110860</v>
      </c>
      <c r="D1179" s="9"/>
      <c r="E1179" s="9"/>
      <c r="F1179" s="9">
        <f>IFERROR(__xludf.DUMMYFUNCTION("""COMPUTED_VALUE"""),3.06)</f>
        <v>3.06</v>
      </c>
      <c r="G1179" s="9">
        <f>IFERROR(__xludf.DUMMYFUNCTION("""COMPUTED_VALUE"""),3.06)</f>
        <v>3.06</v>
      </c>
      <c r="H1179" s="9">
        <f>IFERROR(__xludf.DUMMYFUNCTION("""COMPUTED_VALUE"""),1.0)</f>
        <v>1</v>
      </c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</row>
    <row r="1180" ht="15.75" customHeight="1">
      <c r="A1180" s="11">
        <f>IFERROR(__xludf.DUMMYFUNCTION("""COMPUTED_VALUE"""),44471.0)</f>
        <v>44471</v>
      </c>
      <c r="B1180" s="9">
        <f>IFERROR(__xludf.DUMMYFUNCTION("""COMPUTED_VALUE"""),1003453.0)</f>
        <v>1003453</v>
      </c>
      <c r="C1180" s="9">
        <f>IFERROR(__xludf.DUMMYFUNCTION("""COMPUTED_VALUE"""),193193.0)</f>
        <v>193193</v>
      </c>
      <c r="D1180" s="9"/>
      <c r="E1180" s="9"/>
      <c r="F1180" s="9">
        <f>IFERROR(__xludf.DUMMYFUNCTION("""COMPUTED_VALUE"""),5.94)</f>
        <v>5.94</v>
      </c>
      <c r="G1180" s="9">
        <f>IFERROR(__xludf.DUMMYFUNCTION("""COMPUTED_VALUE"""),5.94)</f>
        <v>5.94</v>
      </c>
      <c r="H1180" s="9">
        <f>IFERROR(__xludf.DUMMYFUNCTION("""COMPUTED_VALUE"""),1.0)</f>
        <v>1</v>
      </c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</row>
    <row r="1181" ht="15.75" customHeight="1">
      <c r="A1181" s="11">
        <f>IFERROR(__xludf.DUMMYFUNCTION("""COMPUTED_VALUE"""),44471.0)</f>
        <v>44471</v>
      </c>
      <c r="B1181" s="9">
        <f>IFERROR(__xludf.DUMMYFUNCTION("""COMPUTED_VALUE"""),1003453.0)</f>
        <v>1003453</v>
      </c>
      <c r="C1181" s="9">
        <f>IFERROR(__xludf.DUMMYFUNCTION("""COMPUTED_VALUE"""),193254.0)</f>
        <v>193254</v>
      </c>
      <c r="D1181" s="9"/>
      <c r="E1181" s="9"/>
      <c r="F1181" s="9">
        <f>IFERROR(__xludf.DUMMYFUNCTION("""COMPUTED_VALUE"""),5.94)</f>
        <v>5.94</v>
      </c>
      <c r="G1181" s="9">
        <f>IFERROR(__xludf.DUMMYFUNCTION("""COMPUTED_VALUE"""),5.94)</f>
        <v>5.94</v>
      </c>
      <c r="H1181" s="9">
        <f>IFERROR(__xludf.DUMMYFUNCTION("""COMPUTED_VALUE"""),1.0)</f>
        <v>1</v>
      </c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</row>
    <row r="1182" ht="15.75" customHeight="1">
      <c r="A1182" s="11">
        <f>IFERROR(__xludf.DUMMYFUNCTION("""COMPUTED_VALUE"""),44471.0)</f>
        <v>44471</v>
      </c>
      <c r="B1182" s="9">
        <f>IFERROR(__xludf.DUMMYFUNCTION("""COMPUTED_VALUE"""),1003453.0)</f>
        <v>1003453</v>
      </c>
      <c r="C1182" s="9">
        <f>IFERROR(__xludf.DUMMYFUNCTION("""COMPUTED_VALUE"""),46976.0)</f>
        <v>46976</v>
      </c>
      <c r="D1182" s="9"/>
      <c r="E1182" s="9"/>
      <c r="F1182" s="9">
        <f>IFERROR(__xludf.DUMMYFUNCTION("""COMPUTED_VALUE"""),11.15)</f>
        <v>11.15</v>
      </c>
      <c r="G1182" s="9">
        <f>IFERROR(__xludf.DUMMYFUNCTION("""COMPUTED_VALUE"""),11.15)</f>
        <v>11.15</v>
      </c>
      <c r="H1182" s="9">
        <f>IFERROR(__xludf.DUMMYFUNCTION("""COMPUTED_VALUE"""),1.0)</f>
        <v>1</v>
      </c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</row>
    <row r="1183" ht="15.75" customHeight="1">
      <c r="A1183" s="11">
        <f>IFERROR(__xludf.DUMMYFUNCTION("""COMPUTED_VALUE"""),44471.0)</f>
        <v>44471</v>
      </c>
      <c r="B1183" s="9">
        <f>IFERROR(__xludf.DUMMYFUNCTION("""COMPUTED_VALUE"""),1003454.0)</f>
        <v>1003454</v>
      </c>
      <c r="C1183" s="9">
        <f>IFERROR(__xludf.DUMMYFUNCTION("""COMPUTED_VALUE"""),41107.0)</f>
        <v>41107</v>
      </c>
      <c r="D1183" s="9"/>
      <c r="E1183" s="9"/>
      <c r="F1183" s="9">
        <f>IFERROR(__xludf.DUMMYFUNCTION("""COMPUTED_VALUE"""),9.1)</f>
        <v>9.1</v>
      </c>
      <c r="G1183" s="9">
        <f>IFERROR(__xludf.DUMMYFUNCTION("""COMPUTED_VALUE"""),9.1)</f>
        <v>9.1</v>
      </c>
      <c r="H1183" s="9">
        <f>IFERROR(__xludf.DUMMYFUNCTION("""COMPUTED_VALUE"""),1.0)</f>
        <v>1</v>
      </c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</row>
    <row r="1184" ht="15.75" customHeight="1">
      <c r="A1184" s="11">
        <f>IFERROR(__xludf.DUMMYFUNCTION("""COMPUTED_VALUE"""),44471.0)</f>
        <v>44471</v>
      </c>
      <c r="B1184" s="9">
        <f>IFERROR(__xludf.DUMMYFUNCTION("""COMPUTED_VALUE"""),1003454.0)</f>
        <v>1003454</v>
      </c>
      <c r="C1184" s="9">
        <f>IFERROR(__xludf.DUMMYFUNCTION("""COMPUTED_VALUE"""),73442.0)</f>
        <v>73442</v>
      </c>
      <c r="D1184" s="9"/>
      <c r="E1184" s="9"/>
      <c r="F1184" s="9">
        <f>IFERROR(__xludf.DUMMYFUNCTION("""COMPUTED_VALUE"""),2.69)</f>
        <v>2.69</v>
      </c>
      <c r="G1184" s="9">
        <f>IFERROR(__xludf.DUMMYFUNCTION("""COMPUTED_VALUE"""),2.69)</f>
        <v>2.69</v>
      </c>
      <c r="H1184" s="9">
        <f>IFERROR(__xludf.DUMMYFUNCTION("""COMPUTED_VALUE"""),1.0)</f>
        <v>1</v>
      </c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</row>
    <row r="1185" ht="15.75" customHeight="1">
      <c r="A1185" s="11">
        <f>IFERROR(__xludf.DUMMYFUNCTION("""COMPUTED_VALUE"""),44471.0)</f>
        <v>44471</v>
      </c>
      <c r="B1185" s="9">
        <f>IFERROR(__xludf.DUMMYFUNCTION("""COMPUTED_VALUE"""),1003454.0)</f>
        <v>1003454</v>
      </c>
      <c r="C1185" s="9">
        <f>IFERROR(__xludf.DUMMYFUNCTION("""COMPUTED_VALUE"""),129492.0)</f>
        <v>129492</v>
      </c>
      <c r="D1185" s="9"/>
      <c r="E1185" s="9"/>
      <c r="F1185" s="9">
        <f>IFERROR(__xludf.DUMMYFUNCTION("""COMPUTED_VALUE"""),4.39)</f>
        <v>4.39</v>
      </c>
      <c r="G1185" s="9">
        <f>IFERROR(__xludf.DUMMYFUNCTION("""COMPUTED_VALUE"""),4.39)</f>
        <v>4.39</v>
      </c>
      <c r="H1185" s="9">
        <f>IFERROR(__xludf.DUMMYFUNCTION("""COMPUTED_VALUE"""),1.0)</f>
        <v>1</v>
      </c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</row>
    <row r="1186" ht="15.75" customHeight="1">
      <c r="A1186" s="11">
        <f>IFERROR(__xludf.DUMMYFUNCTION("""COMPUTED_VALUE"""),44471.0)</f>
        <v>44471</v>
      </c>
      <c r="B1186" s="9">
        <f>IFERROR(__xludf.DUMMYFUNCTION("""COMPUTED_VALUE"""),1003454.0)</f>
        <v>1003454</v>
      </c>
      <c r="C1186" s="9">
        <f>IFERROR(__xludf.DUMMYFUNCTION("""COMPUTED_VALUE"""),21603.0)</f>
        <v>21603</v>
      </c>
      <c r="D1186" s="10" t="str">
        <f>IFERROR(__xludf.DUMMYFUNCTION("""COMPUTED_VALUE"""),"Vive le bio")</f>
        <v>Vive le bio</v>
      </c>
      <c r="E1186" s="10"/>
      <c r="F1186" s="9">
        <f>IFERROR(__xludf.DUMMYFUNCTION("""COMPUTED_VALUE"""),5.01111111111111)</f>
        <v>5.011111111</v>
      </c>
      <c r="G1186" s="9">
        <f>IFERROR(__xludf.DUMMYFUNCTION("""COMPUTED_VALUE"""),4.51)</f>
        <v>4.51</v>
      </c>
      <c r="H1186" s="9">
        <f>IFERROR(__xludf.DUMMYFUNCTION("""COMPUTED_VALUE"""),1.0)</f>
        <v>1</v>
      </c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</row>
    <row r="1187" ht="15.75" customHeight="1">
      <c r="A1187" s="11">
        <f>IFERROR(__xludf.DUMMYFUNCTION("""COMPUTED_VALUE"""),44471.0)</f>
        <v>44471</v>
      </c>
      <c r="B1187" s="9">
        <f>IFERROR(__xludf.DUMMYFUNCTION("""COMPUTED_VALUE"""),1003454.0)</f>
        <v>1003454</v>
      </c>
      <c r="C1187" s="9">
        <f>IFERROR(__xludf.DUMMYFUNCTION("""COMPUTED_VALUE"""),111941.0)</f>
        <v>111941</v>
      </c>
      <c r="D1187" s="9"/>
      <c r="E1187" s="9"/>
      <c r="F1187" s="9">
        <f>IFERROR(__xludf.DUMMYFUNCTION("""COMPUTED_VALUE"""),8.17)</f>
        <v>8.17</v>
      </c>
      <c r="G1187" s="9">
        <f>IFERROR(__xludf.DUMMYFUNCTION("""COMPUTED_VALUE"""),8.17)</f>
        <v>8.17</v>
      </c>
      <c r="H1187" s="9">
        <f>IFERROR(__xludf.DUMMYFUNCTION("""COMPUTED_VALUE"""),1.0)</f>
        <v>1</v>
      </c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</row>
    <row r="1188" ht="15.75" customHeight="1">
      <c r="A1188" s="11">
        <f>IFERROR(__xludf.DUMMYFUNCTION("""COMPUTED_VALUE"""),44471.0)</f>
        <v>44471</v>
      </c>
      <c r="B1188" s="9">
        <f>IFERROR(__xludf.DUMMYFUNCTION("""COMPUTED_VALUE"""),1003454.0)</f>
        <v>1003454</v>
      </c>
      <c r="C1188" s="9">
        <f>IFERROR(__xludf.DUMMYFUNCTION("""COMPUTED_VALUE"""),76608.0)</f>
        <v>76608</v>
      </c>
      <c r="D1188" s="10" t="str">
        <f>IFERROR(__xludf.DUMMYFUNCTION("""COMPUTED_VALUE"""),"Vive le bio")</f>
        <v>Vive le bio</v>
      </c>
      <c r="E1188" s="10"/>
      <c r="F1188" s="9">
        <f>IFERROR(__xludf.DUMMYFUNCTION("""COMPUTED_VALUE"""),1.57777777777777)</f>
        <v>1.577777778</v>
      </c>
      <c r="G1188" s="9">
        <f>IFERROR(__xludf.DUMMYFUNCTION("""COMPUTED_VALUE"""),1.42)</f>
        <v>1.42</v>
      </c>
      <c r="H1188" s="9">
        <f>IFERROR(__xludf.DUMMYFUNCTION("""COMPUTED_VALUE"""),1.0)</f>
        <v>1</v>
      </c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</row>
    <row r="1189" ht="15.75" customHeight="1">
      <c r="A1189" s="11">
        <f>IFERROR(__xludf.DUMMYFUNCTION("""COMPUTED_VALUE"""),44471.0)</f>
        <v>44471</v>
      </c>
      <c r="B1189" s="9">
        <f>IFERROR(__xludf.DUMMYFUNCTION("""COMPUTED_VALUE"""),1003454.0)</f>
        <v>1003454</v>
      </c>
      <c r="C1189" s="9">
        <f>IFERROR(__xludf.DUMMYFUNCTION("""COMPUTED_VALUE"""),82980.0)</f>
        <v>82980</v>
      </c>
      <c r="D1189" s="9"/>
      <c r="E1189" s="9"/>
      <c r="F1189" s="9">
        <f>IFERROR(__xludf.DUMMYFUNCTION("""COMPUTED_VALUE"""),6.3)</f>
        <v>6.3</v>
      </c>
      <c r="G1189" s="9">
        <f>IFERROR(__xludf.DUMMYFUNCTION("""COMPUTED_VALUE"""),6.3)</f>
        <v>6.3</v>
      </c>
      <c r="H1189" s="9">
        <f>IFERROR(__xludf.DUMMYFUNCTION("""COMPUTED_VALUE"""),2.0)</f>
        <v>2</v>
      </c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</row>
    <row r="1190" ht="15.75" customHeight="1">
      <c r="A1190" s="11">
        <f>IFERROR(__xludf.DUMMYFUNCTION("""COMPUTED_VALUE"""),44471.0)</f>
        <v>44471</v>
      </c>
      <c r="B1190" s="9">
        <f>IFERROR(__xludf.DUMMYFUNCTION("""COMPUTED_VALUE"""),1003455.0)</f>
        <v>1003455</v>
      </c>
      <c r="C1190" s="9">
        <f>IFERROR(__xludf.DUMMYFUNCTION("""COMPUTED_VALUE"""),12877.0)</f>
        <v>12877</v>
      </c>
      <c r="D1190" s="10" t="str">
        <f>IFERROR(__xludf.DUMMYFUNCTION("""COMPUTED_VALUE"""),"Vive le bio")</f>
        <v>Vive le bio</v>
      </c>
      <c r="E1190" s="10" t="str">
        <f>IFERROR(__xludf.DUMMYFUNCTION("""COMPUTED_VALUE"""),"GREENRELAIS")</f>
        <v>GREENRELAIS</v>
      </c>
      <c r="F1190" s="10">
        <f>IFERROR(__xludf.DUMMYFUNCTION("""COMPUTED_VALUE"""),31.9)</f>
        <v>31.9</v>
      </c>
      <c r="G1190" s="9">
        <f>IFERROR(__xludf.DUMMYFUNCTION("""COMPUTED_VALUE"""),28.71)</f>
        <v>28.71</v>
      </c>
      <c r="H1190" s="9">
        <f>IFERROR(__xludf.DUMMYFUNCTION("""COMPUTED_VALUE"""),1.0)</f>
        <v>1</v>
      </c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</row>
    <row r="1191" ht="15.75" customHeight="1">
      <c r="A1191" s="11">
        <f>IFERROR(__xludf.DUMMYFUNCTION("""COMPUTED_VALUE"""),44471.0)</f>
        <v>44471</v>
      </c>
      <c r="B1191" s="9">
        <f>IFERROR(__xludf.DUMMYFUNCTION("""COMPUTED_VALUE"""),1003455.0)</f>
        <v>1003455</v>
      </c>
      <c r="C1191" s="9">
        <f>IFERROR(__xludf.DUMMYFUNCTION("""COMPUTED_VALUE"""),47325.0)</f>
        <v>47325</v>
      </c>
      <c r="D1191" s="9"/>
      <c r="E1191" s="10" t="str">
        <f>IFERROR(__xludf.DUMMYFUNCTION("""COMPUTED_VALUE"""),"GREENRELAIS")</f>
        <v>GREENRELAIS</v>
      </c>
      <c r="F1191" s="10">
        <f>IFERROR(__xludf.DUMMYFUNCTION("""COMPUTED_VALUE"""),5.17)</f>
        <v>5.17</v>
      </c>
      <c r="G1191" s="9">
        <f>IFERROR(__xludf.DUMMYFUNCTION("""COMPUTED_VALUE"""),5.17)</f>
        <v>5.17</v>
      </c>
      <c r="H1191" s="9">
        <f>IFERROR(__xludf.DUMMYFUNCTION("""COMPUTED_VALUE"""),1.0)</f>
        <v>1</v>
      </c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</row>
    <row r="1192" ht="15.75" customHeight="1">
      <c r="A1192" s="11">
        <f>IFERROR(__xludf.DUMMYFUNCTION("""COMPUTED_VALUE"""),44471.0)</f>
        <v>44471</v>
      </c>
      <c r="B1192" s="9">
        <f>IFERROR(__xludf.DUMMYFUNCTION("""COMPUTED_VALUE"""),1003455.0)</f>
        <v>1003455</v>
      </c>
      <c r="C1192" s="9">
        <f>IFERROR(__xludf.DUMMYFUNCTION("""COMPUTED_VALUE"""),48624.0)</f>
        <v>48624</v>
      </c>
      <c r="D1192" s="9"/>
      <c r="E1192" s="10" t="str">
        <f>IFERROR(__xludf.DUMMYFUNCTION("""COMPUTED_VALUE"""),"GREENRELAIS")</f>
        <v>GREENRELAIS</v>
      </c>
      <c r="F1192" s="10">
        <f>IFERROR(__xludf.DUMMYFUNCTION("""COMPUTED_VALUE"""),6.97)</f>
        <v>6.97</v>
      </c>
      <c r="G1192" s="9">
        <f>IFERROR(__xludf.DUMMYFUNCTION("""COMPUTED_VALUE"""),6.97)</f>
        <v>6.97</v>
      </c>
      <c r="H1192" s="9">
        <f>IFERROR(__xludf.DUMMYFUNCTION("""COMPUTED_VALUE"""),1.0)</f>
        <v>1</v>
      </c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</row>
    <row r="1193" ht="15.75" customHeight="1">
      <c r="A1193" s="11">
        <f>IFERROR(__xludf.DUMMYFUNCTION("""COMPUTED_VALUE"""),44471.0)</f>
        <v>44471</v>
      </c>
      <c r="B1193" s="9">
        <f>IFERROR(__xludf.DUMMYFUNCTION("""COMPUTED_VALUE"""),1003455.0)</f>
        <v>1003455</v>
      </c>
      <c r="C1193" s="9">
        <f>IFERROR(__xludf.DUMMYFUNCTION("""COMPUTED_VALUE"""),10561.0)</f>
        <v>10561</v>
      </c>
      <c r="D1193" s="9"/>
      <c r="E1193" s="10" t="str">
        <f>IFERROR(__xludf.DUMMYFUNCTION("""COMPUTED_VALUE"""),"GREENRELAIS")</f>
        <v>GREENRELAIS</v>
      </c>
      <c r="F1193" s="10">
        <f>IFERROR(__xludf.DUMMYFUNCTION("""COMPUTED_VALUE"""),35.33)</f>
        <v>35.33</v>
      </c>
      <c r="G1193" s="9">
        <f>IFERROR(__xludf.DUMMYFUNCTION("""COMPUTED_VALUE"""),35.33)</f>
        <v>35.33</v>
      </c>
      <c r="H1193" s="9">
        <f>IFERROR(__xludf.DUMMYFUNCTION("""COMPUTED_VALUE"""),5.0)</f>
        <v>5</v>
      </c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</row>
    <row r="1194" ht="15.75" customHeight="1">
      <c r="A1194" s="11">
        <f>IFERROR(__xludf.DUMMYFUNCTION("""COMPUTED_VALUE"""),44471.0)</f>
        <v>44471</v>
      </c>
      <c r="B1194" s="9">
        <f>IFERROR(__xludf.DUMMYFUNCTION("""COMPUTED_VALUE"""),1003456.0)</f>
        <v>1003456</v>
      </c>
      <c r="C1194" s="9">
        <f>IFERROR(__xludf.DUMMYFUNCTION("""COMPUTED_VALUE"""),81771.0)</f>
        <v>81771</v>
      </c>
      <c r="D1194" s="10" t="str">
        <f>IFERROR(__xludf.DUMMYFUNCTION("""COMPUTED_VALUE"""),"Vive le bio")</f>
        <v>Vive le bio</v>
      </c>
      <c r="E1194" s="10" t="str">
        <f>IFERROR(__xludf.DUMMYFUNCTION("""COMPUTED_VALUE"""),"GREENRELAIS")</f>
        <v>GREENRELAIS</v>
      </c>
      <c r="F1194" s="10">
        <f>IFERROR(__xludf.DUMMYFUNCTION("""COMPUTED_VALUE"""),2.21111111111111)</f>
        <v>2.211111111</v>
      </c>
      <c r="G1194" s="9">
        <f>IFERROR(__xludf.DUMMYFUNCTION("""COMPUTED_VALUE"""),1.99)</f>
        <v>1.99</v>
      </c>
      <c r="H1194" s="9">
        <f>IFERROR(__xludf.DUMMYFUNCTION("""COMPUTED_VALUE"""),1.0)</f>
        <v>1</v>
      </c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</row>
    <row r="1195" ht="15.75" customHeight="1">
      <c r="A1195" s="11">
        <f>IFERROR(__xludf.DUMMYFUNCTION("""COMPUTED_VALUE"""),44471.0)</f>
        <v>44471</v>
      </c>
      <c r="B1195" s="9">
        <f>IFERROR(__xludf.DUMMYFUNCTION("""COMPUTED_VALUE"""),1003456.0)</f>
        <v>1003456</v>
      </c>
      <c r="C1195" s="9">
        <f>IFERROR(__xludf.DUMMYFUNCTION("""COMPUTED_VALUE"""),182013.0)</f>
        <v>182013</v>
      </c>
      <c r="D1195" s="9"/>
      <c r="E1195" s="10" t="str">
        <f>IFERROR(__xludf.DUMMYFUNCTION("""COMPUTED_VALUE"""),"GREENRELAIS")</f>
        <v>GREENRELAIS</v>
      </c>
      <c r="F1195" s="10">
        <f>IFERROR(__xludf.DUMMYFUNCTION("""COMPUTED_VALUE"""),13.84)</f>
        <v>13.84</v>
      </c>
      <c r="G1195" s="9">
        <f>IFERROR(__xludf.DUMMYFUNCTION("""COMPUTED_VALUE"""),13.84)</f>
        <v>13.84</v>
      </c>
      <c r="H1195" s="9">
        <f>IFERROR(__xludf.DUMMYFUNCTION("""COMPUTED_VALUE"""),1.0)</f>
        <v>1</v>
      </c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</row>
    <row r="1196" ht="15.75" customHeight="1">
      <c r="A1196" s="11">
        <f>IFERROR(__xludf.DUMMYFUNCTION("""COMPUTED_VALUE"""),44471.0)</f>
        <v>44471</v>
      </c>
      <c r="B1196" s="9">
        <f>IFERROR(__xludf.DUMMYFUNCTION("""COMPUTED_VALUE"""),1003456.0)</f>
        <v>1003456</v>
      </c>
      <c r="C1196" s="9">
        <f>IFERROR(__xludf.DUMMYFUNCTION("""COMPUTED_VALUE"""),5869.0)</f>
        <v>5869</v>
      </c>
      <c r="D1196" s="9"/>
      <c r="E1196" s="10" t="str">
        <f>IFERROR(__xludf.DUMMYFUNCTION("""COMPUTED_VALUE"""),"GREENRELAIS")</f>
        <v>GREENRELAIS</v>
      </c>
      <c r="F1196" s="10">
        <f>IFERROR(__xludf.DUMMYFUNCTION("""COMPUTED_VALUE"""),2.85)</f>
        <v>2.85</v>
      </c>
      <c r="G1196" s="9">
        <f>IFERROR(__xludf.DUMMYFUNCTION("""COMPUTED_VALUE"""),2.85)</f>
        <v>2.85</v>
      </c>
      <c r="H1196" s="9">
        <f>IFERROR(__xludf.DUMMYFUNCTION("""COMPUTED_VALUE"""),1.0)</f>
        <v>1</v>
      </c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</row>
    <row r="1197" ht="15.75" customHeight="1">
      <c r="A1197" s="11">
        <f>IFERROR(__xludf.DUMMYFUNCTION("""COMPUTED_VALUE"""),44471.0)</f>
        <v>44471</v>
      </c>
      <c r="B1197" s="9">
        <f>IFERROR(__xludf.DUMMYFUNCTION("""COMPUTED_VALUE"""),1003456.0)</f>
        <v>1003456</v>
      </c>
      <c r="C1197" s="9">
        <f>IFERROR(__xludf.DUMMYFUNCTION("""COMPUTED_VALUE"""),182015.0)</f>
        <v>182015</v>
      </c>
      <c r="D1197" s="9"/>
      <c r="E1197" s="10" t="str">
        <f>IFERROR(__xludf.DUMMYFUNCTION("""COMPUTED_VALUE"""),"GREENRELAIS")</f>
        <v>GREENRELAIS</v>
      </c>
      <c r="F1197" s="10">
        <f>IFERROR(__xludf.DUMMYFUNCTION("""COMPUTED_VALUE"""),7.7)</f>
        <v>7.7</v>
      </c>
      <c r="G1197" s="9">
        <f>IFERROR(__xludf.DUMMYFUNCTION("""COMPUTED_VALUE"""),7.7)</f>
        <v>7.7</v>
      </c>
      <c r="H1197" s="9">
        <f>IFERROR(__xludf.DUMMYFUNCTION("""COMPUTED_VALUE"""),1.0)</f>
        <v>1</v>
      </c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</row>
    <row r="1198" ht="15.75" customHeight="1">
      <c r="A1198" s="11">
        <f>IFERROR(__xludf.DUMMYFUNCTION("""COMPUTED_VALUE"""),44471.0)</f>
        <v>44471</v>
      </c>
      <c r="B1198" s="9">
        <f>IFERROR(__xludf.DUMMYFUNCTION("""COMPUTED_VALUE"""),1003456.0)</f>
        <v>1003456</v>
      </c>
      <c r="C1198" s="9">
        <f>IFERROR(__xludf.DUMMYFUNCTION("""COMPUTED_VALUE"""),85779.0)</f>
        <v>85779</v>
      </c>
      <c r="D1198" s="10" t="str">
        <f>IFERROR(__xludf.DUMMYFUNCTION("""COMPUTED_VALUE"""),"Vive le bio")</f>
        <v>Vive le bio</v>
      </c>
      <c r="E1198" s="10" t="str">
        <f>IFERROR(__xludf.DUMMYFUNCTION("""COMPUTED_VALUE"""),"GREENRELAIS")</f>
        <v>GREENRELAIS</v>
      </c>
      <c r="F1198" s="10">
        <f>IFERROR(__xludf.DUMMYFUNCTION("""COMPUTED_VALUE"""),14.8210526315789)</f>
        <v>14.82105263</v>
      </c>
      <c r="G1198" s="9">
        <f>IFERROR(__xludf.DUMMYFUNCTION("""COMPUTED_VALUE"""),14.08)</f>
        <v>14.08</v>
      </c>
      <c r="H1198" s="9">
        <f>IFERROR(__xludf.DUMMYFUNCTION("""COMPUTED_VALUE"""),2.0)</f>
        <v>2</v>
      </c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</row>
    <row r="1199" ht="15.75" customHeight="1">
      <c r="A1199" s="11">
        <f>IFERROR(__xludf.DUMMYFUNCTION("""COMPUTED_VALUE"""),44471.0)</f>
        <v>44471</v>
      </c>
      <c r="B1199" s="9">
        <f>IFERROR(__xludf.DUMMYFUNCTION("""COMPUTED_VALUE"""),1003456.0)</f>
        <v>1003456</v>
      </c>
      <c r="C1199" s="9">
        <f>IFERROR(__xludf.DUMMYFUNCTION("""COMPUTED_VALUE"""),100692.0)</f>
        <v>100692</v>
      </c>
      <c r="D1199" s="9"/>
      <c r="E1199" s="10" t="str">
        <f>IFERROR(__xludf.DUMMYFUNCTION("""COMPUTED_VALUE"""),"GREENRELAIS")</f>
        <v>GREENRELAIS</v>
      </c>
      <c r="F1199" s="10">
        <f>IFERROR(__xludf.DUMMYFUNCTION("""COMPUTED_VALUE"""),4.47)</f>
        <v>4.47</v>
      </c>
      <c r="G1199" s="9">
        <f>IFERROR(__xludf.DUMMYFUNCTION("""COMPUTED_VALUE"""),4.47)</f>
        <v>4.47</v>
      </c>
      <c r="H1199" s="9">
        <f>IFERROR(__xludf.DUMMYFUNCTION("""COMPUTED_VALUE"""),2.0)</f>
        <v>2</v>
      </c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</row>
    <row r="1200" ht="15.75" customHeight="1">
      <c r="A1200" s="11">
        <f>IFERROR(__xludf.DUMMYFUNCTION("""COMPUTED_VALUE"""),44471.0)</f>
        <v>44471</v>
      </c>
      <c r="B1200" s="9">
        <f>IFERROR(__xludf.DUMMYFUNCTION("""COMPUTED_VALUE"""),1003456.0)</f>
        <v>1003456</v>
      </c>
      <c r="C1200" s="9">
        <f>IFERROR(__xludf.DUMMYFUNCTION("""COMPUTED_VALUE"""),110431.0)</f>
        <v>110431</v>
      </c>
      <c r="D1200" s="9"/>
      <c r="E1200" s="10" t="str">
        <f>IFERROR(__xludf.DUMMYFUNCTION("""COMPUTED_VALUE"""),"GREENRELAIS")</f>
        <v>GREENRELAIS</v>
      </c>
      <c r="F1200" s="10">
        <f>IFERROR(__xludf.DUMMYFUNCTION("""COMPUTED_VALUE"""),10.43)</f>
        <v>10.43</v>
      </c>
      <c r="G1200" s="9">
        <f>IFERROR(__xludf.DUMMYFUNCTION("""COMPUTED_VALUE"""),10.43)</f>
        <v>10.43</v>
      </c>
      <c r="H1200" s="9">
        <f>IFERROR(__xludf.DUMMYFUNCTION("""COMPUTED_VALUE"""),6.0)</f>
        <v>6</v>
      </c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</row>
    <row r="1201" ht="15.75" customHeight="1">
      <c r="A1201" s="11">
        <f>IFERROR(__xludf.DUMMYFUNCTION("""COMPUTED_VALUE"""),44471.0)</f>
        <v>44471</v>
      </c>
      <c r="B1201" s="9">
        <f>IFERROR(__xludf.DUMMYFUNCTION("""COMPUTED_VALUE"""),1003457.0)</f>
        <v>1003457</v>
      </c>
      <c r="C1201" s="9">
        <f>IFERROR(__xludf.DUMMYFUNCTION("""COMPUTED_VALUE"""),42207.0)</f>
        <v>42207</v>
      </c>
      <c r="D1201" s="9"/>
      <c r="E1201" s="10" t="str">
        <f>IFERROR(__xludf.DUMMYFUNCTION("""COMPUTED_VALUE"""),"GREENRELAIS")</f>
        <v>GREENRELAIS</v>
      </c>
      <c r="F1201" s="10">
        <f>IFERROR(__xludf.DUMMYFUNCTION("""COMPUTED_VALUE"""),6.04)</f>
        <v>6.04</v>
      </c>
      <c r="G1201" s="9">
        <f>IFERROR(__xludf.DUMMYFUNCTION("""COMPUTED_VALUE"""),6.04)</f>
        <v>6.04</v>
      </c>
      <c r="H1201" s="9">
        <f>IFERROR(__xludf.DUMMYFUNCTION("""COMPUTED_VALUE"""),1.0)</f>
        <v>1</v>
      </c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</row>
    <row r="1202" ht="15.75" customHeight="1">
      <c r="A1202" s="11">
        <f>IFERROR(__xludf.DUMMYFUNCTION("""COMPUTED_VALUE"""),44471.0)</f>
        <v>44471</v>
      </c>
      <c r="B1202" s="9">
        <f>IFERROR(__xludf.DUMMYFUNCTION("""COMPUTED_VALUE"""),1003457.0)</f>
        <v>1003457</v>
      </c>
      <c r="C1202" s="9">
        <f>IFERROR(__xludf.DUMMYFUNCTION("""COMPUTED_VALUE"""),17767.0)</f>
        <v>17767</v>
      </c>
      <c r="D1202" s="9"/>
      <c r="E1202" s="10" t="str">
        <f>IFERROR(__xludf.DUMMYFUNCTION("""COMPUTED_VALUE"""),"GREENRELAIS")</f>
        <v>GREENRELAIS</v>
      </c>
      <c r="F1202" s="10">
        <f>IFERROR(__xludf.DUMMYFUNCTION("""COMPUTED_VALUE"""),1.76)</f>
        <v>1.76</v>
      </c>
      <c r="G1202" s="9">
        <f>IFERROR(__xludf.DUMMYFUNCTION("""COMPUTED_VALUE"""),1.76)</f>
        <v>1.76</v>
      </c>
      <c r="H1202" s="9">
        <f>IFERROR(__xludf.DUMMYFUNCTION("""COMPUTED_VALUE"""),1.0)</f>
        <v>1</v>
      </c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</row>
    <row r="1203" ht="15.75" customHeight="1">
      <c r="A1203" s="11">
        <f>IFERROR(__xludf.DUMMYFUNCTION("""COMPUTED_VALUE"""),44471.0)</f>
        <v>44471</v>
      </c>
      <c r="B1203" s="9">
        <f>IFERROR(__xludf.DUMMYFUNCTION("""COMPUTED_VALUE"""),1003457.0)</f>
        <v>1003457</v>
      </c>
      <c r="C1203" s="9">
        <f>IFERROR(__xludf.DUMMYFUNCTION("""COMPUTED_VALUE"""),17769.0)</f>
        <v>17769</v>
      </c>
      <c r="D1203" s="9"/>
      <c r="E1203" s="10" t="str">
        <f>IFERROR(__xludf.DUMMYFUNCTION("""COMPUTED_VALUE"""),"GREENRELAIS")</f>
        <v>GREENRELAIS</v>
      </c>
      <c r="F1203" s="10">
        <f>IFERROR(__xludf.DUMMYFUNCTION("""COMPUTED_VALUE"""),1.76)</f>
        <v>1.76</v>
      </c>
      <c r="G1203" s="9">
        <f>IFERROR(__xludf.DUMMYFUNCTION("""COMPUTED_VALUE"""),1.76)</f>
        <v>1.76</v>
      </c>
      <c r="H1203" s="9">
        <f>IFERROR(__xludf.DUMMYFUNCTION("""COMPUTED_VALUE"""),1.0)</f>
        <v>1</v>
      </c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</row>
    <row r="1204" ht="15.75" customHeight="1">
      <c r="A1204" s="11">
        <f>IFERROR(__xludf.DUMMYFUNCTION("""COMPUTED_VALUE"""),44471.0)</f>
        <v>44471</v>
      </c>
      <c r="B1204" s="9">
        <f>IFERROR(__xludf.DUMMYFUNCTION("""COMPUTED_VALUE"""),1003457.0)</f>
        <v>1003457</v>
      </c>
      <c r="C1204" s="9">
        <f>IFERROR(__xludf.DUMMYFUNCTION("""COMPUTED_VALUE"""),24074.0)</f>
        <v>24074</v>
      </c>
      <c r="D1204" s="9"/>
      <c r="E1204" s="10" t="str">
        <f>IFERROR(__xludf.DUMMYFUNCTION("""COMPUTED_VALUE"""),"GREENRELAIS")</f>
        <v>GREENRELAIS</v>
      </c>
      <c r="F1204" s="10">
        <f>IFERROR(__xludf.DUMMYFUNCTION("""COMPUTED_VALUE"""),13.83)</f>
        <v>13.83</v>
      </c>
      <c r="G1204" s="9">
        <f>IFERROR(__xludf.DUMMYFUNCTION("""COMPUTED_VALUE"""),13.83)</f>
        <v>13.83</v>
      </c>
      <c r="H1204" s="9">
        <f>IFERROR(__xludf.DUMMYFUNCTION("""COMPUTED_VALUE"""),1.0)</f>
        <v>1</v>
      </c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</row>
    <row r="1205" ht="15.75" customHeight="1">
      <c r="A1205" s="11">
        <f>IFERROR(__xludf.DUMMYFUNCTION("""COMPUTED_VALUE"""),44471.0)</f>
        <v>44471</v>
      </c>
      <c r="B1205" s="9">
        <f>IFERROR(__xludf.DUMMYFUNCTION("""COMPUTED_VALUE"""),1003457.0)</f>
        <v>1003457</v>
      </c>
      <c r="C1205" s="9">
        <f>IFERROR(__xludf.DUMMYFUNCTION("""COMPUTED_VALUE"""),107310.0)</f>
        <v>107310</v>
      </c>
      <c r="D1205" s="9"/>
      <c r="E1205" s="10" t="str">
        <f>IFERROR(__xludf.DUMMYFUNCTION("""COMPUTED_VALUE"""),"GREENRELAIS")</f>
        <v>GREENRELAIS</v>
      </c>
      <c r="F1205" s="10">
        <f>IFERROR(__xludf.DUMMYFUNCTION("""COMPUTED_VALUE"""),3.9)</f>
        <v>3.9</v>
      </c>
      <c r="G1205" s="9">
        <f>IFERROR(__xludf.DUMMYFUNCTION("""COMPUTED_VALUE"""),3.9)</f>
        <v>3.9</v>
      </c>
      <c r="H1205" s="9">
        <f>IFERROR(__xludf.DUMMYFUNCTION("""COMPUTED_VALUE"""),1.0)</f>
        <v>1</v>
      </c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</row>
    <row r="1206" ht="15.75" customHeight="1">
      <c r="A1206" s="11">
        <f>IFERROR(__xludf.DUMMYFUNCTION("""COMPUTED_VALUE"""),44471.0)</f>
        <v>44471</v>
      </c>
      <c r="B1206" s="9">
        <f>IFERROR(__xludf.DUMMYFUNCTION("""COMPUTED_VALUE"""),1003457.0)</f>
        <v>1003457</v>
      </c>
      <c r="C1206" s="9">
        <f>IFERROR(__xludf.DUMMYFUNCTION("""COMPUTED_VALUE"""),108380.0)</f>
        <v>108380</v>
      </c>
      <c r="D1206" s="9"/>
      <c r="E1206" s="10" t="str">
        <f>IFERROR(__xludf.DUMMYFUNCTION("""COMPUTED_VALUE"""),"GREENRELAIS")</f>
        <v>GREENRELAIS</v>
      </c>
      <c r="F1206" s="10">
        <f>IFERROR(__xludf.DUMMYFUNCTION("""COMPUTED_VALUE"""),13.45)</f>
        <v>13.45</v>
      </c>
      <c r="G1206" s="9">
        <f>IFERROR(__xludf.DUMMYFUNCTION("""COMPUTED_VALUE"""),13.45)</f>
        <v>13.45</v>
      </c>
      <c r="H1206" s="9">
        <f>IFERROR(__xludf.DUMMYFUNCTION("""COMPUTED_VALUE"""),1.0)</f>
        <v>1</v>
      </c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</row>
    <row r="1207" ht="15.75" customHeight="1">
      <c r="A1207" s="11">
        <f>IFERROR(__xludf.DUMMYFUNCTION("""COMPUTED_VALUE"""),44471.0)</f>
        <v>44471</v>
      </c>
      <c r="B1207" s="9">
        <f>IFERROR(__xludf.DUMMYFUNCTION("""COMPUTED_VALUE"""),1003457.0)</f>
        <v>1003457</v>
      </c>
      <c r="C1207" s="9">
        <f>IFERROR(__xludf.DUMMYFUNCTION("""COMPUTED_VALUE"""),104171.0)</f>
        <v>104171</v>
      </c>
      <c r="D1207" s="9"/>
      <c r="E1207" s="10" t="str">
        <f>IFERROR(__xludf.DUMMYFUNCTION("""COMPUTED_VALUE"""),"GREENRELAIS")</f>
        <v>GREENRELAIS</v>
      </c>
      <c r="F1207" s="10">
        <f>IFERROR(__xludf.DUMMYFUNCTION("""COMPUTED_VALUE"""),2.43)</f>
        <v>2.43</v>
      </c>
      <c r="G1207" s="9">
        <f>IFERROR(__xludf.DUMMYFUNCTION("""COMPUTED_VALUE"""),2.43)</f>
        <v>2.43</v>
      </c>
      <c r="H1207" s="9">
        <f>IFERROR(__xludf.DUMMYFUNCTION("""COMPUTED_VALUE"""),1.0)</f>
        <v>1</v>
      </c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</row>
    <row r="1208" ht="15.75" customHeight="1">
      <c r="A1208" s="11">
        <f>IFERROR(__xludf.DUMMYFUNCTION("""COMPUTED_VALUE"""),44471.0)</f>
        <v>44471</v>
      </c>
      <c r="B1208" s="9">
        <f>IFERROR(__xludf.DUMMYFUNCTION("""COMPUTED_VALUE"""),1003457.0)</f>
        <v>1003457</v>
      </c>
      <c r="C1208" s="9">
        <f>IFERROR(__xludf.DUMMYFUNCTION("""COMPUTED_VALUE"""),71774.0)</f>
        <v>71774</v>
      </c>
      <c r="D1208" s="9"/>
      <c r="E1208" s="10" t="str">
        <f>IFERROR(__xludf.DUMMYFUNCTION("""COMPUTED_VALUE"""),"GREENRELAIS")</f>
        <v>GREENRELAIS</v>
      </c>
      <c r="F1208" s="10">
        <f>IFERROR(__xludf.DUMMYFUNCTION("""COMPUTED_VALUE"""),3.68)</f>
        <v>3.68</v>
      </c>
      <c r="G1208" s="9">
        <f>IFERROR(__xludf.DUMMYFUNCTION("""COMPUTED_VALUE"""),3.68)</f>
        <v>3.68</v>
      </c>
      <c r="H1208" s="9">
        <f>IFERROR(__xludf.DUMMYFUNCTION("""COMPUTED_VALUE"""),1.0)</f>
        <v>1</v>
      </c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</row>
    <row r="1209" ht="15.75" customHeight="1">
      <c r="A1209" s="11">
        <f>IFERROR(__xludf.DUMMYFUNCTION("""COMPUTED_VALUE"""),44471.0)</f>
        <v>44471</v>
      </c>
      <c r="B1209" s="9">
        <f>IFERROR(__xludf.DUMMYFUNCTION("""COMPUTED_VALUE"""),1003457.0)</f>
        <v>1003457</v>
      </c>
      <c r="C1209" s="9">
        <f>IFERROR(__xludf.DUMMYFUNCTION("""COMPUTED_VALUE"""),115053.0)</f>
        <v>115053</v>
      </c>
      <c r="D1209" s="10" t="str">
        <f>IFERROR(__xludf.DUMMYFUNCTION("""COMPUTED_VALUE"""),"Vive le bio")</f>
        <v>Vive le bio</v>
      </c>
      <c r="E1209" s="10" t="str">
        <f>IFERROR(__xludf.DUMMYFUNCTION("""COMPUTED_VALUE"""),"GREENRELAIS")</f>
        <v>GREENRELAIS</v>
      </c>
      <c r="F1209" s="10">
        <f>IFERROR(__xludf.DUMMYFUNCTION("""COMPUTED_VALUE"""),4.55555555555555)</f>
        <v>4.555555556</v>
      </c>
      <c r="G1209" s="9">
        <f>IFERROR(__xludf.DUMMYFUNCTION("""COMPUTED_VALUE"""),4.1)</f>
        <v>4.1</v>
      </c>
      <c r="H1209" s="9">
        <f>IFERROR(__xludf.DUMMYFUNCTION("""COMPUTED_VALUE"""),1.0)</f>
        <v>1</v>
      </c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</row>
    <row r="1210" ht="15.75" customHeight="1">
      <c r="A1210" s="11">
        <f>IFERROR(__xludf.DUMMYFUNCTION("""COMPUTED_VALUE"""),44471.0)</f>
        <v>44471</v>
      </c>
      <c r="B1210" s="9">
        <f>IFERROR(__xludf.DUMMYFUNCTION("""COMPUTED_VALUE"""),1003457.0)</f>
        <v>1003457</v>
      </c>
      <c r="C1210" s="9">
        <f>IFERROR(__xludf.DUMMYFUNCTION("""COMPUTED_VALUE"""),81901.0)</f>
        <v>81901</v>
      </c>
      <c r="D1210" s="9"/>
      <c r="E1210" s="10" t="str">
        <f>IFERROR(__xludf.DUMMYFUNCTION("""COMPUTED_VALUE"""),"GREENRELAIS")</f>
        <v>GREENRELAIS</v>
      </c>
      <c r="F1210" s="10">
        <f>IFERROR(__xludf.DUMMYFUNCTION("""COMPUTED_VALUE"""),21.6)</f>
        <v>21.6</v>
      </c>
      <c r="G1210" s="9">
        <f>IFERROR(__xludf.DUMMYFUNCTION("""COMPUTED_VALUE"""),21.6)</f>
        <v>21.6</v>
      </c>
      <c r="H1210" s="9">
        <f>IFERROR(__xludf.DUMMYFUNCTION("""COMPUTED_VALUE"""),1.0)</f>
        <v>1</v>
      </c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</row>
    <row r="1211" ht="15.75" customHeight="1">
      <c r="A1211" s="11">
        <f>IFERROR(__xludf.DUMMYFUNCTION("""COMPUTED_VALUE"""),44471.0)</f>
        <v>44471</v>
      </c>
      <c r="B1211" s="9">
        <f>IFERROR(__xludf.DUMMYFUNCTION("""COMPUTED_VALUE"""),1003457.0)</f>
        <v>1003457</v>
      </c>
      <c r="C1211" s="9">
        <f>IFERROR(__xludf.DUMMYFUNCTION("""COMPUTED_VALUE"""),24076.0)</f>
        <v>24076</v>
      </c>
      <c r="D1211" s="9"/>
      <c r="E1211" s="10" t="str">
        <f>IFERROR(__xludf.DUMMYFUNCTION("""COMPUTED_VALUE"""),"GREENRELAIS")</f>
        <v>GREENRELAIS</v>
      </c>
      <c r="F1211" s="10">
        <f>IFERROR(__xludf.DUMMYFUNCTION("""COMPUTED_VALUE"""),6.41)</f>
        <v>6.41</v>
      </c>
      <c r="G1211" s="9">
        <f>IFERROR(__xludf.DUMMYFUNCTION("""COMPUTED_VALUE"""),6.41)</f>
        <v>6.41</v>
      </c>
      <c r="H1211" s="9">
        <f>IFERROR(__xludf.DUMMYFUNCTION("""COMPUTED_VALUE"""),1.0)</f>
        <v>1</v>
      </c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</row>
    <row r="1212" ht="15.75" customHeight="1">
      <c r="A1212" s="11">
        <f>IFERROR(__xludf.DUMMYFUNCTION("""COMPUTED_VALUE"""),44471.0)</f>
        <v>44471</v>
      </c>
      <c r="B1212" s="9">
        <f>IFERROR(__xludf.DUMMYFUNCTION("""COMPUTED_VALUE"""),1003457.0)</f>
        <v>1003457</v>
      </c>
      <c r="C1212" s="9">
        <f>IFERROR(__xludf.DUMMYFUNCTION("""COMPUTED_VALUE"""),117218.0)</f>
        <v>117218</v>
      </c>
      <c r="D1212" s="9"/>
      <c r="E1212" s="10" t="str">
        <f>IFERROR(__xludf.DUMMYFUNCTION("""COMPUTED_VALUE"""),"GREENRELAIS")</f>
        <v>GREENRELAIS</v>
      </c>
      <c r="F1212" s="10">
        <f>IFERROR(__xludf.DUMMYFUNCTION("""COMPUTED_VALUE"""),3.24)</f>
        <v>3.24</v>
      </c>
      <c r="G1212" s="9">
        <f>IFERROR(__xludf.DUMMYFUNCTION("""COMPUTED_VALUE"""),3.24)</f>
        <v>3.24</v>
      </c>
      <c r="H1212" s="9">
        <f>IFERROR(__xludf.DUMMYFUNCTION("""COMPUTED_VALUE"""),1.0)</f>
        <v>1</v>
      </c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</row>
    <row r="1213" ht="15.75" customHeight="1">
      <c r="A1213" s="11">
        <f>IFERROR(__xludf.DUMMYFUNCTION("""COMPUTED_VALUE"""),44471.0)</f>
        <v>44471</v>
      </c>
      <c r="B1213" s="9">
        <f>IFERROR(__xludf.DUMMYFUNCTION("""COMPUTED_VALUE"""),1003458.0)</f>
        <v>1003458</v>
      </c>
      <c r="C1213" s="9">
        <f>IFERROR(__xludf.DUMMYFUNCTION("""COMPUTED_VALUE"""),81690.0)</f>
        <v>81690</v>
      </c>
      <c r="D1213" s="9"/>
      <c r="E1213" s="9"/>
      <c r="F1213" s="9">
        <f>IFERROR(__xludf.DUMMYFUNCTION("""COMPUTED_VALUE"""),2.88)</f>
        <v>2.88</v>
      </c>
      <c r="G1213" s="9">
        <f>IFERROR(__xludf.DUMMYFUNCTION("""COMPUTED_VALUE"""),2.88)</f>
        <v>2.88</v>
      </c>
      <c r="H1213" s="9">
        <f>IFERROR(__xludf.DUMMYFUNCTION("""COMPUTED_VALUE"""),1.0)</f>
        <v>1</v>
      </c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</row>
    <row r="1214" ht="15.75" customHeight="1">
      <c r="A1214" s="11">
        <f>IFERROR(__xludf.DUMMYFUNCTION("""COMPUTED_VALUE"""),44471.0)</f>
        <v>44471</v>
      </c>
      <c r="B1214" s="9">
        <f>IFERROR(__xludf.DUMMYFUNCTION("""COMPUTED_VALUE"""),1003458.0)</f>
        <v>1003458</v>
      </c>
      <c r="C1214" s="9">
        <f>IFERROR(__xludf.DUMMYFUNCTION("""COMPUTED_VALUE"""),200359.0)</f>
        <v>200359</v>
      </c>
      <c r="D1214" s="9"/>
      <c r="E1214" s="9"/>
      <c r="F1214" s="9">
        <f>IFERROR(__xludf.DUMMYFUNCTION("""COMPUTED_VALUE"""),2.4)</f>
        <v>2.4</v>
      </c>
      <c r="G1214" s="9">
        <f>IFERROR(__xludf.DUMMYFUNCTION("""COMPUTED_VALUE"""),2.4)</f>
        <v>2.4</v>
      </c>
      <c r="H1214" s="9">
        <f>IFERROR(__xludf.DUMMYFUNCTION("""COMPUTED_VALUE"""),1.0)</f>
        <v>1</v>
      </c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</row>
    <row r="1215" ht="15.75" customHeight="1">
      <c r="A1215" s="11">
        <f>IFERROR(__xludf.DUMMYFUNCTION("""COMPUTED_VALUE"""),44471.0)</f>
        <v>44471</v>
      </c>
      <c r="B1215" s="9">
        <f>IFERROR(__xludf.DUMMYFUNCTION("""COMPUTED_VALUE"""),1003458.0)</f>
        <v>1003458</v>
      </c>
      <c r="C1215" s="9">
        <f>IFERROR(__xludf.DUMMYFUNCTION("""COMPUTED_VALUE"""),143238.0)</f>
        <v>143238</v>
      </c>
      <c r="D1215" s="9"/>
      <c r="E1215" s="9"/>
      <c r="F1215" s="9">
        <f>IFERROR(__xludf.DUMMYFUNCTION("""COMPUTED_VALUE"""),2.9)</f>
        <v>2.9</v>
      </c>
      <c r="G1215" s="9">
        <f>IFERROR(__xludf.DUMMYFUNCTION("""COMPUTED_VALUE"""),2.9)</f>
        <v>2.9</v>
      </c>
      <c r="H1215" s="9">
        <f>IFERROR(__xludf.DUMMYFUNCTION("""COMPUTED_VALUE"""),1.0)</f>
        <v>1</v>
      </c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</row>
    <row r="1216" ht="15.75" customHeight="1">
      <c r="A1216" s="11">
        <f>IFERROR(__xludf.DUMMYFUNCTION("""COMPUTED_VALUE"""),44471.0)</f>
        <v>44471</v>
      </c>
      <c r="B1216" s="9">
        <f>IFERROR(__xludf.DUMMYFUNCTION("""COMPUTED_VALUE"""),1003458.0)</f>
        <v>1003458</v>
      </c>
      <c r="C1216" s="9">
        <f>IFERROR(__xludf.DUMMYFUNCTION("""COMPUTED_VALUE"""),10243.0)</f>
        <v>10243</v>
      </c>
      <c r="D1216" s="9"/>
      <c r="E1216" s="9"/>
      <c r="F1216" s="9">
        <f>IFERROR(__xludf.DUMMYFUNCTION("""COMPUTED_VALUE"""),2.41)</f>
        <v>2.41</v>
      </c>
      <c r="G1216" s="9">
        <f>IFERROR(__xludf.DUMMYFUNCTION("""COMPUTED_VALUE"""),2.41)</f>
        <v>2.41</v>
      </c>
      <c r="H1216" s="9">
        <f>IFERROR(__xludf.DUMMYFUNCTION("""COMPUTED_VALUE"""),1.0)</f>
        <v>1</v>
      </c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</row>
    <row r="1217" ht="15.75" customHeight="1">
      <c r="A1217" s="11">
        <f>IFERROR(__xludf.DUMMYFUNCTION("""COMPUTED_VALUE"""),44471.0)</f>
        <v>44471</v>
      </c>
      <c r="B1217" s="9">
        <f>IFERROR(__xludf.DUMMYFUNCTION("""COMPUTED_VALUE"""),1003458.0)</f>
        <v>1003458</v>
      </c>
      <c r="C1217" s="9">
        <f>IFERROR(__xludf.DUMMYFUNCTION("""COMPUTED_VALUE"""),76595.0)</f>
        <v>76595</v>
      </c>
      <c r="D1217" s="9"/>
      <c r="E1217" s="9"/>
      <c r="F1217" s="9">
        <f>IFERROR(__xludf.DUMMYFUNCTION("""COMPUTED_VALUE"""),3.43)</f>
        <v>3.43</v>
      </c>
      <c r="G1217" s="9">
        <f>IFERROR(__xludf.DUMMYFUNCTION("""COMPUTED_VALUE"""),3.43)</f>
        <v>3.43</v>
      </c>
      <c r="H1217" s="9">
        <f>IFERROR(__xludf.DUMMYFUNCTION("""COMPUTED_VALUE"""),1.0)</f>
        <v>1</v>
      </c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</row>
    <row r="1218" ht="15.75" customHeight="1">
      <c r="A1218" s="11">
        <f>IFERROR(__xludf.DUMMYFUNCTION("""COMPUTED_VALUE"""),44471.0)</f>
        <v>44471</v>
      </c>
      <c r="B1218" s="9">
        <f>IFERROR(__xludf.DUMMYFUNCTION("""COMPUTED_VALUE"""),1003458.0)</f>
        <v>1003458</v>
      </c>
      <c r="C1218" s="9">
        <f>IFERROR(__xludf.DUMMYFUNCTION("""COMPUTED_VALUE"""),68945.0)</f>
        <v>68945</v>
      </c>
      <c r="D1218" s="10" t="str">
        <f>IFERROR(__xludf.DUMMYFUNCTION("""COMPUTED_VALUE"""),"Offre speciale")</f>
        <v>Offre speciale</v>
      </c>
      <c r="E1218" s="10"/>
      <c r="F1218" s="9">
        <f>IFERROR(__xludf.DUMMYFUNCTION("""COMPUTED_VALUE"""),3.12222222222222)</f>
        <v>3.122222222</v>
      </c>
      <c r="G1218" s="9">
        <f>IFERROR(__xludf.DUMMYFUNCTION("""COMPUTED_VALUE"""),2.81)</f>
        <v>2.81</v>
      </c>
      <c r="H1218" s="9">
        <f>IFERROR(__xludf.DUMMYFUNCTION("""COMPUTED_VALUE"""),1.0)</f>
        <v>1</v>
      </c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</row>
    <row r="1219" ht="15.75" customHeight="1">
      <c r="A1219" s="11">
        <f>IFERROR(__xludf.DUMMYFUNCTION("""COMPUTED_VALUE"""),44471.0)</f>
        <v>44471</v>
      </c>
      <c r="B1219" s="9">
        <f>IFERROR(__xludf.DUMMYFUNCTION("""COMPUTED_VALUE"""),1003458.0)</f>
        <v>1003458</v>
      </c>
      <c r="C1219" s="9">
        <f>IFERROR(__xludf.DUMMYFUNCTION("""COMPUTED_VALUE"""),46953.0)</f>
        <v>46953</v>
      </c>
      <c r="D1219" s="9"/>
      <c r="E1219" s="9"/>
      <c r="F1219" s="9">
        <f>IFERROR(__xludf.DUMMYFUNCTION("""COMPUTED_VALUE"""),19.53)</f>
        <v>19.53</v>
      </c>
      <c r="G1219" s="9">
        <f>IFERROR(__xludf.DUMMYFUNCTION("""COMPUTED_VALUE"""),19.53)</f>
        <v>19.53</v>
      </c>
      <c r="H1219" s="9">
        <f>IFERROR(__xludf.DUMMYFUNCTION("""COMPUTED_VALUE"""),2.0)</f>
        <v>2</v>
      </c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</row>
    <row r="1220" ht="15.75" customHeight="1">
      <c r="A1220" s="11">
        <f>IFERROR(__xludf.DUMMYFUNCTION("""COMPUTED_VALUE"""),44471.0)</f>
        <v>44471</v>
      </c>
      <c r="B1220" s="9">
        <f>IFERROR(__xludf.DUMMYFUNCTION("""COMPUTED_VALUE"""),1003458.0)</f>
        <v>1003458</v>
      </c>
      <c r="C1220" s="9">
        <f>IFERROR(__xludf.DUMMYFUNCTION("""COMPUTED_VALUE"""),110571.0)</f>
        <v>110571</v>
      </c>
      <c r="D1220" s="9"/>
      <c r="E1220" s="9"/>
      <c r="F1220" s="9">
        <f>IFERROR(__xludf.DUMMYFUNCTION("""COMPUTED_VALUE"""),2.42)</f>
        <v>2.42</v>
      </c>
      <c r="G1220" s="9">
        <f>IFERROR(__xludf.DUMMYFUNCTION("""COMPUTED_VALUE"""),2.42)</f>
        <v>2.42</v>
      </c>
      <c r="H1220" s="9">
        <f>IFERROR(__xludf.DUMMYFUNCTION("""COMPUTED_VALUE"""),2.0)</f>
        <v>2</v>
      </c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</row>
    <row r="1221" ht="15.75" customHeight="1">
      <c r="A1221" s="11">
        <f>IFERROR(__xludf.DUMMYFUNCTION("""COMPUTED_VALUE"""),44471.0)</f>
        <v>44471</v>
      </c>
      <c r="B1221" s="9">
        <f>IFERROR(__xludf.DUMMYFUNCTION("""COMPUTED_VALUE"""),1003458.0)</f>
        <v>1003458</v>
      </c>
      <c r="C1221" s="9">
        <f>IFERROR(__xludf.DUMMYFUNCTION("""COMPUTED_VALUE"""),80816.0)</f>
        <v>80816</v>
      </c>
      <c r="D1221" s="9"/>
      <c r="E1221" s="9"/>
      <c r="F1221" s="9">
        <f>IFERROR(__xludf.DUMMYFUNCTION("""COMPUTED_VALUE"""),7.47)</f>
        <v>7.47</v>
      </c>
      <c r="G1221" s="9">
        <f>IFERROR(__xludf.DUMMYFUNCTION("""COMPUTED_VALUE"""),7.47)</f>
        <v>7.47</v>
      </c>
      <c r="H1221" s="9">
        <f>IFERROR(__xludf.DUMMYFUNCTION("""COMPUTED_VALUE"""),3.0)</f>
        <v>3</v>
      </c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</row>
    <row r="1222" ht="15.75" customHeight="1">
      <c r="A1222" s="11">
        <f>IFERROR(__xludf.DUMMYFUNCTION("""COMPUTED_VALUE"""),44471.0)</f>
        <v>44471</v>
      </c>
      <c r="B1222" s="9">
        <f>IFERROR(__xludf.DUMMYFUNCTION("""COMPUTED_VALUE"""),1003458.0)</f>
        <v>1003458</v>
      </c>
      <c r="C1222" s="9">
        <f>IFERROR(__xludf.DUMMYFUNCTION("""COMPUTED_VALUE"""),87416.0)</f>
        <v>87416</v>
      </c>
      <c r="D1222" s="9"/>
      <c r="E1222" s="9"/>
      <c r="F1222" s="9">
        <f>IFERROR(__xludf.DUMMYFUNCTION("""COMPUTED_VALUE"""),8.89)</f>
        <v>8.89</v>
      </c>
      <c r="G1222" s="9">
        <f>IFERROR(__xludf.DUMMYFUNCTION("""COMPUTED_VALUE"""),8.89)</f>
        <v>8.89</v>
      </c>
      <c r="H1222" s="9">
        <f>IFERROR(__xludf.DUMMYFUNCTION("""COMPUTED_VALUE"""),4.0)</f>
        <v>4</v>
      </c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</row>
    <row r="1223" ht="15.75" customHeight="1">
      <c r="A1223" s="11">
        <f>IFERROR(__xludf.DUMMYFUNCTION("""COMPUTED_VALUE"""),44471.0)</f>
        <v>44471</v>
      </c>
      <c r="B1223" s="9">
        <f>IFERROR(__xludf.DUMMYFUNCTION("""COMPUTED_VALUE"""),1003458.0)</f>
        <v>1003458</v>
      </c>
      <c r="C1223" s="9">
        <f>IFERROR(__xludf.DUMMYFUNCTION("""COMPUTED_VALUE"""),87418.0)</f>
        <v>87418</v>
      </c>
      <c r="D1223" s="9"/>
      <c r="E1223" s="9"/>
      <c r="F1223" s="9">
        <f>IFERROR(__xludf.DUMMYFUNCTION("""COMPUTED_VALUE"""),11.45)</f>
        <v>11.45</v>
      </c>
      <c r="G1223" s="9">
        <f>IFERROR(__xludf.DUMMYFUNCTION("""COMPUTED_VALUE"""),11.45)</f>
        <v>11.45</v>
      </c>
      <c r="H1223" s="9">
        <f>IFERROR(__xludf.DUMMYFUNCTION("""COMPUTED_VALUE"""),4.0)</f>
        <v>4</v>
      </c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</row>
    <row r="1224" ht="15.75" customHeight="1">
      <c r="A1224" s="11">
        <f>IFERROR(__xludf.DUMMYFUNCTION("""COMPUTED_VALUE"""),44471.0)</f>
        <v>44471</v>
      </c>
      <c r="B1224" s="9">
        <f>IFERROR(__xludf.DUMMYFUNCTION("""COMPUTED_VALUE"""),1003458.0)</f>
        <v>1003458</v>
      </c>
      <c r="C1224" s="9">
        <f>IFERROR(__xludf.DUMMYFUNCTION("""COMPUTED_VALUE"""),44037.0)</f>
        <v>44037</v>
      </c>
      <c r="D1224" s="9"/>
      <c r="E1224" s="9"/>
      <c r="F1224" s="9">
        <f>IFERROR(__xludf.DUMMYFUNCTION("""COMPUTED_VALUE"""),5.76)</f>
        <v>5.76</v>
      </c>
      <c r="G1224" s="9">
        <f>IFERROR(__xludf.DUMMYFUNCTION("""COMPUTED_VALUE"""),5.76)</f>
        <v>5.76</v>
      </c>
      <c r="H1224" s="9">
        <f>IFERROR(__xludf.DUMMYFUNCTION("""COMPUTED_VALUE"""),5.0)</f>
        <v>5</v>
      </c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</row>
    <row r="1225" ht="15.75" customHeight="1">
      <c r="A1225" s="11">
        <f>IFERROR(__xludf.DUMMYFUNCTION("""COMPUTED_VALUE"""),44471.0)</f>
        <v>44471</v>
      </c>
      <c r="B1225" s="9">
        <f>IFERROR(__xludf.DUMMYFUNCTION("""COMPUTED_VALUE"""),1003458.0)</f>
        <v>1003458</v>
      </c>
      <c r="C1225" s="9">
        <f>IFERROR(__xludf.DUMMYFUNCTION("""COMPUTED_VALUE"""),80043.0)</f>
        <v>80043</v>
      </c>
      <c r="D1225" s="10" t="str">
        <f>IFERROR(__xludf.DUMMYFUNCTION("""COMPUTED_VALUE"""),"Offre speciale")</f>
        <v>Offre speciale</v>
      </c>
      <c r="E1225" s="10"/>
      <c r="F1225" s="9">
        <f>IFERROR(__xludf.DUMMYFUNCTION("""COMPUTED_VALUE"""),19.04)</f>
        <v>19.04</v>
      </c>
      <c r="G1225" s="9">
        <f>IFERROR(__xludf.DUMMYFUNCTION("""COMPUTED_VALUE"""),14.28)</f>
        <v>14.28</v>
      </c>
      <c r="H1225" s="9">
        <f>IFERROR(__xludf.DUMMYFUNCTION("""COMPUTED_VALUE"""),5.0)</f>
        <v>5</v>
      </c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</row>
    <row r="1226" ht="15.75" customHeight="1">
      <c r="A1226" s="11">
        <f>IFERROR(__xludf.DUMMYFUNCTION("""COMPUTED_VALUE"""),44471.0)</f>
        <v>44471</v>
      </c>
      <c r="B1226" s="9">
        <f>IFERROR(__xludf.DUMMYFUNCTION("""COMPUTED_VALUE"""),1003458.0)</f>
        <v>1003458</v>
      </c>
      <c r="C1226" s="9">
        <f>IFERROR(__xludf.DUMMYFUNCTION("""COMPUTED_VALUE"""),121868.0)</f>
        <v>121868</v>
      </c>
      <c r="D1226" s="9"/>
      <c r="E1226" s="9"/>
      <c r="F1226" s="9">
        <f>IFERROR(__xludf.DUMMYFUNCTION("""COMPUTED_VALUE"""),31.86)</f>
        <v>31.86</v>
      </c>
      <c r="G1226" s="9">
        <f>IFERROR(__xludf.DUMMYFUNCTION("""COMPUTED_VALUE"""),31.86)</f>
        <v>31.86</v>
      </c>
      <c r="H1226" s="9">
        <f>IFERROR(__xludf.DUMMYFUNCTION("""COMPUTED_VALUE"""),5.0)</f>
        <v>5</v>
      </c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</row>
    <row r="1227" ht="15.75" customHeight="1">
      <c r="A1227" s="11">
        <f>IFERROR(__xludf.DUMMYFUNCTION("""COMPUTED_VALUE"""),44471.0)</f>
        <v>44471</v>
      </c>
      <c r="B1227" s="9">
        <f>IFERROR(__xludf.DUMMYFUNCTION("""COMPUTED_VALUE"""),1003458.0)</f>
        <v>1003458</v>
      </c>
      <c r="C1227" s="9">
        <f>IFERROR(__xludf.DUMMYFUNCTION("""COMPUTED_VALUE"""),44115.0)</f>
        <v>44115</v>
      </c>
      <c r="D1227" s="9"/>
      <c r="E1227" s="9"/>
      <c r="F1227" s="9">
        <f>IFERROR(__xludf.DUMMYFUNCTION("""COMPUTED_VALUE"""),12.04)</f>
        <v>12.04</v>
      </c>
      <c r="G1227" s="9">
        <f>IFERROR(__xludf.DUMMYFUNCTION("""COMPUTED_VALUE"""),12.04)</f>
        <v>12.04</v>
      </c>
      <c r="H1227" s="9">
        <f>IFERROR(__xludf.DUMMYFUNCTION("""COMPUTED_VALUE"""),10.0)</f>
        <v>10</v>
      </c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</row>
    <row r="1228" ht="15.75" customHeight="1">
      <c r="A1228" s="11">
        <f>IFERROR(__xludf.DUMMYFUNCTION("""COMPUTED_VALUE"""),44471.0)</f>
        <v>44471</v>
      </c>
      <c r="B1228" s="9">
        <f>IFERROR(__xludf.DUMMYFUNCTION("""COMPUTED_VALUE"""),1003458.0)</f>
        <v>1003458</v>
      </c>
      <c r="C1228" s="9">
        <f>IFERROR(__xludf.DUMMYFUNCTION("""COMPUTED_VALUE"""),71689.0)</f>
        <v>71689</v>
      </c>
      <c r="D1228" s="9"/>
      <c r="E1228" s="9"/>
      <c r="F1228" s="9">
        <f>IFERROR(__xludf.DUMMYFUNCTION("""COMPUTED_VALUE"""),38.66)</f>
        <v>38.66</v>
      </c>
      <c r="G1228" s="9">
        <f>IFERROR(__xludf.DUMMYFUNCTION("""COMPUTED_VALUE"""),38.66)</f>
        <v>38.66</v>
      </c>
      <c r="H1228" s="9">
        <f>IFERROR(__xludf.DUMMYFUNCTION("""COMPUTED_VALUE"""),10.0)</f>
        <v>10</v>
      </c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</row>
    <row r="1229" ht="15.75" customHeight="1">
      <c r="A1229" s="11">
        <f>IFERROR(__xludf.DUMMYFUNCTION("""COMPUTED_VALUE"""),44471.0)</f>
        <v>44471</v>
      </c>
      <c r="B1229" s="9">
        <f>IFERROR(__xludf.DUMMYFUNCTION("""COMPUTED_VALUE"""),1003458.0)</f>
        <v>1003458</v>
      </c>
      <c r="C1229" s="9">
        <f>IFERROR(__xludf.DUMMYFUNCTION("""COMPUTED_VALUE"""),117219.0)</f>
        <v>117219</v>
      </c>
      <c r="D1229" s="9"/>
      <c r="E1229" s="9"/>
      <c r="F1229" s="9">
        <f>IFERROR(__xludf.DUMMYFUNCTION("""COMPUTED_VALUE"""),12.08)</f>
        <v>12.08</v>
      </c>
      <c r="G1229" s="9">
        <f>IFERROR(__xludf.DUMMYFUNCTION("""COMPUTED_VALUE"""),12.08)</f>
        <v>12.08</v>
      </c>
      <c r="H1229" s="9">
        <f>IFERROR(__xludf.DUMMYFUNCTION("""COMPUTED_VALUE"""),10.0)</f>
        <v>10</v>
      </c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</row>
    <row r="1230" ht="15.75" customHeight="1">
      <c r="A1230" s="11">
        <f>IFERROR(__xludf.DUMMYFUNCTION("""COMPUTED_VALUE"""),44471.0)</f>
        <v>44471</v>
      </c>
      <c r="B1230" s="9">
        <f>IFERROR(__xludf.DUMMYFUNCTION("""COMPUTED_VALUE"""),1003458.0)</f>
        <v>1003458</v>
      </c>
      <c r="C1230" s="9">
        <f>IFERROR(__xludf.DUMMYFUNCTION("""COMPUTED_VALUE"""),117222.0)</f>
        <v>117222</v>
      </c>
      <c r="D1230" s="9"/>
      <c r="E1230" s="9"/>
      <c r="F1230" s="9">
        <f>IFERROR(__xludf.DUMMYFUNCTION("""COMPUTED_VALUE"""),12.08)</f>
        <v>12.08</v>
      </c>
      <c r="G1230" s="9">
        <f>IFERROR(__xludf.DUMMYFUNCTION("""COMPUTED_VALUE"""),12.08)</f>
        <v>12.08</v>
      </c>
      <c r="H1230" s="9">
        <f>IFERROR(__xludf.DUMMYFUNCTION("""COMPUTED_VALUE"""),10.0)</f>
        <v>10</v>
      </c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</row>
    <row r="1231" ht="15.75" customHeight="1">
      <c r="A1231" s="11">
        <f>IFERROR(__xludf.DUMMYFUNCTION("""COMPUTED_VALUE"""),44471.0)</f>
        <v>44471</v>
      </c>
      <c r="B1231" s="9">
        <f>IFERROR(__xludf.DUMMYFUNCTION("""COMPUTED_VALUE"""),1003458.0)</f>
        <v>1003458</v>
      </c>
      <c r="C1231" s="9">
        <f>IFERROR(__xludf.DUMMYFUNCTION("""COMPUTED_VALUE"""),80411.0)</f>
        <v>80411</v>
      </c>
      <c r="D1231" s="9"/>
      <c r="E1231" s="9"/>
      <c r="F1231" s="9">
        <f>IFERROR(__xludf.DUMMYFUNCTION("""COMPUTED_VALUE"""),15.08)</f>
        <v>15.08</v>
      </c>
      <c r="G1231" s="9">
        <f>IFERROR(__xludf.DUMMYFUNCTION("""COMPUTED_VALUE"""),15.08)</f>
        <v>15.08</v>
      </c>
      <c r="H1231" s="9">
        <f>IFERROR(__xludf.DUMMYFUNCTION("""COMPUTED_VALUE"""),10.0)</f>
        <v>10</v>
      </c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</row>
    <row r="1232" ht="15.75" customHeight="1">
      <c r="A1232" s="11">
        <f>IFERROR(__xludf.DUMMYFUNCTION("""COMPUTED_VALUE"""),44471.0)</f>
        <v>44471</v>
      </c>
      <c r="B1232" s="9">
        <f>IFERROR(__xludf.DUMMYFUNCTION("""COMPUTED_VALUE"""),1003458.0)</f>
        <v>1003458</v>
      </c>
      <c r="C1232" s="9">
        <f>IFERROR(__xludf.DUMMYFUNCTION("""COMPUTED_VALUE"""),200360.0)</f>
        <v>200360</v>
      </c>
      <c r="D1232" s="9"/>
      <c r="E1232" s="9"/>
      <c r="F1232" s="9">
        <f>IFERROR(__xludf.DUMMYFUNCTION("""COMPUTED_VALUE"""),24.03)</f>
        <v>24.03</v>
      </c>
      <c r="G1232" s="9">
        <f>IFERROR(__xludf.DUMMYFUNCTION("""COMPUTED_VALUE"""),24.03)</f>
        <v>24.03</v>
      </c>
      <c r="H1232" s="9">
        <f>IFERROR(__xludf.DUMMYFUNCTION("""COMPUTED_VALUE"""),10.0)</f>
        <v>10</v>
      </c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</row>
    <row r="1233" ht="15.75" customHeight="1">
      <c r="A1233" s="11">
        <f>IFERROR(__xludf.DUMMYFUNCTION("""COMPUTED_VALUE"""),44471.0)</f>
        <v>44471</v>
      </c>
      <c r="B1233" s="9">
        <f>IFERROR(__xludf.DUMMYFUNCTION("""COMPUTED_VALUE"""),1003458.0)</f>
        <v>1003458</v>
      </c>
      <c r="C1233" s="9">
        <f>IFERROR(__xludf.DUMMYFUNCTION("""COMPUTED_VALUE"""),76223.0)</f>
        <v>76223</v>
      </c>
      <c r="D1233" s="9"/>
      <c r="E1233" s="9"/>
      <c r="F1233" s="9">
        <f>IFERROR(__xludf.DUMMYFUNCTION("""COMPUTED_VALUE"""),12.55)</f>
        <v>12.55</v>
      </c>
      <c r="G1233" s="9">
        <f>IFERROR(__xludf.DUMMYFUNCTION("""COMPUTED_VALUE"""),12.55)</f>
        <v>12.55</v>
      </c>
      <c r="H1233" s="9">
        <f>IFERROR(__xludf.DUMMYFUNCTION("""COMPUTED_VALUE"""),10.0)</f>
        <v>10</v>
      </c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</row>
    <row r="1234" ht="15.75" customHeight="1">
      <c r="A1234" s="11">
        <f>IFERROR(__xludf.DUMMYFUNCTION("""COMPUTED_VALUE"""),44471.0)</f>
        <v>44471</v>
      </c>
      <c r="B1234" s="9">
        <f>IFERROR(__xludf.DUMMYFUNCTION("""COMPUTED_VALUE"""),1003458.0)</f>
        <v>1003458</v>
      </c>
      <c r="C1234" s="9">
        <f>IFERROR(__xludf.DUMMYFUNCTION("""COMPUTED_VALUE"""),110575.0)</f>
        <v>110575</v>
      </c>
      <c r="D1234" s="9"/>
      <c r="E1234" s="9"/>
      <c r="F1234" s="9">
        <f>IFERROR(__xludf.DUMMYFUNCTION("""COMPUTED_VALUE"""),18.85)</f>
        <v>18.85</v>
      </c>
      <c r="G1234" s="9">
        <f>IFERROR(__xludf.DUMMYFUNCTION("""COMPUTED_VALUE"""),18.85)</f>
        <v>18.85</v>
      </c>
      <c r="H1234" s="9">
        <f>IFERROR(__xludf.DUMMYFUNCTION("""COMPUTED_VALUE"""),10.0)</f>
        <v>10</v>
      </c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</row>
    <row r="1235" ht="15.75" customHeight="1">
      <c r="A1235" s="11">
        <f>IFERROR(__xludf.DUMMYFUNCTION("""COMPUTED_VALUE"""),44471.0)</f>
        <v>44471</v>
      </c>
      <c r="B1235" s="9">
        <f>IFERROR(__xludf.DUMMYFUNCTION("""COMPUTED_VALUE"""),1003458.0)</f>
        <v>1003458</v>
      </c>
      <c r="C1235" s="9">
        <f>IFERROR(__xludf.DUMMYFUNCTION("""COMPUTED_VALUE"""),19747.0)</f>
        <v>19747</v>
      </c>
      <c r="D1235" s="9"/>
      <c r="E1235" s="9"/>
      <c r="F1235" s="9">
        <f>IFERROR(__xludf.DUMMYFUNCTION("""COMPUTED_VALUE"""),38.52)</f>
        <v>38.52</v>
      </c>
      <c r="G1235" s="9">
        <f>IFERROR(__xludf.DUMMYFUNCTION("""COMPUTED_VALUE"""),38.52)</f>
        <v>38.52</v>
      </c>
      <c r="H1235" s="9">
        <f>IFERROR(__xludf.DUMMYFUNCTION("""COMPUTED_VALUE"""),10.0)</f>
        <v>10</v>
      </c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</row>
    <row r="1236" ht="15.75" customHeight="1">
      <c r="A1236" s="11">
        <f>IFERROR(__xludf.DUMMYFUNCTION("""COMPUTED_VALUE"""),44471.0)</f>
        <v>44471</v>
      </c>
      <c r="B1236" s="9">
        <f>IFERROR(__xludf.DUMMYFUNCTION("""COMPUTED_VALUE"""),1003459.0)</f>
        <v>1003459</v>
      </c>
      <c r="C1236" s="9">
        <f>IFERROR(__xludf.DUMMYFUNCTION("""COMPUTED_VALUE"""),81235.0)</f>
        <v>81235</v>
      </c>
      <c r="D1236" s="9"/>
      <c r="E1236" s="10" t="str">
        <f>IFERROR(__xludf.DUMMYFUNCTION("""COMPUTED_VALUE"""),"WEEZCLUB")</f>
        <v>WEEZCLUB</v>
      </c>
      <c r="F1236" s="10">
        <f>IFERROR(__xludf.DUMMYFUNCTION("""COMPUTED_VALUE"""),6.5)</f>
        <v>6.5</v>
      </c>
      <c r="G1236" s="9">
        <f>IFERROR(__xludf.DUMMYFUNCTION("""COMPUTED_VALUE"""),6.5)</f>
        <v>6.5</v>
      </c>
      <c r="H1236" s="9">
        <f>IFERROR(__xludf.DUMMYFUNCTION("""COMPUTED_VALUE"""),1.0)</f>
        <v>1</v>
      </c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</row>
    <row r="1237" ht="15.75" customHeight="1">
      <c r="A1237" s="11">
        <f>IFERROR(__xludf.DUMMYFUNCTION("""COMPUTED_VALUE"""),44471.0)</f>
        <v>44471</v>
      </c>
      <c r="B1237" s="9">
        <f>IFERROR(__xludf.DUMMYFUNCTION("""COMPUTED_VALUE"""),1003459.0)</f>
        <v>1003459</v>
      </c>
      <c r="C1237" s="9">
        <f>IFERROR(__xludf.DUMMYFUNCTION("""COMPUTED_VALUE"""),72512.0)</f>
        <v>72512</v>
      </c>
      <c r="D1237" s="9"/>
      <c r="E1237" s="10" t="str">
        <f>IFERROR(__xludf.DUMMYFUNCTION("""COMPUTED_VALUE"""),"WEEZCLUB")</f>
        <v>WEEZCLUB</v>
      </c>
      <c r="F1237" s="10">
        <f>IFERROR(__xludf.DUMMYFUNCTION("""COMPUTED_VALUE"""),4.77)</f>
        <v>4.77</v>
      </c>
      <c r="G1237" s="9">
        <f>IFERROR(__xludf.DUMMYFUNCTION("""COMPUTED_VALUE"""),4.77)</f>
        <v>4.77</v>
      </c>
      <c r="H1237" s="9">
        <f>IFERROR(__xludf.DUMMYFUNCTION("""COMPUTED_VALUE"""),1.0)</f>
        <v>1</v>
      </c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</row>
    <row r="1238" ht="15.75" customHeight="1">
      <c r="A1238" s="11">
        <f>IFERROR(__xludf.DUMMYFUNCTION("""COMPUTED_VALUE"""),44471.0)</f>
        <v>44471</v>
      </c>
      <c r="B1238" s="9">
        <f>IFERROR(__xludf.DUMMYFUNCTION("""COMPUTED_VALUE"""),1003459.0)</f>
        <v>1003459</v>
      </c>
      <c r="C1238" s="9">
        <f>IFERROR(__xludf.DUMMYFUNCTION("""COMPUTED_VALUE"""),26314.0)</f>
        <v>26314</v>
      </c>
      <c r="D1238" s="9"/>
      <c r="E1238" s="10" t="str">
        <f>IFERROR(__xludf.DUMMYFUNCTION("""COMPUTED_VALUE"""),"WEEZCLUB")</f>
        <v>WEEZCLUB</v>
      </c>
      <c r="F1238" s="10">
        <f>IFERROR(__xludf.DUMMYFUNCTION("""COMPUTED_VALUE"""),6.78)</f>
        <v>6.78</v>
      </c>
      <c r="G1238" s="9">
        <f>IFERROR(__xludf.DUMMYFUNCTION("""COMPUTED_VALUE"""),6.78)</f>
        <v>6.78</v>
      </c>
      <c r="H1238" s="9">
        <f>IFERROR(__xludf.DUMMYFUNCTION("""COMPUTED_VALUE"""),1.0)</f>
        <v>1</v>
      </c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</row>
    <row r="1239" ht="15.75" customHeight="1">
      <c r="A1239" s="11">
        <f>IFERROR(__xludf.DUMMYFUNCTION("""COMPUTED_VALUE"""),44471.0)</f>
        <v>44471</v>
      </c>
      <c r="B1239" s="9">
        <f>IFERROR(__xludf.DUMMYFUNCTION("""COMPUTED_VALUE"""),1003459.0)</f>
        <v>1003459</v>
      </c>
      <c r="C1239" s="9">
        <f>IFERROR(__xludf.DUMMYFUNCTION("""COMPUTED_VALUE"""),82448.0)</f>
        <v>82448</v>
      </c>
      <c r="D1239" s="10" t="str">
        <f>IFERROR(__xludf.DUMMYFUNCTION("""COMPUTED_VALUE"""),"Zero Dechet")</f>
        <v>Zero Dechet</v>
      </c>
      <c r="E1239" s="10" t="str">
        <f>IFERROR(__xludf.DUMMYFUNCTION("""COMPUTED_VALUE"""),"WEEZCLUB")</f>
        <v>WEEZCLUB</v>
      </c>
      <c r="F1239" s="10">
        <f>IFERROR(__xludf.DUMMYFUNCTION("""COMPUTED_VALUE"""),5.7375)</f>
        <v>5.7375</v>
      </c>
      <c r="G1239" s="9">
        <f>IFERROR(__xludf.DUMMYFUNCTION("""COMPUTED_VALUE"""),4.59)</f>
        <v>4.59</v>
      </c>
      <c r="H1239" s="9">
        <f>IFERROR(__xludf.DUMMYFUNCTION("""COMPUTED_VALUE"""),1.0)</f>
        <v>1</v>
      </c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</row>
    <row r="1240" ht="15.75" customHeight="1">
      <c r="A1240" s="11">
        <f>IFERROR(__xludf.DUMMYFUNCTION("""COMPUTED_VALUE"""),44471.0)</f>
        <v>44471</v>
      </c>
      <c r="B1240" s="9">
        <f>IFERROR(__xludf.DUMMYFUNCTION("""COMPUTED_VALUE"""),1003459.0)</f>
        <v>1003459</v>
      </c>
      <c r="C1240" s="9">
        <f>IFERROR(__xludf.DUMMYFUNCTION("""COMPUTED_VALUE"""),86619.0)</f>
        <v>86619</v>
      </c>
      <c r="D1240" s="9"/>
      <c r="E1240" s="10" t="str">
        <f>IFERROR(__xludf.DUMMYFUNCTION("""COMPUTED_VALUE"""),"WEEZCLUB")</f>
        <v>WEEZCLUB</v>
      </c>
      <c r="F1240" s="10">
        <f>IFERROR(__xludf.DUMMYFUNCTION("""COMPUTED_VALUE"""),7.82)</f>
        <v>7.82</v>
      </c>
      <c r="G1240" s="9">
        <f>IFERROR(__xludf.DUMMYFUNCTION("""COMPUTED_VALUE"""),7.82)</f>
        <v>7.82</v>
      </c>
      <c r="H1240" s="9">
        <f>IFERROR(__xludf.DUMMYFUNCTION("""COMPUTED_VALUE"""),1.0)</f>
        <v>1</v>
      </c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</row>
    <row r="1241" ht="15.75" customHeight="1">
      <c r="A1241" s="11">
        <f>IFERROR(__xludf.DUMMYFUNCTION("""COMPUTED_VALUE"""),44471.0)</f>
        <v>44471</v>
      </c>
      <c r="B1241" s="9">
        <f>IFERROR(__xludf.DUMMYFUNCTION("""COMPUTED_VALUE"""),1003459.0)</f>
        <v>1003459</v>
      </c>
      <c r="C1241" s="9">
        <f>IFERROR(__xludf.DUMMYFUNCTION("""COMPUTED_VALUE"""),120702.0)</f>
        <v>120702</v>
      </c>
      <c r="D1241" s="10" t="str">
        <f>IFERROR(__xludf.DUMMYFUNCTION("""COMPUTED_VALUE"""),"Hygiene intime")</f>
        <v>Hygiene intime</v>
      </c>
      <c r="E1241" s="10" t="str">
        <f>IFERROR(__xludf.DUMMYFUNCTION("""COMPUTED_VALUE"""),"WEEZCLUB")</f>
        <v>WEEZCLUB</v>
      </c>
      <c r="F1241" s="10">
        <f>IFERROR(__xludf.DUMMYFUNCTION("""COMPUTED_VALUE"""),5.25555555555555)</f>
        <v>5.255555556</v>
      </c>
      <c r="G1241" s="9">
        <f>IFERROR(__xludf.DUMMYFUNCTION("""COMPUTED_VALUE"""),4.73)</f>
        <v>4.73</v>
      </c>
      <c r="H1241" s="9">
        <f>IFERROR(__xludf.DUMMYFUNCTION("""COMPUTED_VALUE"""),1.0)</f>
        <v>1</v>
      </c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</row>
    <row r="1242" ht="15.75" customHeight="1">
      <c r="A1242" s="11">
        <f>IFERROR(__xludf.DUMMYFUNCTION("""COMPUTED_VALUE"""),44471.0)</f>
        <v>44471</v>
      </c>
      <c r="B1242" s="9">
        <f>IFERROR(__xludf.DUMMYFUNCTION("""COMPUTED_VALUE"""),1003459.0)</f>
        <v>1003459</v>
      </c>
      <c r="C1242" s="9">
        <f>IFERROR(__xludf.DUMMYFUNCTION("""COMPUTED_VALUE"""),80798.0)</f>
        <v>80798</v>
      </c>
      <c r="D1242" s="9"/>
      <c r="E1242" s="10" t="str">
        <f>IFERROR(__xludf.DUMMYFUNCTION("""COMPUTED_VALUE"""),"WEEZCLUB")</f>
        <v>WEEZCLUB</v>
      </c>
      <c r="F1242" s="10">
        <f>IFERROR(__xludf.DUMMYFUNCTION("""COMPUTED_VALUE"""),4.59)</f>
        <v>4.59</v>
      </c>
      <c r="G1242" s="9">
        <f>IFERROR(__xludf.DUMMYFUNCTION("""COMPUTED_VALUE"""),4.59)</f>
        <v>4.59</v>
      </c>
      <c r="H1242" s="9">
        <f>IFERROR(__xludf.DUMMYFUNCTION("""COMPUTED_VALUE"""),1.0)</f>
        <v>1</v>
      </c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</row>
    <row r="1243" ht="15.75" customHeight="1">
      <c r="A1243" s="11">
        <f>IFERROR(__xludf.DUMMYFUNCTION("""COMPUTED_VALUE"""),44471.0)</f>
        <v>44471</v>
      </c>
      <c r="B1243" s="9">
        <f>IFERROR(__xludf.DUMMYFUNCTION("""COMPUTED_VALUE"""),1003459.0)</f>
        <v>1003459</v>
      </c>
      <c r="C1243" s="9">
        <f>IFERROR(__xludf.DUMMYFUNCTION("""COMPUTED_VALUE"""),23061.0)</f>
        <v>23061</v>
      </c>
      <c r="D1243" s="9"/>
      <c r="E1243" s="10" t="str">
        <f>IFERROR(__xludf.DUMMYFUNCTION("""COMPUTED_VALUE"""),"WEEZCLUB")</f>
        <v>WEEZCLUB</v>
      </c>
      <c r="F1243" s="10">
        <f>IFERROR(__xludf.DUMMYFUNCTION("""COMPUTED_VALUE"""),4.38)</f>
        <v>4.38</v>
      </c>
      <c r="G1243" s="9">
        <f>IFERROR(__xludf.DUMMYFUNCTION("""COMPUTED_VALUE"""),4.38)</f>
        <v>4.38</v>
      </c>
      <c r="H1243" s="9">
        <f>IFERROR(__xludf.DUMMYFUNCTION("""COMPUTED_VALUE"""),1.0)</f>
        <v>1</v>
      </c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</row>
    <row r="1244" ht="15.75" customHeight="1">
      <c r="A1244" s="11">
        <f>IFERROR(__xludf.DUMMYFUNCTION("""COMPUTED_VALUE"""),44471.0)</f>
        <v>44471</v>
      </c>
      <c r="B1244" s="9">
        <f>IFERROR(__xludf.DUMMYFUNCTION("""COMPUTED_VALUE"""),1003459.0)</f>
        <v>1003459</v>
      </c>
      <c r="C1244" s="9">
        <f>IFERROR(__xludf.DUMMYFUNCTION("""COMPUTED_VALUE"""),47161.0)</f>
        <v>47161</v>
      </c>
      <c r="D1244" s="9"/>
      <c r="E1244" s="10" t="str">
        <f>IFERROR(__xludf.DUMMYFUNCTION("""COMPUTED_VALUE"""),"WEEZCLUB")</f>
        <v>WEEZCLUB</v>
      </c>
      <c r="F1244" s="10">
        <f>IFERROR(__xludf.DUMMYFUNCTION("""COMPUTED_VALUE"""),8.57)</f>
        <v>8.57</v>
      </c>
      <c r="G1244" s="9">
        <f>IFERROR(__xludf.DUMMYFUNCTION("""COMPUTED_VALUE"""),8.57)</f>
        <v>8.57</v>
      </c>
      <c r="H1244" s="9">
        <f>IFERROR(__xludf.DUMMYFUNCTION("""COMPUTED_VALUE"""),1.0)</f>
        <v>1</v>
      </c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</row>
    <row r="1245" ht="15.75" customHeight="1">
      <c r="A1245" s="11">
        <f>IFERROR(__xludf.DUMMYFUNCTION("""COMPUTED_VALUE"""),44471.0)</f>
        <v>44471</v>
      </c>
      <c r="B1245" s="9">
        <f>IFERROR(__xludf.DUMMYFUNCTION("""COMPUTED_VALUE"""),1003459.0)</f>
        <v>1003459</v>
      </c>
      <c r="C1245" s="9">
        <f>IFERROR(__xludf.DUMMYFUNCTION("""COMPUTED_VALUE"""),140602.0)</f>
        <v>140602</v>
      </c>
      <c r="D1245" s="9"/>
      <c r="E1245" s="10" t="str">
        <f>IFERROR(__xludf.DUMMYFUNCTION("""COMPUTED_VALUE"""),"WEEZCLUB")</f>
        <v>WEEZCLUB</v>
      </c>
      <c r="F1245" s="10">
        <f>IFERROR(__xludf.DUMMYFUNCTION("""COMPUTED_VALUE"""),4.91)</f>
        <v>4.91</v>
      </c>
      <c r="G1245" s="9">
        <f>IFERROR(__xludf.DUMMYFUNCTION("""COMPUTED_VALUE"""),4.91)</f>
        <v>4.91</v>
      </c>
      <c r="H1245" s="9">
        <f>IFERROR(__xludf.DUMMYFUNCTION("""COMPUTED_VALUE"""),1.0)</f>
        <v>1</v>
      </c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</row>
    <row r="1246" ht="15.75" customHeight="1">
      <c r="A1246" s="11">
        <f>IFERROR(__xludf.DUMMYFUNCTION("""COMPUTED_VALUE"""),44471.0)</f>
        <v>44471</v>
      </c>
      <c r="B1246" s="9">
        <f>IFERROR(__xludf.DUMMYFUNCTION("""COMPUTED_VALUE"""),1003459.0)</f>
        <v>1003459</v>
      </c>
      <c r="C1246" s="9">
        <f>IFERROR(__xludf.DUMMYFUNCTION("""COMPUTED_VALUE"""),94612.0)</f>
        <v>94612</v>
      </c>
      <c r="D1246" s="10" t="str">
        <f>IFERROR(__xludf.DUMMYFUNCTION("""COMPUTED_VALUE"""),"Vive le bio")</f>
        <v>Vive le bio</v>
      </c>
      <c r="E1246" s="10" t="str">
        <f>IFERROR(__xludf.DUMMYFUNCTION("""COMPUTED_VALUE"""),"WEEZCLUB")</f>
        <v>WEEZCLUB</v>
      </c>
      <c r="F1246" s="10">
        <f>IFERROR(__xludf.DUMMYFUNCTION("""COMPUTED_VALUE"""),8.48888888888888)</f>
        <v>8.488888889</v>
      </c>
      <c r="G1246" s="9">
        <f>IFERROR(__xludf.DUMMYFUNCTION("""COMPUTED_VALUE"""),7.64)</f>
        <v>7.64</v>
      </c>
      <c r="H1246" s="9">
        <f>IFERROR(__xludf.DUMMYFUNCTION("""COMPUTED_VALUE"""),1.0)</f>
        <v>1</v>
      </c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</row>
    <row r="1247" ht="15.75" customHeight="1">
      <c r="A1247" s="11">
        <f>IFERROR(__xludf.DUMMYFUNCTION("""COMPUTED_VALUE"""),44471.0)</f>
        <v>44471</v>
      </c>
      <c r="B1247" s="9">
        <f>IFERROR(__xludf.DUMMYFUNCTION("""COMPUTED_VALUE"""),1003459.0)</f>
        <v>1003459</v>
      </c>
      <c r="C1247" s="9">
        <f>IFERROR(__xludf.DUMMYFUNCTION("""COMPUTED_VALUE"""),110005.0)</f>
        <v>110005</v>
      </c>
      <c r="D1247" s="9"/>
      <c r="E1247" s="10" t="str">
        <f>IFERROR(__xludf.DUMMYFUNCTION("""COMPUTED_VALUE"""),"WEEZCLUB")</f>
        <v>WEEZCLUB</v>
      </c>
      <c r="F1247" s="10">
        <f>IFERROR(__xludf.DUMMYFUNCTION("""COMPUTED_VALUE"""),2.72)</f>
        <v>2.72</v>
      </c>
      <c r="G1247" s="9">
        <f>IFERROR(__xludf.DUMMYFUNCTION("""COMPUTED_VALUE"""),2.72)</f>
        <v>2.72</v>
      </c>
      <c r="H1247" s="9">
        <f>IFERROR(__xludf.DUMMYFUNCTION("""COMPUTED_VALUE"""),1.0)</f>
        <v>1</v>
      </c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</row>
    <row r="1248" ht="15.75" customHeight="1">
      <c r="A1248" s="11">
        <f>IFERROR(__xludf.DUMMYFUNCTION("""COMPUTED_VALUE"""),44471.0)</f>
        <v>44471</v>
      </c>
      <c r="B1248" s="9">
        <f>IFERROR(__xludf.DUMMYFUNCTION("""COMPUTED_VALUE"""),1003459.0)</f>
        <v>1003459</v>
      </c>
      <c r="C1248" s="9">
        <f>IFERROR(__xludf.DUMMYFUNCTION("""COMPUTED_VALUE"""),110006.0)</f>
        <v>110006</v>
      </c>
      <c r="D1248" s="9"/>
      <c r="E1248" s="10" t="str">
        <f>IFERROR(__xludf.DUMMYFUNCTION("""COMPUTED_VALUE"""),"WEEZCLUB")</f>
        <v>WEEZCLUB</v>
      </c>
      <c r="F1248" s="10">
        <f>IFERROR(__xludf.DUMMYFUNCTION("""COMPUTED_VALUE"""),2.72)</f>
        <v>2.72</v>
      </c>
      <c r="G1248" s="9">
        <f>IFERROR(__xludf.DUMMYFUNCTION("""COMPUTED_VALUE"""),2.72)</f>
        <v>2.72</v>
      </c>
      <c r="H1248" s="9">
        <f>IFERROR(__xludf.DUMMYFUNCTION("""COMPUTED_VALUE"""),1.0)</f>
        <v>1</v>
      </c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</row>
    <row r="1249" ht="15.75" customHeight="1">
      <c r="A1249" s="11">
        <f>IFERROR(__xludf.DUMMYFUNCTION("""COMPUTED_VALUE"""),44471.0)</f>
        <v>44471</v>
      </c>
      <c r="B1249" s="9">
        <f>IFERROR(__xludf.DUMMYFUNCTION("""COMPUTED_VALUE"""),1003459.0)</f>
        <v>1003459</v>
      </c>
      <c r="C1249" s="9">
        <f>IFERROR(__xludf.DUMMYFUNCTION("""COMPUTED_VALUE"""),4887.0)</f>
        <v>4887</v>
      </c>
      <c r="D1249" s="9"/>
      <c r="E1249" s="10" t="str">
        <f>IFERROR(__xludf.DUMMYFUNCTION("""COMPUTED_VALUE"""),"WEEZCLUB")</f>
        <v>WEEZCLUB</v>
      </c>
      <c r="F1249" s="10">
        <f>IFERROR(__xludf.DUMMYFUNCTION("""COMPUTED_VALUE"""),5.69)</f>
        <v>5.69</v>
      </c>
      <c r="G1249" s="9">
        <f>IFERROR(__xludf.DUMMYFUNCTION("""COMPUTED_VALUE"""),5.69)</f>
        <v>5.69</v>
      </c>
      <c r="H1249" s="9">
        <f>IFERROR(__xludf.DUMMYFUNCTION("""COMPUTED_VALUE"""),1.0)</f>
        <v>1</v>
      </c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</row>
    <row r="1250" ht="15.75" customHeight="1">
      <c r="A1250" s="11">
        <f>IFERROR(__xludf.DUMMYFUNCTION("""COMPUTED_VALUE"""),44471.0)</f>
        <v>44471</v>
      </c>
      <c r="B1250" s="9">
        <f>IFERROR(__xludf.DUMMYFUNCTION("""COMPUTED_VALUE"""),1003459.0)</f>
        <v>1003459</v>
      </c>
      <c r="C1250" s="9">
        <f>IFERROR(__xludf.DUMMYFUNCTION("""COMPUTED_VALUE"""),6522.0)</f>
        <v>6522</v>
      </c>
      <c r="D1250" s="9"/>
      <c r="E1250" s="10" t="str">
        <f>IFERROR(__xludf.DUMMYFUNCTION("""COMPUTED_VALUE"""),"WEEZCLUB")</f>
        <v>WEEZCLUB</v>
      </c>
      <c r="F1250" s="10">
        <f>IFERROR(__xludf.DUMMYFUNCTION("""COMPUTED_VALUE"""),3.6)</f>
        <v>3.6</v>
      </c>
      <c r="G1250" s="9">
        <f>IFERROR(__xludf.DUMMYFUNCTION("""COMPUTED_VALUE"""),3.6)</f>
        <v>3.6</v>
      </c>
      <c r="H1250" s="9">
        <f>IFERROR(__xludf.DUMMYFUNCTION("""COMPUTED_VALUE"""),1.0)</f>
        <v>1</v>
      </c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</row>
    <row r="1251" ht="15.75" customHeight="1">
      <c r="A1251" s="11">
        <f>IFERROR(__xludf.DUMMYFUNCTION("""COMPUTED_VALUE"""),44471.0)</f>
        <v>44471</v>
      </c>
      <c r="B1251" s="9">
        <f>IFERROR(__xludf.DUMMYFUNCTION("""COMPUTED_VALUE"""),1003459.0)</f>
        <v>1003459</v>
      </c>
      <c r="C1251" s="9">
        <f>IFERROR(__xludf.DUMMYFUNCTION("""COMPUTED_VALUE"""),104170.0)</f>
        <v>104170</v>
      </c>
      <c r="D1251" s="10" t="str">
        <f>IFERROR(__xludf.DUMMYFUNCTION("""COMPUTED_VALUE"""),"Offre Speciale")</f>
        <v>Offre Speciale</v>
      </c>
      <c r="E1251" s="10" t="str">
        <f>IFERROR(__xludf.DUMMYFUNCTION("""COMPUTED_VALUE"""),"WEEZCLUB")</f>
        <v>WEEZCLUB</v>
      </c>
      <c r="F1251" s="10">
        <f>IFERROR(__xludf.DUMMYFUNCTION("""COMPUTED_VALUE"""),7.97560975609756)</f>
        <v>7.975609756</v>
      </c>
      <c r="G1251" s="9">
        <f>IFERROR(__xludf.DUMMYFUNCTION("""COMPUTED_VALUE"""),6.54)</f>
        <v>6.54</v>
      </c>
      <c r="H1251" s="9">
        <f>IFERROR(__xludf.DUMMYFUNCTION("""COMPUTED_VALUE"""),1.0)</f>
        <v>1</v>
      </c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</row>
    <row r="1252" ht="15.75" customHeight="1">
      <c r="A1252" s="11">
        <f>IFERROR(__xludf.DUMMYFUNCTION("""COMPUTED_VALUE"""),44471.0)</f>
        <v>44471</v>
      </c>
      <c r="B1252" s="9">
        <f>IFERROR(__xludf.DUMMYFUNCTION("""COMPUTED_VALUE"""),1003459.0)</f>
        <v>1003459</v>
      </c>
      <c r="C1252" s="9">
        <f>IFERROR(__xludf.DUMMYFUNCTION("""COMPUTED_VALUE"""),29654.0)</f>
        <v>29654</v>
      </c>
      <c r="D1252" s="9"/>
      <c r="E1252" s="10" t="str">
        <f>IFERROR(__xludf.DUMMYFUNCTION("""COMPUTED_VALUE"""),"WEEZCLUB")</f>
        <v>WEEZCLUB</v>
      </c>
      <c r="F1252" s="10">
        <f>IFERROR(__xludf.DUMMYFUNCTION("""COMPUTED_VALUE"""),2.75)</f>
        <v>2.75</v>
      </c>
      <c r="G1252" s="9">
        <f>IFERROR(__xludf.DUMMYFUNCTION("""COMPUTED_VALUE"""),2.75)</f>
        <v>2.75</v>
      </c>
      <c r="H1252" s="9">
        <f>IFERROR(__xludf.DUMMYFUNCTION("""COMPUTED_VALUE"""),2.0)</f>
        <v>2</v>
      </c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</row>
    <row r="1253" ht="15.75" customHeight="1">
      <c r="A1253" s="11">
        <f>IFERROR(__xludf.DUMMYFUNCTION("""COMPUTED_VALUE"""),44471.0)</f>
        <v>44471</v>
      </c>
      <c r="B1253" s="9">
        <f>IFERROR(__xludf.DUMMYFUNCTION("""COMPUTED_VALUE"""),1003459.0)</f>
        <v>1003459</v>
      </c>
      <c r="C1253" s="9">
        <f>IFERROR(__xludf.DUMMYFUNCTION("""COMPUTED_VALUE"""),73254.0)</f>
        <v>73254</v>
      </c>
      <c r="D1253" s="10" t="str">
        <f>IFERROR(__xludf.DUMMYFUNCTION("""COMPUTED_VALUE"""),"Vive le bio")</f>
        <v>Vive le bio</v>
      </c>
      <c r="E1253" s="10" t="str">
        <f>IFERROR(__xludf.DUMMYFUNCTION("""COMPUTED_VALUE"""),"WEEZCLUB")</f>
        <v>WEEZCLUB</v>
      </c>
      <c r="F1253" s="10">
        <f>IFERROR(__xludf.DUMMYFUNCTION("""COMPUTED_VALUE"""),3.54736842105263)</f>
        <v>3.547368421</v>
      </c>
      <c r="G1253" s="9">
        <f>IFERROR(__xludf.DUMMYFUNCTION("""COMPUTED_VALUE"""),3.37)</f>
        <v>3.37</v>
      </c>
      <c r="H1253" s="9">
        <f>IFERROR(__xludf.DUMMYFUNCTION("""COMPUTED_VALUE"""),2.0)</f>
        <v>2</v>
      </c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</row>
    <row r="1254" ht="15.75" customHeight="1">
      <c r="A1254" s="11">
        <f>IFERROR(__xludf.DUMMYFUNCTION("""COMPUTED_VALUE"""),44471.0)</f>
        <v>44471</v>
      </c>
      <c r="B1254" s="9">
        <f>IFERROR(__xludf.DUMMYFUNCTION("""COMPUTED_VALUE"""),1003459.0)</f>
        <v>1003459</v>
      </c>
      <c r="C1254" s="9">
        <f>IFERROR(__xludf.DUMMYFUNCTION("""COMPUTED_VALUE"""),117718.0)</f>
        <v>117718</v>
      </c>
      <c r="D1254" s="9"/>
      <c r="E1254" s="10" t="str">
        <f>IFERROR(__xludf.DUMMYFUNCTION("""COMPUTED_VALUE"""),"WEEZCLUB")</f>
        <v>WEEZCLUB</v>
      </c>
      <c r="F1254" s="10">
        <f>IFERROR(__xludf.DUMMYFUNCTION("""COMPUTED_VALUE"""),16.74)</f>
        <v>16.74</v>
      </c>
      <c r="G1254" s="9">
        <f>IFERROR(__xludf.DUMMYFUNCTION("""COMPUTED_VALUE"""),16.74)</f>
        <v>16.74</v>
      </c>
      <c r="H1254" s="9">
        <f>IFERROR(__xludf.DUMMYFUNCTION("""COMPUTED_VALUE"""),2.0)</f>
        <v>2</v>
      </c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</row>
    <row r="1255" ht="15.75" customHeight="1">
      <c r="A1255" s="11">
        <f>IFERROR(__xludf.DUMMYFUNCTION("""COMPUTED_VALUE"""),44471.0)</f>
        <v>44471</v>
      </c>
      <c r="B1255" s="9">
        <f>IFERROR(__xludf.DUMMYFUNCTION("""COMPUTED_VALUE"""),1003459.0)</f>
        <v>1003459</v>
      </c>
      <c r="C1255" s="9">
        <f>IFERROR(__xludf.DUMMYFUNCTION("""COMPUTED_VALUE"""),120241.0)</f>
        <v>120241</v>
      </c>
      <c r="D1255" s="9"/>
      <c r="E1255" s="10" t="str">
        <f>IFERROR(__xludf.DUMMYFUNCTION("""COMPUTED_VALUE"""),"WEEZCLUB")</f>
        <v>WEEZCLUB</v>
      </c>
      <c r="F1255" s="10">
        <f>IFERROR(__xludf.DUMMYFUNCTION("""COMPUTED_VALUE"""),22.35)</f>
        <v>22.35</v>
      </c>
      <c r="G1255" s="9">
        <f>IFERROR(__xludf.DUMMYFUNCTION("""COMPUTED_VALUE"""),22.35)</f>
        <v>22.35</v>
      </c>
      <c r="H1255" s="9">
        <f>IFERROR(__xludf.DUMMYFUNCTION("""COMPUTED_VALUE"""),2.0)</f>
        <v>2</v>
      </c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</row>
    <row r="1256" ht="15.75" customHeight="1">
      <c r="A1256" s="11">
        <f>IFERROR(__xludf.DUMMYFUNCTION("""COMPUTED_VALUE"""),44471.0)</f>
        <v>44471</v>
      </c>
      <c r="B1256" s="9">
        <f>IFERROR(__xludf.DUMMYFUNCTION("""COMPUTED_VALUE"""),1003460.0)</f>
        <v>1003460</v>
      </c>
      <c r="C1256" s="9">
        <f>IFERROR(__xludf.DUMMYFUNCTION("""COMPUTED_VALUE"""),102735.0)</f>
        <v>102735</v>
      </c>
      <c r="D1256" s="9"/>
      <c r="E1256" s="9"/>
      <c r="F1256" s="9">
        <f>IFERROR(__xludf.DUMMYFUNCTION("""COMPUTED_VALUE"""),3.88)</f>
        <v>3.88</v>
      </c>
      <c r="G1256" s="9">
        <f>IFERROR(__xludf.DUMMYFUNCTION("""COMPUTED_VALUE"""),3.88)</f>
        <v>3.88</v>
      </c>
      <c r="H1256" s="9">
        <f>IFERROR(__xludf.DUMMYFUNCTION("""COMPUTED_VALUE"""),1.0)</f>
        <v>1</v>
      </c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</row>
    <row r="1257" ht="15.75" customHeight="1">
      <c r="A1257" s="11">
        <f>IFERROR(__xludf.DUMMYFUNCTION("""COMPUTED_VALUE"""),44471.0)</f>
        <v>44471</v>
      </c>
      <c r="B1257" s="9">
        <f>IFERROR(__xludf.DUMMYFUNCTION("""COMPUTED_VALUE"""),1003460.0)</f>
        <v>1003460</v>
      </c>
      <c r="C1257" s="9">
        <f>IFERROR(__xludf.DUMMYFUNCTION("""COMPUTED_VALUE"""),80421.0)</f>
        <v>80421</v>
      </c>
      <c r="D1257" s="9"/>
      <c r="E1257" s="9"/>
      <c r="F1257" s="9">
        <f>IFERROR(__xludf.DUMMYFUNCTION("""COMPUTED_VALUE"""),8.77)</f>
        <v>8.77</v>
      </c>
      <c r="G1257" s="9">
        <f>IFERROR(__xludf.DUMMYFUNCTION("""COMPUTED_VALUE"""),8.77)</f>
        <v>8.77</v>
      </c>
      <c r="H1257" s="9">
        <f>IFERROR(__xludf.DUMMYFUNCTION("""COMPUTED_VALUE"""),1.0)</f>
        <v>1</v>
      </c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</row>
    <row r="1258" ht="15.75" customHeight="1">
      <c r="A1258" s="11">
        <f>IFERROR(__xludf.DUMMYFUNCTION("""COMPUTED_VALUE"""),44471.0)</f>
        <v>44471</v>
      </c>
      <c r="B1258" s="9">
        <f>IFERROR(__xludf.DUMMYFUNCTION("""COMPUTED_VALUE"""),1003460.0)</f>
        <v>1003460</v>
      </c>
      <c r="C1258" s="9">
        <f>IFERROR(__xludf.DUMMYFUNCTION("""COMPUTED_VALUE"""),110141.0)</f>
        <v>110141</v>
      </c>
      <c r="D1258" s="9"/>
      <c r="E1258" s="9"/>
      <c r="F1258" s="9">
        <f>IFERROR(__xludf.DUMMYFUNCTION("""COMPUTED_VALUE"""),15.04)</f>
        <v>15.04</v>
      </c>
      <c r="G1258" s="9">
        <f>IFERROR(__xludf.DUMMYFUNCTION("""COMPUTED_VALUE"""),15.04)</f>
        <v>15.04</v>
      </c>
      <c r="H1258" s="9">
        <f>IFERROR(__xludf.DUMMYFUNCTION("""COMPUTED_VALUE"""),1.0)</f>
        <v>1</v>
      </c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</row>
    <row r="1259" ht="15.75" customHeight="1">
      <c r="A1259" s="11">
        <f>IFERROR(__xludf.DUMMYFUNCTION("""COMPUTED_VALUE"""),44471.0)</f>
        <v>44471</v>
      </c>
      <c r="B1259" s="9">
        <f>IFERROR(__xludf.DUMMYFUNCTION("""COMPUTED_VALUE"""),1003460.0)</f>
        <v>1003460</v>
      </c>
      <c r="C1259" s="9">
        <f>IFERROR(__xludf.DUMMYFUNCTION("""COMPUTED_VALUE"""),122445.0)</f>
        <v>122445</v>
      </c>
      <c r="D1259" s="9"/>
      <c r="E1259" s="9"/>
      <c r="F1259" s="9">
        <f>IFERROR(__xludf.DUMMYFUNCTION("""COMPUTED_VALUE"""),10.14)</f>
        <v>10.14</v>
      </c>
      <c r="G1259" s="9">
        <f>IFERROR(__xludf.DUMMYFUNCTION("""COMPUTED_VALUE"""),10.14)</f>
        <v>10.14</v>
      </c>
      <c r="H1259" s="9">
        <f>IFERROR(__xludf.DUMMYFUNCTION("""COMPUTED_VALUE"""),1.0)</f>
        <v>1</v>
      </c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</row>
    <row r="1260" ht="15.75" customHeight="1">
      <c r="A1260" s="11">
        <f>IFERROR(__xludf.DUMMYFUNCTION("""COMPUTED_VALUE"""),44471.0)</f>
        <v>44471</v>
      </c>
      <c r="B1260" s="9">
        <f>IFERROR(__xludf.DUMMYFUNCTION("""COMPUTED_VALUE"""),1003460.0)</f>
        <v>1003460</v>
      </c>
      <c r="C1260" s="9">
        <f>IFERROR(__xludf.DUMMYFUNCTION("""COMPUTED_VALUE"""),101559.0)</f>
        <v>101559</v>
      </c>
      <c r="D1260" s="9"/>
      <c r="E1260" s="9"/>
      <c r="F1260" s="9">
        <f>IFERROR(__xludf.DUMMYFUNCTION("""COMPUTED_VALUE"""),5.13)</f>
        <v>5.13</v>
      </c>
      <c r="G1260" s="9">
        <f>IFERROR(__xludf.DUMMYFUNCTION("""COMPUTED_VALUE"""),5.13)</f>
        <v>5.13</v>
      </c>
      <c r="H1260" s="9">
        <f>IFERROR(__xludf.DUMMYFUNCTION("""COMPUTED_VALUE"""),1.0)</f>
        <v>1</v>
      </c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</row>
    <row r="1261" ht="15.75" customHeight="1">
      <c r="A1261" s="11">
        <f>IFERROR(__xludf.DUMMYFUNCTION("""COMPUTED_VALUE"""),44471.0)</f>
        <v>44471</v>
      </c>
      <c r="B1261" s="9">
        <f>IFERROR(__xludf.DUMMYFUNCTION("""COMPUTED_VALUE"""),1003460.0)</f>
        <v>1003460</v>
      </c>
      <c r="C1261" s="9">
        <f>IFERROR(__xludf.DUMMYFUNCTION("""COMPUTED_VALUE"""),105505.0)</f>
        <v>105505</v>
      </c>
      <c r="D1261" s="9"/>
      <c r="E1261" s="9"/>
      <c r="F1261" s="9">
        <f>IFERROR(__xludf.DUMMYFUNCTION("""COMPUTED_VALUE"""),17.01)</f>
        <v>17.01</v>
      </c>
      <c r="G1261" s="9">
        <f>IFERROR(__xludf.DUMMYFUNCTION("""COMPUTED_VALUE"""),17.01)</f>
        <v>17.01</v>
      </c>
      <c r="H1261" s="9">
        <f>IFERROR(__xludf.DUMMYFUNCTION("""COMPUTED_VALUE"""),1.0)</f>
        <v>1</v>
      </c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</row>
    <row r="1262" ht="15.75" customHeight="1">
      <c r="A1262" s="11">
        <f>IFERROR(__xludf.DUMMYFUNCTION("""COMPUTED_VALUE"""),44471.0)</f>
        <v>44471</v>
      </c>
      <c r="B1262" s="9">
        <f>IFERROR(__xludf.DUMMYFUNCTION("""COMPUTED_VALUE"""),1003460.0)</f>
        <v>1003460</v>
      </c>
      <c r="C1262" s="9">
        <f>IFERROR(__xludf.DUMMYFUNCTION("""COMPUTED_VALUE"""),193187.0)</f>
        <v>193187</v>
      </c>
      <c r="D1262" s="9"/>
      <c r="E1262" s="9"/>
      <c r="F1262" s="9">
        <f>IFERROR(__xludf.DUMMYFUNCTION("""COMPUTED_VALUE"""),7.27)</f>
        <v>7.27</v>
      </c>
      <c r="G1262" s="9">
        <f>IFERROR(__xludf.DUMMYFUNCTION("""COMPUTED_VALUE"""),7.27)</f>
        <v>7.27</v>
      </c>
      <c r="H1262" s="9">
        <f>IFERROR(__xludf.DUMMYFUNCTION("""COMPUTED_VALUE"""),2.0)</f>
        <v>2</v>
      </c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</row>
    <row r="1263" ht="15.75" customHeight="1">
      <c r="A1263" s="11">
        <f>IFERROR(__xludf.DUMMYFUNCTION("""COMPUTED_VALUE"""),44471.0)</f>
        <v>44471</v>
      </c>
      <c r="B1263" s="9">
        <f>IFERROR(__xludf.DUMMYFUNCTION("""COMPUTED_VALUE"""),1003460.0)</f>
        <v>1003460</v>
      </c>
      <c r="C1263" s="9">
        <f>IFERROR(__xludf.DUMMYFUNCTION("""COMPUTED_VALUE"""),8900.0)</f>
        <v>8900</v>
      </c>
      <c r="D1263" s="9"/>
      <c r="E1263" s="9"/>
      <c r="F1263" s="9">
        <f>IFERROR(__xludf.DUMMYFUNCTION("""COMPUTED_VALUE"""),20.93)</f>
        <v>20.93</v>
      </c>
      <c r="G1263" s="9">
        <f>IFERROR(__xludf.DUMMYFUNCTION("""COMPUTED_VALUE"""),20.93)</f>
        <v>20.93</v>
      </c>
      <c r="H1263" s="9">
        <f>IFERROR(__xludf.DUMMYFUNCTION("""COMPUTED_VALUE"""),2.0)</f>
        <v>2</v>
      </c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</row>
    <row r="1264" ht="15.75" customHeight="1">
      <c r="A1264" s="11">
        <f>IFERROR(__xludf.DUMMYFUNCTION("""COMPUTED_VALUE"""),44471.0)</f>
        <v>44471</v>
      </c>
      <c r="B1264" s="9">
        <f>IFERROR(__xludf.DUMMYFUNCTION("""COMPUTED_VALUE"""),1003460.0)</f>
        <v>1003460</v>
      </c>
      <c r="C1264" s="9">
        <f>IFERROR(__xludf.DUMMYFUNCTION("""COMPUTED_VALUE"""),2204.0)</f>
        <v>2204</v>
      </c>
      <c r="D1264" s="9"/>
      <c r="E1264" s="9"/>
      <c r="F1264" s="9">
        <f>IFERROR(__xludf.DUMMYFUNCTION("""COMPUTED_VALUE"""),6.71)</f>
        <v>6.71</v>
      </c>
      <c r="G1264" s="9">
        <f>IFERROR(__xludf.DUMMYFUNCTION("""COMPUTED_VALUE"""),6.71)</f>
        <v>6.71</v>
      </c>
      <c r="H1264" s="9">
        <f>IFERROR(__xludf.DUMMYFUNCTION("""COMPUTED_VALUE"""),2.0)</f>
        <v>2</v>
      </c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</row>
    <row r="1265" ht="15.75" customHeight="1">
      <c r="A1265" s="11">
        <f>IFERROR(__xludf.DUMMYFUNCTION("""COMPUTED_VALUE"""),44471.0)</f>
        <v>44471</v>
      </c>
      <c r="B1265" s="9">
        <f>IFERROR(__xludf.DUMMYFUNCTION("""COMPUTED_VALUE"""),1003461.0)</f>
        <v>1003461</v>
      </c>
      <c r="C1265" s="9">
        <f>IFERROR(__xludf.DUMMYFUNCTION("""COMPUTED_VALUE"""),109763.0)</f>
        <v>109763</v>
      </c>
      <c r="D1265" s="10" t="str">
        <f>IFERROR(__xludf.DUMMYFUNCTION("""COMPUTED_VALUE"""),"Hygiene intime")</f>
        <v>Hygiene intime</v>
      </c>
      <c r="E1265" s="10"/>
      <c r="F1265" s="9">
        <f>IFERROR(__xludf.DUMMYFUNCTION("""COMPUTED_VALUE"""),16.0947368421052)</f>
        <v>16.09473684</v>
      </c>
      <c r="G1265" s="9">
        <f>IFERROR(__xludf.DUMMYFUNCTION("""COMPUTED_VALUE"""),15.29)</f>
        <v>15.29</v>
      </c>
      <c r="H1265" s="9">
        <f>IFERROR(__xludf.DUMMYFUNCTION("""COMPUTED_VALUE"""),1.0)</f>
        <v>1</v>
      </c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</row>
    <row r="1266" ht="15.75" customHeight="1">
      <c r="A1266" s="11">
        <f>IFERROR(__xludf.DUMMYFUNCTION("""COMPUTED_VALUE"""),44471.0)</f>
        <v>44471</v>
      </c>
      <c r="B1266" s="9">
        <f>IFERROR(__xludf.DUMMYFUNCTION("""COMPUTED_VALUE"""),1003461.0)</f>
        <v>1003461</v>
      </c>
      <c r="C1266" s="9">
        <f>IFERROR(__xludf.DUMMYFUNCTION("""COMPUTED_VALUE"""),109760.0)</f>
        <v>109760</v>
      </c>
      <c r="D1266" s="10" t="str">
        <f>IFERROR(__xludf.DUMMYFUNCTION("""COMPUTED_VALUE"""),"Hygiene intime")</f>
        <v>Hygiene intime</v>
      </c>
      <c r="E1266" s="10"/>
      <c r="F1266" s="9">
        <f>IFERROR(__xludf.DUMMYFUNCTION("""COMPUTED_VALUE"""),16.3052631578947)</f>
        <v>16.30526316</v>
      </c>
      <c r="G1266" s="9">
        <f>IFERROR(__xludf.DUMMYFUNCTION("""COMPUTED_VALUE"""),15.49)</f>
        <v>15.49</v>
      </c>
      <c r="H1266" s="9">
        <f>IFERROR(__xludf.DUMMYFUNCTION("""COMPUTED_VALUE"""),1.0)</f>
        <v>1</v>
      </c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</row>
    <row r="1267" ht="15.75" customHeight="1">
      <c r="A1267" s="11">
        <f>IFERROR(__xludf.DUMMYFUNCTION("""COMPUTED_VALUE"""),44471.0)</f>
        <v>44471</v>
      </c>
      <c r="B1267" s="9">
        <f>IFERROR(__xludf.DUMMYFUNCTION("""COMPUTED_VALUE"""),1003461.0)</f>
        <v>1003461</v>
      </c>
      <c r="C1267" s="9">
        <f>IFERROR(__xludf.DUMMYFUNCTION("""COMPUTED_VALUE"""),82453.0)</f>
        <v>82453</v>
      </c>
      <c r="D1267" s="9"/>
      <c r="E1267" s="9"/>
      <c r="F1267" s="9">
        <f>IFERROR(__xludf.DUMMYFUNCTION("""COMPUTED_VALUE"""),5.01)</f>
        <v>5.01</v>
      </c>
      <c r="G1267" s="9">
        <f>IFERROR(__xludf.DUMMYFUNCTION("""COMPUTED_VALUE"""),5.01)</f>
        <v>5.01</v>
      </c>
      <c r="H1267" s="9">
        <f>IFERROR(__xludf.DUMMYFUNCTION("""COMPUTED_VALUE"""),2.0)</f>
        <v>2</v>
      </c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</row>
    <row r="1268" ht="15.75" customHeight="1">
      <c r="A1268" s="11">
        <f>IFERROR(__xludf.DUMMYFUNCTION("""COMPUTED_VALUE"""),44471.0)</f>
        <v>44471</v>
      </c>
      <c r="B1268" s="9">
        <f>IFERROR(__xludf.DUMMYFUNCTION("""COMPUTED_VALUE"""),1003461.0)</f>
        <v>1003461</v>
      </c>
      <c r="C1268" s="9">
        <f>IFERROR(__xludf.DUMMYFUNCTION("""COMPUTED_VALUE"""),100436.0)</f>
        <v>100436</v>
      </c>
      <c r="D1268" s="9"/>
      <c r="E1268" s="9"/>
      <c r="F1268" s="9">
        <f>IFERROR(__xludf.DUMMYFUNCTION("""COMPUTED_VALUE"""),8.34)</f>
        <v>8.34</v>
      </c>
      <c r="G1268" s="9">
        <f>IFERROR(__xludf.DUMMYFUNCTION("""COMPUTED_VALUE"""),8.34)</f>
        <v>8.34</v>
      </c>
      <c r="H1268" s="9">
        <f>IFERROR(__xludf.DUMMYFUNCTION("""COMPUTED_VALUE"""),2.0)</f>
        <v>2</v>
      </c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</row>
    <row r="1269" ht="15.75" customHeight="1">
      <c r="A1269" s="11">
        <f>IFERROR(__xludf.DUMMYFUNCTION("""COMPUTED_VALUE"""),44471.0)</f>
        <v>44471</v>
      </c>
      <c r="B1269" s="9">
        <f>IFERROR(__xludf.DUMMYFUNCTION("""COMPUTED_VALUE"""),1003461.0)</f>
        <v>1003461</v>
      </c>
      <c r="C1269" s="9">
        <f>IFERROR(__xludf.DUMMYFUNCTION("""COMPUTED_VALUE"""),82461.0)</f>
        <v>82461</v>
      </c>
      <c r="D1269" s="10" t="str">
        <f>IFERROR(__xludf.DUMMYFUNCTION("""COMPUTED_VALUE"""),"Vive le bio")</f>
        <v>Vive le bio</v>
      </c>
      <c r="E1269" s="10"/>
      <c r="F1269" s="9">
        <f>IFERROR(__xludf.DUMMYFUNCTION("""COMPUTED_VALUE"""),9.45555555555555)</f>
        <v>9.455555556</v>
      </c>
      <c r="G1269" s="9">
        <f>IFERROR(__xludf.DUMMYFUNCTION("""COMPUTED_VALUE"""),8.51)</f>
        <v>8.51</v>
      </c>
      <c r="H1269" s="9">
        <f>IFERROR(__xludf.DUMMYFUNCTION("""COMPUTED_VALUE"""),3.0)</f>
        <v>3</v>
      </c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</row>
    <row r="1270" ht="15.75" customHeight="1">
      <c r="A1270" s="11">
        <f>IFERROR(__xludf.DUMMYFUNCTION("""COMPUTED_VALUE"""),44471.0)</f>
        <v>44471</v>
      </c>
      <c r="B1270" s="9">
        <f>IFERROR(__xludf.DUMMYFUNCTION("""COMPUTED_VALUE"""),1003462.0)</f>
        <v>1003462</v>
      </c>
      <c r="C1270" s="9">
        <f>IFERROR(__xludf.DUMMYFUNCTION("""COMPUTED_VALUE"""),109961.0)</f>
        <v>109961</v>
      </c>
      <c r="D1270" s="9"/>
      <c r="E1270" s="9"/>
      <c r="F1270" s="9">
        <f>IFERROR(__xludf.DUMMYFUNCTION("""COMPUTED_VALUE"""),8.63)</f>
        <v>8.63</v>
      </c>
      <c r="G1270" s="9">
        <f>IFERROR(__xludf.DUMMYFUNCTION("""COMPUTED_VALUE"""),8.63)</f>
        <v>8.63</v>
      </c>
      <c r="H1270" s="9">
        <f>IFERROR(__xludf.DUMMYFUNCTION("""COMPUTED_VALUE"""),1.0)</f>
        <v>1</v>
      </c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</row>
    <row r="1271" ht="15.75" customHeight="1">
      <c r="A1271" s="11">
        <f>IFERROR(__xludf.DUMMYFUNCTION("""COMPUTED_VALUE"""),44471.0)</f>
        <v>44471</v>
      </c>
      <c r="B1271" s="9">
        <f>IFERROR(__xludf.DUMMYFUNCTION("""COMPUTED_VALUE"""),1003462.0)</f>
        <v>1003462</v>
      </c>
      <c r="C1271" s="9">
        <f>IFERROR(__xludf.DUMMYFUNCTION("""COMPUTED_VALUE"""),109956.0)</f>
        <v>109956</v>
      </c>
      <c r="D1271" s="10" t="str">
        <f>IFERROR(__xludf.DUMMYFUNCTION("""COMPUTED_VALUE"""),"Vive le bio")</f>
        <v>Vive le bio</v>
      </c>
      <c r="E1271" s="10"/>
      <c r="F1271" s="9">
        <f>IFERROR(__xludf.DUMMYFUNCTION("""COMPUTED_VALUE"""),8.62222222222222)</f>
        <v>8.622222222</v>
      </c>
      <c r="G1271" s="9">
        <f>IFERROR(__xludf.DUMMYFUNCTION("""COMPUTED_VALUE"""),7.76)</f>
        <v>7.76</v>
      </c>
      <c r="H1271" s="9">
        <f>IFERROR(__xludf.DUMMYFUNCTION("""COMPUTED_VALUE"""),1.0)</f>
        <v>1</v>
      </c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</row>
    <row r="1272" ht="15.75" customHeight="1">
      <c r="A1272" s="11">
        <f>IFERROR(__xludf.DUMMYFUNCTION("""COMPUTED_VALUE"""),44471.0)</f>
        <v>44471</v>
      </c>
      <c r="B1272" s="9">
        <f>IFERROR(__xludf.DUMMYFUNCTION("""COMPUTED_VALUE"""),1003463.0)</f>
        <v>1003463</v>
      </c>
      <c r="C1272" s="9">
        <f>IFERROR(__xludf.DUMMYFUNCTION("""COMPUTED_VALUE"""),68382.0)</f>
        <v>68382</v>
      </c>
      <c r="D1272" s="9"/>
      <c r="E1272" s="9"/>
      <c r="F1272" s="9">
        <f>IFERROR(__xludf.DUMMYFUNCTION("""COMPUTED_VALUE"""),1.94)</f>
        <v>1.94</v>
      </c>
      <c r="G1272" s="9">
        <f>IFERROR(__xludf.DUMMYFUNCTION("""COMPUTED_VALUE"""),1.94)</f>
        <v>1.94</v>
      </c>
      <c r="H1272" s="9">
        <f>IFERROR(__xludf.DUMMYFUNCTION("""COMPUTED_VALUE"""),1.0)</f>
        <v>1</v>
      </c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</row>
    <row r="1273" ht="15.75" customHeight="1">
      <c r="A1273" s="11">
        <f>IFERROR(__xludf.DUMMYFUNCTION("""COMPUTED_VALUE"""),44471.0)</f>
        <v>44471</v>
      </c>
      <c r="B1273" s="9">
        <f>IFERROR(__xludf.DUMMYFUNCTION("""COMPUTED_VALUE"""),1003463.0)</f>
        <v>1003463</v>
      </c>
      <c r="C1273" s="9">
        <f>IFERROR(__xludf.DUMMYFUNCTION("""COMPUTED_VALUE"""),76466.0)</f>
        <v>76466</v>
      </c>
      <c r="D1273" s="9"/>
      <c r="E1273" s="9"/>
      <c r="F1273" s="9">
        <f>IFERROR(__xludf.DUMMYFUNCTION("""COMPUTED_VALUE"""),3.77)</f>
        <v>3.77</v>
      </c>
      <c r="G1273" s="9">
        <f>IFERROR(__xludf.DUMMYFUNCTION("""COMPUTED_VALUE"""),3.77)</f>
        <v>3.77</v>
      </c>
      <c r="H1273" s="9">
        <f>IFERROR(__xludf.DUMMYFUNCTION("""COMPUTED_VALUE"""),1.0)</f>
        <v>1</v>
      </c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</row>
    <row r="1274" ht="15.75" customHeight="1">
      <c r="A1274" s="11">
        <f>IFERROR(__xludf.DUMMYFUNCTION("""COMPUTED_VALUE"""),44471.0)</f>
        <v>44471</v>
      </c>
      <c r="B1274" s="9">
        <f>IFERROR(__xludf.DUMMYFUNCTION("""COMPUTED_VALUE"""),1003463.0)</f>
        <v>1003463</v>
      </c>
      <c r="C1274" s="9">
        <f>IFERROR(__xludf.DUMMYFUNCTION("""COMPUTED_VALUE"""),110566.0)</f>
        <v>110566</v>
      </c>
      <c r="D1274" s="9"/>
      <c r="E1274" s="9"/>
      <c r="F1274" s="9">
        <f>IFERROR(__xludf.DUMMYFUNCTION("""COMPUTED_VALUE"""),1.83)</f>
        <v>1.83</v>
      </c>
      <c r="G1274" s="9">
        <f>IFERROR(__xludf.DUMMYFUNCTION("""COMPUTED_VALUE"""),1.83)</f>
        <v>1.83</v>
      </c>
      <c r="H1274" s="9">
        <f>IFERROR(__xludf.DUMMYFUNCTION("""COMPUTED_VALUE"""),1.0)</f>
        <v>1</v>
      </c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</row>
    <row r="1275" ht="15.75" customHeight="1">
      <c r="A1275" s="11">
        <f>IFERROR(__xludf.DUMMYFUNCTION("""COMPUTED_VALUE"""),44471.0)</f>
        <v>44471</v>
      </c>
      <c r="B1275" s="9">
        <f>IFERROR(__xludf.DUMMYFUNCTION("""COMPUTED_VALUE"""),1003463.0)</f>
        <v>1003463</v>
      </c>
      <c r="C1275" s="9">
        <f>IFERROR(__xludf.DUMMYFUNCTION("""COMPUTED_VALUE"""),117628.0)</f>
        <v>117628</v>
      </c>
      <c r="D1275" s="10" t="str">
        <f>IFERROR(__xludf.DUMMYFUNCTION("""COMPUTED_VALUE"""),"Vive le bio")</f>
        <v>Vive le bio</v>
      </c>
      <c r="E1275" s="10"/>
      <c r="F1275" s="9">
        <f>IFERROR(__xludf.DUMMYFUNCTION("""COMPUTED_VALUE"""),2.95555555555555)</f>
        <v>2.955555556</v>
      </c>
      <c r="G1275" s="9">
        <f>IFERROR(__xludf.DUMMYFUNCTION("""COMPUTED_VALUE"""),2.66)</f>
        <v>2.66</v>
      </c>
      <c r="H1275" s="9">
        <f>IFERROR(__xludf.DUMMYFUNCTION("""COMPUTED_VALUE"""),1.0)</f>
        <v>1</v>
      </c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</row>
    <row r="1276" ht="15.75" customHeight="1">
      <c r="A1276" s="11">
        <f>IFERROR(__xludf.DUMMYFUNCTION("""COMPUTED_VALUE"""),44471.0)</f>
        <v>44471</v>
      </c>
      <c r="B1276" s="9">
        <f>IFERROR(__xludf.DUMMYFUNCTION("""COMPUTED_VALUE"""),1003463.0)</f>
        <v>1003463</v>
      </c>
      <c r="C1276" s="9">
        <f>IFERROR(__xludf.DUMMYFUNCTION("""COMPUTED_VALUE"""),46482.0)</f>
        <v>46482</v>
      </c>
      <c r="D1276" s="9"/>
      <c r="E1276" s="9"/>
      <c r="F1276" s="9">
        <f>IFERROR(__xludf.DUMMYFUNCTION("""COMPUTED_VALUE"""),3.67)</f>
        <v>3.67</v>
      </c>
      <c r="G1276" s="9">
        <f>IFERROR(__xludf.DUMMYFUNCTION("""COMPUTED_VALUE"""),3.67)</f>
        <v>3.67</v>
      </c>
      <c r="H1276" s="9">
        <f>IFERROR(__xludf.DUMMYFUNCTION("""COMPUTED_VALUE"""),1.0)</f>
        <v>1</v>
      </c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</row>
    <row r="1277" ht="15.75" customHeight="1">
      <c r="A1277" s="11">
        <f>IFERROR(__xludf.DUMMYFUNCTION("""COMPUTED_VALUE"""),44471.0)</f>
        <v>44471</v>
      </c>
      <c r="B1277" s="9">
        <f>IFERROR(__xludf.DUMMYFUNCTION("""COMPUTED_VALUE"""),1003463.0)</f>
        <v>1003463</v>
      </c>
      <c r="C1277" s="9">
        <f>IFERROR(__xludf.DUMMYFUNCTION("""COMPUTED_VALUE"""),77389.0)</f>
        <v>77389</v>
      </c>
      <c r="D1277" s="10" t="str">
        <f>IFERROR(__xludf.DUMMYFUNCTION("""COMPUTED_VALUE"""),"Vive le bio")</f>
        <v>Vive le bio</v>
      </c>
      <c r="E1277" s="10"/>
      <c r="F1277" s="9">
        <f>IFERROR(__xludf.DUMMYFUNCTION("""COMPUTED_VALUE"""),2.58888888888888)</f>
        <v>2.588888889</v>
      </c>
      <c r="G1277" s="9">
        <f>IFERROR(__xludf.DUMMYFUNCTION("""COMPUTED_VALUE"""),2.33)</f>
        <v>2.33</v>
      </c>
      <c r="H1277" s="9">
        <f>IFERROR(__xludf.DUMMYFUNCTION("""COMPUTED_VALUE"""),1.0)</f>
        <v>1</v>
      </c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</row>
    <row r="1278" ht="15.75" customHeight="1">
      <c r="A1278" s="11">
        <f>IFERROR(__xludf.DUMMYFUNCTION("""COMPUTED_VALUE"""),44471.0)</f>
        <v>44471</v>
      </c>
      <c r="B1278" s="9">
        <f>IFERROR(__xludf.DUMMYFUNCTION("""COMPUTED_VALUE"""),1003463.0)</f>
        <v>1003463</v>
      </c>
      <c r="C1278" s="9">
        <f>IFERROR(__xludf.DUMMYFUNCTION("""COMPUTED_VALUE"""),5714.0)</f>
        <v>5714</v>
      </c>
      <c r="D1278" s="9"/>
      <c r="E1278" s="9"/>
      <c r="F1278" s="9">
        <f>IFERROR(__xludf.DUMMYFUNCTION("""COMPUTED_VALUE"""),5.86)</f>
        <v>5.86</v>
      </c>
      <c r="G1278" s="9">
        <f>IFERROR(__xludf.DUMMYFUNCTION("""COMPUTED_VALUE"""),5.86)</f>
        <v>5.86</v>
      </c>
      <c r="H1278" s="9">
        <f>IFERROR(__xludf.DUMMYFUNCTION("""COMPUTED_VALUE"""),1.0)</f>
        <v>1</v>
      </c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</row>
    <row r="1279" ht="15.75" customHeight="1">
      <c r="A1279" s="11">
        <f>IFERROR(__xludf.DUMMYFUNCTION("""COMPUTED_VALUE"""),44471.0)</f>
        <v>44471</v>
      </c>
      <c r="B1279" s="9">
        <f>IFERROR(__xludf.DUMMYFUNCTION("""COMPUTED_VALUE"""),1003463.0)</f>
        <v>1003463</v>
      </c>
      <c r="C1279" s="9">
        <f>IFERROR(__xludf.DUMMYFUNCTION("""COMPUTED_VALUE"""),112077.0)</f>
        <v>112077</v>
      </c>
      <c r="D1279" s="9"/>
      <c r="E1279" s="9"/>
      <c r="F1279" s="9">
        <f>IFERROR(__xludf.DUMMYFUNCTION("""COMPUTED_VALUE"""),3.07)</f>
        <v>3.07</v>
      </c>
      <c r="G1279" s="9">
        <f>IFERROR(__xludf.DUMMYFUNCTION("""COMPUTED_VALUE"""),3.07)</f>
        <v>3.07</v>
      </c>
      <c r="H1279" s="9">
        <f>IFERROR(__xludf.DUMMYFUNCTION("""COMPUTED_VALUE"""),1.0)</f>
        <v>1</v>
      </c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</row>
    <row r="1280" ht="15.75" customHeight="1">
      <c r="A1280" s="11">
        <f>IFERROR(__xludf.DUMMYFUNCTION("""COMPUTED_VALUE"""),44471.0)</f>
        <v>44471</v>
      </c>
      <c r="B1280" s="9">
        <f>IFERROR(__xludf.DUMMYFUNCTION("""COMPUTED_VALUE"""),1003463.0)</f>
        <v>1003463</v>
      </c>
      <c r="C1280" s="9">
        <f>IFERROR(__xludf.DUMMYFUNCTION("""COMPUTED_VALUE"""),77310.0)</f>
        <v>77310</v>
      </c>
      <c r="D1280" s="9"/>
      <c r="E1280" s="9"/>
      <c r="F1280" s="9">
        <f>IFERROR(__xludf.DUMMYFUNCTION("""COMPUTED_VALUE"""),4.45)</f>
        <v>4.45</v>
      </c>
      <c r="G1280" s="9">
        <f>IFERROR(__xludf.DUMMYFUNCTION("""COMPUTED_VALUE"""),4.45)</f>
        <v>4.45</v>
      </c>
      <c r="H1280" s="9">
        <f>IFERROR(__xludf.DUMMYFUNCTION("""COMPUTED_VALUE"""),1.0)</f>
        <v>1</v>
      </c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</row>
    <row r="1281" ht="15.75" customHeight="1">
      <c r="A1281" s="11">
        <f>IFERROR(__xludf.DUMMYFUNCTION("""COMPUTED_VALUE"""),44471.0)</f>
        <v>44471</v>
      </c>
      <c r="B1281" s="9">
        <f>IFERROR(__xludf.DUMMYFUNCTION("""COMPUTED_VALUE"""),1003463.0)</f>
        <v>1003463</v>
      </c>
      <c r="C1281" s="9">
        <f>IFERROR(__xludf.DUMMYFUNCTION("""COMPUTED_VALUE"""),91064.0)</f>
        <v>91064</v>
      </c>
      <c r="D1281" s="9"/>
      <c r="E1281" s="9"/>
      <c r="F1281" s="9">
        <f>IFERROR(__xludf.DUMMYFUNCTION("""COMPUTED_VALUE"""),2.37)</f>
        <v>2.37</v>
      </c>
      <c r="G1281" s="9">
        <f>IFERROR(__xludf.DUMMYFUNCTION("""COMPUTED_VALUE"""),2.37)</f>
        <v>2.37</v>
      </c>
      <c r="H1281" s="9">
        <f>IFERROR(__xludf.DUMMYFUNCTION("""COMPUTED_VALUE"""),1.0)</f>
        <v>1</v>
      </c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</row>
    <row r="1282" ht="15.75" customHeight="1">
      <c r="A1282" s="11">
        <f>IFERROR(__xludf.DUMMYFUNCTION("""COMPUTED_VALUE"""),44471.0)</f>
        <v>44471</v>
      </c>
      <c r="B1282" s="9">
        <f>IFERROR(__xludf.DUMMYFUNCTION("""COMPUTED_VALUE"""),1003463.0)</f>
        <v>1003463</v>
      </c>
      <c r="C1282" s="9">
        <f>IFERROR(__xludf.DUMMYFUNCTION("""COMPUTED_VALUE"""),77385.0)</f>
        <v>77385</v>
      </c>
      <c r="D1282" s="9"/>
      <c r="E1282" s="9"/>
      <c r="F1282" s="9">
        <f>IFERROR(__xludf.DUMMYFUNCTION("""COMPUTED_VALUE"""),5.57)</f>
        <v>5.57</v>
      </c>
      <c r="G1282" s="9">
        <f>IFERROR(__xludf.DUMMYFUNCTION("""COMPUTED_VALUE"""),5.57)</f>
        <v>5.57</v>
      </c>
      <c r="H1282" s="9">
        <f>IFERROR(__xludf.DUMMYFUNCTION("""COMPUTED_VALUE"""),2.0)</f>
        <v>2</v>
      </c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</row>
    <row r="1283" ht="15.75" customHeight="1">
      <c r="A1283" s="11">
        <f>IFERROR(__xludf.DUMMYFUNCTION("""COMPUTED_VALUE"""),44471.0)</f>
        <v>44471</v>
      </c>
      <c r="B1283" s="9">
        <f>IFERROR(__xludf.DUMMYFUNCTION("""COMPUTED_VALUE"""),1003463.0)</f>
        <v>1003463</v>
      </c>
      <c r="C1283" s="9">
        <f>IFERROR(__xludf.DUMMYFUNCTION("""COMPUTED_VALUE"""),90883.0)</f>
        <v>90883</v>
      </c>
      <c r="D1283" s="9"/>
      <c r="E1283" s="9"/>
      <c r="F1283" s="9">
        <f>IFERROR(__xludf.DUMMYFUNCTION("""COMPUTED_VALUE"""),7.83)</f>
        <v>7.83</v>
      </c>
      <c r="G1283" s="9">
        <f>IFERROR(__xludf.DUMMYFUNCTION("""COMPUTED_VALUE"""),7.83)</f>
        <v>7.83</v>
      </c>
      <c r="H1283" s="9">
        <f>IFERROR(__xludf.DUMMYFUNCTION("""COMPUTED_VALUE"""),3.0)</f>
        <v>3</v>
      </c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</row>
    <row r="1284" ht="15.75" customHeight="1">
      <c r="A1284" s="11">
        <f>IFERROR(__xludf.DUMMYFUNCTION("""COMPUTED_VALUE"""),44471.0)</f>
        <v>44471</v>
      </c>
      <c r="B1284" s="9">
        <f>IFERROR(__xludf.DUMMYFUNCTION("""COMPUTED_VALUE"""),1003463.0)</f>
        <v>1003463</v>
      </c>
      <c r="C1284" s="9">
        <f>IFERROR(__xludf.DUMMYFUNCTION("""COMPUTED_VALUE"""),68337.0)</f>
        <v>68337</v>
      </c>
      <c r="D1284" s="9"/>
      <c r="E1284" s="9"/>
      <c r="F1284" s="9">
        <f>IFERROR(__xludf.DUMMYFUNCTION("""COMPUTED_VALUE"""),6.88)</f>
        <v>6.88</v>
      </c>
      <c r="G1284" s="9">
        <f>IFERROR(__xludf.DUMMYFUNCTION("""COMPUTED_VALUE"""),6.88)</f>
        <v>6.88</v>
      </c>
      <c r="H1284" s="9">
        <f>IFERROR(__xludf.DUMMYFUNCTION("""COMPUTED_VALUE"""),3.0)</f>
        <v>3</v>
      </c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</row>
    <row r="1285" ht="15.75" customHeight="1">
      <c r="A1285" s="11">
        <f>IFERROR(__xludf.DUMMYFUNCTION("""COMPUTED_VALUE"""),44471.0)</f>
        <v>44471</v>
      </c>
      <c r="B1285" s="9">
        <f>IFERROR(__xludf.DUMMYFUNCTION("""COMPUTED_VALUE"""),1003463.0)</f>
        <v>1003463</v>
      </c>
      <c r="C1285" s="9">
        <f>IFERROR(__xludf.DUMMYFUNCTION("""COMPUTED_VALUE"""),5720.0)</f>
        <v>5720</v>
      </c>
      <c r="D1285" s="10" t="str">
        <f>IFERROR(__xludf.DUMMYFUNCTION("""COMPUTED_VALUE"""),"DLC courtes")</f>
        <v>DLC courtes</v>
      </c>
      <c r="E1285" s="10"/>
      <c r="F1285" s="9">
        <f>IFERROR(__xludf.DUMMYFUNCTION("""COMPUTED_VALUE"""),22.8)</f>
        <v>22.8</v>
      </c>
      <c r="G1285" s="9">
        <f>IFERROR(__xludf.DUMMYFUNCTION("""COMPUTED_VALUE"""),15.96)</f>
        <v>15.96</v>
      </c>
      <c r="H1285" s="9">
        <f>IFERROR(__xludf.DUMMYFUNCTION("""COMPUTED_VALUE"""),6.0)</f>
        <v>6</v>
      </c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</row>
    <row r="1286" ht="15.75" customHeight="1">
      <c r="A1286" s="11">
        <f>IFERROR(__xludf.DUMMYFUNCTION("""COMPUTED_VALUE"""),44471.0)</f>
        <v>44471</v>
      </c>
      <c r="B1286" s="9">
        <f>IFERROR(__xludf.DUMMYFUNCTION("""COMPUTED_VALUE"""),1003466.0)</f>
        <v>1003466</v>
      </c>
      <c r="C1286" s="9">
        <f>IFERROR(__xludf.DUMMYFUNCTION("""COMPUTED_VALUE"""),83646.0)</f>
        <v>83646</v>
      </c>
      <c r="D1286" s="9"/>
      <c r="E1286" s="9"/>
      <c r="F1286" s="9">
        <f>IFERROR(__xludf.DUMMYFUNCTION("""COMPUTED_VALUE"""),2.38)</f>
        <v>2.38</v>
      </c>
      <c r="G1286" s="9">
        <f>IFERROR(__xludf.DUMMYFUNCTION("""COMPUTED_VALUE"""),2.38)</f>
        <v>2.38</v>
      </c>
      <c r="H1286" s="9">
        <f>IFERROR(__xludf.DUMMYFUNCTION("""COMPUTED_VALUE"""),1.0)</f>
        <v>1</v>
      </c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</row>
    <row r="1287" ht="15.75" customHeight="1">
      <c r="A1287" s="11">
        <f>IFERROR(__xludf.DUMMYFUNCTION("""COMPUTED_VALUE"""),44471.0)</f>
        <v>44471</v>
      </c>
      <c r="B1287" s="9">
        <f>IFERROR(__xludf.DUMMYFUNCTION("""COMPUTED_VALUE"""),1003466.0)</f>
        <v>1003466</v>
      </c>
      <c r="C1287" s="9">
        <f>IFERROR(__xludf.DUMMYFUNCTION("""COMPUTED_VALUE"""),117622.0)</f>
        <v>117622</v>
      </c>
      <c r="D1287" s="10" t="str">
        <f>IFERROR(__xludf.DUMMYFUNCTION("""COMPUTED_VALUE"""),"DLC courtes")</f>
        <v>DLC courtes</v>
      </c>
      <c r="E1287" s="10"/>
      <c r="F1287" s="9">
        <f>IFERROR(__xludf.DUMMYFUNCTION("""COMPUTED_VALUE"""),4.78823529411764)</f>
        <v>4.788235294</v>
      </c>
      <c r="G1287" s="9">
        <f>IFERROR(__xludf.DUMMYFUNCTION("""COMPUTED_VALUE"""),4.07)</f>
        <v>4.07</v>
      </c>
      <c r="H1287" s="9">
        <f>IFERROR(__xludf.DUMMYFUNCTION("""COMPUTED_VALUE"""),1.0)</f>
        <v>1</v>
      </c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</row>
    <row r="1288" ht="15.75" customHeight="1">
      <c r="A1288" s="11">
        <f>IFERROR(__xludf.DUMMYFUNCTION("""COMPUTED_VALUE"""),44471.0)</f>
        <v>44471</v>
      </c>
      <c r="B1288" s="9">
        <f>IFERROR(__xludf.DUMMYFUNCTION("""COMPUTED_VALUE"""),1003466.0)</f>
        <v>1003466</v>
      </c>
      <c r="C1288" s="9">
        <f>IFERROR(__xludf.DUMMYFUNCTION("""COMPUTED_VALUE"""),108802.0)</f>
        <v>108802</v>
      </c>
      <c r="D1288" s="9"/>
      <c r="E1288" s="9"/>
      <c r="F1288" s="9">
        <f>IFERROR(__xludf.DUMMYFUNCTION("""COMPUTED_VALUE"""),1.7)</f>
        <v>1.7</v>
      </c>
      <c r="G1288" s="9">
        <f>IFERROR(__xludf.DUMMYFUNCTION("""COMPUTED_VALUE"""),1.7)</f>
        <v>1.7</v>
      </c>
      <c r="H1288" s="9">
        <f>IFERROR(__xludf.DUMMYFUNCTION("""COMPUTED_VALUE"""),1.0)</f>
        <v>1</v>
      </c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</row>
    <row r="1289" ht="15.75" customHeight="1">
      <c r="A1289" s="11">
        <f>IFERROR(__xludf.DUMMYFUNCTION("""COMPUTED_VALUE"""),44471.0)</f>
        <v>44471</v>
      </c>
      <c r="B1289" s="9">
        <f>IFERROR(__xludf.DUMMYFUNCTION("""COMPUTED_VALUE"""),1003466.0)</f>
        <v>1003466</v>
      </c>
      <c r="C1289" s="9">
        <f>IFERROR(__xludf.DUMMYFUNCTION("""COMPUTED_VALUE"""),110595.0)</f>
        <v>110595</v>
      </c>
      <c r="D1289" s="9"/>
      <c r="E1289" s="9"/>
      <c r="F1289" s="9">
        <f>IFERROR(__xludf.DUMMYFUNCTION("""COMPUTED_VALUE"""),7.9)</f>
        <v>7.9</v>
      </c>
      <c r="G1289" s="9">
        <f>IFERROR(__xludf.DUMMYFUNCTION("""COMPUTED_VALUE"""),7.9)</f>
        <v>7.9</v>
      </c>
      <c r="H1289" s="9">
        <f>IFERROR(__xludf.DUMMYFUNCTION("""COMPUTED_VALUE"""),1.0)</f>
        <v>1</v>
      </c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</row>
    <row r="1290" ht="15.75" customHeight="1">
      <c r="A1290" s="11">
        <f>IFERROR(__xludf.DUMMYFUNCTION("""COMPUTED_VALUE"""),44471.0)</f>
        <v>44471</v>
      </c>
      <c r="B1290" s="9">
        <f>IFERROR(__xludf.DUMMYFUNCTION("""COMPUTED_VALUE"""),1003466.0)</f>
        <v>1003466</v>
      </c>
      <c r="C1290" s="9">
        <f>IFERROR(__xludf.DUMMYFUNCTION("""COMPUTED_VALUE"""),80546.0)</f>
        <v>80546</v>
      </c>
      <c r="D1290" s="10" t="str">
        <f>IFERROR(__xludf.DUMMYFUNCTION("""COMPUTED_VALUE"""),"Offre speciale")</f>
        <v>Offre speciale</v>
      </c>
      <c r="E1290" s="10"/>
      <c r="F1290" s="9">
        <f>IFERROR(__xludf.DUMMYFUNCTION("""COMPUTED_VALUE"""),6.45)</f>
        <v>6.45</v>
      </c>
      <c r="G1290" s="9">
        <f>IFERROR(__xludf.DUMMYFUNCTION("""COMPUTED_VALUE"""),5.16)</f>
        <v>5.16</v>
      </c>
      <c r="H1290" s="9">
        <f>IFERROR(__xludf.DUMMYFUNCTION("""COMPUTED_VALUE"""),1.0)</f>
        <v>1</v>
      </c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</row>
    <row r="1291" ht="15.75" customHeight="1">
      <c r="A1291" s="11">
        <f>IFERROR(__xludf.DUMMYFUNCTION("""COMPUTED_VALUE"""),44471.0)</f>
        <v>44471</v>
      </c>
      <c r="B1291" s="9">
        <f>IFERROR(__xludf.DUMMYFUNCTION("""COMPUTED_VALUE"""),1003466.0)</f>
        <v>1003466</v>
      </c>
      <c r="C1291" s="9">
        <f>IFERROR(__xludf.DUMMYFUNCTION("""COMPUTED_VALUE"""),116197.0)</f>
        <v>116197</v>
      </c>
      <c r="D1291" s="9"/>
      <c r="E1291" s="9"/>
      <c r="F1291" s="9">
        <f>IFERROR(__xludf.DUMMYFUNCTION("""COMPUTED_VALUE"""),52.65)</f>
        <v>52.65</v>
      </c>
      <c r="G1291" s="9">
        <f>IFERROR(__xludf.DUMMYFUNCTION("""COMPUTED_VALUE"""),52.65)</f>
        <v>52.65</v>
      </c>
      <c r="H1291" s="9">
        <f>IFERROR(__xludf.DUMMYFUNCTION("""COMPUTED_VALUE"""),36.0)</f>
        <v>36</v>
      </c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</row>
    <row r="1292" ht="15.75" customHeight="1">
      <c r="A1292" s="11">
        <f>IFERROR(__xludf.DUMMYFUNCTION("""COMPUTED_VALUE"""),44471.0)</f>
        <v>44471</v>
      </c>
      <c r="B1292" s="9">
        <f>IFERROR(__xludf.DUMMYFUNCTION("""COMPUTED_VALUE"""),1003467.0)</f>
        <v>1003467</v>
      </c>
      <c r="C1292" s="9">
        <f>IFERROR(__xludf.DUMMYFUNCTION("""COMPUTED_VALUE"""),122294.0)</f>
        <v>122294</v>
      </c>
      <c r="D1292" s="9"/>
      <c r="E1292" s="10" t="str">
        <f>IFERROR(__xludf.DUMMYFUNCTION("""COMPUTED_VALUE"""),"PREMIERE")</f>
        <v>PREMIERE</v>
      </c>
      <c r="F1292" s="10">
        <f>IFERROR(__xludf.DUMMYFUNCTION("""COMPUTED_VALUE"""),2.02)</f>
        <v>2.02</v>
      </c>
      <c r="G1292" s="9">
        <f>IFERROR(__xludf.DUMMYFUNCTION("""COMPUTED_VALUE"""),2.02)</f>
        <v>2.02</v>
      </c>
      <c r="H1292" s="9">
        <f>IFERROR(__xludf.DUMMYFUNCTION("""COMPUTED_VALUE"""),1.0)</f>
        <v>1</v>
      </c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</row>
    <row r="1293" ht="15.75" customHeight="1">
      <c r="A1293" s="11">
        <f>IFERROR(__xludf.DUMMYFUNCTION("""COMPUTED_VALUE"""),44471.0)</f>
        <v>44471</v>
      </c>
      <c r="B1293" s="9">
        <f>IFERROR(__xludf.DUMMYFUNCTION("""COMPUTED_VALUE"""),1003467.0)</f>
        <v>1003467</v>
      </c>
      <c r="C1293" s="9">
        <f>IFERROR(__xludf.DUMMYFUNCTION("""COMPUTED_VALUE"""),102750.0)</f>
        <v>102750</v>
      </c>
      <c r="D1293" s="9"/>
      <c r="E1293" s="10" t="str">
        <f>IFERROR(__xludf.DUMMYFUNCTION("""COMPUTED_VALUE"""),"PREMIERE")</f>
        <v>PREMIERE</v>
      </c>
      <c r="F1293" s="10">
        <f>IFERROR(__xludf.DUMMYFUNCTION("""COMPUTED_VALUE"""),11.8)</f>
        <v>11.8</v>
      </c>
      <c r="G1293" s="9">
        <f>IFERROR(__xludf.DUMMYFUNCTION("""COMPUTED_VALUE"""),11.8)</f>
        <v>11.8</v>
      </c>
      <c r="H1293" s="9">
        <f>IFERROR(__xludf.DUMMYFUNCTION("""COMPUTED_VALUE"""),1.0)</f>
        <v>1</v>
      </c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</row>
    <row r="1294" ht="15.75" customHeight="1">
      <c r="A1294" s="11">
        <f>IFERROR(__xludf.DUMMYFUNCTION("""COMPUTED_VALUE"""),44471.0)</f>
        <v>44471</v>
      </c>
      <c r="B1294" s="9">
        <f>IFERROR(__xludf.DUMMYFUNCTION("""COMPUTED_VALUE"""),1003467.0)</f>
        <v>1003467</v>
      </c>
      <c r="C1294" s="9">
        <f>IFERROR(__xludf.DUMMYFUNCTION("""COMPUTED_VALUE"""),110716.0)</f>
        <v>110716</v>
      </c>
      <c r="D1294" s="9"/>
      <c r="E1294" s="10" t="str">
        <f>IFERROR(__xludf.DUMMYFUNCTION("""COMPUTED_VALUE"""),"PREMIERE")</f>
        <v>PREMIERE</v>
      </c>
      <c r="F1294" s="10">
        <f>IFERROR(__xludf.DUMMYFUNCTION("""COMPUTED_VALUE"""),18.92)</f>
        <v>18.92</v>
      </c>
      <c r="G1294" s="9">
        <f>IFERROR(__xludf.DUMMYFUNCTION("""COMPUTED_VALUE"""),18.92)</f>
        <v>18.92</v>
      </c>
      <c r="H1294" s="9">
        <f>IFERROR(__xludf.DUMMYFUNCTION("""COMPUTED_VALUE"""),1.0)</f>
        <v>1</v>
      </c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</row>
    <row r="1295" ht="15.75" customHeight="1">
      <c r="A1295" s="11">
        <f>IFERROR(__xludf.DUMMYFUNCTION("""COMPUTED_VALUE"""),44471.0)</f>
        <v>44471</v>
      </c>
      <c r="B1295" s="9">
        <f>IFERROR(__xludf.DUMMYFUNCTION("""COMPUTED_VALUE"""),1003468.0)</f>
        <v>1003468</v>
      </c>
      <c r="C1295" s="9">
        <f>IFERROR(__xludf.DUMMYFUNCTION("""COMPUTED_VALUE"""),30624.0)</f>
        <v>30624</v>
      </c>
      <c r="D1295" s="10" t="str">
        <f>IFERROR(__xludf.DUMMYFUNCTION("""COMPUTED_VALUE"""),"Vive le bio")</f>
        <v>Vive le bio</v>
      </c>
      <c r="E1295" s="10"/>
      <c r="F1295" s="9">
        <f>IFERROR(__xludf.DUMMYFUNCTION("""COMPUTED_VALUE"""),25.0777777777777)</f>
        <v>25.07777778</v>
      </c>
      <c r="G1295" s="9">
        <f>IFERROR(__xludf.DUMMYFUNCTION("""COMPUTED_VALUE"""),22.57)</f>
        <v>22.57</v>
      </c>
      <c r="H1295" s="9">
        <f>IFERROR(__xludf.DUMMYFUNCTION("""COMPUTED_VALUE"""),2.0)</f>
        <v>2</v>
      </c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</row>
    <row r="1296" ht="15.75" customHeight="1">
      <c r="A1296" s="11">
        <f>IFERROR(__xludf.DUMMYFUNCTION("""COMPUTED_VALUE"""),44471.0)</f>
        <v>44471</v>
      </c>
      <c r="B1296" s="9">
        <f>IFERROR(__xludf.DUMMYFUNCTION("""COMPUTED_VALUE"""),1003468.0)</f>
        <v>1003468</v>
      </c>
      <c r="C1296" s="9">
        <f>IFERROR(__xludf.DUMMYFUNCTION("""COMPUTED_VALUE"""),103865.0)</f>
        <v>103865</v>
      </c>
      <c r="D1296" s="9"/>
      <c r="E1296" s="9"/>
      <c r="F1296" s="9">
        <f>IFERROR(__xludf.DUMMYFUNCTION("""COMPUTED_VALUE"""),5.35)</f>
        <v>5.35</v>
      </c>
      <c r="G1296" s="9">
        <f>IFERROR(__xludf.DUMMYFUNCTION("""COMPUTED_VALUE"""),5.35)</f>
        <v>5.35</v>
      </c>
      <c r="H1296" s="9">
        <f>IFERROR(__xludf.DUMMYFUNCTION("""COMPUTED_VALUE"""),2.0)</f>
        <v>2</v>
      </c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</row>
    <row r="1297" ht="15.75" customHeight="1">
      <c r="A1297" s="11">
        <f>IFERROR(__xludf.DUMMYFUNCTION("""COMPUTED_VALUE"""),44471.0)</f>
        <v>44471</v>
      </c>
      <c r="B1297" s="9">
        <f>IFERROR(__xludf.DUMMYFUNCTION("""COMPUTED_VALUE"""),1003469.0)</f>
        <v>1003469</v>
      </c>
      <c r="C1297" s="9">
        <f>IFERROR(__xludf.DUMMYFUNCTION("""COMPUTED_VALUE"""),78411.0)</f>
        <v>78411</v>
      </c>
      <c r="D1297" s="9"/>
      <c r="E1297" s="10" t="str">
        <f>IFERROR(__xludf.DUMMYFUNCTION("""COMPUTED_VALUE"""),"GREENRELAIS")</f>
        <v>GREENRELAIS</v>
      </c>
      <c r="F1297" s="10">
        <f>IFERROR(__xludf.DUMMYFUNCTION("""COMPUTED_VALUE"""),2.27)</f>
        <v>2.27</v>
      </c>
      <c r="G1297" s="9">
        <f>IFERROR(__xludf.DUMMYFUNCTION("""COMPUTED_VALUE"""),2.27)</f>
        <v>2.27</v>
      </c>
      <c r="H1297" s="9">
        <f>IFERROR(__xludf.DUMMYFUNCTION("""COMPUTED_VALUE"""),1.0)</f>
        <v>1</v>
      </c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</row>
    <row r="1298" ht="15.75" customHeight="1">
      <c r="A1298" s="11">
        <f>IFERROR(__xludf.DUMMYFUNCTION("""COMPUTED_VALUE"""),44471.0)</f>
        <v>44471</v>
      </c>
      <c r="B1298" s="9">
        <f>IFERROR(__xludf.DUMMYFUNCTION("""COMPUTED_VALUE"""),1003469.0)</f>
        <v>1003469</v>
      </c>
      <c r="C1298" s="9">
        <f>IFERROR(__xludf.DUMMYFUNCTION("""COMPUTED_VALUE"""),81500.0)</f>
        <v>81500</v>
      </c>
      <c r="D1298" s="9"/>
      <c r="E1298" s="10" t="str">
        <f>IFERROR(__xludf.DUMMYFUNCTION("""COMPUTED_VALUE"""),"GREENRELAIS")</f>
        <v>GREENRELAIS</v>
      </c>
      <c r="F1298" s="10">
        <f>IFERROR(__xludf.DUMMYFUNCTION("""COMPUTED_VALUE"""),3.28)</f>
        <v>3.28</v>
      </c>
      <c r="G1298" s="9">
        <f>IFERROR(__xludf.DUMMYFUNCTION("""COMPUTED_VALUE"""),3.28)</f>
        <v>3.28</v>
      </c>
      <c r="H1298" s="9">
        <f>IFERROR(__xludf.DUMMYFUNCTION("""COMPUTED_VALUE"""),1.0)</f>
        <v>1</v>
      </c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</row>
    <row r="1299" ht="15.75" customHeight="1">
      <c r="A1299" s="11">
        <f>IFERROR(__xludf.DUMMYFUNCTION("""COMPUTED_VALUE"""),44471.0)</f>
        <v>44471</v>
      </c>
      <c r="B1299" s="9">
        <f>IFERROR(__xludf.DUMMYFUNCTION("""COMPUTED_VALUE"""),1003469.0)</f>
        <v>1003469</v>
      </c>
      <c r="C1299" s="9">
        <f>IFERROR(__xludf.DUMMYFUNCTION("""COMPUTED_VALUE"""),113946.0)</f>
        <v>113946</v>
      </c>
      <c r="D1299" s="10" t="str">
        <f>IFERROR(__xludf.DUMMYFUNCTION("""COMPUTED_VALUE"""),"Offre speciale")</f>
        <v>Offre speciale</v>
      </c>
      <c r="E1299" s="10" t="str">
        <f>IFERROR(__xludf.DUMMYFUNCTION("""COMPUTED_VALUE"""),"GREENRELAIS")</f>
        <v>GREENRELAIS</v>
      </c>
      <c r="F1299" s="10">
        <f>IFERROR(__xludf.DUMMYFUNCTION("""COMPUTED_VALUE"""),3.17647058823529)</f>
        <v>3.176470588</v>
      </c>
      <c r="G1299" s="9">
        <f>IFERROR(__xludf.DUMMYFUNCTION("""COMPUTED_VALUE"""),2.7)</f>
        <v>2.7</v>
      </c>
      <c r="H1299" s="9">
        <f>IFERROR(__xludf.DUMMYFUNCTION("""COMPUTED_VALUE"""),1.0)</f>
        <v>1</v>
      </c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</row>
    <row r="1300" ht="15.75" customHeight="1">
      <c r="A1300" s="11">
        <f>IFERROR(__xludf.DUMMYFUNCTION("""COMPUTED_VALUE"""),44471.0)</f>
        <v>44471</v>
      </c>
      <c r="B1300" s="9">
        <f>IFERROR(__xludf.DUMMYFUNCTION("""COMPUTED_VALUE"""),1003469.0)</f>
        <v>1003469</v>
      </c>
      <c r="C1300" s="9">
        <f>IFERROR(__xludf.DUMMYFUNCTION("""COMPUTED_VALUE"""),114722.0)</f>
        <v>114722</v>
      </c>
      <c r="D1300" s="9"/>
      <c r="E1300" s="10" t="str">
        <f>IFERROR(__xludf.DUMMYFUNCTION("""COMPUTED_VALUE"""),"GREENRELAIS")</f>
        <v>GREENRELAIS</v>
      </c>
      <c r="F1300" s="10">
        <f>IFERROR(__xludf.DUMMYFUNCTION("""COMPUTED_VALUE"""),3.81)</f>
        <v>3.81</v>
      </c>
      <c r="G1300" s="9">
        <f>IFERROR(__xludf.DUMMYFUNCTION("""COMPUTED_VALUE"""),3.81)</f>
        <v>3.81</v>
      </c>
      <c r="H1300" s="9">
        <f>IFERROR(__xludf.DUMMYFUNCTION("""COMPUTED_VALUE"""),1.0)</f>
        <v>1</v>
      </c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</row>
    <row r="1301" ht="15.75" customHeight="1">
      <c r="A1301" s="11">
        <f>IFERROR(__xludf.DUMMYFUNCTION("""COMPUTED_VALUE"""),44471.0)</f>
        <v>44471</v>
      </c>
      <c r="B1301" s="9">
        <f>IFERROR(__xludf.DUMMYFUNCTION("""COMPUTED_VALUE"""),1003469.0)</f>
        <v>1003469</v>
      </c>
      <c r="C1301" s="9">
        <f>IFERROR(__xludf.DUMMYFUNCTION("""COMPUTED_VALUE"""),76813.0)</f>
        <v>76813</v>
      </c>
      <c r="D1301" s="10" t="str">
        <f>IFERROR(__xludf.DUMMYFUNCTION("""COMPUTED_VALUE"""),"Offre speciale")</f>
        <v>Offre speciale</v>
      </c>
      <c r="E1301" s="10" t="str">
        <f>IFERROR(__xludf.DUMMYFUNCTION("""COMPUTED_VALUE"""),"GREENRELAIS")</f>
        <v>GREENRELAIS</v>
      </c>
      <c r="F1301" s="10">
        <f>IFERROR(__xludf.DUMMYFUNCTION("""COMPUTED_VALUE"""),3.07058823529411)</f>
        <v>3.070588235</v>
      </c>
      <c r="G1301" s="9">
        <f>IFERROR(__xludf.DUMMYFUNCTION("""COMPUTED_VALUE"""),2.61)</f>
        <v>2.61</v>
      </c>
      <c r="H1301" s="9">
        <f>IFERROR(__xludf.DUMMYFUNCTION("""COMPUTED_VALUE"""),1.0)</f>
        <v>1</v>
      </c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</row>
    <row r="1302" ht="15.75" customHeight="1">
      <c r="A1302" s="11">
        <f>IFERROR(__xludf.DUMMYFUNCTION("""COMPUTED_VALUE"""),44471.0)</f>
        <v>44471</v>
      </c>
      <c r="B1302" s="9">
        <f>IFERROR(__xludf.DUMMYFUNCTION("""COMPUTED_VALUE"""),1003469.0)</f>
        <v>1003469</v>
      </c>
      <c r="C1302" s="9">
        <f>IFERROR(__xludf.DUMMYFUNCTION("""COMPUTED_VALUE"""),10651.0)</f>
        <v>10651</v>
      </c>
      <c r="D1302" s="10" t="str">
        <f>IFERROR(__xludf.DUMMYFUNCTION("""COMPUTED_VALUE"""),"DLC courtes")</f>
        <v>DLC courtes</v>
      </c>
      <c r="E1302" s="10" t="str">
        <f>IFERROR(__xludf.DUMMYFUNCTION("""COMPUTED_VALUE"""),"GREENRELAIS")</f>
        <v>GREENRELAIS</v>
      </c>
      <c r="F1302" s="10">
        <f>IFERROR(__xludf.DUMMYFUNCTION("""COMPUTED_VALUE"""),1.35)</f>
        <v>1.35</v>
      </c>
      <c r="G1302" s="9">
        <f>IFERROR(__xludf.DUMMYFUNCTION("""COMPUTED_VALUE"""),1.08)</f>
        <v>1.08</v>
      </c>
      <c r="H1302" s="9">
        <f>IFERROR(__xludf.DUMMYFUNCTION("""COMPUTED_VALUE"""),1.0)</f>
        <v>1</v>
      </c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</row>
    <row r="1303" ht="15.75" customHeight="1">
      <c r="A1303" s="11">
        <f>IFERROR(__xludf.DUMMYFUNCTION("""COMPUTED_VALUE"""),44471.0)</f>
        <v>44471</v>
      </c>
      <c r="B1303" s="9">
        <f>IFERROR(__xludf.DUMMYFUNCTION("""COMPUTED_VALUE"""),1003469.0)</f>
        <v>1003469</v>
      </c>
      <c r="C1303" s="9">
        <f>IFERROR(__xludf.DUMMYFUNCTION("""COMPUTED_VALUE"""),129481.0)</f>
        <v>129481</v>
      </c>
      <c r="D1303" s="9"/>
      <c r="E1303" s="10" t="str">
        <f>IFERROR(__xludf.DUMMYFUNCTION("""COMPUTED_VALUE"""),"GREENRELAIS")</f>
        <v>GREENRELAIS</v>
      </c>
      <c r="F1303" s="10">
        <f>IFERROR(__xludf.DUMMYFUNCTION("""COMPUTED_VALUE"""),2.21)</f>
        <v>2.21</v>
      </c>
      <c r="G1303" s="9">
        <f>IFERROR(__xludf.DUMMYFUNCTION("""COMPUTED_VALUE"""),2.21)</f>
        <v>2.21</v>
      </c>
      <c r="H1303" s="9">
        <f>IFERROR(__xludf.DUMMYFUNCTION("""COMPUTED_VALUE"""),1.0)</f>
        <v>1</v>
      </c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</row>
    <row r="1304" ht="15.75" customHeight="1">
      <c r="A1304" s="11">
        <f>IFERROR(__xludf.DUMMYFUNCTION("""COMPUTED_VALUE"""),44471.0)</f>
        <v>44471</v>
      </c>
      <c r="B1304" s="9">
        <f>IFERROR(__xludf.DUMMYFUNCTION("""COMPUTED_VALUE"""),1003469.0)</f>
        <v>1003469</v>
      </c>
      <c r="C1304" s="9">
        <f>IFERROR(__xludf.DUMMYFUNCTION("""COMPUTED_VALUE"""),111027.0)</f>
        <v>111027</v>
      </c>
      <c r="D1304" s="9"/>
      <c r="E1304" s="10" t="str">
        <f>IFERROR(__xludf.DUMMYFUNCTION("""COMPUTED_VALUE"""),"GREENRELAIS")</f>
        <v>GREENRELAIS</v>
      </c>
      <c r="F1304" s="10">
        <f>IFERROR(__xludf.DUMMYFUNCTION("""COMPUTED_VALUE"""),3.46)</f>
        <v>3.46</v>
      </c>
      <c r="G1304" s="9">
        <f>IFERROR(__xludf.DUMMYFUNCTION("""COMPUTED_VALUE"""),3.46)</f>
        <v>3.46</v>
      </c>
      <c r="H1304" s="9">
        <f>IFERROR(__xludf.DUMMYFUNCTION("""COMPUTED_VALUE"""),1.0)</f>
        <v>1</v>
      </c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</row>
    <row r="1305" ht="15.75" customHeight="1">
      <c r="A1305" s="11">
        <f>IFERROR(__xludf.DUMMYFUNCTION("""COMPUTED_VALUE"""),44471.0)</f>
        <v>44471</v>
      </c>
      <c r="B1305" s="9">
        <f>IFERROR(__xludf.DUMMYFUNCTION("""COMPUTED_VALUE"""),1003469.0)</f>
        <v>1003469</v>
      </c>
      <c r="C1305" s="9">
        <f>IFERROR(__xludf.DUMMYFUNCTION("""COMPUTED_VALUE"""),76281.0)</f>
        <v>76281</v>
      </c>
      <c r="D1305" s="10" t="str">
        <f>IFERROR(__xludf.DUMMYFUNCTION("""COMPUTED_VALUE"""),"Vive le bio")</f>
        <v>Vive le bio</v>
      </c>
      <c r="E1305" s="10" t="str">
        <f>IFERROR(__xludf.DUMMYFUNCTION("""COMPUTED_VALUE"""),"GREENRELAIS")</f>
        <v>GREENRELAIS</v>
      </c>
      <c r="F1305" s="10">
        <f>IFERROR(__xludf.DUMMYFUNCTION("""COMPUTED_VALUE"""),3.04444444444444)</f>
        <v>3.044444444</v>
      </c>
      <c r="G1305" s="9">
        <f>IFERROR(__xludf.DUMMYFUNCTION("""COMPUTED_VALUE"""),2.74)</f>
        <v>2.74</v>
      </c>
      <c r="H1305" s="9">
        <f>IFERROR(__xludf.DUMMYFUNCTION("""COMPUTED_VALUE"""),1.0)</f>
        <v>1</v>
      </c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</row>
    <row r="1306" ht="15.75" customHeight="1">
      <c r="A1306" s="11">
        <f>IFERROR(__xludf.DUMMYFUNCTION("""COMPUTED_VALUE"""),44471.0)</f>
        <v>44471</v>
      </c>
      <c r="B1306" s="9">
        <f>IFERROR(__xludf.DUMMYFUNCTION("""COMPUTED_VALUE"""),1003469.0)</f>
        <v>1003469</v>
      </c>
      <c r="C1306" s="9">
        <f>IFERROR(__xludf.DUMMYFUNCTION("""COMPUTED_VALUE"""),121837.0)</f>
        <v>121837</v>
      </c>
      <c r="D1306" s="10" t="str">
        <f>IFERROR(__xludf.DUMMYFUNCTION("""COMPUTED_VALUE"""),"Offre speciale")</f>
        <v>Offre speciale</v>
      </c>
      <c r="E1306" s="10" t="str">
        <f>IFERROR(__xludf.DUMMYFUNCTION("""COMPUTED_VALUE"""),"GREENRELAIS")</f>
        <v>GREENRELAIS</v>
      </c>
      <c r="F1306" s="10">
        <f>IFERROR(__xludf.DUMMYFUNCTION("""COMPUTED_VALUE"""),3.96470588235294)</f>
        <v>3.964705882</v>
      </c>
      <c r="G1306" s="9">
        <f>IFERROR(__xludf.DUMMYFUNCTION("""COMPUTED_VALUE"""),3.37)</f>
        <v>3.37</v>
      </c>
      <c r="H1306" s="9">
        <f>IFERROR(__xludf.DUMMYFUNCTION("""COMPUTED_VALUE"""),1.0)</f>
        <v>1</v>
      </c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</row>
    <row r="1307" ht="15.75" customHeight="1">
      <c r="A1307" s="11">
        <f>IFERROR(__xludf.DUMMYFUNCTION("""COMPUTED_VALUE"""),44471.0)</f>
        <v>44471</v>
      </c>
      <c r="B1307" s="9">
        <f>IFERROR(__xludf.DUMMYFUNCTION("""COMPUTED_VALUE"""),1003469.0)</f>
        <v>1003469</v>
      </c>
      <c r="C1307" s="9">
        <f>IFERROR(__xludf.DUMMYFUNCTION("""COMPUTED_VALUE"""),147285.0)</f>
        <v>147285</v>
      </c>
      <c r="D1307" s="9"/>
      <c r="E1307" s="10" t="str">
        <f>IFERROR(__xludf.DUMMYFUNCTION("""COMPUTED_VALUE"""),"GREENRELAIS")</f>
        <v>GREENRELAIS</v>
      </c>
      <c r="F1307" s="10">
        <f>IFERROR(__xludf.DUMMYFUNCTION("""COMPUTED_VALUE"""),6.19)</f>
        <v>6.19</v>
      </c>
      <c r="G1307" s="9">
        <f>IFERROR(__xludf.DUMMYFUNCTION("""COMPUTED_VALUE"""),6.19)</f>
        <v>6.19</v>
      </c>
      <c r="H1307" s="9">
        <f>IFERROR(__xludf.DUMMYFUNCTION("""COMPUTED_VALUE"""),1.0)</f>
        <v>1</v>
      </c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</row>
    <row r="1308" ht="15.75" customHeight="1">
      <c r="A1308" s="11">
        <f>IFERROR(__xludf.DUMMYFUNCTION("""COMPUTED_VALUE"""),44471.0)</f>
        <v>44471</v>
      </c>
      <c r="B1308" s="9">
        <f>IFERROR(__xludf.DUMMYFUNCTION("""COMPUTED_VALUE"""),1003469.0)</f>
        <v>1003469</v>
      </c>
      <c r="C1308" s="9">
        <f>IFERROR(__xludf.DUMMYFUNCTION("""COMPUTED_VALUE"""),73572.0)</f>
        <v>73572</v>
      </c>
      <c r="D1308" s="9"/>
      <c r="E1308" s="10" t="str">
        <f>IFERROR(__xludf.DUMMYFUNCTION("""COMPUTED_VALUE"""),"GREENRELAIS")</f>
        <v>GREENRELAIS</v>
      </c>
      <c r="F1308" s="10">
        <f>IFERROR(__xludf.DUMMYFUNCTION("""COMPUTED_VALUE"""),1.49)</f>
        <v>1.49</v>
      </c>
      <c r="G1308" s="9">
        <f>IFERROR(__xludf.DUMMYFUNCTION("""COMPUTED_VALUE"""),1.49)</f>
        <v>1.49</v>
      </c>
      <c r="H1308" s="9">
        <f>IFERROR(__xludf.DUMMYFUNCTION("""COMPUTED_VALUE"""),1.0)</f>
        <v>1</v>
      </c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</row>
    <row r="1309" ht="15.75" customHeight="1">
      <c r="A1309" s="11">
        <f>IFERROR(__xludf.DUMMYFUNCTION("""COMPUTED_VALUE"""),44471.0)</f>
        <v>44471</v>
      </c>
      <c r="B1309" s="9">
        <f>IFERROR(__xludf.DUMMYFUNCTION("""COMPUTED_VALUE"""),1003469.0)</f>
        <v>1003469</v>
      </c>
      <c r="C1309" s="9">
        <f>IFERROR(__xludf.DUMMYFUNCTION("""COMPUTED_VALUE"""),110571.0)</f>
        <v>110571</v>
      </c>
      <c r="D1309" s="9"/>
      <c r="E1309" s="10" t="str">
        <f>IFERROR(__xludf.DUMMYFUNCTION("""COMPUTED_VALUE"""),"GREENRELAIS")</f>
        <v>GREENRELAIS</v>
      </c>
      <c r="F1309" s="10">
        <f>IFERROR(__xludf.DUMMYFUNCTION("""COMPUTED_VALUE"""),2.42)</f>
        <v>2.42</v>
      </c>
      <c r="G1309" s="9">
        <f>IFERROR(__xludf.DUMMYFUNCTION("""COMPUTED_VALUE"""),2.42)</f>
        <v>2.42</v>
      </c>
      <c r="H1309" s="9">
        <f>IFERROR(__xludf.DUMMYFUNCTION("""COMPUTED_VALUE"""),2.0)</f>
        <v>2</v>
      </c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</row>
    <row r="1310" ht="15.75" customHeight="1">
      <c r="A1310" s="11">
        <f>IFERROR(__xludf.DUMMYFUNCTION("""COMPUTED_VALUE"""),44471.0)</f>
        <v>44471</v>
      </c>
      <c r="B1310" s="9">
        <f>IFERROR(__xludf.DUMMYFUNCTION("""COMPUTED_VALUE"""),1003469.0)</f>
        <v>1003469</v>
      </c>
      <c r="C1310" s="9">
        <f>IFERROR(__xludf.DUMMYFUNCTION("""COMPUTED_VALUE"""),77475.0)</f>
        <v>77475</v>
      </c>
      <c r="D1310" s="10" t="str">
        <f>IFERROR(__xludf.DUMMYFUNCTION("""COMPUTED_VALUE"""),"Vive le bio")</f>
        <v>Vive le bio</v>
      </c>
      <c r="E1310" s="10" t="str">
        <f>IFERROR(__xludf.DUMMYFUNCTION("""COMPUTED_VALUE"""),"GREENRELAIS")</f>
        <v>GREENRELAIS</v>
      </c>
      <c r="F1310" s="10">
        <f>IFERROR(__xludf.DUMMYFUNCTION("""COMPUTED_VALUE"""),2.51111111111111)</f>
        <v>2.511111111</v>
      </c>
      <c r="G1310" s="9">
        <f>IFERROR(__xludf.DUMMYFUNCTION("""COMPUTED_VALUE"""),2.26)</f>
        <v>2.26</v>
      </c>
      <c r="H1310" s="9">
        <f>IFERROR(__xludf.DUMMYFUNCTION("""COMPUTED_VALUE"""),2.0)</f>
        <v>2</v>
      </c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</row>
    <row r="1311" ht="15.75" customHeight="1">
      <c r="A1311" s="11">
        <f>IFERROR(__xludf.DUMMYFUNCTION("""COMPUTED_VALUE"""),44471.0)</f>
        <v>44471</v>
      </c>
      <c r="B1311" s="9">
        <f>IFERROR(__xludf.DUMMYFUNCTION("""COMPUTED_VALUE"""),1003469.0)</f>
        <v>1003469</v>
      </c>
      <c r="C1311" s="9">
        <f>IFERROR(__xludf.DUMMYFUNCTION("""COMPUTED_VALUE"""),121476.0)</f>
        <v>121476</v>
      </c>
      <c r="D1311" s="9"/>
      <c r="E1311" s="10" t="str">
        <f>IFERROR(__xludf.DUMMYFUNCTION("""COMPUTED_VALUE"""),"GREENRELAIS")</f>
        <v>GREENRELAIS</v>
      </c>
      <c r="F1311" s="10">
        <f>IFERROR(__xludf.DUMMYFUNCTION("""COMPUTED_VALUE"""),3.33)</f>
        <v>3.33</v>
      </c>
      <c r="G1311" s="9">
        <f>IFERROR(__xludf.DUMMYFUNCTION("""COMPUTED_VALUE"""),3.33)</f>
        <v>3.33</v>
      </c>
      <c r="H1311" s="9">
        <f>IFERROR(__xludf.DUMMYFUNCTION("""COMPUTED_VALUE"""),2.0)</f>
        <v>2</v>
      </c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</row>
    <row r="1312" ht="15.75" customHeight="1">
      <c r="A1312" s="11">
        <f>IFERROR(__xludf.DUMMYFUNCTION("""COMPUTED_VALUE"""),44471.0)</f>
        <v>44471</v>
      </c>
      <c r="B1312" s="9">
        <f>IFERROR(__xludf.DUMMYFUNCTION("""COMPUTED_VALUE"""),1003469.0)</f>
        <v>1003469</v>
      </c>
      <c r="C1312" s="9">
        <f>IFERROR(__xludf.DUMMYFUNCTION("""COMPUTED_VALUE"""),77326.0)</f>
        <v>77326</v>
      </c>
      <c r="D1312" s="9"/>
      <c r="E1312" s="10" t="str">
        <f>IFERROR(__xludf.DUMMYFUNCTION("""COMPUTED_VALUE"""),"GREENRELAIS")</f>
        <v>GREENRELAIS</v>
      </c>
      <c r="F1312" s="10">
        <f>IFERROR(__xludf.DUMMYFUNCTION("""COMPUTED_VALUE"""),8.47)</f>
        <v>8.47</v>
      </c>
      <c r="G1312" s="9">
        <f>IFERROR(__xludf.DUMMYFUNCTION("""COMPUTED_VALUE"""),8.47)</f>
        <v>8.47</v>
      </c>
      <c r="H1312" s="9">
        <f>IFERROR(__xludf.DUMMYFUNCTION("""COMPUTED_VALUE"""),3.0)</f>
        <v>3</v>
      </c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</row>
    <row r="1313" ht="15.75" customHeight="1">
      <c r="A1313" s="11">
        <f>IFERROR(__xludf.DUMMYFUNCTION("""COMPUTED_VALUE"""),44471.0)</f>
        <v>44471</v>
      </c>
      <c r="B1313" s="9">
        <f>IFERROR(__xludf.DUMMYFUNCTION("""COMPUTED_VALUE"""),1003469.0)</f>
        <v>1003469</v>
      </c>
      <c r="C1313" s="9">
        <f>IFERROR(__xludf.DUMMYFUNCTION("""COMPUTED_VALUE"""),68404.0)</f>
        <v>68404</v>
      </c>
      <c r="D1313" s="9"/>
      <c r="E1313" s="10" t="str">
        <f>IFERROR(__xludf.DUMMYFUNCTION("""COMPUTED_VALUE"""),"GREENRELAIS")</f>
        <v>GREENRELAIS</v>
      </c>
      <c r="F1313" s="10">
        <f>IFERROR(__xludf.DUMMYFUNCTION("""COMPUTED_VALUE"""),8.32)</f>
        <v>8.32</v>
      </c>
      <c r="G1313" s="9">
        <f>IFERROR(__xludf.DUMMYFUNCTION("""COMPUTED_VALUE"""),8.32)</f>
        <v>8.32</v>
      </c>
      <c r="H1313" s="9">
        <f>IFERROR(__xludf.DUMMYFUNCTION("""COMPUTED_VALUE"""),4.0)</f>
        <v>4</v>
      </c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</row>
    <row r="1314" ht="15.75" customHeight="1">
      <c r="A1314" s="11">
        <f>IFERROR(__xludf.DUMMYFUNCTION("""COMPUTED_VALUE"""),44471.0)</f>
        <v>44471</v>
      </c>
      <c r="B1314" s="9">
        <f>IFERROR(__xludf.DUMMYFUNCTION("""COMPUTED_VALUE"""),1003470.0)</f>
        <v>1003470</v>
      </c>
      <c r="C1314" s="9">
        <f>IFERROR(__xludf.DUMMYFUNCTION("""COMPUTED_VALUE"""),81873.0)</f>
        <v>81873</v>
      </c>
      <c r="D1314" s="9"/>
      <c r="E1314" s="9"/>
      <c r="F1314" s="9">
        <f>IFERROR(__xludf.DUMMYFUNCTION("""COMPUTED_VALUE"""),22.25)</f>
        <v>22.25</v>
      </c>
      <c r="G1314" s="9">
        <f>IFERROR(__xludf.DUMMYFUNCTION("""COMPUTED_VALUE"""),22.25)</f>
        <v>22.25</v>
      </c>
      <c r="H1314" s="9">
        <f>IFERROR(__xludf.DUMMYFUNCTION("""COMPUTED_VALUE"""),1.0)</f>
        <v>1</v>
      </c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</row>
    <row r="1315" ht="15.75" customHeight="1">
      <c r="A1315" s="11">
        <f>IFERROR(__xludf.DUMMYFUNCTION("""COMPUTED_VALUE"""),44471.0)</f>
        <v>44471</v>
      </c>
      <c r="B1315" s="9">
        <f>IFERROR(__xludf.DUMMYFUNCTION("""COMPUTED_VALUE"""),1003470.0)</f>
        <v>1003470</v>
      </c>
      <c r="C1315" s="9">
        <f>IFERROR(__xludf.DUMMYFUNCTION("""COMPUTED_VALUE"""),81876.0)</f>
        <v>81876</v>
      </c>
      <c r="D1315" s="9"/>
      <c r="E1315" s="9"/>
      <c r="F1315" s="9">
        <f>IFERROR(__xludf.DUMMYFUNCTION("""COMPUTED_VALUE"""),17.29)</f>
        <v>17.29</v>
      </c>
      <c r="G1315" s="9">
        <f>IFERROR(__xludf.DUMMYFUNCTION("""COMPUTED_VALUE"""),17.29)</f>
        <v>17.29</v>
      </c>
      <c r="H1315" s="9">
        <f>IFERROR(__xludf.DUMMYFUNCTION("""COMPUTED_VALUE"""),1.0)</f>
        <v>1</v>
      </c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</row>
    <row r="1316" ht="15.75" customHeight="1">
      <c r="A1316" s="11">
        <f>IFERROR(__xludf.DUMMYFUNCTION("""COMPUTED_VALUE"""),44471.0)</f>
        <v>44471</v>
      </c>
      <c r="B1316" s="9">
        <f>IFERROR(__xludf.DUMMYFUNCTION("""COMPUTED_VALUE"""),1003470.0)</f>
        <v>1003470</v>
      </c>
      <c r="C1316" s="9">
        <f>IFERROR(__xludf.DUMMYFUNCTION("""COMPUTED_VALUE"""),84930.0)</f>
        <v>84930</v>
      </c>
      <c r="D1316" s="9"/>
      <c r="E1316" s="9"/>
      <c r="F1316" s="9">
        <f>IFERROR(__xludf.DUMMYFUNCTION("""COMPUTED_VALUE"""),2.83)</f>
        <v>2.83</v>
      </c>
      <c r="G1316" s="9">
        <f>IFERROR(__xludf.DUMMYFUNCTION("""COMPUTED_VALUE"""),2.83)</f>
        <v>2.83</v>
      </c>
      <c r="H1316" s="9">
        <f>IFERROR(__xludf.DUMMYFUNCTION("""COMPUTED_VALUE"""),1.0)</f>
        <v>1</v>
      </c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</row>
    <row r="1317" ht="15.75" customHeight="1">
      <c r="A1317" s="11">
        <f>IFERROR(__xludf.DUMMYFUNCTION("""COMPUTED_VALUE"""),44471.0)</f>
        <v>44471</v>
      </c>
      <c r="B1317" s="9">
        <f>IFERROR(__xludf.DUMMYFUNCTION("""COMPUTED_VALUE"""),1003471.0)</f>
        <v>1003471</v>
      </c>
      <c r="C1317" s="9">
        <f>IFERROR(__xludf.DUMMYFUNCTION("""COMPUTED_VALUE"""),110341.0)</f>
        <v>110341</v>
      </c>
      <c r="D1317" s="9"/>
      <c r="E1317" s="10" t="str">
        <f>IFERROR(__xludf.DUMMYFUNCTION("""COMPUTED_VALUE"""),"GREENRELAIS")</f>
        <v>GREENRELAIS</v>
      </c>
      <c r="F1317" s="10">
        <f>IFERROR(__xludf.DUMMYFUNCTION("""COMPUTED_VALUE"""),8.81)</f>
        <v>8.81</v>
      </c>
      <c r="G1317" s="9">
        <f>IFERROR(__xludf.DUMMYFUNCTION("""COMPUTED_VALUE"""),8.81)</f>
        <v>8.81</v>
      </c>
      <c r="H1317" s="9">
        <f>IFERROR(__xludf.DUMMYFUNCTION("""COMPUTED_VALUE"""),1.0)</f>
        <v>1</v>
      </c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</row>
    <row r="1318" ht="15.75" customHeight="1">
      <c r="A1318" s="11">
        <f>IFERROR(__xludf.DUMMYFUNCTION("""COMPUTED_VALUE"""),44471.0)</f>
        <v>44471</v>
      </c>
      <c r="B1318" s="9">
        <f>IFERROR(__xludf.DUMMYFUNCTION("""COMPUTED_VALUE"""),1003471.0)</f>
        <v>1003471</v>
      </c>
      <c r="C1318" s="9">
        <f>IFERROR(__xludf.DUMMYFUNCTION("""COMPUTED_VALUE"""),84202.0)</f>
        <v>84202</v>
      </c>
      <c r="D1318" s="9"/>
      <c r="E1318" s="10" t="str">
        <f>IFERROR(__xludf.DUMMYFUNCTION("""COMPUTED_VALUE"""),"GREENRELAIS")</f>
        <v>GREENRELAIS</v>
      </c>
      <c r="F1318" s="10">
        <f>IFERROR(__xludf.DUMMYFUNCTION("""COMPUTED_VALUE"""),2.66)</f>
        <v>2.66</v>
      </c>
      <c r="G1318" s="9">
        <f>IFERROR(__xludf.DUMMYFUNCTION("""COMPUTED_VALUE"""),2.66)</f>
        <v>2.66</v>
      </c>
      <c r="H1318" s="9">
        <f>IFERROR(__xludf.DUMMYFUNCTION("""COMPUTED_VALUE"""),1.0)</f>
        <v>1</v>
      </c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</row>
    <row r="1319" ht="15.75" customHeight="1">
      <c r="A1319" s="11">
        <f>IFERROR(__xludf.DUMMYFUNCTION("""COMPUTED_VALUE"""),44471.0)</f>
        <v>44471</v>
      </c>
      <c r="B1319" s="9">
        <f>IFERROR(__xludf.DUMMYFUNCTION("""COMPUTED_VALUE"""),1003471.0)</f>
        <v>1003471</v>
      </c>
      <c r="C1319" s="9">
        <f>IFERROR(__xludf.DUMMYFUNCTION("""COMPUTED_VALUE"""),116803.0)</f>
        <v>116803</v>
      </c>
      <c r="D1319" s="10" t="str">
        <f>IFERROR(__xludf.DUMMYFUNCTION("""COMPUTED_VALUE"""),"Vive le bio")</f>
        <v>Vive le bio</v>
      </c>
      <c r="E1319" s="10" t="str">
        <f>IFERROR(__xludf.DUMMYFUNCTION("""COMPUTED_VALUE"""),"GREENRELAIS")</f>
        <v>GREENRELAIS</v>
      </c>
      <c r="F1319" s="10">
        <f>IFERROR(__xludf.DUMMYFUNCTION("""COMPUTED_VALUE"""),3.77777777777777)</f>
        <v>3.777777778</v>
      </c>
      <c r="G1319" s="9">
        <f>IFERROR(__xludf.DUMMYFUNCTION("""COMPUTED_VALUE"""),3.4)</f>
        <v>3.4</v>
      </c>
      <c r="H1319" s="9">
        <f>IFERROR(__xludf.DUMMYFUNCTION("""COMPUTED_VALUE"""),1.0)</f>
        <v>1</v>
      </c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</row>
    <row r="1320" ht="15.75" customHeight="1">
      <c r="A1320" s="11">
        <f>IFERROR(__xludf.DUMMYFUNCTION("""COMPUTED_VALUE"""),44471.0)</f>
        <v>44471</v>
      </c>
      <c r="B1320" s="9">
        <f>IFERROR(__xludf.DUMMYFUNCTION("""COMPUTED_VALUE"""),1003471.0)</f>
        <v>1003471</v>
      </c>
      <c r="C1320" s="9">
        <f>IFERROR(__xludf.DUMMYFUNCTION("""COMPUTED_VALUE"""),17620.0)</f>
        <v>17620</v>
      </c>
      <c r="D1320" s="9"/>
      <c r="E1320" s="10" t="str">
        <f>IFERROR(__xludf.DUMMYFUNCTION("""COMPUTED_VALUE"""),"GREENRELAIS")</f>
        <v>GREENRELAIS</v>
      </c>
      <c r="F1320" s="10">
        <f>IFERROR(__xludf.DUMMYFUNCTION("""COMPUTED_VALUE"""),8.61)</f>
        <v>8.61</v>
      </c>
      <c r="G1320" s="9">
        <f>IFERROR(__xludf.DUMMYFUNCTION("""COMPUTED_VALUE"""),8.61)</f>
        <v>8.61</v>
      </c>
      <c r="H1320" s="9">
        <f>IFERROR(__xludf.DUMMYFUNCTION("""COMPUTED_VALUE"""),1.0)</f>
        <v>1</v>
      </c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</row>
    <row r="1321" ht="15.75" customHeight="1">
      <c r="A1321" s="11">
        <f>IFERROR(__xludf.DUMMYFUNCTION("""COMPUTED_VALUE"""),44471.0)</f>
        <v>44471</v>
      </c>
      <c r="B1321" s="9">
        <f>IFERROR(__xludf.DUMMYFUNCTION("""COMPUTED_VALUE"""),1003471.0)</f>
        <v>1003471</v>
      </c>
      <c r="C1321" s="9">
        <f>IFERROR(__xludf.DUMMYFUNCTION("""COMPUTED_VALUE"""),22008.0)</f>
        <v>22008</v>
      </c>
      <c r="D1321" s="9"/>
      <c r="E1321" s="10" t="str">
        <f>IFERROR(__xludf.DUMMYFUNCTION("""COMPUTED_VALUE"""),"GREENRELAIS")</f>
        <v>GREENRELAIS</v>
      </c>
      <c r="F1321" s="10">
        <f>IFERROR(__xludf.DUMMYFUNCTION("""COMPUTED_VALUE"""),1.8)</f>
        <v>1.8</v>
      </c>
      <c r="G1321" s="9">
        <f>IFERROR(__xludf.DUMMYFUNCTION("""COMPUTED_VALUE"""),1.8)</f>
        <v>1.8</v>
      </c>
      <c r="H1321" s="9">
        <f>IFERROR(__xludf.DUMMYFUNCTION("""COMPUTED_VALUE"""),1.0)</f>
        <v>1</v>
      </c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</row>
    <row r="1322" ht="15.75" customHeight="1">
      <c r="A1322" s="11">
        <f>IFERROR(__xludf.DUMMYFUNCTION("""COMPUTED_VALUE"""),44471.0)</f>
        <v>44471</v>
      </c>
      <c r="B1322" s="9">
        <f>IFERROR(__xludf.DUMMYFUNCTION("""COMPUTED_VALUE"""),1003471.0)</f>
        <v>1003471</v>
      </c>
      <c r="C1322" s="9">
        <f>IFERROR(__xludf.DUMMYFUNCTION("""COMPUTED_VALUE"""),84211.0)</f>
        <v>84211</v>
      </c>
      <c r="D1322" s="9"/>
      <c r="E1322" s="10" t="str">
        <f>IFERROR(__xludf.DUMMYFUNCTION("""COMPUTED_VALUE"""),"GREENRELAIS")</f>
        <v>GREENRELAIS</v>
      </c>
      <c r="F1322" s="10">
        <f>IFERROR(__xludf.DUMMYFUNCTION("""COMPUTED_VALUE"""),4.24)</f>
        <v>4.24</v>
      </c>
      <c r="G1322" s="9">
        <f>IFERROR(__xludf.DUMMYFUNCTION("""COMPUTED_VALUE"""),4.24)</f>
        <v>4.24</v>
      </c>
      <c r="H1322" s="9">
        <f>IFERROR(__xludf.DUMMYFUNCTION("""COMPUTED_VALUE"""),1.0)</f>
        <v>1</v>
      </c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</row>
    <row r="1323" ht="15.75" customHeight="1">
      <c r="A1323" s="11">
        <f>IFERROR(__xludf.DUMMYFUNCTION("""COMPUTED_VALUE"""),44471.0)</f>
        <v>44471</v>
      </c>
      <c r="B1323" s="9">
        <f>IFERROR(__xludf.DUMMYFUNCTION("""COMPUTED_VALUE"""),1003471.0)</f>
        <v>1003471</v>
      </c>
      <c r="C1323" s="9">
        <f>IFERROR(__xludf.DUMMYFUNCTION("""COMPUTED_VALUE"""),9329.0)</f>
        <v>9329</v>
      </c>
      <c r="D1323" s="10" t="str">
        <f>IFERROR(__xludf.DUMMYFUNCTION("""COMPUTED_VALUE"""),"Vive le bio")</f>
        <v>Vive le bio</v>
      </c>
      <c r="E1323" s="10" t="str">
        <f>IFERROR(__xludf.DUMMYFUNCTION("""COMPUTED_VALUE"""),"GREENRELAIS")</f>
        <v>GREENRELAIS</v>
      </c>
      <c r="F1323" s="10">
        <f>IFERROR(__xludf.DUMMYFUNCTION("""COMPUTED_VALUE"""),12.5)</f>
        <v>12.5</v>
      </c>
      <c r="G1323" s="9">
        <f>IFERROR(__xludf.DUMMYFUNCTION("""COMPUTED_VALUE"""),11.25)</f>
        <v>11.25</v>
      </c>
      <c r="H1323" s="9">
        <f>IFERROR(__xludf.DUMMYFUNCTION("""COMPUTED_VALUE"""),2.0)</f>
        <v>2</v>
      </c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</row>
    <row r="1324" ht="15.75" customHeight="1">
      <c r="A1324" s="11">
        <f>IFERROR(__xludf.DUMMYFUNCTION("""COMPUTED_VALUE"""),44471.0)</f>
        <v>44471</v>
      </c>
      <c r="B1324" s="9">
        <f>IFERROR(__xludf.DUMMYFUNCTION("""COMPUTED_VALUE"""),1003471.0)</f>
        <v>1003471</v>
      </c>
      <c r="C1324" s="9">
        <f>IFERROR(__xludf.DUMMYFUNCTION("""COMPUTED_VALUE"""),117237.0)</f>
        <v>117237</v>
      </c>
      <c r="D1324" s="10" t="str">
        <f>IFERROR(__xludf.DUMMYFUNCTION("""COMPUTED_VALUE"""),"Vive le bio")</f>
        <v>Vive le bio</v>
      </c>
      <c r="E1324" s="10" t="str">
        <f>IFERROR(__xludf.DUMMYFUNCTION("""COMPUTED_VALUE"""),"GREENRELAIS")</f>
        <v>GREENRELAIS</v>
      </c>
      <c r="F1324" s="10">
        <f>IFERROR(__xludf.DUMMYFUNCTION("""COMPUTED_VALUE"""),9.56666666666666)</f>
        <v>9.566666667</v>
      </c>
      <c r="G1324" s="9">
        <f>IFERROR(__xludf.DUMMYFUNCTION("""COMPUTED_VALUE"""),8.61)</f>
        <v>8.61</v>
      </c>
      <c r="H1324" s="9">
        <f>IFERROR(__xludf.DUMMYFUNCTION("""COMPUTED_VALUE"""),2.0)</f>
        <v>2</v>
      </c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</row>
    <row r="1325" ht="15.75" customHeight="1">
      <c r="A1325" s="11">
        <f>IFERROR(__xludf.DUMMYFUNCTION("""COMPUTED_VALUE"""),44471.0)</f>
        <v>44471</v>
      </c>
      <c r="B1325" s="9">
        <f>IFERROR(__xludf.DUMMYFUNCTION("""COMPUTED_VALUE"""),1003471.0)</f>
        <v>1003471</v>
      </c>
      <c r="C1325" s="9">
        <f>IFERROR(__xludf.DUMMYFUNCTION("""COMPUTED_VALUE"""),102595.0)</f>
        <v>102595</v>
      </c>
      <c r="D1325" s="10" t="str">
        <f>IFERROR(__xludf.DUMMYFUNCTION("""COMPUTED_VALUE"""),"Vive le bio")</f>
        <v>Vive le bio</v>
      </c>
      <c r="E1325" s="10" t="str">
        <f>IFERROR(__xludf.DUMMYFUNCTION("""COMPUTED_VALUE"""),"GREENRELAIS")</f>
        <v>GREENRELAIS</v>
      </c>
      <c r="F1325" s="10">
        <f>IFERROR(__xludf.DUMMYFUNCTION("""COMPUTED_VALUE"""),5.41111111111111)</f>
        <v>5.411111111</v>
      </c>
      <c r="G1325" s="9">
        <f>IFERROR(__xludf.DUMMYFUNCTION("""COMPUTED_VALUE"""),4.87)</f>
        <v>4.87</v>
      </c>
      <c r="H1325" s="9">
        <f>IFERROR(__xludf.DUMMYFUNCTION("""COMPUTED_VALUE"""),2.0)</f>
        <v>2</v>
      </c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</row>
    <row r="1326" ht="15.75" customHeight="1">
      <c r="A1326" s="11">
        <f>IFERROR(__xludf.DUMMYFUNCTION("""COMPUTED_VALUE"""),44471.0)</f>
        <v>44471</v>
      </c>
      <c r="B1326" s="9">
        <f>IFERROR(__xludf.DUMMYFUNCTION("""COMPUTED_VALUE"""),1003471.0)</f>
        <v>1003471</v>
      </c>
      <c r="C1326" s="9">
        <f>IFERROR(__xludf.DUMMYFUNCTION("""COMPUTED_VALUE"""),19835.0)</f>
        <v>19835</v>
      </c>
      <c r="D1326" s="9"/>
      <c r="E1326" s="10" t="str">
        <f>IFERROR(__xludf.DUMMYFUNCTION("""COMPUTED_VALUE"""),"GREENRELAIS")</f>
        <v>GREENRELAIS</v>
      </c>
      <c r="F1326" s="10">
        <f>IFERROR(__xludf.DUMMYFUNCTION("""COMPUTED_VALUE"""),6.83)</f>
        <v>6.83</v>
      </c>
      <c r="G1326" s="9">
        <f>IFERROR(__xludf.DUMMYFUNCTION("""COMPUTED_VALUE"""),6.83)</f>
        <v>6.83</v>
      </c>
      <c r="H1326" s="9">
        <f>IFERROR(__xludf.DUMMYFUNCTION("""COMPUTED_VALUE"""),2.0)</f>
        <v>2</v>
      </c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</row>
    <row r="1327" ht="15.75" customHeight="1">
      <c r="A1327" s="11">
        <f>IFERROR(__xludf.DUMMYFUNCTION("""COMPUTED_VALUE"""),44471.0)</f>
        <v>44471</v>
      </c>
      <c r="B1327" s="9">
        <f>IFERROR(__xludf.DUMMYFUNCTION("""COMPUTED_VALUE"""),1003471.0)</f>
        <v>1003471</v>
      </c>
      <c r="C1327" s="9">
        <f>IFERROR(__xludf.DUMMYFUNCTION("""COMPUTED_VALUE"""),47051.0)</f>
        <v>47051</v>
      </c>
      <c r="D1327" s="9"/>
      <c r="E1327" s="10" t="str">
        <f>IFERROR(__xludf.DUMMYFUNCTION("""COMPUTED_VALUE"""),"GREENRELAIS")</f>
        <v>GREENRELAIS</v>
      </c>
      <c r="F1327" s="10">
        <f>IFERROR(__xludf.DUMMYFUNCTION("""COMPUTED_VALUE"""),4.41)</f>
        <v>4.41</v>
      </c>
      <c r="G1327" s="9">
        <f>IFERROR(__xludf.DUMMYFUNCTION("""COMPUTED_VALUE"""),4.41)</f>
        <v>4.41</v>
      </c>
      <c r="H1327" s="9">
        <f>IFERROR(__xludf.DUMMYFUNCTION("""COMPUTED_VALUE"""),2.0)</f>
        <v>2</v>
      </c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</row>
    <row r="1328" ht="15.75" customHeight="1">
      <c r="A1328" s="11">
        <f>IFERROR(__xludf.DUMMYFUNCTION("""COMPUTED_VALUE"""),44471.0)</f>
        <v>44471</v>
      </c>
      <c r="B1328" s="9">
        <f>IFERROR(__xludf.DUMMYFUNCTION("""COMPUTED_VALUE"""),1003471.0)</f>
        <v>1003471</v>
      </c>
      <c r="C1328" s="9">
        <f>IFERROR(__xludf.DUMMYFUNCTION("""COMPUTED_VALUE"""),113094.0)</f>
        <v>113094</v>
      </c>
      <c r="D1328" s="9"/>
      <c r="E1328" s="10" t="str">
        <f>IFERROR(__xludf.DUMMYFUNCTION("""COMPUTED_VALUE"""),"GREENRELAIS")</f>
        <v>GREENRELAIS</v>
      </c>
      <c r="F1328" s="10">
        <f>IFERROR(__xludf.DUMMYFUNCTION("""COMPUTED_VALUE"""),3.48)</f>
        <v>3.48</v>
      </c>
      <c r="G1328" s="9">
        <f>IFERROR(__xludf.DUMMYFUNCTION("""COMPUTED_VALUE"""),3.48)</f>
        <v>3.48</v>
      </c>
      <c r="H1328" s="9">
        <f>IFERROR(__xludf.DUMMYFUNCTION("""COMPUTED_VALUE"""),2.0)</f>
        <v>2</v>
      </c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</row>
    <row r="1329" ht="15.75" customHeight="1">
      <c r="A1329" s="11">
        <f>IFERROR(__xludf.DUMMYFUNCTION("""COMPUTED_VALUE"""),44471.0)</f>
        <v>44471</v>
      </c>
      <c r="B1329" s="9">
        <f>IFERROR(__xludf.DUMMYFUNCTION("""COMPUTED_VALUE"""),1003471.0)</f>
        <v>1003471</v>
      </c>
      <c r="C1329" s="9">
        <f>IFERROR(__xludf.DUMMYFUNCTION("""COMPUTED_VALUE"""),47049.0)</f>
        <v>47049</v>
      </c>
      <c r="D1329" s="9"/>
      <c r="E1329" s="10" t="str">
        <f>IFERROR(__xludf.DUMMYFUNCTION("""COMPUTED_VALUE"""),"GREENRELAIS")</f>
        <v>GREENRELAIS</v>
      </c>
      <c r="F1329" s="10">
        <f>IFERROR(__xludf.DUMMYFUNCTION("""COMPUTED_VALUE"""),4.47)</f>
        <v>4.47</v>
      </c>
      <c r="G1329" s="9">
        <f>IFERROR(__xludf.DUMMYFUNCTION("""COMPUTED_VALUE"""),4.47)</f>
        <v>4.47</v>
      </c>
      <c r="H1329" s="9">
        <f>IFERROR(__xludf.DUMMYFUNCTION("""COMPUTED_VALUE"""),2.0)</f>
        <v>2</v>
      </c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</row>
    <row r="1330" ht="15.75" customHeight="1">
      <c r="A1330" s="11">
        <f>IFERROR(__xludf.DUMMYFUNCTION("""COMPUTED_VALUE"""),44471.0)</f>
        <v>44471</v>
      </c>
      <c r="B1330" s="9">
        <f>IFERROR(__xludf.DUMMYFUNCTION("""COMPUTED_VALUE"""),1003471.0)</f>
        <v>1003471</v>
      </c>
      <c r="C1330" s="9">
        <f>IFERROR(__xludf.DUMMYFUNCTION("""COMPUTED_VALUE"""),78421.0)</f>
        <v>78421</v>
      </c>
      <c r="D1330" s="9"/>
      <c r="E1330" s="10" t="str">
        <f>IFERROR(__xludf.DUMMYFUNCTION("""COMPUTED_VALUE"""),"GREENRELAIS")</f>
        <v>GREENRELAIS</v>
      </c>
      <c r="F1330" s="10">
        <f>IFERROR(__xludf.DUMMYFUNCTION("""COMPUTED_VALUE"""),7.03)</f>
        <v>7.03</v>
      </c>
      <c r="G1330" s="9">
        <f>IFERROR(__xludf.DUMMYFUNCTION("""COMPUTED_VALUE"""),7.03)</f>
        <v>7.03</v>
      </c>
      <c r="H1330" s="9">
        <f>IFERROR(__xludf.DUMMYFUNCTION("""COMPUTED_VALUE"""),3.0)</f>
        <v>3</v>
      </c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</row>
    <row r="1331" ht="15.75" customHeight="1">
      <c r="A1331" s="11">
        <f>IFERROR(__xludf.DUMMYFUNCTION("""COMPUTED_VALUE"""),44471.0)</f>
        <v>44471</v>
      </c>
      <c r="B1331" s="9">
        <f>IFERROR(__xludf.DUMMYFUNCTION("""COMPUTED_VALUE"""),1003471.0)</f>
        <v>1003471</v>
      </c>
      <c r="C1331" s="9">
        <f>IFERROR(__xludf.DUMMYFUNCTION("""COMPUTED_VALUE"""),113093.0)</f>
        <v>113093</v>
      </c>
      <c r="D1331" s="9"/>
      <c r="E1331" s="10" t="str">
        <f>IFERROR(__xludf.DUMMYFUNCTION("""COMPUTED_VALUE"""),"GREENRELAIS")</f>
        <v>GREENRELAIS</v>
      </c>
      <c r="F1331" s="10">
        <f>IFERROR(__xludf.DUMMYFUNCTION("""COMPUTED_VALUE"""),15.37)</f>
        <v>15.37</v>
      </c>
      <c r="G1331" s="9">
        <f>IFERROR(__xludf.DUMMYFUNCTION("""COMPUTED_VALUE"""),15.37)</f>
        <v>15.37</v>
      </c>
      <c r="H1331" s="9">
        <f>IFERROR(__xludf.DUMMYFUNCTION("""COMPUTED_VALUE"""),10.0)</f>
        <v>10</v>
      </c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</row>
    <row r="1332" ht="15.75" customHeight="1">
      <c r="A1332" s="11">
        <f>IFERROR(__xludf.DUMMYFUNCTION("""COMPUTED_VALUE"""),44471.0)</f>
        <v>44471</v>
      </c>
      <c r="B1332" s="9">
        <f>IFERROR(__xludf.DUMMYFUNCTION("""COMPUTED_VALUE"""),1003472.0)</f>
        <v>1003472</v>
      </c>
      <c r="C1332" s="9">
        <f>IFERROR(__xludf.DUMMYFUNCTION("""COMPUTED_VALUE"""),95413.0)</f>
        <v>95413</v>
      </c>
      <c r="D1332" s="10" t="str">
        <f>IFERROR(__xludf.DUMMYFUNCTION("""COMPUTED_VALUE"""),"Offre speciale")</f>
        <v>Offre speciale</v>
      </c>
      <c r="E1332" s="10" t="str">
        <f>IFERROR(__xludf.DUMMYFUNCTION("""COMPUTED_VALUE"""),"GREENRELAIS")</f>
        <v>GREENRELAIS</v>
      </c>
      <c r="F1332" s="10">
        <f>IFERROR(__xludf.DUMMYFUNCTION("""COMPUTED_VALUE"""),1.35555555555555)</f>
        <v>1.355555556</v>
      </c>
      <c r="G1332" s="9">
        <f>IFERROR(__xludf.DUMMYFUNCTION("""COMPUTED_VALUE"""),1.22)</f>
        <v>1.22</v>
      </c>
      <c r="H1332" s="9">
        <f>IFERROR(__xludf.DUMMYFUNCTION("""COMPUTED_VALUE"""),1.0)</f>
        <v>1</v>
      </c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</row>
    <row r="1333" ht="15.75" customHeight="1">
      <c r="A1333" s="11">
        <f>IFERROR(__xludf.DUMMYFUNCTION("""COMPUTED_VALUE"""),44471.0)</f>
        <v>44471</v>
      </c>
      <c r="B1333" s="9">
        <f>IFERROR(__xludf.DUMMYFUNCTION("""COMPUTED_VALUE"""),1003472.0)</f>
        <v>1003472</v>
      </c>
      <c r="C1333" s="9">
        <f>IFERROR(__xludf.DUMMYFUNCTION("""COMPUTED_VALUE"""),109310.0)</f>
        <v>109310</v>
      </c>
      <c r="D1333" s="9"/>
      <c r="E1333" s="10" t="str">
        <f>IFERROR(__xludf.DUMMYFUNCTION("""COMPUTED_VALUE"""),"GREENRELAIS")</f>
        <v>GREENRELAIS</v>
      </c>
      <c r="F1333" s="10">
        <f>IFERROR(__xludf.DUMMYFUNCTION("""COMPUTED_VALUE"""),6.27)</f>
        <v>6.27</v>
      </c>
      <c r="G1333" s="9">
        <f>IFERROR(__xludf.DUMMYFUNCTION("""COMPUTED_VALUE"""),6.27)</f>
        <v>6.27</v>
      </c>
      <c r="H1333" s="9">
        <f>IFERROR(__xludf.DUMMYFUNCTION("""COMPUTED_VALUE"""),1.0)</f>
        <v>1</v>
      </c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</row>
    <row r="1334" ht="15.75" customHeight="1">
      <c r="A1334" s="11">
        <f>IFERROR(__xludf.DUMMYFUNCTION("""COMPUTED_VALUE"""),44471.0)</f>
        <v>44471</v>
      </c>
      <c r="B1334" s="9">
        <f>IFERROR(__xludf.DUMMYFUNCTION("""COMPUTED_VALUE"""),1003472.0)</f>
        <v>1003472</v>
      </c>
      <c r="C1334" s="9">
        <f>IFERROR(__xludf.DUMMYFUNCTION("""COMPUTED_VALUE"""),98888.0)</f>
        <v>98888</v>
      </c>
      <c r="D1334" s="9"/>
      <c r="E1334" s="10" t="str">
        <f>IFERROR(__xludf.DUMMYFUNCTION("""COMPUTED_VALUE"""),"GREENRELAIS")</f>
        <v>GREENRELAIS</v>
      </c>
      <c r="F1334" s="10">
        <f>IFERROR(__xludf.DUMMYFUNCTION("""COMPUTED_VALUE"""),4.78)</f>
        <v>4.78</v>
      </c>
      <c r="G1334" s="9">
        <f>IFERROR(__xludf.DUMMYFUNCTION("""COMPUTED_VALUE"""),4.78)</f>
        <v>4.78</v>
      </c>
      <c r="H1334" s="9">
        <f>IFERROR(__xludf.DUMMYFUNCTION("""COMPUTED_VALUE"""),1.0)</f>
        <v>1</v>
      </c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</row>
    <row r="1335" ht="15.75" customHeight="1">
      <c r="A1335" s="11">
        <f>IFERROR(__xludf.DUMMYFUNCTION("""COMPUTED_VALUE"""),44471.0)</f>
        <v>44471</v>
      </c>
      <c r="B1335" s="9">
        <f>IFERROR(__xludf.DUMMYFUNCTION("""COMPUTED_VALUE"""),1003472.0)</f>
        <v>1003472</v>
      </c>
      <c r="C1335" s="9">
        <f>IFERROR(__xludf.DUMMYFUNCTION("""COMPUTED_VALUE"""),164928.0)</f>
        <v>164928</v>
      </c>
      <c r="D1335" s="9"/>
      <c r="E1335" s="10" t="str">
        <f>IFERROR(__xludf.DUMMYFUNCTION("""COMPUTED_VALUE"""),"GREENRELAIS")</f>
        <v>GREENRELAIS</v>
      </c>
      <c r="F1335" s="10">
        <f>IFERROR(__xludf.DUMMYFUNCTION("""COMPUTED_VALUE"""),1.57)</f>
        <v>1.57</v>
      </c>
      <c r="G1335" s="9">
        <f>IFERROR(__xludf.DUMMYFUNCTION("""COMPUTED_VALUE"""),1.57)</f>
        <v>1.57</v>
      </c>
      <c r="H1335" s="9">
        <f>IFERROR(__xludf.DUMMYFUNCTION("""COMPUTED_VALUE"""),1.0)</f>
        <v>1</v>
      </c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</row>
    <row r="1336" ht="15.75" customHeight="1">
      <c r="A1336" s="11">
        <f>IFERROR(__xludf.DUMMYFUNCTION("""COMPUTED_VALUE"""),44471.0)</f>
        <v>44471</v>
      </c>
      <c r="B1336" s="9">
        <f>IFERROR(__xludf.DUMMYFUNCTION("""COMPUTED_VALUE"""),1003472.0)</f>
        <v>1003472</v>
      </c>
      <c r="C1336" s="9">
        <f>IFERROR(__xludf.DUMMYFUNCTION("""COMPUTED_VALUE"""),95412.0)</f>
        <v>95412</v>
      </c>
      <c r="D1336" s="10" t="str">
        <f>IFERROR(__xludf.DUMMYFUNCTION("""COMPUTED_VALUE"""),"Offre speciale")</f>
        <v>Offre speciale</v>
      </c>
      <c r="E1336" s="10" t="str">
        <f>IFERROR(__xludf.DUMMYFUNCTION("""COMPUTED_VALUE"""),"GREENRELAIS")</f>
        <v>GREENRELAIS</v>
      </c>
      <c r="F1336" s="10">
        <f>IFERROR(__xludf.DUMMYFUNCTION("""COMPUTED_VALUE"""),1.13333333333333)</f>
        <v>1.133333333</v>
      </c>
      <c r="G1336" s="9">
        <f>IFERROR(__xludf.DUMMYFUNCTION("""COMPUTED_VALUE"""),1.02)</f>
        <v>1.02</v>
      </c>
      <c r="H1336" s="9">
        <f>IFERROR(__xludf.DUMMYFUNCTION("""COMPUTED_VALUE"""),1.0)</f>
        <v>1</v>
      </c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</row>
    <row r="1337" ht="15.75" customHeight="1">
      <c r="A1337" s="11">
        <f>IFERROR(__xludf.DUMMYFUNCTION("""COMPUTED_VALUE"""),44471.0)</f>
        <v>44471</v>
      </c>
      <c r="B1337" s="9">
        <f>IFERROR(__xludf.DUMMYFUNCTION("""COMPUTED_VALUE"""),1003472.0)</f>
        <v>1003472</v>
      </c>
      <c r="C1337" s="9">
        <f>IFERROR(__xludf.DUMMYFUNCTION("""COMPUTED_VALUE"""),76466.0)</f>
        <v>76466</v>
      </c>
      <c r="D1337" s="9"/>
      <c r="E1337" s="10" t="str">
        <f>IFERROR(__xludf.DUMMYFUNCTION("""COMPUTED_VALUE"""),"GREENRELAIS")</f>
        <v>GREENRELAIS</v>
      </c>
      <c r="F1337" s="10">
        <f>IFERROR(__xludf.DUMMYFUNCTION("""COMPUTED_VALUE"""),3.77)</f>
        <v>3.77</v>
      </c>
      <c r="G1337" s="9">
        <f>IFERROR(__xludf.DUMMYFUNCTION("""COMPUTED_VALUE"""),3.77)</f>
        <v>3.77</v>
      </c>
      <c r="H1337" s="9">
        <f>IFERROR(__xludf.DUMMYFUNCTION("""COMPUTED_VALUE"""),1.0)</f>
        <v>1</v>
      </c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</row>
    <row r="1338" ht="15.75" customHeight="1">
      <c r="A1338" s="11">
        <f>IFERROR(__xludf.DUMMYFUNCTION("""COMPUTED_VALUE"""),44471.0)</f>
        <v>44471</v>
      </c>
      <c r="B1338" s="9">
        <f>IFERROR(__xludf.DUMMYFUNCTION("""COMPUTED_VALUE"""),1003472.0)</f>
        <v>1003472</v>
      </c>
      <c r="C1338" s="9">
        <f>IFERROR(__xludf.DUMMYFUNCTION("""COMPUTED_VALUE"""),17592.0)</f>
        <v>17592</v>
      </c>
      <c r="D1338" s="9"/>
      <c r="E1338" s="10" t="str">
        <f>IFERROR(__xludf.DUMMYFUNCTION("""COMPUTED_VALUE"""),"GREENRELAIS")</f>
        <v>GREENRELAIS</v>
      </c>
      <c r="F1338" s="10">
        <f>IFERROR(__xludf.DUMMYFUNCTION("""COMPUTED_VALUE"""),8.6)</f>
        <v>8.6</v>
      </c>
      <c r="G1338" s="9">
        <f>IFERROR(__xludf.DUMMYFUNCTION("""COMPUTED_VALUE"""),8.6)</f>
        <v>8.6</v>
      </c>
      <c r="H1338" s="9">
        <f>IFERROR(__xludf.DUMMYFUNCTION("""COMPUTED_VALUE"""),1.0)</f>
        <v>1</v>
      </c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</row>
    <row r="1339" ht="15.75" customHeight="1">
      <c r="A1339" s="11">
        <f>IFERROR(__xludf.DUMMYFUNCTION("""COMPUTED_VALUE"""),44471.0)</f>
        <v>44471</v>
      </c>
      <c r="B1339" s="9">
        <f>IFERROR(__xludf.DUMMYFUNCTION("""COMPUTED_VALUE"""),1003472.0)</f>
        <v>1003472</v>
      </c>
      <c r="C1339" s="9">
        <f>IFERROR(__xludf.DUMMYFUNCTION("""COMPUTED_VALUE"""),46154.0)</f>
        <v>46154</v>
      </c>
      <c r="D1339" s="10" t="str">
        <f>IFERROR(__xludf.DUMMYFUNCTION("""COMPUTED_VALUE"""),"Offre speciale")</f>
        <v>Offre speciale</v>
      </c>
      <c r="E1339" s="10" t="str">
        <f>IFERROR(__xludf.DUMMYFUNCTION("""COMPUTED_VALUE"""),"GREENRELAIS")</f>
        <v>GREENRELAIS</v>
      </c>
      <c r="F1339" s="10">
        <f>IFERROR(__xludf.DUMMYFUNCTION("""COMPUTED_VALUE"""),1.05555555555555)</f>
        <v>1.055555556</v>
      </c>
      <c r="G1339" s="9">
        <f>IFERROR(__xludf.DUMMYFUNCTION("""COMPUTED_VALUE"""),0.95)</f>
        <v>0.95</v>
      </c>
      <c r="H1339" s="9">
        <f>IFERROR(__xludf.DUMMYFUNCTION("""COMPUTED_VALUE"""),1.0)</f>
        <v>1</v>
      </c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</row>
    <row r="1340" ht="15.75" customHeight="1">
      <c r="A1340" s="11">
        <f>IFERROR(__xludf.DUMMYFUNCTION("""COMPUTED_VALUE"""),44471.0)</f>
        <v>44471</v>
      </c>
      <c r="B1340" s="9">
        <f>IFERROR(__xludf.DUMMYFUNCTION("""COMPUTED_VALUE"""),1003472.0)</f>
        <v>1003472</v>
      </c>
      <c r="C1340" s="9">
        <f>IFERROR(__xludf.DUMMYFUNCTION("""COMPUTED_VALUE"""),103096.0)</f>
        <v>103096</v>
      </c>
      <c r="D1340" s="10" t="str">
        <f>IFERROR(__xludf.DUMMYFUNCTION("""COMPUTED_VALUE"""),"Vive le bio")</f>
        <v>Vive le bio</v>
      </c>
      <c r="E1340" s="10" t="str">
        <f>IFERROR(__xludf.DUMMYFUNCTION("""COMPUTED_VALUE"""),"GREENRELAIS")</f>
        <v>GREENRELAIS</v>
      </c>
      <c r="F1340" s="10">
        <f>IFERROR(__xludf.DUMMYFUNCTION("""COMPUTED_VALUE"""),2.32222222222222)</f>
        <v>2.322222222</v>
      </c>
      <c r="G1340" s="9">
        <f>IFERROR(__xludf.DUMMYFUNCTION("""COMPUTED_VALUE"""),2.09)</f>
        <v>2.09</v>
      </c>
      <c r="H1340" s="9">
        <f>IFERROR(__xludf.DUMMYFUNCTION("""COMPUTED_VALUE"""),1.0)</f>
        <v>1</v>
      </c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</row>
    <row r="1341" ht="15.75" customHeight="1">
      <c r="A1341" s="11">
        <f>IFERROR(__xludf.DUMMYFUNCTION("""COMPUTED_VALUE"""),44471.0)</f>
        <v>44471</v>
      </c>
      <c r="B1341" s="9">
        <f>IFERROR(__xludf.DUMMYFUNCTION("""COMPUTED_VALUE"""),1003472.0)</f>
        <v>1003472</v>
      </c>
      <c r="C1341" s="9">
        <f>IFERROR(__xludf.DUMMYFUNCTION("""COMPUTED_VALUE"""),26136.0)</f>
        <v>26136</v>
      </c>
      <c r="D1341" s="9"/>
      <c r="E1341" s="10" t="str">
        <f>IFERROR(__xludf.DUMMYFUNCTION("""COMPUTED_VALUE"""),"GREENRELAIS")</f>
        <v>GREENRELAIS</v>
      </c>
      <c r="F1341" s="10">
        <f>IFERROR(__xludf.DUMMYFUNCTION("""COMPUTED_VALUE"""),2.56)</f>
        <v>2.56</v>
      </c>
      <c r="G1341" s="9">
        <f>IFERROR(__xludf.DUMMYFUNCTION("""COMPUTED_VALUE"""),2.56)</f>
        <v>2.56</v>
      </c>
      <c r="H1341" s="9">
        <f>IFERROR(__xludf.DUMMYFUNCTION("""COMPUTED_VALUE"""),1.0)</f>
        <v>1</v>
      </c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</row>
    <row r="1342" ht="15.75" customHeight="1">
      <c r="A1342" s="11">
        <f>IFERROR(__xludf.DUMMYFUNCTION("""COMPUTED_VALUE"""),44471.0)</f>
        <v>44471</v>
      </c>
      <c r="B1342" s="9">
        <f>IFERROR(__xludf.DUMMYFUNCTION("""COMPUTED_VALUE"""),1003472.0)</f>
        <v>1003472</v>
      </c>
      <c r="C1342" s="9">
        <f>IFERROR(__xludf.DUMMYFUNCTION("""COMPUTED_VALUE"""),73916.0)</f>
        <v>73916</v>
      </c>
      <c r="D1342" s="9"/>
      <c r="E1342" s="10" t="str">
        <f>IFERROR(__xludf.DUMMYFUNCTION("""COMPUTED_VALUE"""),"GREENRELAIS")</f>
        <v>GREENRELAIS</v>
      </c>
      <c r="F1342" s="10">
        <f>IFERROR(__xludf.DUMMYFUNCTION("""COMPUTED_VALUE"""),2.69)</f>
        <v>2.69</v>
      </c>
      <c r="G1342" s="9">
        <f>IFERROR(__xludf.DUMMYFUNCTION("""COMPUTED_VALUE"""),2.69)</f>
        <v>2.69</v>
      </c>
      <c r="H1342" s="9">
        <f>IFERROR(__xludf.DUMMYFUNCTION("""COMPUTED_VALUE"""),1.0)</f>
        <v>1</v>
      </c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</row>
    <row r="1343" ht="15.75" customHeight="1">
      <c r="A1343" s="11">
        <f>IFERROR(__xludf.DUMMYFUNCTION("""COMPUTED_VALUE"""),44471.0)</f>
        <v>44471</v>
      </c>
      <c r="B1343" s="9">
        <f>IFERROR(__xludf.DUMMYFUNCTION("""COMPUTED_VALUE"""),1003472.0)</f>
        <v>1003472</v>
      </c>
      <c r="C1343" s="9">
        <f>IFERROR(__xludf.DUMMYFUNCTION("""COMPUTED_VALUE"""),22020.0)</f>
        <v>22020</v>
      </c>
      <c r="D1343" s="9"/>
      <c r="E1343" s="10" t="str">
        <f>IFERROR(__xludf.DUMMYFUNCTION("""COMPUTED_VALUE"""),"GREENRELAIS")</f>
        <v>GREENRELAIS</v>
      </c>
      <c r="F1343" s="10">
        <f>IFERROR(__xludf.DUMMYFUNCTION("""COMPUTED_VALUE"""),2.32)</f>
        <v>2.32</v>
      </c>
      <c r="G1343" s="9">
        <f>IFERROR(__xludf.DUMMYFUNCTION("""COMPUTED_VALUE"""),2.32)</f>
        <v>2.32</v>
      </c>
      <c r="H1343" s="9">
        <f>IFERROR(__xludf.DUMMYFUNCTION("""COMPUTED_VALUE"""),1.0)</f>
        <v>1</v>
      </c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</row>
    <row r="1344" ht="15.75" customHeight="1">
      <c r="A1344" s="11">
        <f>IFERROR(__xludf.DUMMYFUNCTION("""COMPUTED_VALUE"""),44471.0)</f>
        <v>44471</v>
      </c>
      <c r="B1344" s="9">
        <f>IFERROR(__xludf.DUMMYFUNCTION("""COMPUTED_VALUE"""),1003472.0)</f>
        <v>1003472</v>
      </c>
      <c r="C1344" s="9">
        <f>IFERROR(__xludf.DUMMYFUNCTION("""COMPUTED_VALUE"""),149867.0)</f>
        <v>149867</v>
      </c>
      <c r="D1344" s="9"/>
      <c r="E1344" s="10" t="str">
        <f>IFERROR(__xludf.DUMMYFUNCTION("""COMPUTED_VALUE"""),"GREENRELAIS")</f>
        <v>GREENRELAIS</v>
      </c>
      <c r="F1344" s="10">
        <f>IFERROR(__xludf.DUMMYFUNCTION("""COMPUTED_VALUE"""),4.93)</f>
        <v>4.93</v>
      </c>
      <c r="G1344" s="9">
        <f>IFERROR(__xludf.DUMMYFUNCTION("""COMPUTED_VALUE"""),4.93)</f>
        <v>4.93</v>
      </c>
      <c r="H1344" s="9">
        <f>IFERROR(__xludf.DUMMYFUNCTION("""COMPUTED_VALUE"""),1.0)</f>
        <v>1</v>
      </c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</row>
    <row r="1345" ht="15.75" customHeight="1">
      <c r="A1345" s="11">
        <f>IFERROR(__xludf.DUMMYFUNCTION("""COMPUTED_VALUE"""),44471.0)</f>
        <v>44471</v>
      </c>
      <c r="B1345" s="9">
        <f>IFERROR(__xludf.DUMMYFUNCTION("""COMPUTED_VALUE"""),1003472.0)</f>
        <v>1003472</v>
      </c>
      <c r="C1345" s="9">
        <f>IFERROR(__xludf.DUMMYFUNCTION("""COMPUTED_VALUE"""),68364.0)</f>
        <v>68364</v>
      </c>
      <c r="D1345" s="9"/>
      <c r="E1345" s="10" t="str">
        <f>IFERROR(__xludf.DUMMYFUNCTION("""COMPUTED_VALUE"""),"GREENRELAIS")</f>
        <v>GREENRELAIS</v>
      </c>
      <c r="F1345" s="10">
        <f>IFERROR(__xludf.DUMMYFUNCTION("""COMPUTED_VALUE"""),1.67)</f>
        <v>1.67</v>
      </c>
      <c r="G1345" s="9">
        <f>IFERROR(__xludf.DUMMYFUNCTION("""COMPUTED_VALUE"""),1.67)</f>
        <v>1.67</v>
      </c>
      <c r="H1345" s="9">
        <f>IFERROR(__xludf.DUMMYFUNCTION("""COMPUTED_VALUE"""),1.0)</f>
        <v>1</v>
      </c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</row>
    <row r="1346" ht="15.75" customHeight="1">
      <c r="A1346" s="11">
        <f>IFERROR(__xludf.DUMMYFUNCTION("""COMPUTED_VALUE"""),44471.0)</f>
        <v>44471</v>
      </c>
      <c r="B1346" s="9">
        <f>IFERROR(__xludf.DUMMYFUNCTION("""COMPUTED_VALUE"""),1003472.0)</f>
        <v>1003472</v>
      </c>
      <c r="C1346" s="9">
        <f>IFERROR(__xludf.DUMMYFUNCTION("""COMPUTED_VALUE"""),104312.0)</f>
        <v>104312</v>
      </c>
      <c r="D1346" s="9"/>
      <c r="E1346" s="10" t="str">
        <f>IFERROR(__xludf.DUMMYFUNCTION("""COMPUTED_VALUE"""),"GREENRELAIS")</f>
        <v>GREENRELAIS</v>
      </c>
      <c r="F1346" s="10">
        <f>IFERROR(__xludf.DUMMYFUNCTION("""COMPUTED_VALUE"""),2.22)</f>
        <v>2.22</v>
      </c>
      <c r="G1346" s="9">
        <f>IFERROR(__xludf.DUMMYFUNCTION("""COMPUTED_VALUE"""),2.22)</f>
        <v>2.22</v>
      </c>
      <c r="H1346" s="9">
        <f>IFERROR(__xludf.DUMMYFUNCTION("""COMPUTED_VALUE"""),1.0)</f>
        <v>1</v>
      </c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</row>
    <row r="1347" ht="15.75" customHeight="1">
      <c r="A1347" s="11">
        <f>IFERROR(__xludf.DUMMYFUNCTION("""COMPUTED_VALUE"""),44471.0)</f>
        <v>44471</v>
      </c>
      <c r="B1347" s="9">
        <f>IFERROR(__xludf.DUMMYFUNCTION("""COMPUTED_VALUE"""),1003472.0)</f>
        <v>1003472</v>
      </c>
      <c r="C1347" s="9">
        <f>IFERROR(__xludf.DUMMYFUNCTION("""COMPUTED_VALUE"""),158667.0)</f>
        <v>158667</v>
      </c>
      <c r="D1347" s="9"/>
      <c r="E1347" s="10" t="str">
        <f>IFERROR(__xludf.DUMMYFUNCTION("""COMPUTED_VALUE"""),"GREENRELAIS")</f>
        <v>GREENRELAIS</v>
      </c>
      <c r="F1347" s="10">
        <f>IFERROR(__xludf.DUMMYFUNCTION("""COMPUTED_VALUE"""),3.99)</f>
        <v>3.99</v>
      </c>
      <c r="G1347" s="9">
        <f>IFERROR(__xludf.DUMMYFUNCTION("""COMPUTED_VALUE"""),3.99)</f>
        <v>3.99</v>
      </c>
      <c r="H1347" s="9">
        <f>IFERROR(__xludf.DUMMYFUNCTION("""COMPUTED_VALUE"""),1.0)</f>
        <v>1</v>
      </c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</row>
    <row r="1348" ht="15.75" customHeight="1">
      <c r="A1348" s="11">
        <f>IFERROR(__xludf.DUMMYFUNCTION("""COMPUTED_VALUE"""),44471.0)</f>
        <v>44471</v>
      </c>
      <c r="B1348" s="9">
        <f>IFERROR(__xludf.DUMMYFUNCTION("""COMPUTED_VALUE"""),1003472.0)</f>
        <v>1003472</v>
      </c>
      <c r="C1348" s="9">
        <f>IFERROR(__xludf.DUMMYFUNCTION("""COMPUTED_VALUE"""),112803.0)</f>
        <v>112803</v>
      </c>
      <c r="D1348" s="9"/>
      <c r="E1348" s="10" t="str">
        <f>IFERROR(__xludf.DUMMYFUNCTION("""COMPUTED_VALUE"""),"GREENRELAIS")</f>
        <v>GREENRELAIS</v>
      </c>
      <c r="F1348" s="10">
        <f>IFERROR(__xludf.DUMMYFUNCTION("""COMPUTED_VALUE"""),3.62)</f>
        <v>3.62</v>
      </c>
      <c r="G1348" s="9">
        <f>IFERROR(__xludf.DUMMYFUNCTION("""COMPUTED_VALUE"""),3.62)</f>
        <v>3.62</v>
      </c>
      <c r="H1348" s="9">
        <f>IFERROR(__xludf.DUMMYFUNCTION("""COMPUTED_VALUE"""),1.0)</f>
        <v>1</v>
      </c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</row>
    <row r="1349" ht="15.75" customHeight="1">
      <c r="A1349" s="11">
        <f>IFERROR(__xludf.DUMMYFUNCTION("""COMPUTED_VALUE"""),44471.0)</f>
        <v>44471</v>
      </c>
      <c r="B1349" s="9">
        <f>IFERROR(__xludf.DUMMYFUNCTION("""COMPUTED_VALUE"""),1003472.0)</f>
        <v>1003472</v>
      </c>
      <c r="C1349" s="9">
        <f>IFERROR(__xludf.DUMMYFUNCTION("""COMPUTED_VALUE"""),118286.0)</f>
        <v>118286</v>
      </c>
      <c r="D1349" s="9"/>
      <c r="E1349" s="10" t="str">
        <f>IFERROR(__xludf.DUMMYFUNCTION("""COMPUTED_VALUE"""),"GREENRELAIS")</f>
        <v>GREENRELAIS</v>
      </c>
      <c r="F1349" s="10">
        <f>IFERROR(__xludf.DUMMYFUNCTION("""COMPUTED_VALUE"""),5.77)</f>
        <v>5.77</v>
      </c>
      <c r="G1349" s="9">
        <f>IFERROR(__xludf.DUMMYFUNCTION("""COMPUTED_VALUE"""),5.77)</f>
        <v>5.77</v>
      </c>
      <c r="H1349" s="9">
        <f>IFERROR(__xludf.DUMMYFUNCTION("""COMPUTED_VALUE"""),2.0)</f>
        <v>2</v>
      </c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</row>
    <row r="1350" ht="15.75" customHeight="1">
      <c r="A1350" s="11">
        <f>IFERROR(__xludf.DUMMYFUNCTION("""COMPUTED_VALUE"""),44471.0)</f>
        <v>44471</v>
      </c>
      <c r="B1350" s="9">
        <f>IFERROR(__xludf.DUMMYFUNCTION("""COMPUTED_VALUE"""),1003472.0)</f>
        <v>1003472</v>
      </c>
      <c r="C1350" s="9">
        <f>IFERROR(__xludf.DUMMYFUNCTION("""COMPUTED_VALUE"""),112770.0)</f>
        <v>112770</v>
      </c>
      <c r="D1350" s="9"/>
      <c r="E1350" s="10" t="str">
        <f>IFERROR(__xludf.DUMMYFUNCTION("""COMPUTED_VALUE"""),"GREENRELAIS")</f>
        <v>GREENRELAIS</v>
      </c>
      <c r="F1350" s="10">
        <f>IFERROR(__xludf.DUMMYFUNCTION("""COMPUTED_VALUE"""),2.55)</f>
        <v>2.55</v>
      </c>
      <c r="G1350" s="9">
        <f>IFERROR(__xludf.DUMMYFUNCTION("""COMPUTED_VALUE"""),2.55)</f>
        <v>2.55</v>
      </c>
      <c r="H1350" s="9">
        <f>IFERROR(__xludf.DUMMYFUNCTION("""COMPUTED_VALUE"""),2.0)</f>
        <v>2</v>
      </c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</row>
    <row r="1351" ht="15.75" customHeight="1">
      <c r="A1351" s="11">
        <f>IFERROR(__xludf.DUMMYFUNCTION("""COMPUTED_VALUE"""),44471.0)</f>
        <v>44471</v>
      </c>
      <c r="B1351" s="9">
        <f>IFERROR(__xludf.DUMMYFUNCTION("""COMPUTED_VALUE"""),1003472.0)</f>
        <v>1003472</v>
      </c>
      <c r="C1351" s="9">
        <f>IFERROR(__xludf.DUMMYFUNCTION("""COMPUTED_VALUE"""),23668.0)</f>
        <v>23668</v>
      </c>
      <c r="D1351" s="9"/>
      <c r="E1351" s="10" t="str">
        <f>IFERROR(__xludf.DUMMYFUNCTION("""COMPUTED_VALUE"""),"GREENRELAIS")</f>
        <v>GREENRELAIS</v>
      </c>
      <c r="F1351" s="10">
        <f>IFERROR(__xludf.DUMMYFUNCTION("""COMPUTED_VALUE"""),1.53)</f>
        <v>1.53</v>
      </c>
      <c r="G1351" s="9">
        <f>IFERROR(__xludf.DUMMYFUNCTION("""COMPUTED_VALUE"""),1.53)</f>
        <v>1.53</v>
      </c>
      <c r="H1351" s="9">
        <f>IFERROR(__xludf.DUMMYFUNCTION("""COMPUTED_VALUE"""),2.0)</f>
        <v>2</v>
      </c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</row>
    <row r="1352" ht="15.75" customHeight="1">
      <c r="A1352" s="11">
        <f>IFERROR(__xludf.DUMMYFUNCTION("""COMPUTED_VALUE"""),44471.0)</f>
        <v>44471</v>
      </c>
      <c r="B1352" s="9">
        <f>IFERROR(__xludf.DUMMYFUNCTION("""COMPUTED_VALUE"""),1003472.0)</f>
        <v>1003472</v>
      </c>
      <c r="C1352" s="9">
        <f>IFERROR(__xludf.DUMMYFUNCTION("""COMPUTED_VALUE"""),68232.0)</f>
        <v>68232</v>
      </c>
      <c r="D1352" s="9"/>
      <c r="E1352" s="10" t="str">
        <f>IFERROR(__xludf.DUMMYFUNCTION("""COMPUTED_VALUE"""),"GREENRELAIS")</f>
        <v>GREENRELAIS</v>
      </c>
      <c r="F1352" s="10">
        <f>IFERROR(__xludf.DUMMYFUNCTION("""COMPUTED_VALUE"""),12.94)</f>
        <v>12.94</v>
      </c>
      <c r="G1352" s="9">
        <f>IFERROR(__xludf.DUMMYFUNCTION("""COMPUTED_VALUE"""),12.94)</f>
        <v>12.94</v>
      </c>
      <c r="H1352" s="9">
        <f>IFERROR(__xludf.DUMMYFUNCTION("""COMPUTED_VALUE"""),2.0)</f>
        <v>2</v>
      </c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</row>
    <row r="1353" ht="15.75" customHeight="1">
      <c r="A1353" s="11">
        <f>IFERROR(__xludf.DUMMYFUNCTION("""COMPUTED_VALUE"""),44471.0)</f>
        <v>44471</v>
      </c>
      <c r="B1353" s="9">
        <f>IFERROR(__xludf.DUMMYFUNCTION("""COMPUTED_VALUE"""),1003472.0)</f>
        <v>1003472</v>
      </c>
      <c r="C1353" s="9">
        <f>IFERROR(__xludf.DUMMYFUNCTION("""COMPUTED_VALUE"""),164927.0)</f>
        <v>164927</v>
      </c>
      <c r="D1353" s="9"/>
      <c r="E1353" s="10" t="str">
        <f>IFERROR(__xludf.DUMMYFUNCTION("""COMPUTED_VALUE"""),"GREENRELAIS")</f>
        <v>GREENRELAIS</v>
      </c>
      <c r="F1353" s="10">
        <f>IFERROR(__xludf.DUMMYFUNCTION("""COMPUTED_VALUE"""),7.77)</f>
        <v>7.77</v>
      </c>
      <c r="G1353" s="9">
        <f>IFERROR(__xludf.DUMMYFUNCTION("""COMPUTED_VALUE"""),7.77)</f>
        <v>7.77</v>
      </c>
      <c r="H1353" s="9">
        <f>IFERROR(__xludf.DUMMYFUNCTION("""COMPUTED_VALUE"""),3.0)</f>
        <v>3</v>
      </c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</row>
    <row r="1354" ht="15.75" customHeight="1">
      <c r="A1354" s="11">
        <f>IFERROR(__xludf.DUMMYFUNCTION("""COMPUTED_VALUE"""),44471.0)</f>
        <v>44471</v>
      </c>
      <c r="B1354" s="9">
        <f>IFERROR(__xludf.DUMMYFUNCTION("""COMPUTED_VALUE"""),1003473.0)</f>
        <v>1003473</v>
      </c>
      <c r="C1354" s="9">
        <f>IFERROR(__xludf.DUMMYFUNCTION("""COMPUTED_VALUE"""),122026.0)</f>
        <v>122026</v>
      </c>
      <c r="D1354" s="10" t="str">
        <f>IFERROR(__xludf.DUMMYFUNCTION("""COMPUTED_VALUE"""),"Love &amp; Green Couches et Culottes sept 2021")</f>
        <v>Love &amp; Green Couches et Culottes sept 2021</v>
      </c>
      <c r="E1354" s="10"/>
      <c r="F1354" s="9">
        <f>IFERROR(__xludf.DUMMYFUNCTION("""COMPUTED_VALUE"""),30.0571428571428)</f>
        <v>30.05714286</v>
      </c>
      <c r="G1354" s="9">
        <f>IFERROR(__xludf.DUMMYFUNCTION("""COMPUTED_VALUE"""),21.04)</f>
        <v>21.04</v>
      </c>
      <c r="H1354" s="9">
        <f>IFERROR(__xludf.DUMMYFUNCTION("""COMPUTED_VALUE"""),3.0)</f>
        <v>3</v>
      </c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</row>
    <row r="1355" ht="15.75" customHeight="1">
      <c r="A1355" s="11">
        <f>IFERROR(__xludf.DUMMYFUNCTION("""COMPUTED_VALUE"""),44471.0)</f>
        <v>44471</v>
      </c>
      <c r="B1355" s="9">
        <f>IFERROR(__xludf.DUMMYFUNCTION("""COMPUTED_VALUE"""),1003473.0)</f>
        <v>1003473</v>
      </c>
      <c r="C1355" s="9">
        <f>IFERROR(__xludf.DUMMYFUNCTION("""COMPUTED_VALUE"""),127016.0)</f>
        <v>127016</v>
      </c>
      <c r="D1355" s="10" t="str">
        <f>IFERROR(__xludf.DUMMYFUNCTION("""COMPUTED_VALUE"""),"Carryboo coton 2021")</f>
        <v>Carryboo coton 2021</v>
      </c>
      <c r="E1355" s="10"/>
      <c r="F1355" s="9">
        <f>IFERROR(__xludf.DUMMYFUNCTION("""COMPUTED_VALUE"""),21.4399999999999)</f>
        <v>21.44</v>
      </c>
      <c r="G1355" s="9">
        <f>IFERROR(__xludf.DUMMYFUNCTION("""COMPUTED_VALUE"""),16.08)</f>
        <v>16.08</v>
      </c>
      <c r="H1355" s="9">
        <f>IFERROR(__xludf.DUMMYFUNCTION("""COMPUTED_VALUE"""),5.0)</f>
        <v>5</v>
      </c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</row>
    <row r="1356" ht="15.75" customHeight="1">
      <c r="A1356" s="11">
        <f>IFERROR(__xludf.DUMMYFUNCTION("""COMPUTED_VALUE"""),44471.0)</f>
        <v>44471</v>
      </c>
      <c r="B1356" s="9">
        <f>IFERROR(__xludf.DUMMYFUNCTION("""COMPUTED_VALUE"""),1003474.0)</f>
        <v>1003474</v>
      </c>
      <c r="C1356" s="9">
        <f>IFERROR(__xludf.DUMMYFUNCTION("""COMPUTED_VALUE"""),117274.0)</f>
        <v>117274</v>
      </c>
      <c r="D1356" s="9"/>
      <c r="E1356" s="10" t="str">
        <f>IFERROR(__xludf.DUMMYFUNCTION("""COMPUTED_VALUE"""),"GREENRELAIS")</f>
        <v>GREENRELAIS</v>
      </c>
      <c r="F1356" s="10">
        <f>IFERROR(__xludf.DUMMYFUNCTION("""COMPUTED_VALUE"""),7.04)</f>
        <v>7.04</v>
      </c>
      <c r="G1356" s="9">
        <f>IFERROR(__xludf.DUMMYFUNCTION("""COMPUTED_VALUE"""),7.04)</f>
        <v>7.04</v>
      </c>
      <c r="H1356" s="9">
        <f>IFERROR(__xludf.DUMMYFUNCTION("""COMPUTED_VALUE"""),1.0)</f>
        <v>1</v>
      </c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</row>
    <row r="1357" ht="15.75" customHeight="1">
      <c r="A1357" s="11">
        <f>IFERROR(__xludf.DUMMYFUNCTION("""COMPUTED_VALUE"""),44471.0)</f>
        <v>44471</v>
      </c>
      <c r="B1357" s="9">
        <f>IFERROR(__xludf.DUMMYFUNCTION("""COMPUTED_VALUE"""),1003474.0)</f>
        <v>1003474</v>
      </c>
      <c r="C1357" s="9">
        <f>IFERROR(__xludf.DUMMYFUNCTION("""COMPUTED_VALUE"""),117272.0)</f>
        <v>117272</v>
      </c>
      <c r="D1357" s="9"/>
      <c r="E1357" s="10" t="str">
        <f>IFERROR(__xludf.DUMMYFUNCTION("""COMPUTED_VALUE"""),"GREENRELAIS")</f>
        <v>GREENRELAIS</v>
      </c>
      <c r="F1357" s="10">
        <f>IFERROR(__xludf.DUMMYFUNCTION("""COMPUTED_VALUE"""),7.04)</f>
        <v>7.04</v>
      </c>
      <c r="G1357" s="9">
        <f>IFERROR(__xludf.DUMMYFUNCTION("""COMPUTED_VALUE"""),7.04)</f>
        <v>7.04</v>
      </c>
      <c r="H1357" s="9">
        <f>IFERROR(__xludf.DUMMYFUNCTION("""COMPUTED_VALUE"""),1.0)</f>
        <v>1</v>
      </c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</row>
    <row r="1358" ht="15.75" customHeight="1">
      <c r="A1358" s="11">
        <f>IFERROR(__xludf.DUMMYFUNCTION("""COMPUTED_VALUE"""),44471.0)</f>
        <v>44471</v>
      </c>
      <c r="B1358" s="9">
        <f>IFERROR(__xludf.DUMMYFUNCTION("""COMPUTED_VALUE"""),1003474.0)</f>
        <v>1003474</v>
      </c>
      <c r="C1358" s="9">
        <f>IFERROR(__xludf.DUMMYFUNCTION("""COMPUTED_VALUE"""),13368.0)</f>
        <v>13368</v>
      </c>
      <c r="D1358" s="9"/>
      <c r="E1358" s="10" t="str">
        <f>IFERROR(__xludf.DUMMYFUNCTION("""COMPUTED_VALUE"""),"GREENRELAIS")</f>
        <v>GREENRELAIS</v>
      </c>
      <c r="F1358" s="10">
        <f>IFERROR(__xludf.DUMMYFUNCTION("""COMPUTED_VALUE"""),2.4)</f>
        <v>2.4</v>
      </c>
      <c r="G1358" s="9">
        <f>IFERROR(__xludf.DUMMYFUNCTION("""COMPUTED_VALUE"""),2.4)</f>
        <v>2.4</v>
      </c>
      <c r="H1358" s="9">
        <f>IFERROR(__xludf.DUMMYFUNCTION("""COMPUTED_VALUE"""),1.0)</f>
        <v>1</v>
      </c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</row>
    <row r="1359" ht="15.75" customHeight="1">
      <c r="A1359" s="11">
        <f>IFERROR(__xludf.DUMMYFUNCTION("""COMPUTED_VALUE"""),44471.0)</f>
        <v>44471</v>
      </c>
      <c r="B1359" s="9">
        <f>IFERROR(__xludf.DUMMYFUNCTION("""COMPUTED_VALUE"""),1003474.0)</f>
        <v>1003474</v>
      </c>
      <c r="C1359" s="9">
        <f>IFERROR(__xludf.DUMMYFUNCTION("""COMPUTED_VALUE"""),98445.0)</f>
        <v>98445</v>
      </c>
      <c r="D1359" s="10" t="str">
        <f>IFERROR(__xludf.DUMMYFUNCTION("""COMPUTED_VALUE"""),"Vive le bio")</f>
        <v>Vive le bio</v>
      </c>
      <c r="E1359" s="10" t="str">
        <f>IFERROR(__xludf.DUMMYFUNCTION("""COMPUTED_VALUE"""),"GREENRELAIS")</f>
        <v>GREENRELAIS</v>
      </c>
      <c r="F1359" s="10">
        <f>IFERROR(__xludf.DUMMYFUNCTION("""COMPUTED_VALUE"""),2.24444444444444)</f>
        <v>2.244444444</v>
      </c>
      <c r="G1359" s="9">
        <f>IFERROR(__xludf.DUMMYFUNCTION("""COMPUTED_VALUE"""),2.02)</f>
        <v>2.02</v>
      </c>
      <c r="H1359" s="9">
        <f>IFERROR(__xludf.DUMMYFUNCTION("""COMPUTED_VALUE"""),1.0)</f>
        <v>1</v>
      </c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</row>
    <row r="1360" ht="15.75" customHeight="1">
      <c r="A1360" s="11">
        <f>IFERROR(__xludf.DUMMYFUNCTION("""COMPUTED_VALUE"""),44471.0)</f>
        <v>44471</v>
      </c>
      <c r="B1360" s="9">
        <f>IFERROR(__xludf.DUMMYFUNCTION("""COMPUTED_VALUE"""),1003474.0)</f>
        <v>1003474</v>
      </c>
      <c r="C1360" s="9">
        <f>IFERROR(__xludf.DUMMYFUNCTION("""COMPUTED_VALUE"""),105174.0)</f>
        <v>105174</v>
      </c>
      <c r="D1360" s="10" t="str">
        <f>IFERROR(__xludf.DUMMYFUNCTION("""COMPUTED_VALUE"""),"Vive le bio")</f>
        <v>Vive le bio</v>
      </c>
      <c r="E1360" s="10" t="str">
        <f>IFERROR(__xludf.DUMMYFUNCTION("""COMPUTED_VALUE"""),"GREENRELAIS")</f>
        <v>GREENRELAIS</v>
      </c>
      <c r="F1360" s="10">
        <f>IFERROR(__xludf.DUMMYFUNCTION("""COMPUTED_VALUE"""),2.33333333333333)</f>
        <v>2.333333333</v>
      </c>
      <c r="G1360" s="9">
        <f>IFERROR(__xludf.DUMMYFUNCTION("""COMPUTED_VALUE"""),2.1)</f>
        <v>2.1</v>
      </c>
      <c r="H1360" s="9">
        <f>IFERROR(__xludf.DUMMYFUNCTION("""COMPUTED_VALUE"""),1.0)</f>
        <v>1</v>
      </c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</row>
    <row r="1361" ht="15.75" customHeight="1">
      <c r="A1361" s="11">
        <f>IFERROR(__xludf.DUMMYFUNCTION("""COMPUTED_VALUE"""),44471.0)</f>
        <v>44471</v>
      </c>
      <c r="B1361" s="9">
        <f>IFERROR(__xludf.DUMMYFUNCTION("""COMPUTED_VALUE"""),1003474.0)</f>
        <v>1003474</v>
      </c>
      <c r="C1361" s="9">
        <f>IFERROR(__xludf.DUMMYFUNCTION("""COMPUTED_VALUE"""),114198.0)</f>
        <v>114198</v>
      </c>
      <c r="D1361" s="9"/>
      <c r="E1361" s="10" t="str">
        <f>IFERROR(__xludf.DUMMYFUNCTION("""COMPUTED_VALUE"""),"GREENRELAIS")</f>
        <v>GREENRELAIS</v>
      </c>
      <c r="F1361" s="10">
        <f>IFERROR(__xludf.DUMMYFUNCTION("""COMPUTED_VALUE"""),2.09)</f>
        <v>2.09</v>
      </c>
      <c r="G1361" s="9">
        <f>IFERROR(__xludf.DUMMYFUNCTION("""COMPUTED_VALUE"""),2.09)</f>
        <v>2.09</v>
      </c>
      <c r="H1361" s="9">
        <f>IFERROR(__xludf.DUMMYFUNCTION("""COMPUTED_VALUE"""),1.0)</f>
        <v>1</v>
      </c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</row>
    <row r="1362" ht="15.75" customHeight="1">
      <c r="A1362" s="11">
        <f>IFERROR(__xludf.DUMMYFUNCTION("""COMPUTED_VALUE"""),44471.0)</f>
        <v>44471</v>
      </c>
      <c r="B1362" s="9">
        <f>IFERROR(__xludf.DUMMYFUNCTION("""COMPUTED_VALUE"""),1003474.0)</f>
        <v>1003474</v>
      </c>
      <c r="C1362" s="9">
        <f>IFERROR(__xludf.DUMMYFUNCTION("""COMPUTED_VALUE"""),80546.0)</f>
        <v>80546</v>
      </c>
      <c r="D1362" s="10" t="str">
        <f>IFERROR(__xludf.DUMMYFUNCTION("""COMPUTED_VALUE"""),"Offre speciale")</f>
        <v>Offre speciale</v>
      </c>
      <c r="E1362" s="10" t="str">
        <f>IFERROR(__xludf.DUMMYFUNCTION("""COMPUTED_VALUE"""),"GREENRELAIS")</f>
        <v>GREENRELAIS</v>
      </c>
      <c r="F1362" s="10">
        <f>IFERROR(__xludf.DUMMYFUNCTION("""COMPUTED_VALUE"""),6.45)</f>
        <v>6.45</v>
      </c>
      <c r="G1362" s="9">
        <f>IFERROR(__xludf.DUMMYFUNCTION("""COMPUTED_VALUE"""),5.16)</f>
        <v>5.16</v>
      </c>
      <c r="H1362" s="9">
        <f>IFERROR(__xludf.DUMMYFUNCTION("""COMPUTED_VALUE"""),1.0)</f>
        <v>1</v>
      </c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</row>
    <row r="1363" ht="15.75" customHeight="1">
      <c r="A1363" s="11">
        <f>IFERROR(__xludf.DUMMYFUNCTION("""COMPUTED_VALUE"""),44471.0)</f>
        <v>44471</v>
      </c>
      <c r="B1363" s="9">
        <f>IFERROR(__xludf.DUMMYFUNCTION("""COMPUTED_VALUE"""),1003474.0)</f>
        <v>1003474</v>
      </c>
      <c r="C1363" s="9">
        <f>IFERROR(__xludf.DUMMYFUNCTION("""COMPUTED_VALUE"""),80543.0)</f>
        <v>80543</v>
      </c>
      <c r="D1363" s="9"/>
      <c r="E1363" s="10" t="str">
        <f>IFERROR(__xludf.DUMMYFUNCTION("""COMPUTED_VALUE"""),"GREENRELAIS")</f>
        <v>GREENRELAIS</v>
      </c>
      <c r="F1363" s="10">
        <f>IFERROR(__xludf.DUMMYFUNCTION("""COMPUTED_VALUE"""),10.96)</f>
        <v>10.96</v>
      </c>
      <c r="G1363" s="9">
        <f>IFERROR(__xludf.DUMMYFUNCTION("""COMPUTED_VALUE"""),10.96)</f>
        <v>10.96</v>
      </c>
      <c r="H1363" s="9">
        <f>IFERROR(__xludf.DUMMYFUNCTION("""COMPUTED_VALUE"""),1.0)</f>
        <v>1</v>
      </c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</row>
    <row r="1364" ht="15.75" customHeight="1">
      <c r="A1364" s="11">
        <f>IFERROR(__xludf.DUMMYFUNCTION("""COMPUTED_VALUE"""),44471.0)</f>
        <v>44471</v>
      </c>
      <c r="B1364" s="9">
        <f>IFERROR(__xludf.DUMMYFUNCTION("""COMPUTED_VALUE"""),1003474.0)</f>
        <v>1003474</v>
      </c>
      <c r="C1364" s="9">
        <f>IFERROR(__xludf.DUMMYFUNCTION("""COMPUTED_VALUE"""),98442.0)</f>
        <v>98442</v>
      </c>
      <c r="D1364" s="10" t="str">
        <f>IFERROR(__xludf.DUMMYFUNCTION("""COMPUTED_VALUE"""),"Hygiene intime")</f>
        <v>Hygiene intime</v>
      </c>
      <c r="E1364" s="10" t="str">
        <f>IFERROR(__xludf.DUMMYFUNCTION("""COMPUTED_VALUE"""),"GREENRELAIS")</f>
        <v>GREENRELAIS</v>
      </c>
      <c r="F1364" s="10">
        <f>IFERROR(__xludf.DUMMYFUNCTION("""COMPUTED_VALUE"""),2.86666666666666)</f>
        <v>2.866666667</v>
      </c>
      <c r="G1364" s="9">
        <f>IFERROR(__xludf.DUMMYFUNCTION("""COMPUTED_VALUE"""),2.58)</f>
        <v>2.58</v>
      </c>
      <c r="H1364" s="9">
        <f>IFERROR(__xludf.DUMMYFUNCTION("""COMPUTED_VALUE"""),1.0)</f>
        <v>1</v>
      </c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</row>
    <row r="1365" ht="15.75" customHeight="1">
      <c r="A1365" s="11">
        <f>IFERROR(__xludf.DUMMYFUNCTION("""COMPUTED_VALUE"""),44471.0)</f>
        <v>44471</v>
      </c>
      <c r="B1365" s="9">
        <f>IFERROR(__xludf.DUMMYFUNCTION("""COMPUTED_VALUE"""),1003474.0)</f>
        <v>1003474</v>
      </c>
      <c r="C1365" s="9">
        <f>IFERROR(__xludf.DUMMYFUNCTION("""COMPUTED_VALUE"""),93896.0)</f>
        <v>93896</v>
      </c>
      <c r="D1365" s="10" t="str">
        <f>IFERROR(__xludf.DUMMYFUNCTION("""COMPUTED_VALUE"""),"Vive le bio")</f>
        <v>Vive le bio</v>
      </c>
      <c r="E1365" s="10" t="str">
        <f>IFERROR(__xludf.DUMMYFUNCTION("""COMPUTED_VALUE"""),"GREENRELAIS")</f>
        <v>GREENRELAIS</v>
      </c>
      <c r="F1365" s="10">
        <f>IFERROR(__xludf.DUMMYFUNCTION("""COMPUTED_VALUE"""),6.71111111111111)</f>
        <v>6.711111111</v>
      </c>
      <c r="G1365" s="9">
        <f>IFERROR(__xludf.DUMMYFUNCTION("""COMPUTED_VALUE"""),6.04)</f>
        <v>6.04</v>
      </c>
      <c r="H1365" s="9">
        <f>IFERROR(__xludf.DUMMYFUNCTION("""COMPUTED_VALUE"""),2.0)</f>
        <v>2</v>
      </c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</row>
    <row r="1366" ht="15.75" customHeight="1">
      <c r="A1366" s="11">
        <f>IFERROR(__xludf.DUMMYFUNCTION("""COMPUTED_VALUE"""),44471.0)</f>
        <v>44471</v>
      </c>
      <c r="B1366" s="9">
        <f>IFERROR(__xludf.DUMMYFUNCTION("""COMPUTED_VALUE"""),1003474.0)</f>
        <v>1003474</v>
      </c>
      <c r="C1366" s="9">
        <f>IFERROR(__xludf.DUMMYFUNCTION("""COMPUTED_VALUE"""),7264.0)</f>
        <v>7264</v>
      </c>
      <c r="D1366" s="9"/>
      <c r="E1366" s="10" t="str">
        <f>IFERROR(__xludf.DUMMYFUNCTION("""COMPUTED_VALUE"""),"GREENRELAIS")</f>
        <v>GREENRELAIS</v>
      </c>
      <c r="F1366" s="10">
        <f>IFERROR(__xludf.DUMMYFUNCTION("""COMPUTED_VALUE"""),7.09)</f>
        <v>7.09</v>
      </c>
      <c r="G1366" s="9">
        <f>IFERROR(__xludf.DUMMYFUNCTION("""COMPUTED_VALUE"""),7.09)</f>
        <v>7.09</v>
      </c>
      <c r="H1366" s="9">
        <f>IFERROR(__xludf.DUMMYFUNCTION("""COMPUTED_VALUE"""),3.0)</f>
        <v>3</v>
      </c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</row>
    <row r="1367" ht="15.75" customHeight="1">
      <c r="A1367" s="11">
        <f>IFERROR(__xludf.DUMMYFUNCTION("""COMPUTED_VALUE"""),44471.0)</f>
        <v>44471</v>
      </c>
      <c r="B1367" s="9">
        <f>IFERROR(__xludf.DUMMYFUNCTION("""COMPUTED_VALUE"""),1003474.0)</f>
        <v>1003474</v>
      </c>
      <c r="C1367" s="9">
        <f>IFERROR(__xludf.DUMMYFUNCTION("""COMPUTED_VALUE"""),7263.0)</f>
        <v>7263</v>
      </c>
      <c r="D1367" s="9"/>
      <c r="E1367" s="10" t="str">
        <f>IFERROR(__xludf.DUMMYFUNCTION("""COMPUTED_VALUE"""),"GREENRELAIS")</f>
        <v>GREENRELAIS</v>
      </c>
      <c r="F1367" s="10">
        <f>IFERROR(__xludf.DUMMYFUNCTION("""COMPUTED_VALUE"""),6.6)</f>
        <v>6.6</v>
      </c>
      <c r="G1367" s="9">
        <f>IFERROR(__xludf.DUMMYFUNCTION("""COMPUTED_VALUE"""),6.6)</f>
        <v>6.6</v>
      </c>
      <c r="H1367" s="9">
        <f>IFERROR(__xludf.DUMMYFUNCTION("""COMPUTED_VALUE"""),3.0)</f>
        <v>3</v>
      </c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</row>
    <row r="1368" ht="15.75" customHeight="1">
      <c r="A1368" s="11">
        <f>IFERROR(__xludf.DUMMYFUNCTION("""COMPUTED_VALUE"""),44471.0)</f>
        <v>44471</v>
      </c>
      <c r="B1368" s="9">
        <f>IFERROR(__xludf.DUMMYFUNCTION("""COMPUTED_VALUE"""),1003475.0)</f>
        <v>1003475</v>
      </c>
      <c r="C1368" s="9">
        <f>IFERROR(__xludf.DUMMYFUNCTION("""COMPUTED_VALUE"""),68332.0)</f>
        <v>68332</v>
      </c>
      <c r="D1368" s="10" t="str">
        <f>IFERROR(__xludf.DUMMYFUNCTION("""COMPUTED_VALUE"""),"Vive le bio")</f>
        <v>Vive le bio</v>
      </c>
      <c r="E1368" s="10"/>
      <c r="F1368" s="9">
        <f>IFERROR(__xludf.DUMMYFUNCTION("""COMPUTED_VALUE"""),2.68888888888888)</f>
        <v>2.688888889</v>
      </c>
      <c r="G1368" s="9">
        <f>IFERROR(__xludf.DUMMYFUNCTION("""COMPUTED_VALUE"""),2.42)</f>
        <v>2.42</v>
      </c>
      <c r="H1368" s="9">
        <f>IFERROR(__xludf.DUMMYFUNCTION("""COMPUTED_VALUE"""),1.0)</f>
        <v>1</v>
      </c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</row>
    <row r="1369" ht="15.75" customHeight="1">
      <c r="A1369" s="11">
        <f>IFERROR(__xludf.DUMMYFUNCTION("""COMPUTED_VALUE"""),44471.0)</f>
        <v>44471</v>
      </c>
      <c r="B1369" s="9">
        <f>IFERROR(__xludf.DUMMYFUNCTION("""COMPUTED_VALUE"""),1003475.0)</f>
        <v>1003475</v>
      </c>
      <c r="C1369" s="9">
        <f>IFERROR(__xludf.DUMMYFUNCTION("""COMPUTED_VALUE"""),88238.0)</f>
        <v>88238</v>
      </c>
      <c r="D1369" s="9"/>
      <c r="E1369" s="9"/>
      <c r="F1369" s="9">
        <f>IFERROR(__xludf.DUMMYFUNCTION("""COMPUTED_VALUE"""),2.4)</f>
        <v>2.4</v>
      </c>
      <c r="G1369" s="9">
        <f>IFERROR(__xludf.DUMMYFUNCTION("""COMPUTED_VALUE"""),2.4)</f>
        <v>2.4</v>
      </c>
      <c r="H1369" s="9">
        <f>IFERROR(__xludf.DUMMYFUNCTION("""COMPUTED_VALUE"""),1.0)</f>
        <v>1</v>
      </c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</row>
    <row r="1370" ht="15.75" customHeight="1">
      <c r="A1370" s="11">
        <f>IFERROR(__xludf.DUMMYFUNCTION("""COMPUTED_VALUE"""),44471.0)</f>
        <v>44471</v>
      </c>
      <c r="B1370" s="9">
        <f>IFERROR(__xludf.DUMMYFUNCTION("""COMPUTED_VALUE"""),1003475.0)</f>
        <v>1003475</v>
      </c>
      <c r="C1370" s="9">
        <f>IFERROR(__xludf.DUMMYFUNCTION("""COMPUTED_VALUE"""),78397.0)</f>
        <v>78397</v>
      </c>
      <c r="D1370" s="9"/>
      <c r="E1370" s="9"/>
      <c r="F1370" s="9">
        <f>IFERROR(__xludf.DUMMYFUNCTION("""COMPUTED_VALUE"""),2.78)</f>
        <v>2.78</v>
      </c>
      <c r="G1370" s="9">
        <f>IFERROR(__xludf.DUMMYFUNCTION("""COMPUTED_VALUE"""),2.78)</f>
        <v>2.78</v>
      </c>
      <c r="H1370" s="9">
        <f>IFERROR(__xludf.DUMMYFUNCTION("""COMPUTED_VALUE"""),1.0)</f>
        <v>1</v>
      </c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</row>
    <row r="1371" ht="15.75" customHeight="1">
      <c r="A1371" s="11">
        <f>IFERROR(__xludf.DUMMYFUNCTION("""COMPUTED_VALUE"""),44471.0)</f>
        <v>44471</v>
      </c>
      <c r="B1371" s="9">
        <f>IFERROR(__xludf.DUMMYFUNCTION("""COMPUTED_VALUE"""),1003475.0)</f>
        <v>1003475</v>
      </c>
      <c r="C1371" s="9">
        <f>IFERROR(__xludf.DUMMYFUNCTION("""COMPUTED_VALUE"""),84202.0)</f>
        <v>84202</v>
      </c>
      <c r="D1371" s="9"/>
      <c r="E1371" s="9"/>
      <c r="F1371" s="9">
        <f>IFERROR(__xludf.DUMMYFUNCTION("""COMPUTED_VALUE"""),2.66)</f>
        <v>2.66</v>
      </c>
      <c r="G1371" s="9">
        <f>IFERROR(__xludf.DUMMYFUNCTION("""COMPUTED_VALUE"""),2.66)</f>
        <v>2.66</v>
      </c>
      <c r="H1371" s="9">
        <f>IFERROR(__xludf.DUMMYFUNCTION("""COMPUTED_VALUE"""),1.0)</f>
        <v>1</v>
      </c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</row>
    <row r="1372" ht="15.75" customHeight="1">
      <c r="A1372" s="11">
        <f>IFERROR(__xludf.DUMMYFUNCTION("""COMPUTED_VALUE"""),44471.0)</f>
        <v>44471</v>
      </c>
      <c r="B1372" s="9">
        <f>IFERROR(__xludf.DUMMYFUNCTION("""COMPUTED_VALUE"""),1003475.0)</f>
        <v>1003475</v>
      </c>
      <c r="C1372" s="9">
        <f>IFERROR(__xludf.DUMMYFUNCTION("""COMPUTED_VALUE"""),126573.0)</f>
        <v>126573</v>
      </c>
      <c r="D1372" s="10" t="str">
        <f>IFERROR(__xludf.DUMMYFUNCTION("""COMPUTED_VALUE"""),"Offre speciale")</f>
        <v>Offre speciale</v>
      </c>
      <c r="E1372" s="10"/>
      <c r="F1372" s="9">
        <f>IFERROR(__xludf.DUMMYFUNCTION("""COMPUTED_VALUE"""),2.69411764705882)</f>
        <v>2.694117647</v>
      </c>
      <c r="G1372" s="9">
        <f>IFERROR(__xludf.DUMMYFUNCTION("""COMPUTED_VALUE"""),2.29)</f>
        <v>2.29</v>
      </c>
      <c r="H1372" s="9">
        <f>IFERROR(__xludf.DUMMYFUNCTION("""COMPUTED_VALUE"""),1.0)</f>
        <v>1</v>
      </c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</row>
    <row r="1373" ht="15.75" customHeight="1">
      <c r="A1373" s="11">
        <f>IFERROR(__xludf.DUMMYFUNCTION("""COMPUTED_VALUE"""),44471.0)</f>
        <v>44471</v>
      </c>
      <c r="B1373" s="9">
        <f>IFERROR(__xludf.DUMMYFUNCTION("""COMPUTED_VALUE"""),1003475.0)</f>
        <v>1003475</v>
      </c>
      <c r="C1373" s="9">
        <f>IFERROR(__xludf.DUMMYFUNCTION("""COMPUTED_VALUE"""),121475.0)</f>
        <v>121475</v>
      </c>
      <c r="D1373" s="9"/>
      <c r="E1373" s="9"/>
      <c r="F1373" s="9">
        <f>IFERROR(__xludf.DUMMYFUNCTION("""COMPUTED_VALUE"""),0.83)</f>
        <v>0.83</v>
      </c>
      <c r="G1373" s="9">
        <f>IFERROR(__xludf.DUMMYFUNCTION("""COMPUTED_VALUE"""),0.83)</f>
        <v>0.83</v>
      </c>
      <c r="H1373" s="9">
        <f>IFERROR(__xludf.DUMMYFUNCTION("""COMPUTED_VALUE"""),1.0)</f>
        <v>1</v>
      </c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</row>
    <row r="1374" ht="15.75" customHeight="1">
      <c r="A1374" s="11">
        <f>IFERROR(__xludf.DUMMYFUNCTION("""COMPUTED_VALUE"""),44471.0)</f>
        <v>44471</v>
      </c>
      <c r="B1374" s="9">
        <f>IFERROR(__xludf.DUMMYFUNCTION("""COMPUTED_VALUE"""),1003475.0)</f>
        <v>1003475</v>
      </c>
      <c r="C1374" s="9">
        <f>IFERROR(__xludf.DUMMYFUNCTION("""COMPUTED_VALUE"""),110722.0)</f>
        <v>110722</v>
      </c>
      <c r="D1374" s="9"/>
      <c r="E1374" s="9"/>
      <c r="F1374" s="9">
        <f>IFERROR(__xludf.DUMMYFUNCTION("""COMPUTED_VALUE"""),14.4)</f>
        <v>14.4</v>
      </c>
      <c r="G1374" s="9">
        <f>IFERROR(__xludf.DUMMYFUNCTION("""COMPUTED_VALUE"""),14.4)</f>
        <v>14.4</v>
      </c>
      <c r="H1374" s="9">
        <f>IFERROR(__xludf.DUMMYFUNCTION("""COMPUTED_VALUE"""),1.0)</f>
        <v>1</v>
      </c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</row>
    <row r="1375" ht="15.75" customHeight="1">
      <c r="A1375" s="11">
        <f>IFERROR(__xludf.DUMMYFUNCTION("""COMPUTED_VALUE"""),44471.0)</f>
        <v>44471</v>
      </c>
      <c r="B1375" s="9">
        <f>IFERROR(__xludf.DUMMYFUNCTION("""COMPUTED_VALUE"""),1003475.0)</f>
        <v>1003475</v>
      </c>
      <c r="C1375" s="9">
        <f>IFERROR(__xludf.DUMMYFUNCTION("""COMPUTED_VALUE"""),115758.0)</f>
        <v>115758</v>
      </c>
      <c r="D1375" s="10" t="str">
        <f>IFERROR(__xludf.DUMMYFUNCTION("""COMPUTED_VALUE"""),"Vive le bio")</f>
        <v>Vive le bio</v>
      </c>
      <c r="E1375" s="10"/>
      <c r="F1375" s="9">
        <f>IFERROR(__xludf.DUMMYFUNCTION("""COMPUTED_VALUE"""),1.15555555555555)</f>
        <v>1.155555556</v>
      </c>
      <c r="G1375" s="9">
        <f>IFERROR(__xludf.DUMMYFUNCTION("""COMPUTED_VALUE"""),1.04)</f>
        <v>1.04</v>
      </c>
      <c r="H1375" s="9">
        <f>IFERROR(__xludf.DUMMYFUNCTION("""COMPUTED_VALUE"""),1.0)</f>
        <v>1</v>
      </c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</row>
    <row r="1376" ht="15.75" customHeight="1">
      <c r="A1376" s="11">
        <f>IFERROR(__xludf.DUMMYFUNCTION("""COMPUTED_VALUE"""),44471.0)</f>
        <v>44471</v>
      </c>
      <c r="B1376" s="9">
        <f>IFERROR(__xludf.DUMMYFUNCTION("""COMPUTED_VALUE"""),1003475.0)</f>
        <v>1003475</v>
      </c>
      <c r="C1376" s="9">
        <f>IFERROR(__xludf.DUMMYFUNCTION("""COMPUTED_VALUE"""),115754.0)</f>
        <v>115754</v>
      </c>
      <c r="D1376" s="10" t="str">
        <f>IFERROR(__xludf.DUMMYFUNCTION("""COMPUTED_VALUE"""),"Vive le bio")</f>
        <v>Vive le bio</v>
      </c>
      <c r="E1376" s="10"/>
      <c r="F1376" s="9">
        <f>IFERROR(__xludf.DUMMYFUNCTION("""COMPUTED_VALUE"""),1.15555555555555)</f>
        <v>1.155555556</v>
      </c>
      <c r="G1376" s="9">
        <f>IFERROR(__xludf.DUMMYFUNCTION("""COMPUTED_VALUE"""),1.04)</f>
        <v>1.04</v>
      </c>
      <c r="H1376" s="9">
        <f>IFERROR(__xludf.DUMMYFUNCTION("""COMPUTED_VALUE"""),1.0)</f>
        <v>1</v>
      </c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</row>
    <row r="1377" ht="15.75" customHeight="1">
      <c r="A1377" s="11">
        <f>IFERROR(__xludf.DUMMYFUNCTION("""COMPUTED_VALUE"""),44471.0)</f>
        <v>44471</v>
      </c>
      <c r="B1377" s="9">
        <f>IFERROR(__xludf.DUMMYFUNCTION("""COMPUTED_VALUE"""),1003475.0)</f>
        <v>1003475</v>
      </c>
      <c r="C1377" s="9">
        <f>IFERROR(__xludf.DUMMYFUNCTION("""COMPUTED_VALUE"""),44266.0)</f>
        <v>44266</v>
      </c>
      <c r="D1377" s="9"/>
      <c r="E1377" s="9"/>
      <c r="F1377" s="9">
        <f>IFERROR(__xludf.DUMMYFUNCTION("""COMPUTED_VALUE"""),6.46)</f>
        <v>6.46</v>
      </c>
      <c r="G1377" s="9">
        <f>IFERROR(__xludf.DUMMYFUNCTION("""COMPUTED_VALUE"""),6.46)</f>
        <v>6.46</v>
      </c>
      <c r="H1377" s="9">
        <f>IFERROR(__xludf.DUMMYFUNCTION("""COMPUTED_VALUE"""),1.0)</f>
        <v>1</v>
      </c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</row>
    <row r="1378" ht="15.75" customHeight="1">
      <c r="A1378" s="11">
        <f>IFERROR(__xludf.DUMMYFUNCTION("""COMPUTED_VALUE"""),44471.0)</f>
        <v>44471</v>
      </c>
      <c r="B1378" s="9">
        <f>IFERROR(__xludf.DUMMYFUNCTION("""COMPUTED_VALUE"""),1003475.0)</f>
        <v>1003475</v>
      </c>
      <c r="C1378" s="9">
        <f>IFERROR(__xludf.DUMMYFUNCTION("""COMPUTED_VALUE"""),92633.0)</f>
        <v>92633</v>
      </c>
      <c r="D1378" s="9"/>
      <c r="E1378" s="9"/>
      <c r="F1378" s="9">
        <f>IFERROR(__xludf.DUMMYFUNCTION("""COMPUTED_VALUE"""),9.21)</f>
        <v>9.21</v>
      </c>
      <c r="G1378" s="9">
        <f>IFERROR(__xludf.DUMMYFUNCTION("""COMPUTED_VALUE"""),9.21)</f>
        <v>9.21</v>
      </c>
      <c r="H1378" s="9">
        <f>IFERROR(__xludf.DUMMYFUNCTION("""COMPUTED_VALUE"""),1.0)</f>
        <v>1</v>
      </c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</row>
    <row r="1379" ht="15.75" customHeight="1">
      <c r="A1379" s="11">
        <f>IFERROR(__xludf.DUMMYFUNCTION("""COMPUTED_VALUE"""),44471.0)</f>
        <v>44471</v>
      </c>
      <c r="B1379" s="9">
        <f>IFERROR(__xludf.DUMMYFUNCTION("""COMPUTED_VALUE"""),1003476.0)</f>
        <v>1003476</v>
      </c>
      <c r="C1379" s="9">
        <f>IFERROR(__xludf.DUMMYFUNCTION("""COMPUTED_VALUE"""),7358.0)</f>
        <v>7358</v>
      </c>
      <c r="D1379" s="9"/>
      <c r="E1379" s="9"/>
      <c r="F1379" s="9">
        <f>IFERROR(__xludf.DUMMYFUNCTION("""COMPUTED_VALUE"""),4.25)</f>
        <v>4.25</v>
      </c>
      <c r="G1379" s="9">
        <f>IFERROR(__xludf.DUMMYFUNCTION("""COMPUTED_VALUE"""),4.25)</f>
        <v>4.25</v>
      </c>
      <c r="H1379" s="9">
        <f>IFERROR(__xludf.DUMMYFUNCTION("""COMPUTED_VALUE"""),1.0)</f>
        <v>1</v>
      </c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</row>
    <row r="1380" ht="15.75" customHeight="1">
      <c r="A1380" s="11">
        <f>IFERROR(__xludf.DUMMYFUNCTION("""COMPUTED_VALUE"""),44471.0)</f>
        <v>44471</v>
      </c>
      <c r="B1380" s="9">
        <f>IFERROR(__xludf.DUMMYFUNCTION("""COMPUTED_VALUE"""),1003476.0)</f>
        <v>1003476</v>
      </c>
      <c r="C1380" s="9">
        <f>IFERROR(__xludf.DUMMYFUNCTION("""COMPUTED_VALUE"""),99263.0)</f>
        <v>99263</v>
      </c>
      <c r="D1380" s="9"/>
      <c r="E1380" s="9"/>
      <c r="F1380" s="9">
        <f>IFERROR(__xludf.DUMMYFUNCTION("""COMPUTED_VALUE"""),3.4)</f>
        <v>3.4</v>
      </c>
      <c r="G1380" s="9">
        <f>IFERROR(__xludf.DUMMYFUNCTION("""COMPUTED_VALUE"""),3.4)</f>
        <v>3.4</v>
      </c>
      <c r="H1380" s="9">
        <f>IFERROR(__xludf.DUMMYFUNCTION("""COMPUTED_VALUE"""),1.0)</f>
        <v>1</v>
      </c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</row>
    <row r="1381" ht="15.75" customHeight="1">
      <c r="A1381" s="11">
        <f>IFERROR(__xludf.DUMMYFUNCTION("""COMPUTED_VALUE"""),44471.0)</f>
        <v>44471</v>
      </c>
      <c r="B1381" s="9">
        <f>IFERROR(__xludf.DUMMYFUNCTION("""COMPUTED_VALUE"""),1003476.0)</f>
        <v>1003476</v>
      </c>
      <c r="C1381" s="9">
        <f>IFERROR(__xludf.DUMMYFUNCTION("""COMPUTED_VALUE"""),81427.0)</f>
        <v>81427</v>
      </c>
      <c r="D1381" s="9"/>
      <c r="E1381" s="9"/>
      <c r="F1381" s="9">
        <f>IFERROR(__xludf.DUMMYFUNCTION("""COMPUTED_VALUE"""),7.8)</f>
        <v>7.8</v>
      </c>
      <c r="G1381" s="9">
        <f>IFERROR(__xludf.DUMMYFUNCTION("""COMPUTED_VALUE"""),7.8)</f>
        <v>7.8</v>
      </c>
      <c r="H1381" s="9">
        <f>IFERROR(__xludf.DUMMYFUNCTION("""COMPUTED_VALUE"""),1.0)</f>
        <v>1</v>
      </c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</row>
    <row r="1382" ht="15.75" customHeight="1">
      <c r="A1382" s="11">
        <f>IFERROR(__xludf.DUMMYFUNCTION("""COMPUTED_VALUE"""),44471.0)</f>
        <v>44471</v>
      </c>
      <c r="B1382" s="9">
        <f>IFERROR(__xludf.DUMMYFUNCTION("""COMPUTED_VALUE"""),1003476.0)</f>
        <v>1003476</v>
      </c>
      <c r="C1382" s="9">
        <f>IFERROR(__xludf.DUMMYFUNCTION("""COMPUTED_VALUE"""),81389.0)</f>
        <v>81389</v>
      </c>
      <c r="D1382" s="9"/>
      <c r="E1382" s="9"/>
      <c r="F1382" s="9">
        <f>IFERROR(__xludf.DUMMYFUNCTION("""COMPUTED_VALUE"""),3.42)</f>
        <v>3.42</v>
      </c>
      <c r="G1382" s="9">
        <f>IFERROR(__xludf.DUMMYFUNCTION("""COMPUTED_VALUE"""),3.42)</f>
        <v>3.42</v>
      </c>
      <c r="H1382" s="9">
        <f>IFERROR(__xludf.DUMMYFUNCTION("""COMPUTED_VALUE"""),1.0)</f>
        <v>1</v>
      </c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</row>
    <row r="1383" ht="15.75" customHeight="1">
      <c r="A1383" s="11">
        <f>IFERROR(__xludf.DUMMYFUNCTION("""COMPUTED_VALUE"""),44471.0)</f>
        <v>44471</v>
      </c>
      <c r="B1383" s="9">
        <f>IFERROR(__xludf.DUMMYFUNCTION("""COMPUTED_VALUE"""),1003476.0)</f>
        <v>1003476</v>
      </c>
      <c r="C1383" s="9">
        <f>IFERROR(__xludf.DUMMYFUNCTION("""COMPUTED_VALUE"""),72994.0)</f>
        <v>72994</v>
      </c>
      <c r="D1383" s="9"/>
      <c r="E1383" s="9"/>
      <c r="F1383" s="9">
        <f>IFERROR(__xludf.DUMMYFUNCTION("""COMPUTED_VALUE"""),17.94)</f>
        <v>17.94</v>
      </c>
      <c r="G1383" s="9">
        <f>IFERROR(__xludf.DUMMYFUNCTION("""COMPUTED_VALUE"""),17.94)</f>
        <v>17.94</v>
      </c>
      <c r="H1383" s="9">
        <f>IFERROR(__xludf.DUMMYFUNCTION("""COMPUTED_VALUE"""),1.0)</f>
        <v>1</v>
      </c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</row>
    <row r="1384" ht="15.75" customHeight="1">
      <c r="A1384" s="11">
        <f>IFERROR(__xludf.DUMMYFUNCTION("""COMPUTED_VALUE"""),44471.0)</f>
        <v>44471</v>
      </c>
      <c r="B1384" s="9">
        <f>IFERROR(__xludf.DUMMYFUNCTION("""COMPUTED_VALUE"""),1003476.0)</f>
        <v>1003476</v>
      </c>
      <c r="C1384" s="9">
        <f>IFERROR(__xludf.DUMMYFUNCTION("""COMPUTED_VALUE"""),42809.0)</f>
        <v>42809</v>
      </c>
      <c r="D1384" s="10" t="str">
        <f>IFERROR(__xludf.DUMMYFUNCTION("""COMPUTED_VALUE"""),"Vive le bio")</f>
        <v>Vive le bio</v>
      </c>
      <c r="E1384" s="10"/>
      <c r="F1384" s="9">
        <f>IFERROR(__xludf.DUMMYFUNCTION("""COMPUTED_VALUE"""),16.5444444444444)</f>
        <v>16.54444444</v>
      </c>
      <c r="G1384" s="9">
        <f>IFERROR(__xludf.DUMMYFUNCTION("""COMPUTED_VALUE"""),14.89)</f>
        <v>14.89</v>
      </c>
      <c r="H1384" s="9">
        <f>IFERROR(__xludf.DUMMYFUNCTION("""COMPUTED_VALUE"""),1.0)</f>
        <v>1</v>
      </c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</row>
    <row r="1385" ht="15.75" customHeight="1">
      <c r="A1385" s="11">
        <f>IFERROR(__xludf.DUMMYFUNCTION("""COMPUTED_VALUE"""),44471.0)</f>
        <v>44471</v>
      </c>
      <c r="B1385" s="9">
        <f>IFERROR(__xludf.DUMMYFUNCTION("""COMPUTED_VALUE"""),1003476.0)</f>
        <v>1003476</v>
      </c>
      <c r="C1385" s="9">
        <f>IFERROR(__xludf.DUMMYFUNCTION("""COMPUTED_VALUE"""),5869.0)</f>
        <v>5869</v>
      </c>
      <c r="D1385" s="9"/>
      <c r="E1385" s="9"/>
      <c r="F1385" s="9">
        <f>IFERROR(__xludf.DUMMYFUNCTION("""COMPUTED_VALUE"""),2.85)</f>
        <v>2.85</v>
      </c>
      <c r="G1385" s="9">
        <f>IFERROR(__xludf.DUMMYFUNCTION("""COMPUTED_VALUE"""),2.85)</f>
        <v>2.85</v>
      </c>
      <c r="H1385" s="9">
        <f>IFERROR(__xludf.DUMMYFUNCTION("""COMPUTED_VALUE"""),1.0)</f>
        <v>1</v>
      </c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</row>
    <row r="1386" ht="15.75" customHeight="1">
      <c r="A1386" s="11">
        <f>IFERROR(__xludf.DUMMYFUNCTION("""COMPUTED_VALUE"""),44471.0)</f>
        <v>44471</v>
      </c>
      <c r="B1386" s="9">
        <f>IFERROR(__xludf.DUMMYFUNCTION("""COMPUTED_VALUE"""),1003476.0)</f>
        <v>1003476</v>
      </c>
      <c r="C1386" s="9">
        <f>IFERROR(__xludf.DUMMYFUNCTION("""COMPUTED_VALUE"""),81393.0)</f>
        <v>81393</v>
      </c>
      <c r="D1386" s="10" t="str">
        <f>IFERROR(__xludf.DUMMYFUNCTION("""COMPUTED_VALUE"""),"Vive le bio")</f>
        <v>Vive le bio</v>
      </c>
      <c r="E1386" s="10"/>
      <c r="F1386" s="9">
        <f>IFERROR(__xludf.DUMMYFUNCTION("""COMPUTED_VALUE"""),4.23333333333333)</f>
        <v>4.233333333</v>
      </c>
      <c r="G1386" s="9">
        <f>IFERROR(__xludf.DUMMYFUNCTION("""COMPUTED_VALUE"""),3.81)</f>
        <v>3.81</v>
      </c>
      <c r="H1386" s="9">
        <f>IFERROR(__xludf.DUMMYFUNCTION("""COMPUTED_VALUE"""),1.0)</f>
        <v>1</v>
      </c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</row>
    <row r="1387" ht="15.75" customHeight="1">
      <c r="A1387" s="11">
        <f>IFERROR(__xludf.DUMMYFUNCTION("""COMPUTED_VALUE"""),44471.0)</f>
        <v>44471</v>
      </c>
      <c r="B1387" s="9">
        <f>IFERROR(__xludf.DUMMYFUNCTION("""COMPUTED_VALUE"""),1003476.0)</f>
        <v>1003476</v>
      </c>
      <c r="C1387" s="9">
        <f>IFERROR(__xludf.DUMMYFUNCTION("""COMPUTED_VALUE"""),86531.0)</f>
        <v>86531</v>
      </c>
      <c r="D1387" s="9"/>
      <c r="E1387" s="9"/>
      <c r="F1387" s="9">
        <f>IFERROR(__xludf.DUMMYFUNCTION("""COMPUTED_VALUE"""),2.05)</f>
        <v>2.05</v>
      </c>
      <c r="G1387" s="9">
        <f>IFERROR(__xludf.DUMMYFUNCTION("""COMPUTED_VALUE"""),2.05)</f>
        <v>2.05</v>
      </c>
      <c r="H1387" s="9">
        <f>IFERROR(__xludf.DUMMYFUNCTION("""COMPUTED_VALUE"""),2.0)</f>
        <v>2</v>
      </c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</row>
    <row r="1388" ht="15.75" customHeight="1">
      <c r="A1388" s="11">
        <f>IFERROR(__xludf.DUMMYFUNCTION("""COMPUTED_VALUE"""),44471.0)</f>
        <v>44471</v>
      </c>
      <c r="B1388" s="9">
        <f>IFERROR(__xludf.DUMMYFUNCTION("""COMPUTED_VALUE"""),1003477.0)</f>
        <v>1003477</v>
      </c>
      <c r="C1388" s="9">
        <f>IFERROR(__xludf.DUMMYFUNCTION("""COMPUTED_VALUE"""),44727.0)</f>
        <v>44727</v>
      </c>
      <c r="D1388" s="9"/>
      <c r="E1388" s="10" t="str">
        <f>IFERROR(__xludf.DUMMYFUNCTION("""COMPUTED_VALUE"""),"GREENRELAIS")</f>
        <v>GREENRELAIS</v>
      </c>
      <c r="F1388" s="10">
        <f>IFERROR(__xludf.DUMMYFUNCTION("""COMPUTED_VALUE"""),8.27)</f>
        <v>8.27</v>
      </c>
      <c r="G1388" s="9">
        <f>IFERROR(__xludf.DUMMYFUNCTION("""COMPUTED_VALUE"""),8.27)</f>
        <v>8.27</v>
      </c>
      <c r="H1388" s="9">
        <f>IFERROR(__xludf.DUMMYFUNCTION("""COMPUTED_VALUE"""),1.0)</f>
        <v>1</v>
      </c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</row>
    <row r="1389" ht="15.75" customHeight="1">
      <c r="A1389" s="11">
        <f>IFERROR(__xludf.DUMMYFUNCTION("""COMPUTED_VALUE"""),44471.0)</f>
        <v>44471</v>
      </c>
      <c r="B1389" s="9">
        <f>IFERROR(__xludf.DUMMYFUNCTION("""COMPUTED_VALUE"""),1003477.0)</f>
        <v>1003477</v>
      </c>
      <c r="C1389" s="9">
        <f>IFERROR(__xludf.DUMMYFUNCTION("""COMPUTED_VALUE"""),122267.0)</f>
        <v>122267</v>
      </c>
      <c r="D1389" s="10" t="str">
        <f>IFERROR(__xludf.DUMMYFUNCTION("""COMPUTED_VALUE"""),"Vive le bio")</f>
        <v>Vive le bio</v>
      </c>
      <c r="E1389" s="10" t="str">
        <f>IFERROR(__xludf.DUMMYFUNCTION("""COMPUTED_VALUE"""),"GREENRELAIS")</f>
        <v>GREENRELAIS</v>
      </c>
      <c r="F1389" s="10">
        <f>IFERROR(__xludf.DUMMYFUNCTION("""COMPUTED_VALUE"""),3.76666666666666)</f>
        <v>3.766666667</v>
      </c>
      <c r="G1389" s="9">
        <f>IFERROR(__xludf.DUMMYFUNCTION("""COMPUTED_VALUE"""),3.39)</f>
        <v>3.39</v>
      </c>
      <c r="H1389" s="9">
        <f>IFERROR(__xludf.DUMMYFUNCTION("""COMPUTED_VALUE"""),1.0)</f>
        <v>1</v>
      </c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</row>
    <row r="1390" ht="15.75" customHeight="1">
      <c r="A1390" s="11">
        <f>IFERROR(__xludf.DUMMYFUNCTION("""COMPUTED_VALUE"""),44471.0)</f>
        <v>44471</v>
      </c>
      <c r="B1390" s="9">
        <f>IFERROR(__xludf.DUMMYFUNCTION("""COMPUTED_VALUE"""),1003477.0)</f>
        <v>1003477</v>
      </c>
      <c r="C1390" s="9">
        <f>IFERROR(__xludf.DUMMYFUNCTION("""COMPUTED_VALUE"""),89930.0)</f>
        <v>89930</v>
      </c>
      <c r="D1390" s="10" t="str">
        <f>IFERROR(__xludf.DUMMYFUNCTION("""COMPUTED_VALUE"""),"Vive le bio")</f>
        <v>Vive le bio</v>
      </c>
      <c r="E1390" s="10" t="str">
        <f>IFERROR(__xludf.DUMMYFUNCTION("""COMPUTED_VALUE"""),"GREENRELAIS")</f>
        <v>GREENRELAIS</v>
      </c>
      <c r="F1390" s="10">
        <f>IFERROR(__xludf.DUMMYFUNCTION("""COMPUTED_VALUE"""),5.3)</f>
        <v>5.3</v>
      </c>
      <c r="G1390" s="9">
        <f>IFERROR(__xludf.DUMMYFUNCTION("""COMPUTED_VALUE"""),4.77)</f>
        <v>4.77</v>
      </c>
      <c r="H1390" s="9">
        <f>IFERROR(__xludf.DUMMYFUNCTION("""COMPUTED_VALUE"""),1.0)</f>
        <v>1</v>
      </c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</row>
    <row r="1391" ht="15.75" customHeight="1">
      <c r="A1391" s="11">
        <f>IFERROR(__xludf.DUMMYFUNCTION("""COMPUTED_VALUE"""),44471.0)</f>
        <v>44471</v>
      </c>
      <c r="B1391" s="9">
        <f>IFERROR(__xludf.DUMMYFUNCTION("""COMPUTED_VALUE"""),1003477.0)</f>
        <v>1003477</v>
      </c>
      <c r="C1391" s="9">
        <f>IFERROR(__xludf.DUMMYFUNCTION("""COMPUTED_VALUE"""),78759.0)</f>
        <v>78759</v>
      </c>
      <c r="D1391" s="9"/>
      <c r="E1391" s="10" t="str">
        <f>IFERROR(__xludf.DUMMYFUNCTION("""COMPUTED_VALUE"""),"GREENRELAIS")</f>
        <v>GREENRELAIS</v>
      </c>
      <c r="F1391" s="10">
        <f>IFERROR(__xludf.DUMMYFUNCTION("""COMPUTED_VALUE"""),5.08)</f>
        <v>5.08</v>
      </c>
      <c r="G1391" s="9">
        <f>IFERROR(__xludf.DUMMYFUNCTION("""COMPUTED_VALUE"""),5.08)</f>
        <v>5.08</v>
      </c>
      <c r="H1391" s="9">
        <f>IFERROR(__xludf.DUMMYFUNCTION("""COMPUTED_VALUE"""),1.0)</f>
        <v>1</v>
      </c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</row>
    <row r="1392" ht="15.75" customHeight="1">
      <c r="A1392" s="11">
        <f>IFERROR(__xludf.DUMMYFUNCTION("""COMPUTED_VALUE"""),44471.0)</f>
        <v>44471</v>
      </c>
      <c r="B1392" s="9">
        <f>IFERROR(__xludf.DUMMYFUNCTION("""COMPUTED_VALUE"""),1003477.0)</f>
        <v>1003477</v>
      </c>
      <c r="C1392" s="9">
        <f>IFERROR(__xludf.DUMMYFUNCTION("""COMPUTED_VALUE"""),100647.0)</f>
        <v>100647</v>
      </c>
      <c r="D1392" s="9"/>
      <c r="E1392" s="10" t="str">
        <f>IFERROR(__xludf.DUMMYFUNCTION("""COMPUTED_VALUE"""),"GREENRELAIS")</f>
        <v>GREENRELAIS</v>
      </c>
      <c r="F1392" s="10">
        <f>IFERROR(__xludf.DUMMYFUNCTION("""COMPUTED_VALUE"""),4.6)</f>
        <v>4.6</v>
      </c>
      <c r="G1392" s="9">
        <f>IFERROR(__xludf.DUMMYFUNCTION("""COMPUTED_VALUE"""),4.6)</f>
        <v>4.6</v>
      </c>
      <c r="H1392" s="9">
        <f>IFERROR(__xludf.DUMMYFUNCTION("""COMPUTED_VALUE"""),1.0)</f>
        <v>1</v>
      </c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</row>
    <row r="1393" ht="15.75" customHeight="1">
      <c r="A1393" s="11">
        <f>IFERROR(__xludf.DUMMYFUNCTION("""COMPUTED_VALUE"""),44471.0)</f>
        <v>44471</v>
      </c>
      <c r="B1393" s="9">
        <f>IFERROR(__xludf.DUMMYFUNCTION("""COMPUTED_VALUE"""),1003477.0)</f>
        <v>1003477</v>
      </c>
      <c r="C1393" s="9">
        <f>IFERROR(__xludf.DUMMYFUNCTION("""COMPUTED_VALUE"""),89909.0)</f>
        <v>89909</v>
      </c>
      <c r="D1393" s="10" t="str">
        <f>IFERROR(__xludf.DUMMYFUNCTION("""COMPUTED_VALUE"""),"Vive le bio")</f>
        <v>Vive le bio</v>
      </c>
      <c r="E1393" s="10" t="str">
        <f>IFERROR(__xludf.DUMMYFUNCTION("""COMPUTED_VALUE"""),"GREENRELAIS")</f>
        <v>GREENRELAIS</v>
      </c>
      <c r="F1393" s="10">
        <f>IFERROR(__xludf.DUMMYFUNCTION("""COMPUTED_VALUE"""),5.36666666666666)</f>
        <v>5.366666667</v>
      </c>
      <c r="G1393" s="9">
        <f>IFERROR(__xludf.DUMMYFUNCTION("""COMPUTED_VALUE"""),4.83)</f>
        <v>4.83</v>
      </c>
      <c r="H1393" s="9">
        <f>IFERROR(__xludf.DUMMYFUNCTION("""COMPUTED_VALUE"""),1.0)</f>
        <v>1</v>
      </c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</row>
    <row r="1394" ht="15.75" customHeight="1">
      <c r="A1394" s="11">
        <f>IFERROR(__xludf.DUMMYFUNCTION("""COMPUTED_VALUE"""),44471.0)</f>
        <v>44471</v>
      </c>
      <c r="B1394" s="9">
        <f>IFERROR(__xludf.DUMMYFUNCTION("""COMPUTED_VALUE"""),1003477.0)</f>
        <v>1003477</v>
      </c>
      <c r="C1394" s="9">
        <f>IFERROR(__xludf.DUMMYFUNCTION("""COMPUTED_VALUE"""),46897.0)</f>
        <v>46897</v>
      </c>
      <c r="D1394" s="9"/>
      <c r="E1394" s="10" t="str">
        <f>IFERROR(__xludf.DUMMYFUNCTION("""COMPUTED_VALUE"""),"GREENRELAIS")</f>
        <v>GREENRELAIS</v>
      </c>
      <c r="F1394" s="10">
        <f>IFERROR(__xludf.DUMMYFUNCTION("""COMPUTED_VALUE"""),4.87)</f>
        <v>4.87</v>
      </c>
      <c r="G1394" s="9">
        <f>IFERROR(__xludf.DUMMYFUNCTION("""COMPUTED_VALUE"""),4.87)</f>
        <v>4.87</v>
      </c>
      <c r="H1394" s="9">
        <f>IFERROR(__xludf.DUMMYFUNCTION("""COMPUTED_VALUE"""),1.0)</f>
        <v>1</v>
      </c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</row>
    <row r="1395" ht="15.75" customHeight="1">
      <c r="A1395" s="11">
        <f>IFERROR(__xludf.DUMMYFUNCTION("""COMPUTED_VALUE"""),44471.0)</f>
        <v>44471</v>
      </c>
      <c r="B1395" s="9">
        <f>IFERROR(__xludf.DUMMYFUNCTION("""COMPUTED_VALUE"""),1003477.0)</f>
        <v>1003477</v>
      </c>
      <c r="C1395" s="9">
        <f>IFERROR(__xludf.DUMMYFUNCTION("""COMPUTED_VALUE"""),78481.0)</f>
        <v>78481</v>
      </c>
      <c r="D1395" s="10" t="str">
        <f>IFERROR(__xludf.DUMMYFUNCTION("""COMPUTED_VALUE"""),"Vive le bio")</f>
        <v>Vive le bio</v>
      </c>
      <c r="E1395" s="10" t="str">
        <f>IFERROR(__xludf.DUMMYFUNCTION("""COMPUTED_VALUE"""),"GREENRELAIS")</f>
        <v>GREENRELAIS</v>
      </c>
      <c r="F1395" s="10">
        <f>IFERROR(__xludf.DUMMYFUNCTION("""COMPUTED_VALUE"""),7.78888888888888)</f>
        <v>7.788888889</v>
      </c>
      <c r="G1395" s="9">
        <f>IFERROR(__xludf.DUMMYFUNCTION("""COMPUTED_VALUE"""),7.01)</f>
        <v>7.01</v>
      </c>
      <c r="H1395" s="9">
        <f>IFERROR(__xludf.DUMMYFUNCTION("""COMPUTED_VALUE"""),1.0)</f>
        <v>1</v>
      </c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</row>
    <row r="1396" ht="15.75" customHeight="1">
      <c r="A1396" s="11">
        <f>IFERROR(__xludf.DUMMYFUNCTION("""COMPUTED_VALUE"""),44471.0)</f>
        <v>44471</v>
      </c>
      <c r="B1396" s="9">
        <f>IFERROR(__xludf.DUMMYFUNCTION("""COMPUTED_VALUE"""),1003477.0)</f>
        <v>1003477</v>
      </c>
      <c r="C1396" s="9">
        <f>IFERROR(__xludf.DUMMYFUNCTION("""COMPUTED_VALUE"""),117799.0)</f>
        <v>117799</v>
      </c>
      <c r="D1396" s="9"/>
      <c r="E1396" s="10" t="str">
        <f>IFERROR(__xludf.DUMMYFUNCTION("""COMPUTED_VALUE"""),"GREENRELAIS")</f>
        <v>GREENRELAIS</v>
      </c>
      <c r="F1396" s="10">
        <f>IFERROR(__xludf.DUMMYFUNCTION("""COMPUTED_VALUE"""),2.32)</f>
        <v>2.32</v>
      </c>
      <c r="G1396" s="9">
        <f>IFERROR(__xludf.DUMMYFUNCTION("""COMPUTED_VALUE"""),2.32)</f>
        <v>2.32</v>
      </c>
      <c r="H1396" s="9">
        <f>IFERROR(__xludf.DUMMYFUNCTION("""COMPUTED_VALUE"""),1.0)</f>
        <v>1</v>
      </c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</row>
    <row r="1397" ht="15.75" customHeight="1">
      <c r="A1397" s="11">
        <f>IFERROR(__xludf.DUMMYFUNCTION("""COMPUTED_VALUE"""),44471.0)</f>
        <v>44471</v>
      </c>
      <c r="B1397" s="9">
        <f>IFERROR(__xludf.DUMMYFUNCTION("""COMPUTED_VALUE"""),1003477.0)</f>
        <v>1003477</v>
      </c>
      <c r="C1397" s="9">
        <f>IFERROR(__xludf.DUMMYFUNCTION("""COMPUTED_VALUE"""),118885.0)</f>
        <v>118885</v>
      </c>
      <c r="D1397" s="9"/>
      <c r="E1397" s="10" t="str">
        <f>IFERROR(__xludf.DUMMYFUNCTION("""COMPUTED_VALUE"""),"GREENRELAIS")</f>
        <v>GREENRELAIS</v>
      </c>
      <c r="F1397" s="10">
        <f>IFERROR(__xludf.DUMMYFUNCTION("""COMPUTED_VALUE"""),2.7)</f>
        <v>2.7</v>
      </c>
      <c r="G1397" s="9">
        <f>IFERROR(__xludf.DUMMYFUNCTION("""COMPUTED_VALUE"""),2.7)</f>
        <v>2.7</v>
      </c>
      <c r="H1397" s="9">
        <f>IFERROR(__xludf.DUMMYFUNCTION("""COMPUTED_VALUE"""),1.0)</f>
        <v>1</v>
      </c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</row>
    <row r="1398" ht="15.75" customHeight="1">
      <c r="A1398" s="11">
        <f>IFERROR(__xludf.DUMMYFUNCTION("""COMPUTED_VALUE"""),44471.0)</f>
        <v>44471</v>
      </c>
      <c r="B1398" s="9">
        <f>IFERROR(__xludf.DUMMYFUNCTION("""COMPUTED_VALUE"""),1003477.0)</f>
        <v>1003477</v>
      </c>
      <c r="C1398" s="9">
        <f>IFERROR(__xludf.DUMMYFUNCTION("""COMPUTED_VALUE"""),16645.0)</f>
        <v>16645</v>
      </c>
      <c r="D1398" s="9"/>
      <c r="E1398" s="10" t="str">
        <f>IFERROR(__xludf.DUMMYFUNCTION("""COMPUTED_VALUE"""),"GREENRELAIS")</f>
        <v>GREENRELAIS</v>
      </c>
      <c r="F1398" s="10">
        <f>IFERROR(__xludf.DUMMYFUNCTION("""COMPUTED_VALUE"""),2.34)</f>
        <v>2.34</v>
      </c>
      <c r="G1398" s="9">
        <f>IFERROR(__xludf.DUMMYFUNCTION("""COMPUTED_VALUE"""),2.34)</f>
        <v>2.34</v>
      </c>
      <c r="H1398" s="9">
        <f>IFERROR(__xludf.DUMMYFUNCTION("""COMPUTED_VALUE"""),1.0)</f>
        <v>1</v>
      </c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</row>
    <row r="1399" ht="15.75" customHeight="1">
      <c r="A1399" s="11">
        <f>IFERROR(__xludf.DUMMYFUNCTION("""COMPUTED_VALUE"""),44471.0)</f>
        <v>44471</v>
      </c>
      <c r="B1399" s="9">
        <f>IFERROR(__xludf.DUMMYFUNCTION("""COMPUTED_VALUE"""),1003477.0)</f>
        <v>1003477</v>
      </c>
      <c r="C1399" s="9">
        <f>IFERROR(__xludf.DUMMYFUNCTION("""COMPUTED_VALUE"""),30864.0)</f>
        <v>30864</v>
      </c>
      <c r="D1399" s="10" t="str">
        <f>IFERROR(__xludf.DUMMYFUNCTION("""COMPUTED_VALUE"""),"Vive le bio")</f>
        <v>Vive le bio</v>
      </c>
      <c r="E1399" s="10" t="str">
        <f>IFERROR(__xludf.DUMMYFUNCTION("""COMPUTED_VALUE"""),"GREENRELAIS")</f>
        <v>GREENRELAIS</v>
      </c>
      <c r="F1399" s="10">
        <f>IFERROR(__xludf.DUMMYFUNCTION("""COMPUTED_VALUE"""),7.35555555555555)</f>
        <v>7.355555556</v>
      </c>
      <c r="G1399" s="9">
        <f>IFERROR(__xludf.DUMMYFUNCTION("""COMPUTED_VALUE"""),6.62)</f>
        <v>6.62</v>
      </c>
      <c r="H1399" s="9">
        <f>IFERROR(__xludf.DUMMYFUNCTION("""COMPUTED_VALUE"""),1.0)</f>
        <v>1</v>
      </c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</row>
    <row r="1400" ht="15.75" customHeight="1">
      <c r="A1400" s="11">
        <f>IFERROR(__xludf.DUMMYFUNCTION("""COMPUTED_VALUE"""),44471.0)</f>
        <v>44471</v>
      </c>
      <c r="B1400" s="9">
        <f>IFERROR(__xludf.DUMMYFUNCTION("""COMPUTED_VALUE"""),1003477.0)</f>
        <v>1003477</v>
      </c>
      <c r="C1400" s="9">
        <f>IFERROR(__xludf.DUMMYFUNCTION("""COMPUTED_VALUE"""),46913.0)</f>
        <v>46913</v>
      </c>
      <c r="D1400" s="9"/>
      <c r="E1400" s="10" t="str">
        <f>IFERROR(__xludf.DUMMYFUNCTION("""COMPUTED_VALUE"""),"GREENRELAIS")</f>
        <v>GREENRELAIS</v>
      </c>
      <c r="F1400" s="10">
        <f>IFERROR(__xludf.DUMMYFUNCTION("""COMPUTED_VALUE"""),7.44)</f>
        <v>7.44</v>
      </c>
      <c r="G1400" s="9">
        <f>IFERROR(__xludf.DUMMYFUNCTION("""COMPUTED_VALUE"""),7.44)</f>
        <v>7.44</v>
      </c>
      <c r="H1400" s="9">
        <f>IFERROR(__xludf.DUMMYFUNCTION("""COMPUTED_VALUE"""),1.0)</f>
        <v>1</v>
      </c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</row>
    <row r="1401" ht="15.75" customHeight="1">
      <c r="A1401" s="11">
        <f>IFERROR(__xludf.DUMMYFUNCTION("""COMPUTED_VALUE"""),44471.0)</f>
        <v>44471</v>
      </c>
      <c r="B1401" s="9">
        <f>IFERROR(__xludf.DUMMYFUNCTION("""COMPUTED_VALUE"""),1003477.0)</f>
        <v>1003477</v>
      </c>
      <c r="C1401" s="9">
        <f>IFERROR(__xludf.DUMMYFUNCTION("""COMPUTED_VALUE"""),10569.0)</f>
        <v>10569</v>
      </c>
      <c r="D1401" s="9"/>
      <c r="E1401" s="10" t="str">
        <f>IFERROR(__xludf.DUMMYFUNCTION("""COMPUTED_VALUE"""),"GREENRELAIS")</f>
        <v>GREENRELAIS</v>
      </c>
      <c r="F1401" s="10">
        <f>IFERROR(__xludf.DUMMYFUNCTION("""COMPUTED_VALUE"""),7.69)</f>
        <v>7.69</v>
      </c>
      <c r="G1401" s="9">
        <f>IFERROR(__xludf.DUMMYFUNCTION("""COMPUTED_VALUE"""),7.69)</f>
        <v>7.69</v>
      </c>
      <c r="H1401" s="9">
        <f>IFERROR(__xludf.DUMMYFUNCTION("""COMPUTED_VALUE"""),1.0)</f>
        <v>1</v>
      </c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</row>
    <row r="1402" ht="15.75" customHeight="1">
      <c r="A1402" s="11">
        <f>IFERROR(__xludf.DUMMYFUNCTION("""COMPUTED_VALUE"""),44471.0)</f>
        <v>44471</v>
      </c>
      <c r="B1402" s="9">
        <f>IFERROR(__xludf.DUMMYFUNCTION("""COMPUTED_VALUE"""),1003477.0)</f>
        <v>1003477</v>
      </c>
      <c r="C1402" s="9">
        <f>IFERROR(__xludf.DUMMYFUNCTION("""COMPUTED_VALUE"""),149506.0)</f>
        <v>149506</v>
      </c>
      <c r="D1402" s="10" t="str">
        <f>IFERROR(__xludf.DUMMYFUNCTION("""COMPUTED_VALUE"""),"Vive le bio")</f>
        <v>Vive le bio</v>
      </c>
      <c r="E1402" s="10" t="str">
        <f>IFERROR(__xludf.DUMMYFUNCTION("""COMPUTED_VALUE"""),"GREENRELAIS")</f>
        <v>GREENRELAIS</v>
      </c>
      <c r="F1402" s="10">
        <f>IFERROR(__xludf.DUMMYFUNCTION("""COMPUTED_VALUE"""),3.38888888888888)</f>
        <v>3.388888889</v>
      </c>
      <c r="G1402" s="9">
        <f>IFERROR(__xludf.DUMMYFUNCTION("""COMPUTED_VALUE"""),3.05)</f>
        <v>3.05</v>
      </c>
      <c r="H1402" s="9">
        <f>IFERROR(__xludf.DUMMYFUNCTION("""COMPUTED_VALUE"""),1.0)</f>
        <v>1</v>
      </c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</row>
    <row r="1403" ht="15.75" customHeight="1">
      <c r="A1403" s="11">
        <f>IFERROR(__xludf.DUMMYFUNCTION("""COMPUTED_VALUE"""),44471.0)</f>
        <v>44471</v>
      </c>
      <c r="B1403" s="9">
        <f>IFERROR(__xludf.DUMMYFUNCTION("""COMPUTED_VALUE"""),1003477.0)</f>
        <v>1003477</v>
      </c>
      <c r="C1403" s="9">
        <f>IFERROR(__xludf.DUMMYFUNCTION("""COMPUTED_VALUE"""),147271.0)</f>
        <v>147271</v>
      </c>
      <c r="D1403" s="9"/>
      <c r="E1403" s="10" t="str">
        <f>IFERROR(__xludf.DUMMYFUNCTION("""COMPUTED_VALUE"""),"GREENRELAIS")</f>
        <v>GREENRELAIS</v>
      </c>
      <c r="F1403" s="10">
        <f>IFERROR(__xludf.DUMMYFUNCTION("""COMPUTED_VALUE"""),2.6)</f>
        <v>2.6</v>
      </c>
      <c r="G1403" s="9">
        <f>IFERROR(__xludf.DUMMYFUNCTION("""COMPUTED_VALUE"""),2.6)</f>
        <v>2.6</v>
      </c>
      <c r="H1403" s="9">
        <f>IFERROR(__xludf.DUMMYFUNCTION("""COMPUTED_VALUE"""),1.0)</f>
        <v>1</v>
      </c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</row>
    <row r="1404" ht="15.75" customHeight="1">
      <c r="A1404" s="11">
        <f>IFERROR(__xludf.DUMMYFUNCTION("""COMPUTED_VALUE"""),44471.0)</f>
        <v>44471</v>
      </c>
      <c r="B1404" s="9">
        <f>IFERROR(__xludf.DUMMYFUNCTION("""COMPUTED_VALUE"""),1003477.0)</f>
        <v>1003477</v>
      </c>
      <c r="C1404" s="9">
        <f>IFERROR(__xludf.DUMMYFUNCTION("""COMPUTED_VALUE"""),80111.0)</f>
        <v>80111</v>
      </c>
      <c r="D1404" s="9"/>
      <c r="E1404" s="10" t="str">
        <f>IFERROR(__xludf.DUMMYFUNCTION("""COMPUTED_VALUE"""),"GREENRELAIS")</f>
        <v>GREENRELAIS</v>
      </c>
      <c r="F1404" s="10">
        <f>IFERROR(__xludf.DUMMYFUNCTION("""COMPUTED_VALUE"""),3.1)</f>
        <v>3.1</v>
      </c>
      <c r="G1404" s="9">
        <f>IFERROR(__xludf.DUMMYFUNCTION("""COMPUTED_VALUE"""),3.1)</f>
        <v>3.1</v>
      </c>
      <c r="H1404" s="9">
        <f>IFERROR(__xludf.DUMMYFUNCTION("""COMPUTED_VALUE"""),1.0)</f>
        <v>1</v>
      </c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</row>
    <row r="1405" ht="15.75" customHeight="1">
      <c r="A1405" s="11">
        <f>IFERROR(__xludf.DUMMYFUNCTION("""COMPUTED_VALUE"""),44471.0)</f>
        <v>44471</v>
      </c>
      <c r="B1405" s="9">
        <f>IFERROR(__xludf.DUMMYFUNCTION("""COMPUTED_VALUE"""),1003477.0)</f>
        <v>1003477</v>
      </c>
      <c r="C1405" s="9">
        <f>IFERROR(__xludf.DUMMYFUNCTION("""COMPUTED_VALUE"""),111259.0)</f>
        <v>111259</v>
      </c>
      <c r="D1405" s="9"/>
      <c r="E1405" s="10" t="str">
        <f>IFERROR(__xludf.DUMMYFUNCTION("""COMPUTED_VALUE"""),"GREENRELAIS")</f>
        <v>GREENRELAIS</v>
      </c>
      <c r="F1405" s="10">
        <f>IFERROR(__xludf.DUMMYFUNCTION("""COMPUTED_VALUE"""),4.21)</f>
        <v>4.21</v>
      </c>
      <c r="G1405" s="9">
        <f>IFERROR(__xludf.DUMMYFUNCTION("""COMPUTED_VALUE"""),4.21)</f>
        <v>4.21</v>
      </c>
      <c r="H1405" s="9">
        <f>IFERROR(__xludf.DUMMYFUNCTION("""COMPUTED_VALUE"""),1.0)</f>
        <v>1</v>
      </c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</row>
    <row r="1406" ht="15.75" customHeight="1">
      <c r="A1406" s="11">
        <f>IFERROR(__xludf.DUMMYFUNCTION("""COMPUTED_VALUE"""),44471.0)</f>
        <v>44471</v>
      </c>
      <c r="B1406" s="9">
        <f>IFERROR(__xludf.DUMMYFUNCTION("""COMPUTED_VALUE"""),1003477.0)</f>
        <v>1003477</v>
      </c>
      <c r="C1406" s="9">
        <f>IFERROR(__xludf.DUMMYFUNCTION("""COMPUTED_VALUE"""),102599.0)</f>
        <v>102599</v>
      </c>
      <c r="D1406" s="10" t="str">
        <f>IFERROR(__xludf.DUMMYFUNCTION("""COMPUTED_VALUE"""),"Vive le bio")</f>
        <v>Vive le bio</v>
      </c>
      <c r="E1406" s="10" t="str">
        <f>IFERROR(__xludf.DUMMYFUNCTION("""COMPUTED_VALUE"""),"GREENRELAIS")</f>
        <v>GREENRELAIS</v>
      </c>
      <c r="F1406" s="10">
        <f>IFERROR(__xludf.DUMMYFUNCTION("""COMPUTED_VALUE"""),4.54444444444444)</f>
        <v>4.544444444</v>
      </c>
      <c r="G1406" s="9">
        <f>IFERROR(__xludf.DUMMYFUNCTION("""COMPUTED_VALUE"""),4.09)</f>
        <v>4.09</v>
      </c>
      <c r="H1406" s="9">
        <f>IFERROR(__xludf.DUMMYFUNCTION("""COMPUTED_VALUE"""),1.0)</f>
        <v>1</v>
      </c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</row>
    <row r="1407" ht="15.75" customHeight="1">
      <c r="A1407" s="11">
        <f>IFERROR(__xludf.DUMMYFUNCTION("""COMPUTED_VALUE"""),44471.0)</f>
        <v>44471</v>
      </c>
      <c r="B1407" s="9">
        <f>IFERROR(__xludf.DUMMYFUNCTION("""COMPUTED_VALUE"""),1003477.0)</f>
        <v>1003477</v>
      </c>
      <c r="C1407" s="9">
        <f>IFERROR(__xludf.DUMMYFUNCTION("""COMPUTED_VALUE"""),44707.0)</f>
        <v>44707</v>
      </c>
      <c r="D1407" s="9"/>
      <c r="E1407" s="10" t="str">
        <f>IFERROR(__xludf.DUMMYFUNCTION("""COMPUTED_VALUE"""),"GREENRELAIS")</f>
        <v>GREENRELAIS</v>
      </c>
      <c r="F1407" s="10">
        <f>IFERROR(__xludf.DUMMYFUNCTION("""COMPUTED_VALUE"""),2.36)</f>
        <v>2.36</v>
      </c>
      <c r="G1407" s="9">
        <f>IFERROR(__xludf.DUMMYFUNCTION("""COMPUTED_VALUE"""),2.36)</f>
        <v>2.36</v>
      </c>
      <c r="H1407" s="9">
        <f>IFERROR(__xludf.DUMMYFUNCTION("""COMPUTED_VALUE"""),1.0)</f>
        <v>1</v>
      </c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</row>
    <row r="1408" ht="15.75" customHeight="1">
      <c r="A1408" s="11">
        <f>IFERROR(__xludf.DUMMYFUNCTION("""COMPUTED_VALUE"""),44471.0)</f>
        <v>44471</v>
      </c>
      <c r="B1408" s="9">
        <f>IFERROR(__xludf.DUMMYFUNCTION("""COMPUTED_VALUE"""),1003477.0)</f>
        <v>1003477</v>
      </c>
      <c r="C1408" s="9">
        <f>IFERROR(__xludf.DUMMYFUNCTION("""COMPUTED_VALUE"""),91749.0)</f>
        <v>91749</v>
      </c>
      <c r="D1408" s="10" t="str">
        <f>IFERROR(__xludf.DUMMYFUNCTION("""COMPUTED_VALUE"""),"Vive le bio")</f>
        <v>Vive le bio</v>
      </c>
      <c r="E1408" s="10" t="str">
        <f>IFERROR(__xludf.DUMMYFUNCTION("""COMPUTED_VALUE"""),"GREENRELAIS")</f>
        <v>GREENRELAIS</v>
      </c>
      <c r="F1408" s="10">
        <f>IFERROR(__xludf.DUMMYFUNCTION("""COMPUTED_VALUE"""),5.31111111111111)</f>
        <v>5.311111111</v>
      </c>
      <c r="G1408" s="9">
        <f>IFERROR(__xludf.DUMMYFUNCTION("""COMPUTED_VALUE"""),4.78)</f>
        <v>4.78</v>
      </c>
      <c r="H1408" s="9">
        <f>IFERROR(__xludf.DUMMYFUNCTION("""COMPUTED_VALUE"""),1.0)</f>
        <v>1</v>
      </c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</row>
    <row r="1409" ht="15.75" customHeight="1">
      <c r="A1409" s="11">
        <f>IFERROR(__xludf.DUMMYFUNCTION("""COMPUTED_VALUE"""),44471.0)</f>
        <v>44471</v>
      </c>
      <c r="B1409" s="9">
        <f>IFERROR(__xludf.DUMMYFUNCTION("""COMPUTED_VALUE"""),1003477.0)</f>
        <v>1003477</v>
      </c>
      <c r="C1409" s="9">
        <f>IFERROR(__xludf.DUMMYFUNCTION("""COMPUTED_VALUE"""),44725.0)</f>
        <v>44725</v>
      </c>
      <c r="D1409" s="9"/>
      <c r="E1409" s="10" t="str">
        <f>IFERROR(__xludf.DUMMYFUNCTION("""COMPUTED_VALUE"""),"GREENRELAIS")</f>
        <v>GREENRELAIS</v>
      </c>
      <c r="F1409" s="10">
        <f>IFERROR(__xludf.DUMMYFUNCTION("""COMPUTED_VALUE"""),1.12)</f>
        <v>1.12</v>
      </c>
      <c r="G1409" s="9">
        <f>IFERROR(__xludf.DUMMYFUNCTION("""COMPUTED_VALUE"""),1.12)</f>
        <v>1.12</v>
      </c>
      <c r="H1409" s="9">
        <f>IFERROR(__xludf.DUMMYFUNCTION("""COMPUTED_VALUE"""),1.0)</f>
        <v>1</v>
      </c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</row>
    <row r="1410" ht="15.75" customHeight="1">
      <c r="A1410" s="11">
        <f>IFERROR(__xludf.DUMMYFUNCTION("""COMPUTED_VALUE"""),44471.0)</f>
        <v>44471</v>
      </c>
      <c r="B1410" s="9">
        <f>IFERROR(__xludf.DUMMYFUNCTION("""COMPUTED_VALUE"""),1003477.0)</f>
        <v>1003477</v>
      </c>
      <c r="C1410" s="9">
        <f>IFERROR(__xludf.DUMMYFUNCTION("""COMPUTED_VALUE"""),48724.0)</f>
        <v>48724</v>
      </c>
      <c r="D1410" s="10" t="str">
        <f>IFERROR(__xludf.DUMMYFUNCTION("""COMPUTED_VALUE"""),"Vive le bio")</f>
        <v>Vive le bio</v>
      </c>
      <c r="E1410" s="10" t="str">
        <f>IFERROR(__xludf.DUMMYFUNCTION("""COMPUTED_VALUE"""),"GREENRELAIS")</f>
        <v>GREENRELAIS</v>
      </c>
      <c r="F1410" s="10">
        <f>IFERROR(__xludf.DUMMYFUNCTION("""COMPUTED_VALUE"""),6.73333333333333)</f>
        <v>6.733333333</v>
      </c>
      <c r="G1410" s="9">
        <f>IFERROR(__xludf.DUMMYFUNCTION("""COMPUTED_VALUE"""),6.06)</f>
        <v>6.06</v>
      </c>
      <c r="H1410" s="9">
        <f>IFERROR(__xludf.DUMMYFUNCTION("""COMPUTED_VALUE"""),1.0)</f>
        <v>1</v>
      </c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</row>
    <row r="1411" ht="15.75" customHeight="1">
      <c r="A1411" s="11">
        <f>IFERROR(__xludf.DUMMYFUNCTION("""COMPUTED_VALUE"""),44471.0)</f>
        <v>44471</v>
      </c>
      <c r="B1411" s="9">
        <f>IFERROR(__xludf.DUMMYFUNCTION("""COMPUTED_VALUE"""),1003477.0)</f>
        <v>1003477</v>
      </c>
      <c r="C1411" s="9">
        <f>IFERROR(__xludf.DUMMYFUNCTION("""COMPUTED_VALUE"""),83771.0)</f>
        <v>83771</v>
      </c>
      <c r="D1411" s="10" t="str">
        <f>IFERROR(__xludf.DUMMYFUNCTION("""COMPUTED_VALUE"""),"Vive le bio")</f>
        <v>Vive le bio</v>
      </c>
      <c r="E1411" s="10" t="str">
        <f>IFERROR(__xludf.DUMMYFUNCTION("""COMPUTED_VALUE"""),"GREENRELAIS")</f>
        <v>GREENRELAIS</v>
      </c>
      <c r="F1411" s="10">
        <f>IFERROR(__xludf.DUMMYFUNCTION("""COMPUTED_VALUE"""),2.96842105263157)</f>
        <v>2.968421053</v>
      </c>
      <c r="G1411" s="9">
        <f>IFERROR(__xludf.DUMMYFUNCTION("""COMPUTED_VALUE"""),2.82)</f>
        <v>2.82</v>
      </c>
      <c r="H1411" s="9">
        <f>IFERROR(__xludf.DUMMYFUNCTION("""COMPUTED_VALUE"""),1.0)</f>
        <v>1</v>
      </c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</row>
    <row r="1412" ht="15.75" customHeight="1">
      <c r="A1412" s="11">
        <f>IFERROR(__xludf.DUMMYFUNCTION("""COMPUTED_VALUE"""),44471.0)</f>
        <v>44471</v>
      </c>
      <c r="B1412" s="9">
        <f>IFERROR(__xludf.DUMMYFUNCTION("""COMPUTED_VALUE"""),1003477.0)</f>
        <v>1003477</v>
      </c>
      <c r="C1412" s="9">
        <f>IFERROR(__xludf.DUMMYFUNCTION("""COMPUTED_VALUE"""),109293.0)</f>
        <v>109293</v>
      </c>
      <c r="D1412" s="9"/>
      <c r="E1412" s="10" t="str">
        <f>IFERROR(__xludf.DUMMYFUNCTION("""COMPUTED_VALUE"""),"GREENRELAIS")</f>
        <v>GREENRELAIS</v>
      </c>
      <c r="F1412" s="10">
        <f>IFERROR(__xludf.DUMMYFUNCTION("""COMPUTED_VALUE"""),2.37)</f>
        <v>2.37</v>
      </c>
      <c r="G1412" s="9">
        <f>IFERROR(__xludf.DUMMYFUNCTION("""COMPUTED_VALUE"""),2.37)</f>
        <v>2.37</v>
      </c>
      <c r="H1412" s="9">
        <f>IFERROR(__xludf.DUMMYFUNCTION("""COMPUTED_VALUE"""),1.0)</f>
        <v>1</v>
      </c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</row>
    <row r="1413" ht="15.75" customHeight="1">
      <c r="A1413" s="11">
        <f>IFERROR(__xludf.DUMMYFUNCTION("""COMPUTED_VALUE"""),44471.0)</f>
        <v>44471</v>
      </c>
      <c r="B1413" s="9">
        <f>IFERROR(__xludf.DUMMYFUNCTION("""COMPUTED_VALUE"""),1003477.0)</f>
        <v>1003477</v>
      </c>
      <c r="C1413" s="9">
        <f>IFERROR(__xludf.DUMMYFUNCTION("""COMPUTED_VALUE"""),83223.0)</f>
        <v>83223</v>
      </c>
      <c r="D1413" s="9"/>
      <c r="E1413" s="10" t="str">
        <f>IFERROR(__xludf.DUMMYFUNCTION("""COMPUTED_VALUE"""),"GREENRELAIS")</f>
        <v>GREENRELAIS</v>
      </c>
      <c r="F1413" s="10">
        <f>IFERROR(__xludf.DUMMYFUNCTION("""COMPUTED_VALUE"""),1.81)</f>
        <v>1.81</v>
      </c>
      <c r="G1413" s="9">
        <f>IFERROR(__xludf.DUMMYFUNCTION("""COMPUTED_VALUE"""),1.81)</f>
        <v>1.81</v>
      </c>
      <c r="H1413" s="9">
        <f>IFERROR(__xludf.DUMMYFUNCTION("""COMPUTED_VALUE"""),1.0)</f>
        <v>1</v>
      </c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</row>
    <row r="1414" ht="15.75" customHeight="1">
      <c r="A1414" s="11">
        <f>IFERROR(__xludf.DUMMYFUNCTION("""COMPUTED_VALUE"""),44471.0)</f>
        <v>44471</v>
      </c>
      <c r="B1414" s="9">
        <f>IFERROR(__xludf.DUMMYFUNCTION("""COMPUTED_VALUE"""),1003478.0)</f>
        <v>1003478</v>
      </c>
      <c r="C1414" s="9">
        <f>IFERROR(__xludf.DUMMYFUNCTION("""COMPUTED_VALUE"""),109381.0)</f>
        <v>109381</v>
      </c>
      <c r="D1414" s="9"/>
      <c r="E1414" s="9"/>
      <c r="F1414" s="9">
        <f>IFERROR(__xludf.DUMMYFUNCTION("""COMPUTED_VALUE"""),2.14)</f>
        <v>2.14</v>
      </c>
      <c r="G1414" s="9">
        <f>IFERROR(__xludf.DUMMYFUNCTION("""COMPUTED_VALUE"""),2.14)</f>
        <v>2.14</v>
      </c>
      <c r="H1414" s="9">
        <f>IFERROR(__xludf.DUMMYFUNCTION("""COMPUTED_VALUE"""),1.0)</f>
        <v>1</v>
      </c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</row>
    <row r="1415" ht="15.75" customHeight="1">
      <c r="A1415" s="11">
        <f>IFERROR(__xludf.DUMMYFUNCTION("""COMPUTED_VALUE"""),44471.0)</f>
        <v>44471</v>
      </c>
      <c r="B1415" s="9">
        <f>IFERROR(__xludf.DUMMYFUNCTION("""COMPUTED_VALUE"""),1003478.0)</f>
        <v>1003478</v>
      </c>
      <c r="C1415" s="9">
        <f>IFERROR(__xludf.DUMMYFUNCTION("""COMPUTED_VALUE"""),117595.0)</f>
        <v>117595</v>
      </c>
      <c r="D1415" s="9"/>
      <c r="E1415" s="9"/>
      <c r="F1415" s="9">
        <f>IFERROR(__xludf.DUMMYFUNCTION("""COMPUTED_VALUE"""),12.64)</f>
        <v>12.64</v>
      </c>
      <c r="G1415" s="9">
        <f>IFERROR(__xludf.DUMMYFUNCTION("""COMPUTED_VALUE"""),12.64)</f>
        <v>12.64</v>
      </c>
      <c r="H1415" s="9">
        <f>IFERROR(__xludf.DUMMYFUNCTION("""COMPUTED_VALUE"""),1.0)</f>
        <v>1</v>
      </c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</row>
    <row r="1416" ht="15.75" customHeight="1">
      <c r="A1416" s="11">
        <f>IFERROR(__xludf.DUMMYFUNCTION("""COMPUTED_VALUE"""),44471.0)</f>
        <v>44471</v>
      </c>
      <c r="B1416" s="9">
        <f>IFERROR(__xludf.DUMMYFUNCTION("""COMPUTED_VALUE"""),1003478.0)</f>
        <v>1003478</v>
      </c>
      <c r="C1416" s="9">
        <f>IFERROR(__xludf.DUMMYFUNCTION("""COMPUTED_VALUE"""),118198.0)</f>
        <v>118198</v>
      </c>
      <c r="D1416" s="9"/>
      <c r="E1416" s="9"/>
      <c r="F1416" s="9">
        <f>IFERROR(__xludf.DUMMYFUNCTION("""COMPUTED_VALUE"""),8.66)</f>
        <v>8.66</v>
      </c>
      <c r="G1416" s="9">
        <f>IFERROR(__xludf.DUMMYFUNCTION("""COMPUTED_VALUE"""),8.66)</f>
        <v>8.66</v>
      </c>
      <c r="H1416" s="9">
        <f>IFERROR(__xludf.DUMMYFUNCTION("""COMPUTED_VALUE"""),1.0)</f>
        <v>1</v>
      </c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</row>
    <row r="1417" ht="15.75" customHeight="1">
      <c r="A1417" s="11">
        <f>IFERROR(__xludf.DUMMYFUNCTION("""COMPUTED_VALUE"""),44471.0)</f>
        <v>44471</v>
      </c>
      <c r="B1417" s="9">
        <f>IFERROR(__xludf.DUMMYFUNCTION("""COMPUTED_VALUE"""),1003478.0)</f>
        <v>1003478</v>
      </c>
      <c r="C1417" s="9">
        <f>IFERROR(__xludf.DUMMYFUNCTION("""COMPUTED_VALUE"""),109386.0)</f>
        <v>109386</v>
      </c>
      <c r="D1417" s="9"/>
      <c r="E1417" s="9"/>
      <c r="F1417" s="9">
        <f>IFERROR(__xludf.DUMMYFUNCTION("""COMPUTED_VALUE"""),2.67)</f>
        <v>2.67</v>
      </c>
      <c r="G1417" s="9">
        <f>IFERROR(__xludf.DUMMYFUNCTION("""COMPUTED_VALUE"""),2.67)</f>
        <v>2.67</v>
      </c>
      <c r="H1417" s="9">
        <f>IFERROR(__xludf.DUMMYFUNCTION("""COMPUTED_VALUE"""),1.0)</f>
        <v>1</v>
      </c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</row>
    <row r="1418" ht="15.75" customHeight="1">
      <c r="A1418" s="11">
        <f>IFERROR(__xludf.DUMMYFUNCTION("""COMPUTED_VALUE"""),44471.0)</f>
        <v>44471</v>
      </c>
      <c r="B1418" s="9">
        <f>IFERROR(__xludf.DUMMYFUNCTION("""COMPUTED_VALUE"""),1003478.0)</f>
        <v>1003478</v>
      </c>
      <c r="C1418" s="9">
        <f>IFERROR(__xludf.DUMMYFUNCTION("""COMPUTED_VALUE"""),82005.0)</f>
        <v>82005</v>
      </c>
      <c r="D1418" s="9"/>
      <c r="E1418" s="9"/>
      <c r="F1418" s="9">
        <f>IFERROR(__xludf.DUMMYFUNCTION("""COMPUTED_VALUE"""),1.85)</f>
        <v>1.85</v>
      </c>
      <c r="G1418" s="9">
        <f>IFERROR(__xludf.DUMMYFUNCTION("""COMPUTED_VALUE"""),1.85)</f>
        <v>1.85</v>
      </c>
      <c r="H1418" s="9">
        <f>IFERROR(__xludf.DUMMYFUNCTION("""COMPUTED_VALUE"""),1.0)</f>
        <v>1</v>
      </c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</row>
    <row r="1419" ht="15.75" customHeight="1">
      <c r="A1419" s="11">
        <f>IFERROR(__xludf.DUMMYFUNCTION("""COMPUTED_VALUE"""),44471.0)</f>
        <v>44471</v>
      </c>
      <c r="B1419" s="9">
        <f>IFERROR(__xludf.DUMMYFUNCTION("""COMPUTED_VALUE"""),1003478.0)</f>
        <v>1003478</v>
      </c>
      <c r="C1419" s="9">
        <f>IFERROR(__xludf.DUMMYFUNCTION("""COMPUTED_VALUE"""),3222.0)</f>
        <v>3222</v>
      </c>
      <c r="D1419" s="9"/>
      <c r="E1419" s="9"/>
      <c r="F1419" s="9">
        <f>IFERROR(__xludf.DUMMYFUNCTION("""COMPUTED_VALUE"""),3.36)</f>
        <v>3.36</v>
      </c>
      <c r="G1419" s="9">
        <f>IFERROR(__xludf.DUMMYFUNCTION("""COMPUTED_VALUE"""),3.36)</f>
        <v>3.36</v>
      </c>
      <c r="H1419" s="9">
        <f>IFERROR(__xludf.DUMMYFUNCTION("""COMPUTED_VALUE"""),1.0)</f>
        <v>1</v>
      </c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</row>
    <row r="1420" ht="15.75" customHeight="1">
      <c r="A1420" s="11">
        <f>IFERROR(__xludf.DUMMYFUNCTION("""COMPUTED_VALUE"""),44471.0)</f>
        <v>44471</v>
      </c>
      <c r="B1420" s="9">
        <f>IFERROR(__xludf.DUMMYFUNCTION("""COMPUTED_VALUE"""),1003478.0)</f>
        <v>1003478</v>
      </c>
      <c r="C1420" s="9">
        <f>IFERROR(__xludf.DUMMYFUNCTION("""COMPUTED_VALUE"""),108897.0)</f>
        <v>108897</v>
      </c>
      <c r="D1420" s="9"/>
      <c r="E1420" s="9"/>
      <c r="F1420" s="9">
        <f>IFERROR(__xludf.DUMMYFUNCTION("""COMPUTED_VALUE"""),1.93)</f>
        <v>1.93</v>
      </c>
      <c r="G1420" s="9">
        <f>IFERROR(__xludf.DUMMYFUNCTION("""COMPUTED_VALUE"""),1.93)</f>
        <v>1.93</v>
      </c>
      <c r="H1420" s="9">
        <f>IFERROR(__xludf.DUMMYFUNCTION("""COMPUTED_VALUE"""),1.0)</f>
        <v>1</v>
      </c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</row>
    <row r="1421" ht="15.75" customHeight="1">
      <c r="A1421" s="11">
        <f>IFERROR(__xludf.DUMMYFUNCTION("""COMPUTED_VALUE"""),44471.0)</f>
        <v>44471</v>
      </c>
      <c r="B1421" s="9">
        <f>IFERROR(__xludf.DUMMYFUNCTION("""COMPUTED_VALUE"""),1003478.0)</f>
        <v>1003478</v>
      </c>
      <c r="C1421" s="9">
        <f>IFERROR(__xludf.DUMMYFUNCTION("""COMPUTED_VALUE"""),109060.0)</f>
        <v>109060</v>
      </c>
      <c r="D1421" s="9"/>
      <c r="E1421" s="9"/>
      <c r="F1421" s="9">
        <f>IFERROR(__xludf.DUMMYFUNCTION("""COMPUTED_VALUE"""),6.73)</f>
        <v>6.73</v>
      </c>
      <c r="G1421" s="9">
        <f>IFERROR(__xludf.DUMMYFUNCTION("""COMPUTED_VALUE"""),6.73)</f>
        <v>6.73</v>
      </c>
      <c r="H1421" s="9">
        <f>IFERROR(__xludf.DUMMYFUNCTION("""COMPUTED_VALUE"""),1.0)</f>
        <v>1</v>
      </c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</row>
    <row r="1422" ht="15.75" customHeight="1">
      <c r="A1422" s="11">
        <f>IFERROR(__xludf.DUMMYFUNCTION("""COMPUTED_VALUE"""),44471.0)</f>
        <v>44471</v>
      </c>
      <c r="B1422" s="9">
        <f>IFERROR(__xludf.DUMMYFUNCTION("""COMPUTED_VALUE"""),1003478.0)</f>
        <v>1003478</v>
      </c>
      <c r="C1422" s="9">
        <f>IFERROR(__xludf.DUMMYFUNCTION("""COMPUTED_VALUE"""),68627.0)</f>
        <v>68627</v>
      </c>
      <c r="D1422" s="9"/>
      <c r="E1422" s="9"/>
      <c r="F1422" s="9">
        <f>IFERROR(__xludf.DUMMYFUNCTION("""COMPUTED_VALUE"""),3.87)</f>
        <v>3.87</v>
      </c>
      <c r="G1422" s="9">
        <f>IFERROR(__xludf.DUMMYFUNCTION("""COMPUTED_VALUE"""),3.87)</f>
        <v>3.87</v>
      </c>
      <c r="H1422" s="9">
        <f>IFERROR(__xludf.DUMMYFUNCTION("""COMPUTED_VALUE"""),1.0)</f>
        <v>1</v>
      </c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</row>
    <row r="1423" ht="15.75" customHeight="1">
      <c r="A1423" s="11">
        <f>IFERROR(__xludf.DUMMYFUNCTION("""COMPUTED_VALUE"""),44471.0)</f>
        <v>44471</v>
      </c>
      <c r="B1423" s="9">
        <f>IFERROR(__xludf.DUMMYFUNCTION("""COMPUTED_VALUE"""),1003478.0)</f>
        <v>1003478</v>
      </c>
      <c r="C1423" s="9">
        <f>IFERROR(__xludf.DUMMYFUNCTION("""COMPUTED_VALUE"""),64185.0)</f>
        <v>64185</v>
      </c>
      <c r="D1423" s="9"/>
      <c r="E1423" s="9"/>
      <c r="F1423" s="9">
        <f>IFERROR(__xludf.DUMMYFUNCTION("""COMPUTED_VALUE"""),33.08)</f>
        <v>33.08</v>
      </c>
      <c r="G1423" s="9">
        <f>IFERROR(__xludf.DUMMYFUNCTION("""COMPUTED_VALUE"""),33.08)</f>
        <v>33.08</v>
      </c>
      <c r="H1423" s="9">
        <f>IFERROR(__xludf.DUMMYFUNCTION("""COMPUTED_VALUE"""),2.0)</f>
        <v>2</v>
      </c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</row>
    <row r="1424" ht="15.75" customHeight="1">
      <c r="A1424" s="11">
        <f>IFERROR(__xludf.DUMMYFUNCTION("""COMPUTED_VALUE"""),44471.0)</f>
        <v>44471</v>
      </c>
      <c r="B1424" s="9">
        <f>IFERROR(__xludf.DUMMYFUNCTION("""COMPUTED_VALUE"""),1003478.0)</f>
        <v>1003478</v>
      </c>
      <c r="C1424" s="9">
        <f>IFERROR(__xludf.DUMMYFUNCTION("""COMPUTED_VALUE"""),43946.0)</f>
        <v>43946</v>
      </c>
      <c r="D1424" s="9"/>
      <c r="E1424" s="9"/>
      <c r="F1424" s="9">
        <f>IFERROR(__xludf.DUMMYFUNCTION("""COMPUTED_VALUE"""),33.08)</f>
        <v>33.08</v>
      </c>
      <c r="G1424" s="9">
        <f>IFERROR(__xludf.DUMMYFUNCTION("""COMPUTED_VALUE"""),33.08)</f>
        <v>33.08</v>
      </c>
      <c r="H1424" s="9">
        <f>IFERROR(__xludf.DUMMYFUNCTION("""COMPUTED_VALUE"""),2.0)</f>
        <v>2</v>
      </c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</row>
    <row r="1425" ht="15.75" customHeight="1">
      <c r="A1425" s="11">
        <f>IFERROR(__xludf.DUMMYFUNCTION("""COMPUTED_VALUE"""),44471.0)</f>
        <v>44471</v>
      </c>
      <c r="B1425" s="9">
        <f>IFERROR(__xludf.DUMMYFUNCTION("""COMPUTED_VALUE"""),1003478.0)</f>
        <v>1003478</v>
      </c>
      <c r="C1425" s="9">
        <f>IFERROR(__xludf.DUMMYFUNCTION("""COMPUTED_VALUE"""),71729.0)</f>
        <v>71729</v>
      </c>
      <c r="D1425" s="9"/>
      <c r="E1425" s="9"/>
      <c r="F1425" s="9">
        <f>IFERROR(__xludf.DUMMYFUNCTION("""COMPUTED_VALUE"""),4.29)</f>
        <v>4.29</v>
      </c>
      <c r="G1425" s="9">
        <f>IFERROR(__xludf.DUMMYFUNCTION("""COMPUTED_VALUE"""),4.29)</f>
        <v>4.29</v>
      </c>
      <c r="H1425" s="9">
        <f>IFERROR(__xludf.DUMMYFUNCTION("""COMPUTED_VALUE"""),2.0)</f>
        <v>2</v>
      </c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</row>
    <row r="1426" ht="15.75" customHeight="1">
      <c r="A1426" s="11">
        <f>IFERROR(__xludf.DUMMYFUNCTION("""COMPUTED_VALUE"""),44471.0)</f>
        <v>44471</v>
      </c>
      <c r="B1426" s="9">
        <f>IFERROR(__xludf.DUMMYFUNCTION("""COMPUTED_VALUE"""),1003478.0)</f>
        <v>1003478</v>
      </c>
      <c r="C1426" s="9">
        <f>IFERROR(__xludf.DUMMYFUNCTION("""COMPUTED_VALUE"""),109985.0)</f>
        <v>109985</v>
      </c>
      <c r="D1426" s="10" t="str">
        <f>IFERROR(__xludf.DUMMYFUNCTION("""COMPUTED_VALUE"""),"Carryboo soin bebe 2021")</f>
        <v>Carryboo soin bebe 2021</v>
      </c>
      <c r="E1426" s="10"/>
      <c r="F1426" s="9">
        <f>IFERROR(__xludf.DUMMYFUNCTION("""COMPUTED_VALUE"""),4.81333333333333)</f>
        <v>4.813333333</v>
      </c>
      <c r="G1426" s="9">
        <f>IFERROR(__xludf.DUMMYFUNCTION("""COMPUTED_VALUE"""),3.61)</f>
        <v>3.61</v>
      </c>
      <c r="H1426" s="9">
        <f>IFERROR(__xludf.DUMMYFUNCTION("""COMPUTED_VALUE"""),2.0)</f>
        <v>2</v>
      </c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</row>
    <row r="1427" ht="15.75" customHeight="1">
      <c r="A1427" s="11">
        <f>IFERROR(__xludf.DUMMYFUNCTION("""COMPUTED_VALUE"""),44471.0)</f>
        <v>44471</v>
      </c>
      <c r="B1427" s="9">
        <f>IFERROR(__xludf.DUMMYFUNCTION("""COMPUTED_VALUE"""),1003478.0)</f>
        <v>1003478</v>
      </c>
      <c r="C1427" s="9">
        <f>IFERROR(__xludf.DUMMYFUNCTION("""COMPUTED_VALUE"""),87548.0)</f>
        <v>87548</v>
      </c>
      <c r="D1427" s="10" t="str">
        <f>IFERROR(__xludf.DUMMYFUNCTION("""COMPUTED_VALUE"""),"Vive le bio")</f>
        <v>Vive le bio</v>
      </c>
      <c r="E1427" s="10"/>
      <c r="F1427" s="9">
        <f>IFERROR(__xludf.DUMMYFUNCTION("""COMPUTED_VALUE"""),5.78888888888888)</f>
        <v>5.788888889</v>
      </c>
      <c r="G1427" s="9">
        <f>IFERROR(__xludf.DUMMYFUNCTION("""COMPUTED_VALUE"""),5.21)</f>
        <v>5.21</v>
      </c>
      <c r="H1427" s="9">
        <f>IFERROR(__xludf.DUMMYFUNCTION("""COMPUTED_VALUE"""),2.0)</f>
        <v>2</v>
      </c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</row>
    <row r="1428" ht="15.75" customHeight="1">
      <c r="A1428" s="11">
        <f>IFERROR(__xludf.DUMMYFUNCTION("""COMPUTED_VALUE"""),44471.0)</f>
        <v>44471</v>
      </c>
      <c r="B1428" s="9">
        <f>IFERROR(__xludf.DUMMYFUNCTION("""COMPUTED_VALUE"""),1003479.0)</f>
        <v>1003479</v>
      </c>
      <c r="C1428" s="9">
        <f>IFERROR(__xludf.DUMMYFUNCTION("""COMPUTED_VALUE"""),46974.0)</f>
        <v>46974</v>
      </c>
      <c r="D1428" s="9"/>
      <c r="E1428" s="9"/>
      <c r="F1428" s="9">
        <f>IFERROR(__xludf.DUMMYFUNCTION("""COMPUTED_VALUE"""),7.76)</f>
        <v>7.76</v>
      </c>
      <c r="G1428" s="9">
        <f>IFERROR(__xludf.DUMMYFUNCTION("""COMPUTED_VALUE"""),7.76)</f>
        <v>7.76</v>
      </c>
      <c r="H1428" s="9">
        <f>IFERROR(__xludf.DUMMYFUNCTION("""COMPUTED_VALUE"""),1.0)</f>
        <v>1</v>
      </c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</row>
    <row r="1429" ht="15.75" customHeight="1">
      <c r="A1429" s="11">
        <f>IFERROR(__xludf.DUMMYFUNCTION("""COMPUTED_VALUE"""),44471.0)</f>
        <v>44471</v>
      </c>
      <c r="B1429" s="9">
        <f>IFERROR(__xludf.DUMMYFUNCTION("""COMPUTED_VALUE"""),1003479.0)</f>
        <v>1003479</v>
      </c>
      <c r="C1429" s="9">
        <f>IFERROR(__xludf.DUMMYFUNCTION("""COMPUTED_VALUE"""),46953.0)</f>
        <v>46953</v>
      </c>
      <c r="D1429" s="9"/>
      <c r="E1429" s="9"/>
      <c r="F1429" s="9">
        <f>IFERROR(__xludf.DUMMYFUNCTION("""COMPUTED_VALUE"""),9.77)</f>
        <v>9.77</v>
      </c>
      <c r="G1429" s="9">
        <f>IFERROR(__xludf.DUMMYFUNCTION("""COMPUTED_VALUE"""),9.77)</f>
        <v>9.77</v>
      </c>
      <c r="H1429" s="9">
        <f>IFERROR(__xludf.DUMMYFUNCTION("""COMPUTED_VALUE"""),1.0)</f>
        <v>1</v>
      </c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</row>
    <row r="1430" ht="15.75" customHeight="1">
      <c r="A1430" s="11">
        <f>IFERROR(__xludf.DUMMYFUNCTION("""COMPUTED_VALUE"""),44471.0)</f>
        <v>44471</v>
      </c>
      <c r="B1430" s="9">
        <f>IFERROR(__xludf.DUMMYFUNCTION("""COMPUTED_VALUE"""),1003479.0)</f>
        <v>1003479</v>
      </c>
      <c r="C1430" s="9">
        <f>IFERROR(__xludf.DUMMYFUNCTION("""COMPUTED_VALUE"""),46955.0)</f>
        <v>46955</v>
      </c>
      <c r="D1430" s="9"/>
      <c r="E1430" s="9"/>
      <c r="F1430" s="9">
        <f>IFERROR(__xludf.DUMMYFUNCTION("""COMPUTED_VALUE"""),7.84)</f>
        <v>7.84</v>
      </c>
      <c r="G1430" s="9">
        <f>IFERROR(__xludf.DUMMYFUNCTION("""COMPUTED_VALUE"""),7.84)</f>
        <v>7.84</v>
      </c>
      <c r="H1430" s="9">
        <f>IFERROR(__xludf.DUMMYFUNCTION("""COMPUTED_VALUE"""),1.0)</f>
        <v>1</v>
      </c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</row>
    <row r="1431" ht="15.75" customHeight="1">
      <c r="A1431" s="11">
        <f>IFERROR(__xludf.DUMMYFUNCTION("""COMPUTED_VALUE"""),44471.0)</f>
        <v>44471</v>
      </c>
      <c r="B1431" s="9">
        <f>IFERROR(__xludf.DUMMYFUNCTION("""COMPUTED_VALUE"""),1003479.0)</f>
        <v>1003479</v>
      </c>
      <c r="C1431" s="9">
        <f>IFERROR(__xludf.DUMMYFUNCTION("""COMPUTED_VALUE"""),116888.0)</f>
        <v>116888</v>
      </c>
      <c r="D1431" s="9"/>
      <c r="E1431" s="9"/>
      <c r="F1431" s="9">
        <f>IFERROR(__xludf.DUMMYFUNCTION("""COMPUTED_VALUE"""),4.04)</f>
        <v>4.04</v>
      </c>
      <c r="G1431" s="9">
        <f>IFERROR(__xludf.DUMMYFUNCTION("""COMPUTED_VALUE"""),4.04)</f>
        <v>4.04</v>
      </c>
      <c r="H1431" s="9">
        <f>IFERROR(__xludf.DUMMYFUNCTION("""COMPUTED_VALUE"""),2.0)</f>
        <v>2</v>
      </c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</row>
    <row r="1432" ht="15.75" customHeight="1">
      <c r="A1432" s="11">
        <f>IFERROR(__xludf.DUMMYFUNCTION("""COMPUTED_VALUE"""),44471.0)</f>
        <v>44471</v>
      </c>
      <c r="B1432" s="9">
        <f>IFERROR(__xludf.DUMMYFUNCTION("""COMPUTED_VALUE"""),1003480.0)</f>
        <v>1003480</v>
      </c>
      <c r="C1432" s="9">
        <f>IFERROR(__xludf.DUMMYFUNCTION("""COMPUTED_VALUE"""),88808.0)</f>
        <v>88808</v>
      </c>
      <c r="D1432" s="9"/>
      <c r="E1432" s="10" t="str">
        <f>IFERROR(__xludf.DUMMYFUNCTION("""COMPUTED_VALUE"""),"HAPPEEZ")</f>
        <v>HAPPEEZ</v>
      </c>
      <c r="F1432" s="10">
        <f>IFERROR(__xludf.DUMMYFUNCTION("""COMPUTED_VALUE"""),1.64)</f>
        <v>1.64</v>
      </c>
      <c r="G1432" s="9">
        <f>IFERROR(__xludf.DUMMYFUNCTION("""COMPUTED_VALUE"""),1.64)</f>
        <v>1.64</v>
      </c>
      <c r="H1432" s="9">
        <f>IFERROR(__xludf.DUMMYFUNCTION("""COMPUTED_VALUE"""),1.0)</f>
        <v>1</v>
      </c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</row>
    <row r="1433" ht="15.75" customHeight="1">
      <c r="A1433" s="11">
        <f>IFERROR(__xludf.DUMMYFUNCTION("""COMPUTED_VALUE"""),44471.0)</f>
        <v>44471</v>
      </c>
      <c r="B1433" s="9">
        <f>IFERROR(__xludf.DUMMYFUNCTION("""COMPUTED_VALUE"""),1003480.0)</f>
        <v>1003480</v>
      </c>
      <c r="C1433" s="9">
        <f>IFERROR(__xludf.DUMMYFUNCTION("""COMPUTED_VALUE"""),114589.0)</f>
        <v>114589</v>
      </c>
      <c r="D1433" s="9"/>
      <c r="E1433" s="10" t="str">
        <f>IFERROR(__xludf.DUMMYFUNCTION("""COMPUTED_VALUE"""),"HAPPEEZ")</f>
        <v>HAPPEEZ</v>
      </c>
      <c r="F1433" s="10">
        <f>IFERROR(__xludf.DUMMYFUNCTION("""COMPUTED_VALUE"""),9.33)</f>
        <v>9.33</v>
      </c>
      <c r="G1433" s="9">
        <f>IFERROR(__xludf.DUMMYFUNCTION("""COMPUTED_VALUE"""),9.33)</f>
        <v>9.33</v>
      </c>
      <c r="H1433" s="9">
        <f>IFERROR(__xludf.DUMMYFUNCTION("""COMPUTED_VALUE"""),6.0)</f>
        <v>6</v>
      </c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</row>
    <row r="1434" ht="15.75" customHeight="1">
      <c r="A1434" s="11">
        <f>IFERROR(__xludf.DUMMYFUNCTION("""COMPUTED_VALUE"""),44471.0)</f>
        <v>44471</v>
      </c>
      <c r="B1434" s="9">
        <f>IFERROR(__xludf.DUMMYFUNCTION("""COMPUTED_VALUE"""),1003481.0)</f>
        <v>1003481</v>
      </c>
      <c r="C1434" s="9">
        <f>IFERROR(__xludf.DUMMYFUNCTION("""COMPUTED_VALUE"""),81771.0)</f>
        <v>81771</v>
      </c>
      <c r="D1434" s="10" t="str">
        <f>IFERROR(__xludf.DUMMYFUNCTION("""COMPUTED_VALUE"""),"Vive le bio")</f>
        <v>Vive le bio</v>
      </c>
      <c r="E1434" s="10"/>
      <c r="F1434" s="9">
        <f>IFERROR(__xludf.DUMMYFUNCTION("""COMPUTED_VALUE"""),2.21111111111111)</f>
        <v>2.211111111</v>
      </c>
      <c r="G1434" s="9">
        <f>IFERROR(__xludf.DUMMYFUNCTION("""COMPUTED_VALUE"""),1.99)</f>
        <v>1.99</v>
      </c>
      <c r="H1434" s="9">
        <f>IFERROR(__xludf.DUMMYFUNCTION("""COMPUTED_VALUE"""),1.0)</f>
        <v>1</v>
      </c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</row>
    <row r="1435" ht="15.75" customHeight="1">
      <c r="A1435" s="11">
        <f>IFERROR(__xludf.DUMMYFUNCTION("""COMPUTED_VALUE"""),44471.0)</f>
        <v>44471</v>
      </c>
      <c r="B1435" s="9">
        <f>IFERROR(__xludf.DUMMYFUNCTION("""COMPUTED_VALUE"""),1003481.0)</f>
        <v>1003481</v>
      </c>
      <c r="C1435" s="9">
        <f>IFERROR(__xludf.DUMMYFUNCTION("""COMPUTED_VALUE"""),27984.0)</f>
        <v>27984</v>
      </c>
      <c r="D1435" s="9"/>
      <c r="E1435" s="9"/>
      <c r="F1435" s="9">
        <f>IFERROR(__xludf.DUMMYFUNCTION("""COMPUTED_VALUE"""),20.74)</f>
        <v>20.74</v>
      </c>
      <c r="G1435" s="9">
        <f>IFERROR(__xludf.DUMMYFUNCTION("""COMPUTED_VALUE"""),20.74)</f>
        <v>20.74</v>
      </c>
      <c r="H1435" s="9">
        <f>IFERROR(__xludf.DUMMYFUNCTION("""COMPUTED_VALUE"""),1.0)</f>
        <v>1</v>
      </c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</row>
    <row r="1436" ht="15.75" customHeight="1">
      <c r="A1436" s="11">
        <f>IFERROR(__xludf.DUMMYFUNCTION("""COMPUTED_VALUE"""),44471.0)</f>
        <v>44471</v>
      </c>
      <c r="B1436" s="9">
        <f>IFERROR(__xludf.DUMMYFUNCTION("""COMPUTED_VALUE"""),1003481.0)</f>
        <v>1003481</v>
      </c>
      <c r="C1436" s="9">
        <f>IFERROR(__xludf.DUMMYFUNCTION("""COMPUTED_VALUE"""),118577.0)</f>
        <v>118577</v>
      </c>
      <c r="D1436" s="9"/>
      <c r="E1436" s="9"/>
      <c r="F1436" s="9">
        <f>IFERROR(__xludf.DUMMYFUNCTION("""COMPUTED_VALUE"""),5.07)</f>
        <v>5.07</v>
      </c>
      <c r="G1436" s="9">
        <f>IFERROR(__xludf.DUMMYFUNCTION("""COMPUTED_VALUE"""),5.07)</f>
        <v>5.07</v>
      </c>
      <c r="H1436" s="9">
        <f>IFERROR(__xludf.DUMMYFUNCTION("""COMPUTED_VALUE"""),1.0)</f>
        <v>1</v>
      </c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</row>
    <row r="1437" ht="15.75" customHeight="1">
      <c r="A1437" s="11">
        <f>IFERROR(__xludf.DUMMYFUNCTION("""COMPUTED_VALUE"""),44471.0)</f>
        <v>44471</v>
      </c>
      <c r="B1437" s="9">
        <f>IFERROR(__xludf.DUMMYFUNCTION("""COMPUTED_VALUE"""),1003481.0)</f>
        <v>1003481</v>
      </c>
      <c r="C1437" s="9">
        <f>IFERROR(__xludf.DUMMYFUNCTION("""COMPUTED_VALUE"""),110072.0)</f>
        <v>110072</v>
      </c>
      <c r="D1437" s="9"/>
      <c r="E1437" s="9"/>
      <c r="F1437" s="9">
        <f>IFERROR(__xludf.DUMMYFUNCTION("""COMPUTED_VALUE"""),4.44)</f>
        <v>4.44</v>
      </c>
      <c r="G1437" s="9">
        <f>IFERROR(__xludf.DUMMYFUNCTION("""COMPUTED_VALUE"""),4.44)</f>
        <v>4.44</v>
      </c>
      <c r="H1437" s="9">
        <f>IFERROR(__xludf.DUMMYFUNCTION("""COMPUTED_VALUE"""),1.0)</f>
        <v>1</v>
      </c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</row>
    <row r="1438" ht="15.75" customHeight="1">
      <c r="A1438" s="11">
        <f>IFERROR(__xludf.DUMMYFUNCTION("""COMPUTED_VALUE"""),44471.0)</f>
        <v>44471</v>
      </c>
      <c r="B1438" s="9">
        <f>IFERROR(__xludf.DUMMYFUNCTION("""COMPUTED_VALUE"""),1003482.0)</f>
        <v>1003482</v>
      </c>
      <c r="C1438" s="9">
        <f>IFERROR(__xludf.DUMMYFUNCTION("""COMPUTED_VALUE"""),93893.0)</f>
        <v>93893</v>
      </c>
      <c r="D1438" s="10" t="str">
        <f>IFERROR(__xludf.DUMMYFUNCTION("""COMPUTED_VALUE"""),"Vive le bio")</f>
        <v>Vive le bio</v>
      </c>
      <c r="E1438" s="10"/>
      <c r="F1438" s="9">
        <f>IFERROR(__xludf.DUMMYFUNCTION("""COMPUTED_VALUE"""),8.41111111111111)</f>
        <v>8.411111111</v>
      </c>
      <c r="G1438" s="9">
        <f>IFERROR(__xludf.DUMMYFUNCTION("""COMPUTED_VALUE"""),7.57)</f>
        <v>7.57</v>
      </c>
      <c r="H1438" s="9">
        <f>IFERROR(__xludf.DUMMYFUNCTION("""COMPUTED_VALUE"""),1.0)</f>
        <v>1</v>
      </c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</row>
    <row r="1439" ht="15.75" customHeight="1">
      <c r="A1439" s="11">
        <f>IFERROR(__xludf.DUMMYFUNCTION("""COMPUTED_VALUE"""),44471.0)</f>
        <v>44471</v>
      </c>
      <c r="B1439" s="9">
        <f>IFERROR(__xludf.DUMMYFUNCTION("""COMPUTED_VALUE"""),1003482.0)</f>
        <v>1003482</v>
      </c>
      <c r="C1439" s="9">
        <f>IFERROR(__xludf.DUMMYFUNCTION("""COMPUTED_VALUE"""),111617.0)</f>
        <v>111617</v>
      </c>
      <c r="D1439" s="9"/>
      <c r="E1439" s="9"/>
      <c r="F1439" s="9">
        <f>IFERROR(__xludf.DUMMYFUNCTION("""COMPUTED_VALUE"""),5.58)</f>
        <v>5.58</v>
      </c>
      <c r="G1439" s="9">
        <f>IFERROR(__xludf.DUMMYFUNCTION("""COMPUTED_VALUE"""),5.58)</f>
        <v>5.58</v>
      </c>
      <c r="H1439" s="9">
        <f>IFERROR(__xludf.DUMMYFUNCTION("""COMPUTED_VALUE"""),1.0)</f>
        <v>1</v>
      </c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</row>
    <row r="1440" ht="15.75" customHeight="1">
      <c r="A1440" s="11">
        <f>IFERROR(__xludf.DUMMYFUNCTION("""COMPUTED_VALUE"""),44471.0)</f>
        <v>44471</v>
      </c>
      <c r="B1440" s="9">
        <f>IFERROR(__xludf.DUMMYFUNCTION("""COMPUTED_VALUE"""),1003482.0)</f>
        <v>1003482</v>
      </c>
      <c r="C1440" s="9">
        <f>IFERROR(__xludf.DUMMYFUNCTION("""COMPUTED_VALUE"""),91490.0)</f>
        <v>91490</v>
      </c>
      <c r="D1440" s="9"/>
      <c r="E1440" s="9"/>
      <c r="F1440" s="9">
        <f>IFERROR(__xludf.DUMMYFUNCTION("""COMPUTED_VALUE"""),7.35)</f>
        <v>7.35</v>
      </c>
      <c r="G1440" s="9">
        <f>IFERROR(__xludf.DUMMYFUNCTION("""COMPUTED_VALUE"""),7.35)</f>
        <v>7.35</v>
      </c>
      <c r="H1440" s="9">
        <f>IFERROR(__xludf.DUMMYFUNCTION("""COMPUTED_VALUE"""),1.0)</f>
        <v>1</v>
      </c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</row>
    <row r="1441" ht="15.75" customHeight="1">
      <c r="A1441" s="11">
        <f>IFERROR(__xludf.DUMMYFUNCTION("""COMPUTED_VALUE"""),44471.0)</f>
        <v>44471</v>
      </c>
      <c r="B1441" s="9">
        <f>IFERROR(__xludf.DUMMYFUNCTION("""COMPUTED_VALUE"""),1003482.0)</f>
        <v>1003482</v>
      </c>
      <c r="C1441" s="9">
        <f>IFERROR(__xludf.DUMMYFUNCTION("""COMPUTED_VALUE"""),79921.0)</f>
        <v>79921</v>
      </c>
      <c r="D1441" s="9"/>
      <c r="E1441" s="9"/>
      <c r="F1441" s="9">
        <f>IFERROR(__xludf.DUMMYFUNCTION("""COMPUTED_VALUE"""),8.78)</f>
        <v>8.78</v>
      </c>
      <c r="G1441" s="9">
        <f>IFERROR(__xludf.DUMMYFUNCTION("""COMPUTED_VALUE"""),8.78)</f>
        <v>8.78</v>
      </c>
      <c r="H1441" s="9">
        <f>IFERROR(__xludf.DUMMYFUNCTION("""COMPUTED_VALUE"""),1.0)</f>
        <v>1</v>
      </c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</row>
    <row r="1442" ht="15.75" customHeight="1">
      <c r="A1442" s="11">
        <f>IFERROR(__xludf.DUMMYFUNCTION("""COMPUTED_VALUE"""),44471.0)</f>
        <v>44471</v>
      </c>
      <c r="B1442" s="9">
        <f>IFERROR(__xludf.DUMMYFUNCTION("""COMPUTED_VALUE"""),1003482.0)</f>
        <v>1003482</v>
      </c>
      <c r="C1442" s="9">
        <f>IFERROR(__xludf.DUMMYFUNCTION("""COMPUTED_VALUE"""),120996.0)</f>
        <v>120996</v>
      </c>
      <c r="D1442" s="9"/>
      <c r="E1442" s="9"/>
      <c r="F1442" s="9">
        <f>IFERROR(__xludf.DUMMYFUNCTION("""COMPUTED_VALUE"""),5.42)</f>
        <v>5.42</v>
      </c>
      <c r="G1442" s="9">
        <f>IFERROR(__xludf.DUMMYFUNCTION("""COMPUTED_VALUE"""),5.42)</f>
        <v>5.42</v>
      </c>
      <c r="H1442" s="9">
        <f>IFERROR(__xludf.DUMMYFUNCTION("""COMPUTED_VALUE"""),2.0)</f>
        <v>2</v>
      </c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</row>
    <row r="1443" ht="15.75" customHeight="1">
      <c r="A1443" s="11">
        <f>IFERROR(__xludf.DUMMYFUNCTION("""COMPUTED_VALUE"""),44471.0)</f>
        <v>44471</v>
      </c>
      <c r="B1443" s="9">
        <f>IFERROR(__xludf.DUMMYFUNCTION("""COMPUTED_VALUE"""),1003482.0)</f>
        <v>1003482</v>
      </c>
      <c r="C1443" s="9">
        <f>IFERROR(__xludf.DUMMYFUNCTION("""COMPUTED_VALUE"""),110398.0)</f>
        <v>110398</v>
      </c>
      <c r="D1443" s="9"/>
      <c r="E1443" s="9"/>
      <c r="F1443" s="9">
        <f>IFERROR(__xludf.DUMMYFUNCTION("""COMPUTED_VALUE"""),6.42)</f>
        <v>6.42</v>
      </c>
      <c r="G1443" s="9">
        <f>IFERROR(__xludf.DUMMYFUNCTION("""COMPUTED_VALUE"""),6.42)</f>
        <v>6.42</v>
      </c>
      <c r="H1443" s="9">
        <f>IFERROR(__xludf.DUMMYFUNCTION("""COMPUTED_VALUE"""),3.0)</f>
        <v>3</v>
      </c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</row>
    <row r="1444" ht="15.75" customHeight="1">
      <c r="A1444" s="11">
        <f>IFERROR(__xludf.DUMMYFUNCTION("""COMPUTED_VALUE"""),44471.0)</f>
        <v>44471</v>
      </c>
      <c r="B1444" s="9">
        <f>IFERROR(__xludf.DUMMYFUNCTION("""COMPUTED_VALUE"""),1003483.0)</f>
        <v>1003483</v>
      </c>
      <c r="C1444" s="9">
        <f>IFERROR(__xludf.DUMMYFUNCTION("""COMPUTED_VALUE"""),117892.0)</f>
        <v>117892</v>
      </c>
      <c r="D1444" s="9"/>
      <c r="E1444" s="9"/>
      <c r="F1444" s="9">
        <f>IFERROR(__xludf.DUMMYFUNCTION("""COMPUTED_VALUE"""),15.31)</f>
        <v>15.31</v>
      </c>
      <c r="G1444" s="9">
        <f>IFERROR(__xludf.DUMMYFUNCTION("""COMPUTED_VALUE"""),15.31)</f>
        <v>15.31</v>
      </c>
      <c r="H1444" s="9">
        <f>IFERROR(__xludf.DUMMYFUNCTION("""COMPUTED_VALUE"""),1.0)</f>
        <v>1</v>
      </c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</row>
    <row r="1445" ht="15.75" customHeight="1">
      <c r="A1445" s="11">
        <f>IFERROR(__xludf.DUMMYFUNCTION("""COMPUTED_VALUE"""),44471.0)</f>
        <v>44471</v>
      </c>
      <c r="B1445" s="9">
        <f>IFERROR(__xludf.DUMMYFUNCTION("""COMPUTED_VALUE"""),1003483.0)</f>
        <v>1003483</v>
      </c>
      <c r="C1445" s="9">
        <f>IFERROR(__xludf.DUMMYFUNCTION("""COMPUTED_VALUE"""),117893.0)</f>
        <v>117893</v>
      </c>
      <c r="D1445" s="9"/>
      <c r="E1445" s="9"/>
      <c r="F1445" s="9">
        <f>IFERROR(__xludf.DUMMYFUNCTION("""COMPUTED_VALUE"""),20.13)</f>
        <v>20.13</v>
      </c>
      <c r="G1445" s="9">
        <f>IFERROR(__xludf.DUMMYFUNCTION("""COMPUTED_VALUE"""),20.13)</f>
        <v>20.13</v>
      </c>
      <c r="H1445" s="9">
        <f>IFERROR(__xludf.DUMMYFUNCTION("""COMPUTED_VALUE"""),1.0)</f>
        <v>1</v>
      </c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</row>
    <row r="1446" ht="15.75" customHeight="1">
      <c r="A1446" s="11">
        <f>IFERROR(__xludf.DUMMYFUNCTION("""COMPUTED_VALUE"""),44471.0)</f>
        <v>44471</v>
      </c>
      <c r="B1446" s="9">
        <f>IFERROR(__xludf.DUMMYFUNCTION("""COMPUTED_VALUE"""),1003484.0)</f>
        <v>1003484</v>
      </c>
      <c r="C1446" s="9">
        <f>IFERROR(__xludf.DUMMYFUNCTION("""COMPUTED_VALUE"""),87440.0)</f>
        <v>87440</v>
      </c>
      <c r="D1446" s="9"/>
      <c r="E1446" s="9"/>
      <c r="F1446" s="9">
        <f>IFERROR(__xludf.DUMMYFUNCTION("""COMPUTED_VALUE"""),1.46)</f>
        <v>1.46</v>
      </c>
      <c r="G1446" s="9">
        <f>IFERROR(__xludf.DUMMYFUNCTION("""COMPUTED_VALUE"""),1.46)</f>
        <v>1.46</v>
      </c>
      <c r="H1446" s="9">
        <f>IFERROR(__xludf.DUMMYFUNCTION("""COMPUTED_VALUE"""),1.0)</f>
        <v>1</v>
      </c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</row>
    <row r="1447" ht="15.75" customHeight="1">
      <c r="A1447" s="11">
        <f>IFERROR(__xludf.DUMMYFUNCTION("""COMPUTED_VALUE"""),44471.0)</f>
        <v>44471</v>
      </c>
      <c r="B1447" s="9">
        <f>IFERROR(__xludf.DUMMYFUNCTION("""COMPUTED_VALUE"""),1003484.0)</f>
        <v>1003484</v>
      </c>
      <c r="C1447" s="9">
        <f>IFERROR(__xludf.DUMMYFUNCTION("""COMPUTED_VALUE"""),121803.0)</f>
        <v>121803</v>
      </c>
      <c r="D1447" s="9"/>
      <c r="E1447" s="9"/>
      <c r="F1447" s="9">
        <f>IFERROR(__xludf.DUMMYFUNCTION("""COMPUTED_VALUE"""),1.84)</f>
        <v>1.84</v>
      </c>
      <c r="G1447" s="9">
        <f>IFERROR(__xludf.DUMMYFUNCTION("""COMPUTED_VALUE"""),1.84)</f>
        <v>1.84</v>
      </c>
      <c r="H1447" s="9">
        <f>IFERROR(__xludf.DUMMYFUNCTION("""COMPUTED_VALUE"""),1.0)</f>
        <v>1</v>
      </c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</row>
    <row r="1448" ht="15.75" customHeight="1">
      <c r="A1448" s="11">
        <f>IFERROR(__xludf.DUMMYFUNCTION("""COMPUTED_VALUE"""),44471.0)</f>
        <v>44471</v>
      </c>
      <c r="B1448" s="9">
        <f>IFERROR(__xludf.DUMMYFUNCTION("""COMPUTED_VALUE"""),1003484.0)</f>
        <v>1003484</v>
      </c>
      <c r="C1448" s="9">
        <f>IFERROR(__xludf.DUMMYFUNCTION("""COMPUTED_VALUE"""),113845.0)</f>
        <v>113845</v>
      </c>
      <c r="D1448" s="10" t="str">
        <f>IFERROR(__xludf.DUMMYFUNCTION("""COMPUTED_VALUE"""),"Vive le bio")</f>
        <v>Vive le bio</v>
      </c>
      <c r="E1448" s="10"/>
      <c r="F1448" s="9">
        <f>IFERROR(__xludf.DUMMYFUNCTION("""COMPUTED_VALUE"""),16.2222222222222)</f>
        <v>16.22222222</v>
      </c>
      <c r="G1448" s="9">
        <f>IFERROR(__xludf.DUMMYFUNCTION("""COMPUTED_VALUE"""),14.6)</f>
        <v>14.6</v>
      </c>
      <c r="H1448" s="9">
        <f>IFERROR(__xludf.DUMMYFUNCTION("""COMPUTED_VALUE"""),1.0)</f>
        <v>1</v>
      </c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</row>
    <row r="1449" ht="15.75" customHeight="1">
      <c r="A1449" s="11">
        <f>IFERROR(__xludf.DUMMYFUNCTION("""COMPUTED_VALUE"""),44471.0)</f>
        <v>44471</v>
      </c>
      <c r="B1449" s="9">
        <f>IFERROR(__xludf.DUMMYFUNCTION("""COMPUTED_VALUE"""),1003484.0)</f>
        <v>1003484</v>
      </c>
      <c r="C1449" s="9">
        <f>IFERROR(__xludf.DUMMYFUNCTION("""COMPUTED_VALUE"""),147317.0)</f>
        <v>147317</v>
      </c>
      <c r="D1449" s="9"/>
      <c r="E1449" s="9"/>
      <c r="F1449" s="9">
        <f>IFERROR(__xludf.DUMMYFUNCTION("""COMPUTED_VALUE"""),1.16)</f>
        <v>1.16</v>
      </c>
      <c r="G1449" s="9">
        <f>IFERROR(__xludf.DUMMYFUNCTION("""COMPUTED_VALUE"""),1.16)</f>
        <v>1.16</v>
      </c>
      <c r="H1449" s="9">
        <f>IFERROR(__xludf.DUMMYFUNCTION("""COMPUTED_VALUE"""),1.0)</f>
        <v>1</v>
      </c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</row>
    <row r="1450" ht="15.75" customHeight="1">
      <c r="A1450" s="11">
        <f>IFERROR(__xludf.DUMMYFUNCTION("""COMPUTED_VALUE"""),44471.0)</f>
        <v>44471</v>
      </c>
      <c r="B1450" s="9">
        <f>IFERROR(__xludf.DUMMYFUNCTION("""COMPUTED_VALUE"""),1003484.0)</f>
        <v>1003484</v>
      </c>
      <c r="C1450" s="9">
        <f>IFERROR(__xludf.DUMMYFUNCTION("""COMPUTED_VALUE"""),85251.0)</f>
        <v>85251</v>
      </c>
      <c r="D1450" s="9"/>
      <c r="E1450" s="9"/>
      <c r="F1450" s="9">
        <f>IFERROR(__xludf.DUMMYFUNCTION("""COMPUTED_VALUE"""),24.89)</f>
        <v>24.89</v>
      </c>
      <c r="G1450" s="9">
        <f>IFERROR(__xludf.DUMMYFUNCTION("""COMPUTED_VALUE"""),24.89)</f>
        <v>24.89</v>
      </c>
      <c r="H1450" s="9">
        <f>IFERROR(__xludf.DUMMYFUNCTION("""COMPUTED_VALUE"""),1.0)</f>
        <v>1</v>
      </c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</row>
    <row r="1451" ht="15.75" customHeight="1">
      <c r="A1451" s="11">
        <f>IFERROR(__xludf.DUMMYFUNCTION("""COMPUTED_VALUE"""),44471.0)</f>
        <v>44471</v>
      </c>
      <c r="B1451" s="9">
        <f>IFERROR(__xludf.DUMMYFUNCTION("""COMPUTED_VALUE"""),1003484.0)</f>
        <v>1003484</v>
      </c>
      <c r="C1451" s="9">
        <f>IFERROR(__xludf.DUMMYFUNCTION("""COMPUTED_VALUE"""),69346.0)</f>
        <v>69346</v>
      </c>
      <c r="D1451" s="9"/>
      <c r="E1451" s="9"/>
      <c r="F1451" s="9">
        <f>IFERROR(__xludf.DUMMYFUNCTION("""COMPUTED_VALUE"""),2.21)</f>
        <v>2.21</v>
      </c>
      <c r="G1451" s="9">
        <f>IFERROR(__xludf.DUMMYFUNCTION("""COMPUTED_VALUE"""),2.21)</f>
        <v>2.21</v>
      </c>
      <c r="H1451" s="9">
        <f>IFERROR(__xludf.DUMMYFUNCTION("""COMPUTED_VALUE"""),1.0)</f>
        <v>1</v>
      </c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</row>
    <row r="1452" ht="15.75" customHeight="1">
      <c r="A1452" s="11">
        <f>IFERROR(__xludf.DUMMYFUNCTION("""COMPUTED_VALUE"""),44471.0)</f>
        <v>44471</v>
      </c>
      <c r="B1452" s="9">
        <f>IFERROR(__xludf.DUMMYFUNCTION("""COMPUTED_VALUE"""),1003484.0)</f>
        <v>1003484</v>
      </c>
      <c r="C1452" s="9">
        <f>IFERROR(__xludf.DUMMYFUNCTION("""COMPUTED_VALUE"""),79958.0)</f>
        <v>79958</v>
      </c>
      <c r="D1452" s="9"/>
      <c r="E1452" s="9"/>
      <c r="F1452" s="9">
        <f>IFERROR(__xludf.DUMMYFUNCTION("""COMPUTED_VALUE"""),3.21)</f>
        <v>3.21</v>
      </c>
      <c r="G1452" s="9">
        <f>IFERROR(__xludf.DUMMYFUNCTION("""COMPUTED_VALUE"""),3.21)</f>
        <v>3.21</v>
      </c>
      <c r="H1452" s="9">
        <f>IFERROR(__xludf.DUMMYFUNCTION("""COMPUTED_VALUE"""),1.0)</f>
        <v>1</v>
      </c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</row>
    <row r="1453" ht="15.75" customHeight="1">
      <c r="A1453" s="11">
        <f>IFERROR(__xludf.DUMMYFUNCTION("""COMPUTED_VALUE"""),44471.0)</f>
        <v>44471</v>
      </c>
      <c r="B1453" s="9">
        <f>IFERROR(__xludf.DUMMYFUNCTION("""COMPUTED_VALUE"""),1003484.0)</f>
        <v>1003484</v>
      </c>
      <c r="C1453" s="9">
        <f>IFERROR(__xludf.DUMMYFUNCTION("""COMPUTED_VALUE"""),121287.0)</f>
        <v>121287</v>
      </c>
      <c r="D1453" s="9"/>
      <c r="E1453" s="9"/>
      <c r="F1453" s="9">
        <f>IFERROR(__xludf.DUMMYFUNCTION("""COMPUTED_VALUE"""),31.76)</f>
        <v>31.76</v>
      </c>
      <c r="G1453" s="9">
        <f>IFERROR(__xludf.DUMMYFUNCTION("""COMPUTED_VALUE"""),31.76)</f>
        <v>31.76</v>
      </c>
      <c r="H1453" s="9">
        <f>IFERROR(__xludf.DUMMYFUNCTION("""COMPUTED_VALUE"""),1.0)</f>
        <v>1</v>
      </c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</row>
    <row r="1454" ht="15.75" customHeight="1">
      <c r="A1454" s="11">
        <f>IFERROR(__xludf.DUMMYFUNCTION("""COMPUTED_VALUE"""),44471.0)</f>
        <v>44471</v>
      </c>
      <c r="B1454" s="9">
        <f>IFERROR(__xludf.DUMMYFUNCTION("""COMPUTED_VALUE"""),1003484.0)</f>
        <v>1003484</v>
      </c>
      <c r="C1454" s="9">
        <f>IFERROR(__xludf.DUMMYFUNCTION("""COMPUTED_VALUE"""),44266.0)</f>
        <v>44266</v>
      </c>
      <c r="D1454" s="9"/>
      <c r="E1454" s="9"/>
      <c r="F1454" s="9">
        <f>IFERROR(__xludf.DUMMYFUNCTION("""COMPUTED_VALUE"""),6.46)</f>
        <v>6.46</v>
      </c>
      <c r="G1454" s="9">
        <f>IFERROR(__xludf.DUMMYFUNCTION("""COMPUTED_VALUE"""),6.46)</f>
        <v>6.46</v>
      </c>
      <c r="H1454" s="9">
        <f>IFERROR(__xludf.DUMMYFUNCTION("""COMPUTED_VALUE"""),1.0)</f>
        <v>1</v>
      </c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</row>
    <row r="1455" ht="15.75" customHeight="1">
      <c r="A1455" s="11">
        <f>IFERROR(__xludf.DUMMYFUNCTION("""COMPUTED_VALUE"""),44471.0)</f>
        <v>44471</v>
      </c>
      <c r="B1455" s="9">
        <f>IFERROR(__xludf.DUMMYFUNCTION("""COMPUTED_VALUE"""),1003484.0)</f>
        <v>1003484</v>
      </c>
      <c r="C1455" s="9">
        <f>IFERROR(__xludf.DUMMYFUNCTION("""COMPUTED_VALUE"""),84167.0)</f>
        <v>84167</v>
      </c>
      <c r="D1455" s="9"/>
      <c r="E1455" s="9"/>
      <c r="F1455" s="9">
        <f>IFERROR(__xludf.DUMMYFUNCTION("""COMPUTED_VALUE"""),2.12)</f>
        <v>2.12</v>
      </c>
      <c r="G1455" s="9">
        <f>IFERROR(__xludf.DUMMYFUNCTION("""COMPUTED_VALUE"""),2.12)</f>
        <v>2.12</v>
      </c>
      <c r="H1455" s="9">
        <f>IFERROR(__xludf.DUMMYFUNCTION("""COMPUTED_VALUE"""),1.0)</f>
        <v>1</v>
      </c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</row>
    <row r="1456" ht="15.75" customHeight="1">
      <c r="A1456" s="11">
        <f>IFERROR(__xludf.DUMMYFUNCTION("""COMPUTED_VALUE"""),44471.0)</f>
        <v>44471</v>
      </c>
      <c r="B1456" s="9">
        <f>IFERROR(__xludf.DUMMYFUNCTION("""COMPUTED_VALUE"""),1003485.0)</f>
        <v>1003485</v>
      </c>
      <c r="C1456" s="9">
        <f>IFERROR(__xludf.DUMMYFUNCTION("""COMPUTED_VALUE"""),117527.0)</f>
        <v>117527</v>
      </c>
      <c r="D1456" s="9"/>
      <c r="E1456" s="9"/>
      <c r="F1456" s="9">
        <f>IFERROR(__xludf.DUMMYFUNCTION("""COMPUTED_VALUE"""),8.67)</f>
        <v>8.67</v>
      </c>
      <c r="G1456" s="9">
        <f>IFERROR(__xludf.DUMMYFUNCTION("""COMPUTED_VALUE"""),8.67)</f>
        <v>8.67</v>
      </c>
      <c r="H1456" s="9">
        <f>IFERROR(__xludf.DUMMYFUNCTION("""COMPUTED_VALUE"""),3.0)</f>
        <v>3</v>
      </c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</row>
    <row r="1457" ht="15.75" customHeight="1">
      <c r="A1457" s="11">
        <f>IFERROR(__xludf.DUMMYFUNCTION("""COMPUTED_VALUE"""),44471.0)</f>
        <v>44471</v>
      </c>
      <c r="B1457" s="9">
        <f>IFERROR(__xludf.DUMMYFUNCTION("""COMPUTED_VALUE"""),1003485.0)</f>
        <v>1003485</v>
      </c>
      <c r="C1457" s="9">
        <f>IFERROR(__xludf.DUMMYFUNCTION("""COMPUTED_VALUE"""),87421.0)</f>
        <v>87421</v>
      </c>
      <c r="D1457" s="9"/>
      <c r="E1457" s="9"/>
      <c r="F1457" s="9">
        <f>IFERROR(__xludf.DUMMYFUNCTION("""COMPUTED_VALUE"""),10.4)</f>
        <v>10.4</v>
      </c>
      <c r="G1457" s="9">
        <f>IFERROR(__xludf.DUMMYFUNCTION("""COMPUTED_VALUE"""),10.4)</f>
        <v>10.4</v>
      </c>
      <c r="H1457" s="9">
        <f>IFERROR(__xludf.DUMMYFUNCTION("""COMPUTED_VALUE"""),4.0)</f>
        <v>4</v>
      </c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</row>
    <row r="1458" ht="15.75" customHeight="1">
      <c r="A1458" s="11">
        <f>IFERROR(__xludf.DUMMYFUNCTION("""COMPUTED_VALUE"""),44471.0)</f>
        <v>44471</v>
      </c>
      <c r="B1458" s="9">
        <f>IFERROR(__xludf.DUMMYFUNCTION("""COMPUTED_VALUE"""),1003485.0)</f>
        <v>1003485</v>
      </c>
      <c r="C1458" s="9">
        <f>IFERROR(__xludf.DUMMYFUNCTION("""COMPUTED_VALUE"""),94645.0)</f>
        <v>94645</v>
      </c>
      <c r="D1458" s="9"/>
      <c r="E1458" s="9"/>
      <c r="F1458" s="9">
        <f>IFERROR(__xludf.DUMMYFUNCTION("""COMPUTED_VALUE"""),26.46)</f>
        <v>26.46</v>
      </c>
      <c r="G1458" s="9">
        <f>IFERROR(__xludf.DUMMYFUNCTION("""COMPUTED_VALUE"""),26.46)</f>
        <v>26.46</v>
      </c>
      <c r="H1458" s="9">
        <f>IFERROR(__xludf.DUMMYFUNCTION("""COMPUTED_VALUE"""),6.0)</f>
        <v>6</v>
      </c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</row>
    <row r="1459" ht="15.75" customHeight="1">
      <c r="A1459" s="11">
        <f>IFERROR(__xludf.DUMMYFUNCTION("""COMPUTED_VALUE"""),44471.0)</f>
        <v>44471</v>
      </c>
      <c r="B1459" s="9">
        <f>IFERROR(__xludf.DUMMYFUNCTION("""COMPUTED_VALUE"""),1003486.0)</f>
        <v>1003486</v>
      </c>
      <c r="C1459" s="9">
        <f>IFERROR(__xludf.DUMMYFUNCTION("""COMPUTED_VALUE"""),17609.0)</f>
        <v>17609</v>
      </c>
      <c r="D1459" s="9"/>
      <c r="E1459" s="9"/>
      <c r="F1459" s="9">
        <f>IFERROR(__xludf.DUMMYFUNCTION("""COMPUTED_VALUE"""),10.64)</f>
        <v>10.64</v>
      </c>
      <c r="G1459" s="9">
        <f>IFERROR(__xludf.DUMMYFUNCTION("""COMPUTED_VALUE"""),10.64)</f>
        <v>10.64</v>
      </c>
      <c r="H1459" s="9">
        <f>IFERROR(__xludf.DUMMYFUNCTION("""COMPUTED_VALUE"""),1.0)</f>
        <v>1</v>
      </c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</row>
    <row r="1460" ht="15.75" customHeight="1">
      <c r="A1460" s="11">
        <f>IFERROR(__xludf.DUMMYFUNCTION("""COMPUTED_VALUE"""),44471.0)</f>
        <v>44471</v>
      </c>
      <c r="B1460" s="9">
        <f>IFERROR(__xludf.DUMMYFUNCTION("""COMPUTED_VALUE"""),1003486.0)</f>
        <v>1003486</v>
      </c>
      <c r="C1460" s="9">
        <f>IFERROR(__xludf.DUMMYFUNCTION("""COMPUTED_VALUE"""),76584.0)</f>
        <v>76584</v>
      </c>
      <c r="D1460" s="9"/>
      <c r="E1460" s="9"/>
      <c r="F1460" s="9">
        <f>IFERROR(__xludf.DUMMYFUNCTION("""COMPUTED_VALUE"""),1.83)</f>
        <v>1.83</v>
      </c>
      <c r="G1460" s="9">
        <f>IFERROR(__xludf.DUMMYFUNCTION("""COMPUTED_VALUE"""),1.83)</f>
        <v>1.83</v>
      </c>
      <c r="H1460" s="9">
        <f>IFERROR(__xludf.DUMMYFUNCTION("""COMPUTED_VALUE"""),1.0)</f>
        <v>1</v>
      </c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</row>
    <row r="1461" ht="15.75" customHeight="1">
      <c r="A1461" s="11">
        <f>IFERROR(__xludf.DUMMYFUNCTION("""COMPUTED_VALUE"""),44471.0)</f>
        <v>44471</v>
      </c>
      <c r="B1461" s="9">
        <f>IFERROR(__xludf.DUMMYFUNCTION("""COMPUTED_VALUE"""),1003486.0)</f>
        <v>1003486</v>
      </c>
      <c r="C1461" s="9">
        <f>IFERROR(__xludf.DUMMYFUNCTION("""COMPUTED_VALUE"""),80550.0)</f>
        <v>80550</v>
      </c>
      <c r="D1461" s="10" t="str">
        <f>IFERROR(__xludf.DUMMYFUNCTION("""COMPUTED_VALUE"""),"Vive le bio")</f>
        <v>Vive le bio</v>
      </c>
      <c r="E1461" s="10"/>
      <c r="F1461" s="9">
        <f>IFERROR(__xludf.DUMMYFUNCTION("""COMPUTED_VALUE"""),11.6111111111111)</f>
        <v>11.61111111</v>
      </c>
      <c r="G1461" s="9">
        <f>IFERROR(__xludf.DUMMYFUNCTION("""COMPUTED_VALUE"""),10.45)</f>
        <v>10.45</v>
      </c>
      <c r="H1461" s="9">
        <f>IFERROR(__xludf.DUMMYFUNCTION("""COMPUTED_VALUE"""),1.0)</f>
        <v>1</v>
      </c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</row>
    <row r="1462" ht="15.75" customHeight="1">
      <c r="A1462" s="11">
        <f>IFERROR(__xludf.DUMMYFUNCTION("""COMPUTED_VALUE"""),44471.0)</f>
        <v>44471</v>
      </c>
      <c r="B1462" s="9">
        <f>IFERROR(__xludf.DUMMYFUNCTION("""COMPUTED_VALUE"""),1003486.0)</f>
        <v>1003486</v>
      </c>
      <c r="C1462" s="9">
        <f>IFERROR(__xludf.DUMMYFUNCTION("""COMPUTED_VALUE"""),70553.0)</f>
        <v>70553</v>
      </c>
      <c r="D1462" s="9"/>
      <c r="E1462" s="9"/>
      <c r="F1462" s="9">
        <f>IFERROR(__xludf.DUMMYFUNCTION("""COMPUTED_VALUE"""),8.03)</f>
        <v>8.03</v>
      </c>
      <c r="G1462" s="9">
        <f>IFERROR(__xludf.DUMMYFUNCTION("""COMPUTED_VALUE"""),8.03)</f>
        <v>8.03</v>
      </c>
      <c r="H1462" s="9">
        <f>IFERROR(__xludf.DUMMYFUNCTION("""COMPUTED_VALUE"""),1.0)</f>
        <v>1</v>
      </c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</row>
    <row r="1463" ht="15.75" customHeight="1">
      <c r="A1463" s="11">
        <f>IFERROR(__xludf.DUMMYFUNCTION("""COMPUTED_VALUE"""),44471.0)</f>
        <v>44471</v>
      </c>
      <c r="B1463" s="9">
        <f>IFERROR(__xludf.DUMMYFUNCTION("""COMPUTED_VALUE"""),1003486.0)</f>
        <v>1003486</v>
      </c>
      <c r="C1463" s="9">
        <f>IFERROR(__xludf.DUMMYFUNCTION("""COMPUTED_VALUE"""),110573.0)</f>
        <v>110573</v>
      </c>
      <c r="D1463" s="9"/>
      <c r="E1463" s="9"/>
      <c r="F1463" s="9">
        <f>IFERROR(__xludf.DUMMYFUNCTION("""COMPUTED_VALUE"""),1.92)</f>
        <v>1.92</v>
      </c>
      <c r="G1463" s="9">
        <f>IFERROR(__xludf.DUMMYFUNCTION("""COMPUTED_VALUE"""),1.92)</f>
        <v>1.92</v>
      </c>
      <c r="H1463" s="9">
        <f>IFERROR(__xludf.DUMMYFUNCTION("""COMPUTED_VALUE"""),1.0)</f>
        <v>1</v>
      </c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</row>
    <row r="1464" ht="15.75" customHeight="1">
      <c r="A1464" s="11">
        <f>IFERROR(__xludf.DUMMYFUNCTION("""COMPUTED_VALUE"""),44471.0)</f>
        <v>44471</v>
      </c>
      <c r="B1464" s="9">
        <f>IFERROR(__xludf.DUMMYFUNCTION("""COMPUTED_VALUE"""),1003486.0)</f>
        <v>1003486</v>
      </c>
      <c r="C1464" s="9">
        <f>IFERROR(__xludf.DUMMYFUNCTION("""COMPUTED_VALUE"""),83625.0)</f>
        <v>83625</v>
      </c>
      <c r="D1464" s="9"/>
      <c r="E1464" s="9"/>
      <c r="F1464" s="9">
        <f>IFERROR(__xludf.DUMMYFUNCTION("""COMPUTED_VALUE"""),3.24)</f>
        <v>3.24</v>
      </c>
      <c r="G1464" s="9">
        <f>IFERROR(__xludf.DUMMYFUNCTION("""COMPUTED_VALUE"""),3.24)</f>
        <v>3.24</v>
      </c>
      <c r="H1464" s="9">
        <f>IFERROR(__xludf.DUMMYFUNCTION("""COMPUTED_VALUE"""),1.0)</f>
        <v>1</v>
      </c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</row>
    <row r="1465" ht="15.75" customHeight="1">
      <c r="A1465" s="11">
        <f>IFERROR(__xludf.DUMMYFUNCTION("""COMPUTED_VALUE"""),44471.0)</f>
        <v>44471</v>
      </c>
      <c r="B1465" s="9">
        <f>IFERROR(__xludf.DUMMYFUNCTION("""COMPUTED_VALUE"""),1003486.0)</f>
        <v>1003486</v>
      </c>
      <c r="C1465" s="9">
        <f>IFERROR(__xludf.DUMMYFUNCTION("""COMPUTED_VALUE"""),112190.0)</f>
        <v>112190</v>
      </c>
      <c r="D1465" s="9"/>
      <c r="E1465" s="9"/>
      <c r="F1465" s="9">
        <f>IFERROR(__xludf.DUMMYFUNCTION("""COMPUTED_VALUE"""),7.64)</f>
        <v>7.64</v>
      </c>
      <c r="G1465" s="9">
        <f>IFERROR(__xludf.DUMMYFUNCTION("""COMPUTED_VALUE"""),7.64)</f>
        <v>7.64</v>
      </c>
      <c r="H1465" s="9">
        <f>IFERROR(__xludf.DUMMYFUNCTION("""COMPUTED_VALUE"""),2.0)</f>
        <v>2</v>
      </c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</row>
    <row r="1466" ht="15.75" customHeight="1">
      <c r="A1466" s="11">
        <f>IFERROR(__xludf.DUMMYFUNCTION("""COMPUTED_VALUE"""),44471.0)</f>
        <v>44471</v>
      </c>
      <c r="B1466" s="9">
        <f>IFERROR(__xludf.DUMMYFUNCTION("""COMPUTED_VALUE"""),1003487.0)</f>
        <v>1003487</v>
      </c>
      <c r="C1466" s="9">
        <f>IFERROR(__xludf.DUMMYFUNCTION("""COMPUTED_VALUE"""),100914.0)</f>
        <v>100914</v>
      </c>
      <c r="D1466" s="9"/>
      <c r="E1466" s="10" t="str">
        <f>IFERROR(__xludf.DUMMYFUNCTION("""COMPUTED_VALUE"""),"GREENRELAIS")</f>
        <v>GREENRELAIS</v>
      </c>
      <c r="F1466" s="10">
        <f>IFERROR(__xludf.DUMMYFUNCTION("""COMPUTED_VALUE"""),2.75)</f>
        <v>2.75</v>
      </c>
      <c r="G1466" s="9">
        <f>IFERROR(__xludf.DUMMYFUNCTION("""COMPUTED_VALUE"""),2.75)</f>
        <v>2.75</v>
      </c>
      <c r="H1466" s="9">
        <f>IFERROR(__xludf.DUMMYFUNCTION("""COMPUTED_VALUE"""),1.0)</f>
        <v>1</v>
      </c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</row>
    <row r="1467" ht="15.75" customHeight="1">
      <c r="A1467" s="11">
        <f>IFERROR(__xludf.DUMMYFUNCTION("""COMPUTED_VALUE"""),44471.0)</f>
        <v>44471</v>
      </c>
      <c r="B1467" s="9">
        <f>IFERROR(__xludf.DUMMYFUNCTION("""COMPUTED_VALUE"""),1003487.0)</f>
        <v>1003487</v>
      </c>
      <c r="C1467" s="9">
        <f>IFERROR(__xludf.DUMMYFUNCTION("""COMPUTED_VALUE"""),133914.0)</f>
        <v>133914</v>
      </c>
      <c r="D1467" s="9"/>
      <c r="E1467" s="10" t="str">
        <f>IFERROR(__xludf.DUMMYFUNCTION("""COMPUTED_VALUE"""),"GREENRELAIS")</f>
        <v>GREENRELAIS</v>
      </c>
      <c r="F1467" s="10">
        <f>IFERROR(__xludf.DUMMYFUNCTION("""COMPUTED_VALUE"""),2.89)</f>
        <v>2.89</v>
      </c>
      <c r="G1467" s="9">
        <f>IFERROR(__xludf.DUMMYFUNCTION("""COMPUTED_VALUE"""),2.89)</f>
        <v>2.89</v>
      </c>
      <c r="H1467" s="9">
        <f>IFERROR(__xludf.DUMMYFUNCTION("""COMPUTED_VALUE"""),1.0)</f>
        <v>1</v>
      </c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</row>
    <row r="1468" ht="15.75" customHeight="1">
      <c r="A1468" s="11">
        <f>IFERROR(__xludf.DUMMYFUNCTION("""COMPUTED_VALUE"""),44471.0)</f>
        <v>44471</v>
      </c>
      <c r="B1468" s="9">
        <f>IFERROR(__xludf.DUMMYFUNCTION("""COMPUTED_VALUE"""),1003487.0)</f>
        <v>1003487</v>
      </c>
      <c r="C1468" s="9">
        <f>IFERROR(__xludf.DUMMYFUNCTION("""COMPUTED_VALUE"""),108091.0)</f>
        <v>108091</v>
      </c>
      <c r="D1468" s="9"/>
      <c r="E1468" s="10" t="str">
        <f>IFERROR(__xludf.DUMMYFUNCTION("""COMPUTED_VALUE"""),"GREENRELAIS")</f>
        <v>GREENRELAIS</v>
      </c>
      <c r="F1468" s="10">
        <f>IFERROR(__xludf.DUMMYFUNCTION("""COMPUTED_VALUE"""),1.26)</f>
        <v>1.26</v>
      </c>
      <c r="G1468" s="9">
        <f>IFERROR(__xludf.DUMMYFUNCTION("""COMPUTED_VALUE"""),1.26)</f>
        <v>1.26</v>
      </c>
      <c r="H1468" s="9">
        <f>IFERROR(__xludf.DUMMYFUNCTION("""COMPUTED_VALUE"""),1.0)</f>
        <v>1</v>
      </c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</row>
    <row r="1469" ht="15.75" customHeight="1">
      <c r="A1469" s="11">
        <f>IFERROR(__xludf.DUMMYFUNCTION("""COMPUTED_VALUE"""),44471.0)</f>
        <v>44471</v>
      </c>
      <c r="B1469" s="9">
        <f>IFERROR(__xludf.DUMMYFUNCTION("""COMPUTED_VALUE"""),1003487.0)</f>
        <v>1003487</v>
      </c>
      <c r="C1469" s="9">
        <f>IFERROR(__xludf.DUMMYFUNCTION("""COMPUTED_VALUE"""),140597.0)</f>
        <v>140597</v>
      </c>
      <c r="D1469" s="9"/>
      <c r="E1469" s="10" t="str">
        <f>IFERROR(__xludf.DUMMYFUNCTION("""COMPUTED_VALUE"""),"GREENRELAIS")</f>
        <v>GREENRELAIS</v>
      </c>
      <c r="F1469" s="10">
        <f>IFERROR(__xludf.DUMMYFUNCTION("""COMPUTED_VALUE"""),1.39)</f>
        <v>1.39</v>
      </c>
      <c r="G1469" s="9">
        <f>IFERROR(__xludf.DUMMYFUNCTION("""COMPUTED_VALUE"""),1.39)</f>
        <v>1.39</v>
      </c>
      <c r="H1469" s="9">
        <f>IFERROR(__xludf.DUMMYFUNCTION("""COMPUTED_VALUE"""),1.0)</f>
        <v>1</v>
      </c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</row>
    <row r="1470" ht="15.75" customHeight="1">
      <c r="A1470" s="11">
        <f>IFERROR(__xludf.DUMMYFUNCTION("""COMPUTED_VALUE"""),44471.0)</f>
        <v>44471</v>
      </c>
      <c r="B1470" s="9">
        <f>IFERROR(__xludf.DUMMYFUNCTION("""COMPUTED_VALUE"""),1003487.0)</f>
        <v>1003487</v>
      </c>
      <c r="C1470" s="9">
        <f>IFERROR(__xludf.DUMMYFUNCTION("""COMPUTED_VALUE"""),12794.0)</f>
        <v>12794</v>
      </c>
      <c r="D1470" s="9"/>
      <c r="E1470" s="10" t="str">
        <f>IFERROR(__xludf.DUMMYFUNCTION("""COMPUTED_VALUE"""),"GREENRELAIS")</f>
        <v>GREENRELAIS</v>
      </c>
      <c r="F1470" s="10">
        <f>IFERROR(__xludf.DUMMYFUNCTION("""COMPUTED_VALUE"""),3.04)</f>
        <v>3.04</v>
      </c>
      <c r="G1470" s="9">
        <f>IFERROR(__xludf.DUMMYFUNCTION("""COMPUTED_VALUE"""),3.04)</f>
        <v>3.04</v>
      </c>
      <c r="H1470" s="9">
        <f>IFERROR(__xludf.DUMMYFUNCTION("""COMPUTED_VALUE"""),1.0)</f>
        <v>1</v>
      </c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</row>
    <row r="1471" ht="15.75" customHeight="1">
      <c r="A1471" s="11">
        <f>IFERROR(__xludf.DUMMYFUNCTION("""COMPUTED_VALUE"""),44471.0)</f>
        <v>44471</v>
      </c>
      <c r="B1471" s="9">
        <f>IFERROR(__xludf.DUMMYFUNCTION("""COMPUTED_VALUE"""),1003487.0)</f>
        <v>1003487</v>
      </c>
      <c r="C1471" s="9">
        <f>IFERROR(__xludf.DUMMYFUNCTION("""COMPUTED_VALUE"""),120263.0)</f>
        <v>120263</v>
      </c>
      <c r="D1471" s="9"/>
      <c r="E1471" s="10" t="str">
        <f>IFERROR(__xludf.DUMMYFUNCTION("""COMPUTED_VALUE"""),"GREENRELAIS")</f>
        <v>GREENRELAIS</v>
      </c>
      <c r="F1471" s="10">
        <f>IFERROR(__xludf.DUMMYFUNCTION("""COMPUTED_VALUE"""),1.21)</f>
        <v>1.21</v>
      </c>
      <c r="G1471" s="9">
        <f>IFERROR(__xludf.DUMMYFUNCTION("""COMPUTED_VALUE"""),1.21)</f>
        <v>1.21</v>
      </c>
      <c r="H1471" s="9">
        <f>IFERROR(__xludf.DUMMYFUNCTION("""COMPUTED_VALUE"""),1.0)</f>
        <v>1</v>
      </c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</row>
    <row r="1472" ht="15.75" customHeight="1">
      <c r="A1472" s="11">
        <f>IFERROR(__xludf.DUMMYFUNCTION("""COMPUTED_VALUE"""),44471.0)</f>
        <v>44471</v>
      </c>
      <c r="B1472" s="9">
        <f>IFERROR(__xludf.DUMMYFUNCTION("""COMPUTED_VALUE"""),1003487.0)</f>
        <v>1003487</v>
      </c>
      <c r="C1472" s="9">
        <f>IFERROR(__xludf.DUMMYFUNCTION("""COMPUTED_VALUE"""),91396.0)</f>
        <v>91396</v>
      </c>
      <c r="D1472" s="9"/>
      <c r="E1472" s="10" t="str">
        <f>IFERROR(__xludf.DUMMYFUNCTION("""COMPUTED_VALUE"""),"GREENRELAIS")</f>
        <v>GREENRELAIS</v>
      </c>
      <c r="F1472" s="10">
        <f>IFERROR(__xludf.DUMMYFUNCTION("""COMPUTED_VALUE"""),2.56)</f>
        <v>2.56</v>
      </c>
      <c r="G1472" s="9">
        <f>IFERROR(__xludf.DUMMYFUNCTION("""COMPUTED_VALUE"""),2.56)</f>
        <v>2.56</v>
      </c>
      <c r="H1472" s="9">
        <f>IFERROR(__xludf.DUMMYFUNCTION("""COMPUTED_VALUE"""),1.0)</f>
        <v>1</v>
      </c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</row>
    <row r="1473" ht="15.75" customHeight="1">
      <c r="A1473" s="11">
        <f>IFERROR(__xludf.DUMMYFUNCTION("""COMPUTED_VALUE"""),44471.0)</f>
        <v>44471</v>
      </c>
      <c r="B1473" s="9">
        <f>IFERROR(__xludf.DUMMYFUNCTION("""COMPUTED_VALUE"""),1003487.0)</f>
        <v>1003487</v>
      </c>
      <c r="C1473" s="9">
        <f>IFERROR(__xludf.DUMMYFUNCTION("""COMPUTED_VALUE"""),112321.0)</f>
        <v>112321</v>
      </c>
      <c r="D1473" s="9"/>
      <c r="E1473" s="10" t="str">
        <f>IFERROR(__xludf.DUMMYFUNCTION("""COMPUTED_VALUE"""),"GREENRELAIS")</f>
        <v>GREENRELAIS</v>
      </c>
      <c r="F1473" s="10">
        <f>IFERROR(__xludf.DUMMYFUNCTION("""COMPUTED_VALUE"""),1.28)</f>
        <v>1.28</v>
      </c>
      <c r="G1473" s="9">
        <f>IFERROR(__xludf.DUMMYFUNCTION("""COMPUTED_VALUE"""),1.28)</f>
        <v>1.28</v>
      </c>
      <c r="H1473" s="9">
        <f>IFERROR(__xludf.DUMMYFUNCTION("""COMPUTED_VALUE"""),1.0)</f>
        <v>1</v>
      </c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</row>
    <row r="1474" ht="15.75" customHeight="1">
      <c r="A1474" s="11">
        <f>IFERROR(__xludf.DUMMYFUNCTION("""COMPUTED_VALUE"""),44471.0)</f>
        <v>44471</v>
      </c>
      <c r="B1474" s="9">
        <f>IFERROR(__xludf.DUMMYFUNCTION("""COMPUTED_VALUE"""),1003487.0)</f>
        <v>1003487</v>
      </c>
      <c r="C1474" s="9">
        <f>IFERROR(__xludf.DUMMYFUNCTION("""COMPUTED_VALUE"""),45255.0)</f>
        <v>45255</v>
      </c>
      <c r="D1474" s="9"/>
      <c r="E1474" s="10" t="str">
        <f>IFERROR(__xludf.DUMMYFUNCTION("""COMPUTED_VALUE"""),"GREENRELAIS")</f>
        <v>GREENRELAIS</v>
      </c>
      <c r="F1474" s="10">
        <f>IFERROR(__xludf.DUMMYFUNCTION("""COMPUTED_VALUE"""),1.66)</f>
        <v>1.66</v>
      </c>
      <c r="G1474" s="9">
        <f>IFERROR(__xludf.DUMMYFUNCTION("""COMPUTED_VALUE"""),1.66)</f>
        <v>1.66</v>
      </c>
      <c r="H1474" s="9">
        <f>IFERROR(__xludf.DUMMYFUNCTION("""COMPUTED_VALUE"""),1.0)</f>
        <v>1</v>
      </c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</row>
    <row r="1475" ht="15.75" customHeight="1">
      <c r="A1475" s="11">
        <f>IFERROR(__xludf.DUMMYFUNCTION("""COMPUTED_VALUE"""),44471.0)</f>
        <v>44471</v>
      </c>
      <c r="B1475" s="9">
        <f>IFERROR(__xludf.DUMMYFUNCTION("""COMPUTED_VALUE"""),1003487.0)</f>
        <v>1003487</v>
      </c>
      <c r="C1475" s="9">
        <f>IFERROR(__xludf.DUMMYFUNCTION("""COMPUTED_VALUE"""),41910.0)</f>
        <v>41910</v>
      </c>
      <c r="D1475" s="9"/>
      <c r="E1475" s="10" t="str">
        <f>IFERROR(__xludf.DUMMYFUNCTION("""COMPUTED_VALUE"""),"GREENRELAIS")</f>
        <v>GREENRELAIS</v>
      </c>
      <c r="F1475" s="10">
        <f>IFERROR(__xludf.DUMMYFUNCTION("""COMPUTED_VALUE"""),3.2)</f>
        <v>3.2</v>
      </c>
      <c r="G1475" s="9">
        <f>IFERROR(__xludf.DUMMYFUNCTION("""COMPUTED_VALUE"""),3.2)</f>
        <v>3.2</v>
      </c>
      <c r="H1475" s="9">
        <f>IFERROR(__xludf.DUMMYFUNCTION("""COMPUTED_VALUE"""),1.0)</f>
        <v>1</v>
      </c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</row>
    <row r="1476" ht="15.75" customHeight="1">
      <c r="A1476" s="11">
        <f>IFERROR(__xludf.DUMMYFUNCTION("""COMPUTED_VALUE"""),44471.0)</f>
        <v>44471</v>
      </c>
      <c r="B1476" s="9">
        <f>IFERROR(__xludf.DUMMYFUNCTION("""COMPUTED_VALUE"""),1003487.0)</f>
        <v>1003487</v>
      </c>
      <c r="C1476" s="9">
        <f>IFERROR(__xludf.DUMMYFUNCTION("""COMPUTED_VALUE"""),9664.0)</f>
        <v>9664</v>
      </c>
      <c r="D1476" s="9"/>
      <c r="E1476" s="10" t="str">
        <f>IFERROR(__xludf.DUMMYFUNCTION("""COMPUTED_VALUE"""),"GREENRELAIS")</f>
        <v>GREENRELAIS</v>
      </c>
      <c r="F1476" s="10">
        <f>IFERROR(__xludf.DUMMYFUNCTION("""COMPUTED_VALUE"""),1.73)</f>
        <v>1.73</v>
      </c>
      <c r="G1476" s="9">
        <f>IFERROR(__xludf.DUMMYFUNCTION("""COMPUTED_VALUE"""),1.73)</f>
        <v>1.73</v>
      </c>
      <c r="H1476" s="9">
        <f>IFERROR(__xludf.DUMMYFUNCTION("""COMPUTED_VALUE"""),1.0)</f>
        <v>1</v>
      </c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</row>
    <row r="1477" ht="15.75" customHeight="1">
      <c r="A1477" s="11">
        <f>IFERROR(__xludf.DUMMYFUNCTION("""COMPUTED_VALUE"""),44471.0)</f>
        <v>44471</v>
      </c>
      <c r="B1477" s="9">
        <f>IFERROR(__xludf.DUMMYFUNCTION("""COMPUTED_VALUE"""),1003487.0)</f>
        <v>1003487</v>
      </c>
      <c r="C1477" s="9">
        <f>IFERROR(__xludf.DUMMYFUNCTION("""COMPUTED_VALUE"""),120256.0)</f>
        <v>120256</v>
      </c>
      <c r="D1477" s="9"/>
      <c r="E1477" s="10" t="str">
        <f>IFERROR(__xludf.DUMMYFUNCTION("""COMPUTED_VALUE"""),"GREENRELAIS")</f>
        <v>GREENRELAIS</v>
      </c>
      <c r="F1477" s="10">
        <f>IFERROR(__xludf.DUMMYFUNCTION("""COMPUTED_VALUE"""),1.42)</f>
        <v>1.42</v>
      </c>
      <c r="G1477" s="9">
        <f>IFERROR(__xludf.DUMMYFUNCTION("""COMPUTED_VALUE"""),1.42)</f>
        <v>1.42</v>
      </c>
      <c r="H1477" s="9">
        <f>IFERROR(__xludf.DUMMYFUNCTION("""COMPUTED_VALUE"""),1.0)</f>
        <v>1</v>
      </c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</row>
    <row r="1478" ht="15.75" customHeight="1">
      <c r="A1478" s="11">
        <f>IFERROR(__xludf.DUMMYFUNCTION("""COMPUTED_VALUE"""),44471.0)</f>
        <v>44471</v>
      </c>
      <c r="B1478" s="9">
        <f>IFERROR(__xludf.DUMMYFUNCTION("""COMPUTED_VALUE"""),1003487.0)</f>
        <v>1003487</v>
      </c>
      <c r="C1478" s="9">
        <f>IFERROR(__xludf.DUMMYFUNCTION("""COMPUTED_VALUE"""),75766.0)</f>
        <v>75766</v>
      </c>
      <c r="D1478" s="9"/>
      <c r="E1478" s="10" t="str">
        <f>IFERROR(__xludf.DUMMYFUNCTION("""COMPUTED_VALUE"""),"GREENRELAIS")</f>
        <v>GREENRELAIS</v>
      </c>
      <c r="F1478" s="10">
        <f>IFERROR(__xludf.DUMMYFUNCTION("""COMPUTED_VALUE"""),1.05)</f>
        <v>1.05</v>
      </c>
      <c r="G1478" s="9">
        <f>IFERROR(__xludf.DUMMYFUNCTION("""COMPUTED_VALUE"""),1.05)</f>
        <v>1.05</v>
      </c>
      <c r="H1478" s="9">
        <f>IFERROR(__xludf.DUMMYFUNCTION("""COMPUTED_VALUE"""),1.0)</f>
        <v>1</v>
      </c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</row>
    <row r="1479" ht="15.75" customHeight="1">
      <c r="A1479" s="11">
        <f>IFERROR(__xludf.DUMMYFUNCTION("""COMPUTED_VALUE"""),44471.0)</f>
        <v>44471</v>
      </c>
      <c r="B1479" s="9">
        <f>IFERROR(__xludf.DUMMYFUNCTION("""COMPUTED_VALUE"""),1003487.0)</f>
        <v>1003487</v>
      </c>
      <c r="C1479" s="9">
        <f>IFERROR(__xludf.DUMMYFUNCTION("""COMPUTED_VALUE"""),79902.0)</f>
        <v>79902</v>
      </c>
      <c r="D1479" s="9"/>
      <c r="E1479" s="10" t="str">
        <f>IFERROR(__xludf.DUMMYFUNCTION("""COMPUTED_VALUE"""),"GREENRELAIS")</f>
        <v>GREENRELAIS</v>
      </c>
      <c r="F1479" s="10">
        <f>IFERROR(__xludf.DUMMYFUNCTION("""COMPUTED_VALUE"""),1.55)</f>
        <v>1.55</v>
      </c>
      <c r="G1479" s="9">
        <f>IFERROR(__xludf.DUMMYFUNCTION("""COMPUTED_VALUE"""),1.55)</f>
        <v>1.55</v>
      </c>
      <c r="H1479" s="9">
        <f>IFERROR(__xludf.DUMMYFUNCTION("""COMPUTED_VALUE"""),1.0)</f>
        <v>1</v>
      </c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</row>
    <row r="1480" ht="15.75" customHeight="1">
      <c r="A1480" s="11">
        <f>IFERROR(__xludf.DUMMYFUNCTION("""COMPUTED_VALUE"""),44471.0)</f>
        <v>44471</v>
      </c>
      <c r="B1480" s="9">
        <f>IFERROR(__xludf.DUMMYFUNCTION("""COMPUTED_VALUE"""),1003487.0)</f>
        <v>1003487</v>
      </c>
      <c r="C1480" s="9">
        <f>IFERROR(__xludf.DUMMYFUNCTION("""COMPUTED_VALUE"""),133909.0)</f>
        <v>133909</v>
      </c>
      <c r="D1480" s="9"/>
      <c r="E1480" s="10" t="str">
        <f>IFERROR(__xludf.DUMMYFUNCTION("""COMPUTED_VALUE"""),"GREENRELAIS")</f>
        <v>GREENRELAIS</v>
      </c>
      <c r="F1480" s="10">
        <f>IFERROR(__xludf.DUMMYFUNCTION("""COMPUTED_VALUE"""),3.48)</f>
        <v>3.48</v>
      </c>
      <c r="G1480" s="9">
        <f>IFERROR(__xludf.DUMMYFUNCTION("""COMPUTED_VALUE"""),3.48)</f>
        <v>3.48</v>
      </c>
      <c r="H1480" s="9">
        <f>IFERROR(__xludf.DUMMYFUNCTION("""COMPUTED_VALUE"""),1.0)</f>
        <v>1</v>
      </c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</row>
    <row r="1481" ht="15.75" customHeight="1">
      <c r="A1481" s="11">
        <f>IFERROR(__xludf.DUMMYFUNCTION("""COMPUTED_VALUE"""),44471.0)</f>
        <v>44471</v>
      </c>
      <c r="B1481" s="9">
        <f>IFERROR(__xludf.DUMMYFUNCTION("""COMPUTED_VALUE"""),1003487.0)</f>
        <v>1003487</v>
      </c>
      <c r="C1481" s="9">
        <f>IFERROR(__xludf.DUMMYFUNCTION("""COMPUTED_VALUE"""),4321.0)</f>
        <v>4321</v>
      </c>
      <c r="D1481" s="9"/>
      <c r="E1481" s="10" t="str">
        <f>IFERROR(__xludf.DUMMYFUNCTION("""COMPUTED_VALUE"""),"GREENRELAIS")</f>
        <v>GREENRELAIS</v>
      </c>
      <c r="F1481" s="10">
        <f>IFERROR(__xludf.DUMMYFUNCTION("""COMPUTED_VALUE"""),2.36)</f>
        <v>2.36</v>
      </c>
      <c r="G1481" s="9">
        <f>IFERROR(__xludf.DUMMYFUNCTION("""COMPUTED_VALUE"""),2.36)</f>
        <v>2.36</v>
      </c>
      <c r="H1481" s="9">
        <f>IFERROR(__xludf.DUMMYFUNCTION("""COMPUTED_VALUE"""),1.0)</f>
        <v>1</v>
      </c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</row>
    <row r="1482" ht="15.75" customHeight="1">
      <c r="A1482" s="11">
        <f>IFERROR(__xludf.DUMMYFUNCTION("""COMPUTED_VALUE"""),44471.0)</f>
        <v>44471</v>
      </c>
      <c r="B1482" s="9">
        <f>IFERROR(__xludf.DUMMYFUNCTION("""COMPUTED_VALUE"""),1003487.0)</f>
        <v>1003487</v>
      </c>
      <c r="C1482" s="9">
        <f>IFERROR(__xludf.DUMMYFUNCTION("""COMPUTED_VALUE"""),91397.0)</f>
        <v>91397</v>
      </c>
      <c r="D1482" s="9"/>
      <c r="E1482" s="10" t="str">
        <f>IFERROR(__xludf.DUMMYFUNCTION("""COMPUTED_VALUE"""),"GREENRELAIS")</f>
        <v>GREENRELAIS</v>
      </c>
      <c r="F1482" s="10">
        <f>IFERROR(__xludf.DUMMYFUNCTION("""COMPUTED_VALUE"""),2.49)</f>
        <v>2.49</v>
      </c>
      <c r="G1482" s="9">
        <f>IFERROR(__xludf.DUMMYFUNCTION("""COMPUTED_VALUE"""),2.49)</f>
        <v>2.49</v>
      </c>
      <c r="H1482" s="9">
        <f>IFERROR(__xludf.DUMMYFUNCTION("""COMPUTED_VALUE"""),1.0)</f>
        <v>1</v>
      </c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</row>
    <row r="1483" ht="15.75" customHeight="1">
      <c r="A1483" s="11">
        <f>IFERROR(__xludf.DUMMYFUNCTION("""COMPUTED_VALUE"""),44471.0)</f>
        <v>44471</v>
      </c>
      <c r="B1483" s="9">
        <f>IFERROR(__xludf.DUMMYFUNCTION("""COMPUTED_VALUE"""),1003487.0)</f>
        <v>1003487</v>
      </c>
      <c r="C1483" s="9">
        <f>IFERROR(__xludf.DUMMYFUNCTION("""COMPUTED_VALUE"""),4335.0)</f>
        <v>4335</v>
      </c>
      <c r="D1483" s="9"/>
      <c r="E1483" s="10" t="str">
        <f>IFERROR(__xludf.DUMMYFUNCTION("""COMPUTED_VALUE"""),"GREENRELAIS")</f>
        <v>GREENRELAIS</v>
      </c>
      <c r="F1483" s="10">
        <f>IFERROR(__xludf.DUMMYFUNCTION("""COMPUTED_VALUE"""),4.48)</f>
        <v>4.48</v>
      </c>
      <c r="G1483" s="9">
        <f>IFERROR(__xludf.DUMMYFUNCTION("""COMPUTED_VALUE"""),4.48)</f>
        <v>4.48</v>
      </c>
      <c r="H1483" s="9">
        <f>IFERROR(__xludf.DUMMYFUNCTION("""COMPUTED_VALUE"""),1.0)</f>
        <v>1</v>
      </c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</row>
    <row r="1484" ht="15.75" customHeight="1">
      <c r="A1484" s="11">
        <f>IFERROR(__xludf.DUMMYFUNCTION("""COMPUTED_VALUE"""),44471.0)</f>
        <v>44471</v>
      </c>
      <c r="B1484" s="9">
        <f>IFERROR(__xludf.DUMMYFUNCTION("""COMPUTED_VALUE"""),1003487.0)</f>
        <v>1003487</v>
      </c>
      <c r="C1484" s="9">
        <f>IFERROR(__xludf.DUMMYFUNCTION("""COMPUTED_VALUE"""),41035.0)</f>
        <v>41035</v>
      </c>
      <c r="D1484" s="9"/>
      <c r="E1484" s="10" t="str">
        <f>IFERROR(__xludf.DUMMYFUNCTION("""COMPUTED_VALUE"""),"GREENRELAIS")</f>
        <v>GREENRELAIS</v>
      </c>
      <c r="F1484" s="10">
        <f>IFERROR(__xludf.DUMMYFUNCTION("""COMPUTED_VALUE"""),4.3)</f>
        <v>4.3</v>
      </c>
      <c r="G1484" s="9">
        <f>IFERROR(__xludf.DUMMYFUNCTION("""COMPUTED_VALUE"""),4.3)</f>
        <v>4.3</v>
      </c>
      <c r="H1484" s="9">
        <f>IFERROR(__xludf.DUMMYFUNCTION("""COMPUTED_VALUE"""),2.0)</f>
        <v>2</v>
      </c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</row>
    <row r="1485" ht="15.75" customHeight="1">
      <c r="A1485" s="11">
        <f>IFERROR(__xludf.DUMMYFUNCTION("""COMPUTED_VALUE"""),44471.0)</f>
        <v>44471</v>
      </c>
      <c r="B1485" s="9">
        <f>IFERROR(__xludf.DUMMYFUNCTION("""COMPUTED_VALUE"""),1003487.0)</f>
        <v>1003487</v>
      </c>
      <c r="C1485" s="9">
        <f>IFERROR(__xludf.DUMMYFUNCTION("""COMPUTED_VALUE"""),45250.0)</f>
        <v>45250</v>
      </c>
      <c r="D1485" s="9"/>
      <c r="E1485" s="10" t="str">
        <f>IFERROR(__xludf.DUMMYFUNCTION("""COMPUTED_VALUE"""),"GREENRELAIS")</f>
        <v>GREENRELAIS</v>
      </c>
      <c r="F1485" s="10">
        <f>IFERROR(__xludf.DUMMYFUNCTION("""COMPUTED_VALUE"""),3.78)</f>
        <v>3.78</v>
      </c>
      <c r="G1485" s="9">
        <f>IFERROR(__xludf.DUMMYFUNCTION("""COMPUTED_VALUE"""),3.78)</f>
        <v>3.78</v>
      </c>
      <c r="H1485" s="9">
        <f>IFERROR(__xludf.DUMMYFUNCTION("""COMPUTED_VALUE"""),2.0)</f>
        <v>2</v>
      </c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</row>
    <row r="1486" ht="15.75" customHeight="1">
      <c r="A1486" s="11">
        <f>IFERROR(__xludf.DUMMYFUNCTION("""COMPUTED_VALUE"""),44471.0)</f>
        <v>44471</v>
      </c>
      <c r="B1486" s="9">
        <f>IFERROR(__xludf.DUMMYFUNCTION("""COMPUTED_VALUE"""),1003487.0)</f>
        <v>1003487</v>
      </c>
      <c r="C1486" s="9">
        <f>IFERROR(__xludf.DUMMYFUNCTION("""COMPUTED_VALUE"""),117605.0)</f>
        <v>117605</v>
      </c>
      <c r="D1486" s="9"/>
      <c r="E1486" s="10" t="str">
        <f>IFERROR(__xludf.DUMMYFUNCTION("""COMPUTED_VALUE"""),"GREENRELAIS")</f>
        <v>GREENRELAIS</v>
      </c>
      <c r="F1486" s="10">
        <f>IFERROR(__xludf.DUMMYFUNCTION("""COMPUTED_VALUE"""),2.81)</f>
        <v>2.81</v>
      </c>
      <c r="G1486" s="9">
        <f>IFERROR(__xludf.DUMMYFUNCTION("""COMPUTED_VALUE"""),2.81)</f>
        <v>2.81</v>
      </c>
      <c r="H1486" s="9">
        <f>IFERROR(__xludf.DUMMYFUNCTION("""COMPUTED_VALUE"""),2.0)</f>
        <v>2</v>
      </c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</row>
    <row r="1487" ht="15.75" customHeight="1">
      <c r="A1487" s="11">
        <f>IFERROR(__xludf.DUMMYFUNCTION("""COMPUTED_VALUE"""),44471.0)</f>
        <v>44471</v>
      </c>
      <c r="B1487" s="9">
        <f>IFERROR(__xludf.DUMMYFUNCTION("""COMPUTED_VALUE"""),1003487.0)</f>
        <v>1003487</v>
      </c>
      <c r="C1487" s="9">
        <f>IFERROR(__xludf.DUMMYFUNCTION("""COMPUTED_VALUE"""),114936.0)</f>
        <v>114936</v>
      </c>
      <c r="D1487" s="9"/>
      <c r="E1487" s="10" t="str">
        <f>IFERROR(__xludf.DUMMYFUNCTION("""COMPUTED_VALUE"""),"GREENRELAIS")</f>
        <v>GREENRELAIS</v>
      </c>
      <c r="F1487" s="10">
        <f>IFERROR(__xludf.DUMMYFUNCTION("""COMPUTED_VALUE"""),2.59)</f>
        <v>2.59</v>
      </c>
      <c r="G1487" s="9">
        <f>IFERROR(__xludf.DUMMYFUNCTION("""COMPUTED_VALUE"""),2.59)</f>
        <v>2.59</v>
      </c>
      <c r="H1487" s="9">
        <f>IFERROR(__xludf.DUMMYFUNCTION("""COMPUTED_VALUE"""),2.0)</f>
        <v>2</v>
      </c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</row>
    <row r="1488" ht="15.75" customHeight="1">
      <c r="A1488" s="11">
        <f>IFERROR(__xludf.DUMMYFUNCTION("""COMPUTED_VALUE"""),44471.0)</f>
        <v>44471</v>
      </c>
      <c r="B1488" s="9">
        <f>IFERROR(__xludf.DUMMYFUNCTION("""COMPUTED_VALUE"""),1003487.0)</f>
        <v>1003487</v>
      </c>
      <c r="C1488" s="9">
        <f>IFERROR(__xludf.DUMMYFUNCTION("""COMPUTED_VALUE"""),12802.0)</f>
        <v>12802</v>
      </c>
      <c r="D1488" s="9"/>
      <c r="E1488" s="10" t="str">
        <f>IFERROR(__xludf.DUMMYFUNCTION("""COMPUTED_VALUE"""),"GREENRELAIS")</f>
        <v>GREENRELAIS</v>
      </c>
      <c r="F1488" s="10">
        <f>IFERROR(__xludf.DUMMYFUNCTION("""COMPUTED_VALUE"""),4.96)</f>
        <v>4.96</v>
      </c>
      <c r="G1488" s="9">
        <f>IFERROR(__xludf.DUMMYFUNCTION("""COMPUTED_VALUE"""),4.96)</f>
        <v>4.96</v>
      </c>
      <c r="H1488" s="9">
        <f>IFERROR(__xludf.DUMMYFUNCTION("""COMPUTED_VALUE"""),2.0)</f>
        <v>2</v>
      </c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</row>
    <row r="1489" ht="15.75" customHeight="1">
      <c r="A1489" s="11">
        <f>IFERROR(__xludf.DUMMYFUNCTION("""COMPUTED_VALUE"""),44471.0)</f>
        <v>44471</v>
      </c>
      <c r="B1489" s="9">
        <f>IFERROR(__xludf.DUMMYFUNCTION("""COMPUTED_VALUE"""),1003487.0)</f>
        <v>1003487</v>
      </c>
      <c r="C1489" s="9">
        <f>IFERROR(__xludf.DUMMYFUNCTION("""COMPUTED_VALUE"""),12804.0)</f>
        <v>12804</v>
      </c>
      <c r="D1489" s="9"/>
      <c r="E1489" s="10" t="str">
        <f>IFERROR(__xludf.DUMMYFUNCTION("""COMPUTED_VALUE"""),"GREENRELAIS")</f>
        <v>GREENRELAIS</v>
      </c>
      <c r="F1489" s="10">
        <f>IFERROR(__xludf.DUMMYFUNCTION("""COMPUTED_VALUE"""),4.72)</f>
        <v>4.72</v>
      </c>
      <c r="G1489" s="9">
        <f>IFERROR(__xludf.DUMMYFUNCTION("""COMPUTED_VALUE"""),4.72)</f>
        <v>4.72</v>
      </c>
      <c r="H1489" s="9">
        <f>IFERROR(__xludf.DUMMYFUNCTION("""COMPUTED_VALUE"""),2.0)</f>
        <v>2</v>
      </c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</row>
    <row r="1490" ht="15.75" customHeight="1">
      <c r="A1490" s="11">
        <f>IFERROR(__xludf.DUMMYFUNCTION("""COMPUTED_VALUE"""),44471.0)</f>
        <v>44471</v>
      </c>
      <c r="B1490" s="9">
        <f>IFERROR(__xludf.DUMMYFUNCTION("""COMPUTED_VALUE"""),1003487.0)</f>
        <v>1003487</v>
      </c>
      <c r="C1490" s="9">
        <f>IFERROR(__xludf.DUMMYFUNCTION("""COMPUTED_VALUE"""),45165.0)</f>
        <v>45165</v>
      </c>
      <c r="D1490" s="9"/>
      <c r="E1490" s="10" t="str">
        <f>IFERROR(__xludf.DUMMYFUNCTION("""COMPUTED_VALUE"""),"GREENRELAIS")</f>
        <v>GREENRELAIS</v>
      </c>
      <c r="F1490" s="10">
        <f>IFERROR(__xludf.DUMMYFUNCTION("""COMPUTED_VALUE"""),3.24)</f>
        <v>3.24</v>
      </c>
      <c r="G1490" s="9">
        <f>IFERROR(__xludf.DUMMYFUNCTION("""COMPUTED_VALUE"""),3.24)</f>
        <v>3.24</v>
      </c>
      <c r="H1490" s="9">
        <f>IFERROR(__xludf.DUMMYFUNCTION("""COMPUTED_VALUE"""),2.0)</f>
        <v>2</v>
      </c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</row>
    <row r="1491" ht="15.75" customHeight="1">
      <c r="A1491" s="11">
        <f>IFERROR(__xludf.DUMMYFUNCTION("""COMPUTED_VALUE"""),44471.0)</f>
        <v>44471</v>
      </c>
      <c r="B1491" s="9">
        <f>IFERROR(__xludf.DUMMYFUNCTION("""COMPUTED_VALUE"""),1003488.0)</f>
        <v>1003488</v>
      </c>
      <c r="C1491" s="9">
        <f>IFERROR(__xludf.DUMMYFUNCTION("""COMPUTED_VALUE"""),113619.0)</f>
        <v>113619</v>
      </c>
      <c r="D1491" s="9"/>
      <c r="E1491" s="9"/>
      <c r="F1491" s="9">
        <f>IFERROR(__xludf.DUMMYFUNCTION("""COMPUTED_VALUE"""),11.45)</f>
        <v>11.45</v>
      </c>
      <c r="G1491" s="9">
        <f>IFERROR(__xludf.DUMMYFUNCTION("""COMPUTED_VALUE"""),11.45)</f>
        <v>11.45</v>
      </c>
      <c r="H1491" s="9">
        <f>IFERROR(__xludf.DUMMYFUNCTION("""COMPUTED_VALUE"""),1.0)</f>
        <v>1</v>
      </c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</row>
    <row r="1492" ht="15.75" customHeight="1">
      <c r="A1492" s="11">
        <f>IFERROR(__xludf.DUMMYFUNCTION("""COMPUTED_VALUE"""),44471.0)</f>
        <v>44471</v>
      </c>
      <c r="B1492" s="9">
        <f>IFERROR(__xludf.DUMMYFUNCTION("""COMPUTED_VALUE"""),1003488.0)</f>
        <v>1003488</v>
      </c>
      <c r="C1492" s="9">
        <f>IFERROR(__xludf.DUMMYFUNCTION("""COMPUTED_VALUE"""),29655.0)</f>
        <v>29655</v>
      </c>
      <c r="D1492" s="9"/>
      <c r="E1492" s="9"/>
      <c r="F1492" s="9">
        <f>IFERROR(__xludf.DUMMYFUNCTION("""COMPUTED_VALUE"""),4.2)</f>
        <v>4.2</v>
      </c>
      <c r="G1492" s="9">
        <f>IFERROR(__xludf.DUMMYFUNCTION("""COMPUTED_VALUE"""),4.2)</f>
        <v>4.2</v>
      </c>
      <c r="H1492" s="9">
        <f>IFERROR(__xludf.DUMMYFUNCTION("""COMPUTED_VALUE"""),1.0)</f>
        <v>1</v>
      </c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</row>
    <row r="1493" ht="15.75" customHeight="1">
      <c r="A1493" s="11">
        <f>IFERROR(__xludf.DUMMYFUNCTION("""COMPUTED_VALUE"""),44471.0)</f>
        <v>44471</v>
      </c>
      <c r="B1493" s="9">
        <f>IFERROR(__xludf.DUMMYFUNCTION("""COMPUTED_VALUE"""),1003488.0)</f>
        <v>1003488</v>
      </c>
      <c r="C1493" s="9">
        <f>IFERROR(__xludf.DUMMYFUNCTION("""COMPUTED_VALUE"""),104423.0)</f>
        <v>104423</v>
      </c>
      <c r="D1493" s="9"/>
      <c r="E1493" s="9"/>
      <c r="F1493" s="9">
        <f>IFERROR(__xludf.DUMMYFUNCTION("""COMPUTED_VALUE"""),12.96)</f>
        <v>12.96</v>
      </c>
      <c r="G1493" s="9">
        <f>IFERROR(__xludf.DUMMYFUNCTION("""COMPUTED_VALUE"""),12.96)</f>
        <v>12.96</v>
      </c>
      <c r="H1493" s="9">
        <f>IFERROR(__xludf.DUMMYFUNCTION("""COMPUTED_VALUE"""),1.0)</f>
        <v>1</v>
      </c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</row>
    <row r="1494" ht="15.75" customHeight="1">
      <c r="A1494" s="11">
        <f>IFERROR(__xludf.DUMMYFUNCTION("""COMPUTED_VALUE"""),44471.0)</f>
        <v>44471</v>
      </c>
      <c r="B1494" s="9">
        <f>IFERROR(__xludf.DUMMYFUNCTION("""COMPUTED_VALUE"""),1003488.0)</f>
        <v>1003488</v>
      </c>
      <c r="C1494" s="9">
        <f>IFERROR(__xludf.DUMMYFUNCTION("""COMPUTED_VALUE"""),116771.0)</f>
        <v>116771</v>
      </c>
      <c r="D1494" s="9"/>
      <c r="E1494" s="9"/>
      <c r="F1494" s="9">
        <f>IFERROR(__xludf.DUMMYFUNCTION("""COMPUTED_VALUE"""),8.01)</f>
        <v>8.01</v>
      </c>
      <c r="G1494" s="9">
        <f>IFERROR(__xludf.DUMMYFUNCTION("""COMPUTED_VALUE"""),8.01)</f>
        <v>8.01</v>
      </c>
      <c r="H1494" s="9">
        <f>IFERROR(__xludf.DUMMYFUNCTION("""COMPUTED_VALUE"""),2.0)</f>
        <v>2</v>
      </c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</row>
    <row r="1495" ht="15.75" customHeight="1">
      <c r="A1495" s="11">
        <f>IFERROR(__xludf.DUMMYFUNCTION("""COMPUTED_VALUE"""),44471.0)</f>
        <v>44471</v>
      </c>
      <c r="B1495" s="9">
        <f>IFERROR(__xludf.DUMMYFUNCTION("""COMPUTED_VALUE"""),1003488.0)</f>
        <v>1003488</v>
      </c>
      <c r="C1495" s="9">
        <f>IFERROR(__xludf.DUMMYFUNCTION("""COMPUTED_VALUE"""),86182.0)</f>
        <v>86182</v>
      </c>
      <c r="D1495" s="9"/>
      <c r="E1495" s="9"/>
      <c r="F1495" s="9">
        <f>IFERROR(__xludf.DUMMYFUNCTION("""COMPUTED_VALUE"""),10.03)</f>
        <v>10.03</v>
      </c>
      <c r="G1495" s="9">
        <f>IFERROR(__xludf.DUMMYFUNCTION("""COMPUTED_VALUE"""),10.03)</f>
        <v>10.03</v>
      </c>
      <c r="H1495" s="9">
        <f>IFERROR(__xludf.DUMMYFUNCTION("""COMPUTED_VALUE"""),2.0)</f>
        <v>2</v>
      </c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</row>
    <row r="1496" ht="15.75" customHeight="1">
      <c r="A1496" s="11">
        <f>IFERROR(__xludf.DUMMYFUNCTION("""COMPUTED_VALUE"""),44471.0)</f>
        <v>44471</v>
      </c>
      <c r="B1496" s="9">
        <f>IFERROR(__xludf.DUMMYFUNCTION("""COMPUTED_VALUE"""),1003488.0)</f>
        <v>1003488</v>
      </c>
      <c r="C1496" s="9">
        <f>IFERROR(__xludf.DUMMYFUNCTION("""COMPUTED_VALUE"""),118351.0)</f>
        <v>118351</v>
      </c>
      <c r="D1496" s="9"/>
      <c r="E1496" s="9"/>
      <c r="F1496" s="9">
        <f>IFERROR(__xludf.DUMMYFUNCTION("""COMPUTED_VALUE"""),8.67)</f>
        <v>8.67</v>
      </c>
      <c r="G1496" s="9">
        <f>IFERROR(__xludf.DUMMYFUNCTION("""COMPUTED_VALUE"""),8.67)</f>
        <v>8.67</v>
      </c>
      <c r="H1496" s="9">
        <f>IFERROR(__xludf.DUMMYFUNCTION("""COMPUTED_VALUE"""),2.0)</f>
        <v>2</v>
      </c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</row>
    <row r="1497" ht="15.75" customHeight="1">
      <c r="A1497" s="11">
        <f>IFERROR(__xludf.DUMMYFUNCTION("""COMPUTED_VALUE"""),44471.0)</f>
        <v>44471</v>
      </c>
      <c r="B1497" s="9">
        <f>IFERROR(__xludf.DUMMYFUNCTION("""COMPUTED_VALUE"""),1003489.0)</f>
        <v>1003489</v>
      </c>
      <c r="C1497" s="9">
        <f>IFERROR(__xludf.DUMMYFUNCTION("""COMPUTED_VALUE"""),90913.0)</f>
        <v>90913</v>
      </c>
      <c r="D1497" s="9"/>
      <c r="E1497" s="9"/>
      <c r="F1497" s="9">
        <f>IFERROR(__xludf.DUMMYFUNCTION("""COMPUTED_VALUE"""),4.06)</f>
        <v>4.06</v>
      </c>
      <c r="G1497" s="9">
        <f>IFERROR(__xludf.DUMMYFUNCTION("""COMPUTED_VALUE"""),4.06)</f>
        <v>4.06</v>
      </c>
      <c r="H1497" s="9">
        <f>IFERROR(__xludf.DUMMYFUNCTION("""COMPUTED_VALUE"""),1.0)</f>
        <v>1</v>
      </c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</row>
    <row r="1498" ht="15.75" customHeight="1">
      <c r="A1498" s="11">
        <f>IFERROR(__xludf.DUMMYFUNCTION("""COMPUTED_VALUE"""),44471.0)</f>
        <v>44471</v>
      </c>
      <c r="B1498" s="9">
        <f>IFERROR(__xludf.DUMMYFUNCTION("""COMPUTED_VALUE"""),1003489.0)</f>
        <v>1003489</v>
      </c>
      <c r="C1498" s="9">
        <f>IFERROR(__xludf.DUMMYFUNCTION("""COMPUTED_VALUE"""),87851.0)</f>
        <v>87851</v>
      </c>
      <c r="D1498" s="10" t="str">
        <f>IFERROR(__xludf.DUMMYFUNCTION("""COMPUTED_VALUE"""),"Offre speciale")</f>
        <v>Offre speciale</v>
      </c>
      <c r="E1498" s="10"/>
      <c r="F1498" s="9">
        <f>IFERROR(__xludf.DUMMYFUNCTION("""COMPUTED_VALUE"""),2.32941176470588)</f>
        <v>2.329411765</v>
      </c>
      <c r="G1498" s="9">
        <f>IFERROR(__xludf.DUMMYFUNCTION("""COMPUTED_VALUE"""),1.98)</f>
        <v>1.98</v>
      </c>
      <c r="H1498" s="9">
        <f>IFERROR(__xludf.DUMMYFUNCTION("""COMPUTED_VALUE"""),1.0)</f>
        <v>1</v>
      </c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</row>
    <row r="1499" ht="15.75" customHeight="1">
      <c r="A1499" s="11">
        <f>IFERROR(__xludf.DUMMYFUNCTION("""COMPUTED_VALUE"""),44471.0)</f>
        <v>44471</v>
      </c>
      <c r="B1499" s="9">
        <f>IFERROR(__xludf.DUMMYFUNCTION("""COMPUTED_VALUE"""),1003489.0)</f>
        <v>1003489</v>
      </c>
      <c r="C1499" s="9">
        <f>IFERROR(__xludf.DUMMYFUNCTION("""COMPUTED_VALUE"""),69311.0)</f>
        <v>69311</v>
      </c>
      <c r="D1499" s="10" t="str">
        <f>IFERROR(__xludf.DUMMYFUNCTION("""COMPUTED_VALUE"""),"Vive le bio")</f>
        <v>Vive le bio</v>
      </c>
      <c r="E1499" s="10"/>
      <c r="F1499" s="9">
        <f>IFERROR(__xludf.DUMMYFUNCTION("""COMPUTED_VALUE"""),2.83333333333333)</f>
        <v>2.833333333</v>
      </c>
      <c r="G1499" s="9">
        <f>IFERROR(__xludf.DUMMYFUNCTION("""COMPUTED_VALUE"""),2.55)</f>
        <v>2.55</v>
      </c>
      <c r="H1499" s="9">
        <f>IFERROR(__xludf.DUMMYFUNCTION("""COMPUTED_VALUE"""),1.0)</f>
        <v>1</v>
      </c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</row>
    <row r="1500" ht="15.75" customHeight="1">
      <c r="A1500" s="11">
        <f>IFERROR(__xludf.DUMMYFUNCTION("""COMPUTED_VALUE"""),44471.0)</f>
        <v>44471</v>
      </c>
      <c r="B1500" s="9">
        <f>IFERROR(__xludf.DUMMYFUNCTION("""COMPUTED_VALUE"""),1003489.0)</f>
        <v>1003489</v>
      </c>
      <c r="C1500" s="9">
        <f>IFERROR(__xludf.DUMMYFUNCTION("""COMPUTED_VALUE"""),113058.0)</f>
        <v>113058</v>
      </c>
      <c r="D1500" s="10" t="str">
        <f>IFERROR(__xludf.DUMMYFUNCTION("""COMPUTED_VALUE"""),"DLC courtes")</f>
        <v>DLC courtes</v>
      </c>
      <c r="E1500" s="10"/>
      <c r="F1500" s="9">
        <f>IFERROR(__xludf.DUMMYFUNCTION("""COMPUTED_VALUE"""),2.99999999999999)</f>
        <v>3</v>
      </c>
      <c r="G1500" s="9">
        <f>IFERROR(__xludf.DUMMYFUNCTION("""COMPUTED_VALUE"""),2.4)</f>
        <v>2.4</v>
      </c>
      <c r="H1500" s="9">
        <f>IFERROR(__xludf.DUMMYFUNCTION("""COMPUTED_VALUE"""),1.0)</f>
        <v>1</v>
      </c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</row>
    <row r="1501" ht="15.75" customHeight="1">
      <c r="A1501" s="11">
        <f>IFERROR(__xludf.DUMMYFUNCTION("""COMPUTED_VALUE"""),44471.0)</f>
        <v>44471</v>
      </c>
      <c r="B1501" s="9">
        <f>IFERROR(__xludf.DUMMYFUNCTION("""COMPUTED_VALUE"""),1003490.0)</f>
        <v>1003490</v>
      </c>
      <c r="C1501" s="9">
        <f>IFERROR(__xludf.DUMMYFUNCTION("""COMPUTED_VALUE"""),110436.0)</f>
        <v>110436</v>
      </c>
      <c r="D1501" s="9"/>
      <c r="E1501" s="9"/>
      <c r="F1501" s="9">
        <f>IFERROR(__xludf.DUMMYFUNCTION("""COMPUTED_VALUE"""),13.41)</f>
        <v>13.41</v>
      </c>
      <c r="G1501" s="9">
        <f>IFERROR(__xludf.DUMMYFUNCTION("""COMPUTED_VALUE"""),13.41)</f>
        <v>13.41</v>
      </c>
      <c r="H1501" s="9">
        <f>IFERROR(__xludf.DUMMYFUNCTION("""COMPUTED_VALUE"""),2.0)</f>
        <v>2</v>
      </c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</row>
    <row r="1502" ht="15.75" customHeight="1">
      <c r="A1502" s="11">
        <f>IFERROR(__xludf.DUMMYFUNCTION("""COMPUTED_VALUE"""),44471.0)</f>
        <v>44471</v>
      </c>
      <c r="B1502" s="9">
        <f>IFERROR(__xludf.DUMMYFUNCTION("""COMPUTED_VALUE"""),1003491.0)</f>
        <v>1003491</v>
      </c>
      <c r="C1502" s="9">
        <f>IFERROR(__xludf.DUMMYFUNCTION("""COMPUTED_VALUE"""),5554.0)</f>
        <v>5554</v>
      </c>
      <c r="D1502" s="10" t="str">
        <f>IFERROR(__xludf.DUMMYFUNCTION("""COMPUTED_VALUE"""),"Vive le bio")</f>
        <v>Vive le bio</v>
      </c>
      <c r="E1502" s="10"/>
      <c r="F1502" s="9">
        <f>IFERROR(__xludf.DUMMYFUNCTION("""COMPUTED_VALUE"""),4.0)</f>
        <v>4</v>
      </c>
      <c r="G1502" s="9">
        <f>IFERROR(__xludf.DUMMYFUNCTION("""COMPUTED_VALUE"""),3.6)</f>
        <v>3.6</v>
      </c>
      <c r="H1502" s="9">
        <f>IFERROR(__xludf.DUMMYFUNCTION("""COMPUTED_VALUE"""),1.0)</f>
        <v>1</v>
      </c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</row>
    <row r="1503" ht="15.75" customHeight="1">
      <c r="A1503" s="11">
        <f>IFERROR(__xludf.DUMMYFUNCTION("""COMPUTED_VALUE"""),44471.0)</f>
        <v>44471</v>
      </c>
      <c r="B1503" s="9">
        <f>IFERROR(__xludf.DUMMYFUNCTION("""COMPUTED_VALUE"""),1003491.0)</f>
        <v>1003491</v>
      </c>
      <c r="C1503" s="9">
        <f>IFERROR(__xludf.DUMMYFUNCTION("""COMPUTED_VALUE"""),69296.0)</f>
        <v>69296</v>
      </c>
      <c r="D1503" s="9"/>
      <c r="E1503" s="9"/>
      <c r="F1503" s="9">
        <f>IFERROR(__xludf.DUMMYFUNCTION("""COMPUTED_VALUE"""),2.02)</f>
        <v>2.02</v>
      </c>
      <c r="G1503" s="9">
        <f>IFERROR(__xludf.DUMMYFUNCTION("""COMPUTED_VALUE"""),2.02)</f>
        <v>2.02</v>
      </c>
      <c r="H1503" s="9">
        <f>IFERROR(__xludf.DUMMYFUNCTION("""COMPUTED_VALUE"""),1.0)</f>
        <v>1</v>
      </c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</row>
    <row r="1504" ht="15.75" customHeight="1">
      <c r="A1504" s="11">
        <f>IFERROR(__xludf.DUMMYFUNCTION("""COMPUTED_VALUE"""),44471.0)</f>
        <v>44471</v>
      </c>
      <c r="B1504" s="9">
        <f>IFERROR(__xludf.DUMMYFUNCTION("""COMPUTED_VALUE"""),1003491.0)</f>
        <v>1003491</v>
      </c>
      <c r="C1504" s="9">
        <f>IFERROR(__xludf.DUMMYFUNCTION("""COMPUTED_VALUE"""),81172.0)</f>
        <v>81172</v>
      </c>
      <c r="D1504" s="9"/>
      <c r="E1504" s="9"/>
      <c r="F1504" s="9">
        <f>IFERROR(__xludf.DUMMYFUNCTION("""COMPUTED_VALUE"""),2.02)</f>
        <v>2.02</v>
      </c>
      <c r="G1504" s="9">
        <f>IFERROR(__xludf.DUMMYFUNCTION("""COMPUTED_VALUE"""),2.02)</f>
        <v>2.02</v>
      </c>
      <c r="H1504" s="9">
        <f>IFERROR(__xludf.DUMMYFUNCTION("""COMPUTED_VALUE"""),1.0)</f>
        <v>1</v>
      </c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</row>
    <row r="1505" ht="15.75" customHeight="1">
      <c r="A1505" s="11">
        <f>IFERROR(__xludf.DUMMYFUNCTION("""COMPUTED_VALUE"""),44471.0)</f>
        <v>44471</v>
      </c>
      <c r="B1505" s="9">
        <f>IFERROR(__xludf.DUMMYFUNCTION("""COMPUTED_VALUE"""),1003491.0)</f>
        <v>1003491</v>
      </c>
      <c r="C1505" s="9">
        <f>IFERROR(__xludf.DUMMYFUNCTION("""COMPUTED_VALUE"""),16050.0)</f>
        <v>16050</v>
      </c>
      <c r="D1505" s="9"/>
      <c r="E1505" s="9"/>
      <c r="F1505" s="9">
        <f>IFERROR(__xludf.DUMMYFUNCTION("""COMPUTED_VALUE"""),1.45)</f>
        <v>1.45</v>
      </c>
      <c r="G1505" s="9">
        <f>IFERROR(__xludf.DUMMYFUNCTION("""COMPUTED_VALUE"""),1.45)</f>
        <v>1.45</v>
      </c>
      <c r="H1505" s="9">
        <f>IFERROR(__xludf.DUMMYFUNCTION("""COMPUTED_VALUE"""),1.0)</f>
        <v>1</v>
      </c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</row>
    <row r="1506" ht="15.75" customHeight="1">
      <c r="A1506" s="11">
        <f>IFERROR(__xludf.DUMMYFUNCTION("""COMPUTED_VALUE"""),44471.0)</f>
        <v>44471</v>
      </c>
      <c r="B1506" s="9">
        <f>IFERROR(__xludf.DUMMYFUNCTION("""COMPUTED_VALUE"""),1003491.0)</f>
        <v>1003491</v>
      </c>
      <c r="C1506" s="9">
        <f>IFERROR(__xludf.DUMMYFUNCTION("""COMPUTED_VALUE"""),113054.0)</f>
        <v>113054</v>
      </c>
      <c r="D1506" s="10" t="str">
        <f>IFERROR(__xludf.DUMMYFUNCTION("""COMPUTED_VALUE"""),"Vive le bio")</f>
        <v>Vive le bio</v>
      </c>
      <c r="E1506" s="10"/>
      <c r="F1506" s="9">
        <f>IFERROR(__xludf.DUMMYFUNCTION("""COMPUTED_VALUE"""),4.91111111111111)</f>
        <v>4.911111111</v>
      </c>
      <c r="G1506" s="9">
        <f>IFERROR(__xludf.DUMMYFUNCTION("""COMPUTED_VALUE"""),4.42)</f>
        <v>4.42</v>
      </c>
      <c r="H1506" s="9">
        <f>IFERROR(__xludf.DUMMYFUNCTION("""COMPUTED_VALUE"""),1.0)</f>
        <v>1</v>
      </c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</row>
    <row r="1507" ht="15.75" customHeight="1">
      <c r="A1507" s="11">
        <f>IFERROR(__xludf.DUMMYFUNCTION("""COMPUTED_VALUE"""),44471.0)</f>
        <v>44471</v>
      </c>
      <c r="B1507" s="9">
        <f>IFERROR(__xludf.DUMMYFUNCTION("""COMPUTED_VALUE"""),1003491.0)</f>
        <v>1003491</v>
      </c>
      <c r="C1507" s="9">
        <f>IFERROR(__xludf.DUMMYFUNCTION("""COMPUTED_VALUE"""),113096.0)</f>
        <v>113096</v>
      </c>
      <c r="D1507" s="9"/>
      <c r="E1507" s="9"/>
      <c r="F1507" s="9">
        <f>IFERROR(__xludf.DUMMYFUNCTION("""COMPUTED_VALUE"""),3.29)</f>
        <v>3.29</v>
      </c>
      <c r="G1507" s="9">
        <f>IFERROR(__xludf.DUMMYFUNCTION("""COMPUTED_VALUE"""),3.29)</f>
        <v>3.29</v>
      </c>
      <c r="H1507" s="9">
        <f>IFERROR(__xludf.DUMMYFUNCTION("""COMPUTED_VALUE"""),1.0)</f>
        <v>1</v>
      </c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</row>
    <row r="1508" ht="15.75" customHeight="1">
      <c r="A1508" s="11">
        <f>IFERROR(__xludf.DUMMYFUNCTION("""COMPUTED_VALUE"""),44471.0)</f>
        <v>44471</v>
      </c>
      <c r="B1508" s="9">
        <f>IFERROR(__xludf.DUMMYFUNCTION("""COMPUTED_VALUE"""),1003491.0)</f>
        <v>1003491</v>
      </c>
      <c r="C1508" s="9">
        <f>IFERROR(__xludf.DUMMYFUNCTION("""COMPUTED_VALUE"""),46476.0)</f>
        <v>46476</v>
      </c>
      <c r="D1508" s="9"/>
      <c r="E1508" s="9"/>
      <c r="F1508" s="9">
        <f>IFERROR(__xludf.DUMMYFUNCTION("""COMPUTED_VALUE"""),8.93)</f>
        <v>8.93</v>
      </c>
      <c r="G1508" s="9">
        <f>IFERROR(__xludf.DUMMYFUNCTION("""COMPUTED_VALUE"""),8.93)</f>
        <v>8.93</v>
      </c>
      <c r="H1508" s="9">
        <f>IFERROR(__xludf.DUMMYFUNCTION("""COMPUTED_VALUE"""),1.0)</f>
        <v>1</v>
      </c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</row>
    <row r="1509" ht="15.75" customHeight="1">
      <c r="A1509" s="11">
        <f>IFERROR(__xludf.DUMMYFUNCTION("""COMPUTED_VALUE"""),44471.0)</f>
        <v>44471</v>
      </c>
      <c r="B1509" s="9">
        <f>IFERROR(__xludf.DUMMYFUNCTION("""COMPUTED_VALUE"""),1003491.0)</f>
        <v>1003491</v>
      </c>
      <c r="C1509" s="9">
        <f>IFERROR(__xludf.DUMMYFUNCTION("""COMPUTED_VALUE"""),78502.0)</f>
        <v>78502</v>
      </c>
      <c r="D1509" s="9"/>
      <c r="E1509" s="9"/>
      <c r="F1509" s="9">
        <f>IFERROR(__xludf.DUMMYFUNCTION("""COMPUTED_VALUE"""),5.62)</f>
        <v>5.62</v>
      </c>
      <c r="G1509" s="9">
        <f>IFERROR(__xludf.DUMMYFUNCTION("""COMPUTED_VALUE"""),5.62)</f>
        <v>5.62</v>
      </c>
      <c r="H1509" s="9">
        <f>IFERROR(__xludf.DUMMYFUNCTION("""COMPUTED_VALUE"""),1.0)</f>
        <v>1</v>
      </c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</row>
    <row r="1510" ht="15.75" customHeight="1">
      <c r="A1510" s="11">
        <f>IFERROR(__xludf.DUMMYFUNCTION("""COMPUTED_VALUE"""),44471.0)</f>
        <v>44471</v>
      </c>
      <c r="B1510" s="9">
        <f>IFERROR(__xludf.DUMMYFUNCTION("""COMPUTED_VALUE"""),1003491.0)</f>
        <v>1003491</v>
      </c>
      <c r="C1510" s="9">
        <f>IFERROR(__xludf.DUMMYFUNCTION("""COMPUTED_VALUE"""),112082.0)</f>
        <v>112082</v>
      </c>
      <c r="D1510" s="10" t="str">
        <f>IFERROR(__xludf.DUMMYFUNCTION("""COMPUTED_VALUE"""),"Offre speciale")</f>
        <v>Offre speciale</v>
      </c>
      <c r="E1510" s="10"/>
      <c r="F1510" s="9">
        <f>IFERROR(__xludf.DUMMYFUNCTION("""COMPUTED_VALUE"""),0.977777777777777)</f>
        <v>0.9777777778</v>
      </c>
      <c r="G1510" s="9">
        <f>IFERROR(__xludf.DUMMYFUNCTION("""COMPUTED_VALUE"""),0.88)</f>
        <v>0.88</v>
      </c>
      <c r="H1510" s="9">
        <f>IFERROR(__xludf.DUMMYFUNCTION("""COMPUTED_VALUE"""),1.0)</f>
        <v>1</v>
      </c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</row>
    <row r="1511" ht="15.75" customHeight="1">
      <c r="A1511" s="11">
        <f>IFERROR(__xludf.DUMMYFUNCTION("""COMPUTED_VALUE"""),44471.0)</f>
        <v>44471</v>
      </c>
      <c r="B1511" s="9">
        <f>IFERROR(__xludf.DUMMYFUNCTION("""COMPUTED_VALUE"""),1003491.0)</f>
        <v>1003491</v>
      </c>
      <c r="C1511" s="9">
        <f>IFERROR(__xludf.DUMMYFUNCTION("""COMPUTED_VALUE"""),76365.0)</f>
        <v>76365</v>
      </c>
      <c r="D1511" s="9"/>
      <c r="E1511" s="9"/>
      <c r="F1511" s="9">
        <f>IFERROR(__xludf.DUMMYFUNCTION("""COMPUTED_VALUE"""),2.08)</f>
        <v>2.08</v>
      </c>
      <c r="G1511" s="9">
        <f>IFERROR(__xludf.DUMMYFUNCTION("""COMPUTED_VALUE"""),2.08)</f>
        <v>2.08</v>
      </c>
      <c r="H1511" s="9">
        <f>IFERROR(__xludf.DUMMYFUNCTION("""COMPUTED_VALUE"""),1.0)</f>
        <v>1</v>
      </c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</row>
    <row r="1512" ht="15.75" customHeight="1">
      <c r="A1512" s="11">
        <f>IFERROR(__xludf.DUMMYFUNCTION("""COMPUTED_VALUE"""),44471.0)</f>
        <v>44471</v>
      </c>
      <c r="B1512" s="9">
        <f>IFERROR(__xludf.DUMMYFUNCTION("""COMPUTED_VALUE"""),1003491.0)</f>
        <v>1003491</v>
      </c>
      <c r="C1512" s="9">
        <f>IFERROR(__xludf.DUMMYFUNCTION("""COMPUTED_VALUE"""),73805.0)</f>
        <v>73805</v>
      </c>
      <c r="D1512" s="10" t="str">
        <f>IFERROR(__xludf.DUMMYFUNCTION("""COMPUTED_VALUE"""),"Vive le bio")</f>
        <v>Vive le bio</v>
      </c>
      <c r="E1512" s="10"/>
      <c r="F1512" s="9">
        <f>IFERROR(__xludf.DUMMYFUNCTION("""COMPUTED_VALUE"""),4.93333333333333)</f>
        <v>4.933333333</v>
      </c>
      <c r="G1512" s="9">
        <f>IFERROR(__xludf.DUMMYFUNCTION("""COMPUTED_VALUE"""),4.44)</f>
        <v>4.44</v>
      </c>
      <c r="H1512" s="9">
        <f>IFERROR(__xludf.DUMMYFUNCTION("""COMPUTED_VALUE"""),1.0)</f>
        <v>1</v>
      </c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</row>
    <row r="1513" ht="15.75" customHeight="1">
      <c r="A1513" s="11">
        <f>IFERROR(__xludf.DUMMYFUNCTION("""COMPUTED_VALUE"""),44471.0)</f>
        <v>44471</v>
      </c>
      <c r="B1513" s="9">
        <f>IFERROR(__xludf.DUMMYFUNCTION("""COMPUTED_VALUE"""),1003491.0)</f>
        <v>1003491</v>
      </c>
      <c r="C1513" s="9">
        <f>IFERROR(__xludf.DUMMYFUNCTION("""COMPUTED_VALUE"""),109311.0)</f>
        <v>109311</v>
      </c>
      <c r="D1513" s="9"/>
      <c r="E1513" s="9"/>
      <c r="F1513" s="9">
        <f>IFERROR(__xludf.DUMMYFUNCTION("""COMPUTED_VALUE"""),8.13)</f>
        <v>8.13</v>
      </c>
      <c r="G1513" s="9">
        <f>IFERROR(__xludf.DUMMYFUNCTION("""COMPUTED_VALUE"""),8.13)</f>
        <v>8.13</v>
      </c>
      <c r="H1513" s="9">
        <f>IFERROR(__xludf.DUMMYFUNCTION("""COMPUTED_VALUE"""),1.0)</f>
        <v>1</v>
      </c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</row>
    <row r="1514" ht="15.75" customHeight="1">
      <c r="A1514" s="11">
        <f>IFERROR(__xludf.DUMMYFUNCTION("""COMPUTED_VALUE"""),44471.0)</f>
        <v>44471</v>
      </c>
      <c r="B1514" s="9">
        <f>IFERROR(__xludf.DUMMYFUNCTION("""COMPUTED_VALUE"""),1003491.0)</f>
        <v>1003491</v>
      </c>
      <c r="C1514" s="9">
        <f>IFERROR(__xludf.DUMMYFUNCTION("""COMPUTED_VALUE"""),92566.0)</f>
        <v>92566</v>
      </c>
      <c r="D1514" s="9"/>
      <c r="E1514" s="9"/>
      <c r="F1514" s="9">
        <f>IFERROR(__xludf.DUMMYFUNCTION("""COMPUTED_VALUE"""),3.47)</f>
        <v>3.47</v>
      </c>
      <c r="G1514" s="9">
        <f>IFERROR(__xludf.DUMMYFUNCTION("""COMPUTED_VALUE"""),3.47)</f>
        <v>3.47</v>
      </c>
      <c r="H1514" s="9">
        <f>IFERROR(__xludf.DUMMYFUNCTION("""COMPUTED_VALUE"""),1.0)</f>
        <v>1</v>
      </c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</row>
    <row r="1515" ht="15.75" customHeight="1">
      <c r="A1515" s="11">
        <f>IFERROR(__xludf.DUMMYFUNCTION("""COMPUTED_VALUE"""),44471.0)</f>
        <v>44471</v>
      </c>
      <c r="B1515" s="9">
        <f>IFERROR(__xludf.DUMMYFUNCTION("""COMPUTED_VALUE"""),1003491.0)</f>
        <v>1003491</v>
      </c>
      <c r="C1515" s="9">
        <f>IFERROR(__xludf.DUMMYFUNCTION("""COMPUTED_VALUE"""),69578.0)</f>
        <v>69578</v>
      </c>
      <c r="D1515" s="10" t="str">
        <f>IFERROR(__xludf.DUMMYFUNCTION("""COMPUTED_VALUE"""),"DLC courtes")</f>
        <v>DLC courtes</v>
      </c>
      <c r="E1515" s="10"/>
      <c r="F1515" s="9">
        <f>IFERROR(__xludf.DUMMYFUNCTION("""COMPUTED_VALUE"""),2.84705882352941)</f>
        <v>2.847058824</v>
      </c>
      <c r="G1515" s="9">
        <f>IFERROR(__xludf.DUMMYFUNCTION("""COMPUTED_VALUE"""),2.42)</f>
        <v>2.42</v>
      </c>
      <c r="H1515" s="9">
        <f>IFERROR(__xludf.DUMMYFUNCTION("""COMPUTED_VALUE"""),1.0)</f>
        <v>1</v>
      </c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</row>
    <row r="1516" ht="15.75" customHeight="1">
      <c r="A1516" s="11">
        <f>IFERROR(__xludf.DUMMYFUNCTION("""COMPUTED_VALUE"""),44471.0)</f>
        <v>44471</v>
      </c>
      <c r="B1516" s="9">
        <f>IFERROR(__xludf.DUMMYFUNCTION("""COMPUTED_VALUE"""),1003491.0)</f>
        <v>1003491</v>
      </c>
      <c r="C1516" s="9">
        <f>IFERROR(__xludf.DUMMYFUNCTION("""COMPUTED_VALUE"""),76425.0)</f>
        <v>76425</v>
      </c>
      <c r="D1516" s="10" t="str">
        <f>IFERROR(__xludf.DUMMYFUNCTION("""COMPUTED_VALUE"""),"Vive le bio")</f>
        <v>Vive le bio</v>
      </c>
      <c r="E1516" s="10"/>
      <c r="F1516" s="9">
        <f>IFERROR(__xludf.DUMMYFUNCTION("""COMPUTED_VALUE"""),2.73333333333333)</f>
        <v>2.733333333</v>
      </c>
      <c r="G1516" s="9">
        <f>IFERROR(__xludf.DUMMYFUNCTION("""COMPUTED_VALUE"""),2.46)</f>
        <v>2.46</v>
      </c>
      <c r="H1516" s="9">
        <f>IFERROR(__xludf.DUMMYFUNCTION("""COMPUTED_VALUE"""),1.0)</f>
        <v>1</v>
      </c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</row>
    <row r="1517" ht="15.75" customHeight="1">
      <c r="A1517" s="11">
        <f>IFERROR(__xludf.DUMMYFUNCTION("""COMPUTED_VALUE"""),44471.0)</f>
        <v>44471</v>
      </c>
      <c r="B1517" s="9">
        <f>IFERROR(__xludf.DUMMYFUNCTION("""COMPUTED_VALUE"""),1003491.0)</f>
        <v>1003491</v>
      </c>
      <c r="C1517" s="9">
        <f>IFERROR(__xludf.DUMMYFUNCTION("""COMPUTED_VALUE"""),90924.0)</f>
        <v>90924</v>
      </c>
      <c r="D1517" s="9"/>
      <c r="E1517" s="9"/>
      <c r="F1517" s="9">
        <f>IFERROR(__xludf.DUMMYFUNCTION("""COMPUTED_VALUE"""),6.81)</f>
        <v>6.81</v>
      </c>
      <c r="G1517" s="9">
        <f>IFERROR(__xludf.DUMMYFUNCTION("""COMPUTED_VALUE"""),6.81)</f>
        <v>6.81</v>
      </c>
      <c r="H1517" s="9">
        <f>IFERROR(__xludf.DUMMYFUNCTION("""COMPUTED_VALUE"""),2.0)</f>
        <v>2</v>
      </c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</row>
    <row r="1518" ht="15.75" customHeight="1">
      <c r="A1518" s="11">
        <f>IFERROR(__xludf.DUMMYFUNCTION("""COMPUTED_VALUE"""),44471.0)</f>
        <v>44471</v>
      </c>
      <c r="B1518" s="9">
        <f>IFERROR(__xludf.DUMMYFUNCTION("""COMPUTED_VALUE"""),1003491.0)</f>
        <v>1003491</v>
      </c>
      <c r="C1518" s="9">
        <f>IFERROR(__xludf.DUMMYFUNCTION("""COMPUTED_VALUE"""),120797.0)</f>
        <v>120797</v>
      </c>
      <c r="D1518" s="9"/>
      <c r="E1518" s="9"/>
      <c r="F1518" s="9">
        <f>IFERROR(__xludf.DUMMYFUNCTION("""COMPUTED_VALUE"""),1.65)</f>
        <v>1.65</v>
      </c>
      <c r="G1518" s="9">
        <f>IFERROR(__xludf.DUMMYFUNCTION("""COMPUTED_VALUE"""),1.65)</f>
        <v>1.65</v>
      </c>
      <c r="H1518" s="9">
        <f>IFERROR(__xludf.DUMMYFUNCTION("""COMPUTED_VALUE"""),2.0)</f>
        <v>2</v>
      </c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</row>
    <row r="1519" ht="15.75" customHeight="1">
      <c r="A1519" s="11">
        <f>IFERROR(__xludf.DUMMYFUNCTION("""COMPUTED_VALUE"""),44471.0)</f>
        <v>44471</v>
      </c>
      <c r="B1519" s="9">
        <f>IFERROR(__xludf.DUMMYFUNCTION("""COMPUTED_VALUE"""),1003491.0)</f>
        <v>1003491</v>
      </c>
      <c r="C1519" s="9">
        <f>IFERROR(__xludf.DUMMYFUNCTION("""COMPUTED_VALUE"""),82393.0)</f>
        <v>82393</v>
      </c>
      <c r="D1519" s="10" t="str">
        <f>IFERROR(__xludf.DUMMYFUNCTION("""COMPUTED_VALUE"""),"Offre speciale")</f>
        <v>Offre speciale</v>
      </c>
      <c r="E1519" s="10"/>
      <c r="F1519" s="9">
        <f>IFERROR(__xludf.DUMMYFUNCTION("""COMPUTED_VALUE"""),7.85555555555555)</f>
        <v>7.855555556</v>
      </c>
      <c r="G1519" s="9">
        <f>IFERROR(__xludf.DUMMYFUNCTION("""COMPUTED_VALUE"""),7.07)</f>
        <v>7.07</v>
      </c>
      <c r="H1519" s="9">
        <f>IFERROR(__xludf.DUMMYFUNCTION("""COMPUTED_VALUE"""),2.0)</f>
        <v>2</v>
      </c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</row>
    <row r="1520" ht="15.75" customHeight="1">
      <c r="A1520" s="11">
        <f>IFERROR(__xludf.DUMMYFUNCTION("""COMPUTED_VALUE"""),44471.0)</f>
        <v>44471</v>
      </c>
      <c r="B1520" s="9">
        <f>IFERROR(__xludf.DUMMYFUNCTION("""COMPUTED_VALUE"""),1003492.0)</f>
        <v>1003492</v>
      </c>
      <c r="C1520" s="9">
        <f>IFERROR(__xludf.DUMMYFUNCTION("""COMPUTED_VALUE"""),116678.0)</f>
        <v>116678</v>
      </c>
      <c r="D1520" s="9"/>
      <c r="E1520" s="10" t="str">
        <f>IFERROR(__xludf.DUMMYFUNCTION("""COMPUTED_VALUE"""),"GREENRELAIS")</f>
        <v>GREENRELAIS</v>
      </c>
      <c r="F1520" s="10">
        <f>IFERROR(__xludf.DUMMYFUNCTION("""COMPUTED_VALUE"""),83.95)</f>
        <v>83.95</v>
      </c>
      <c r="G1520" s="9">
        <f>IFERROR(__xludf.DUMMYFUNCTION("""COMPUTED_VALUE"""),83.95)</f>
        <v>83.95</v>
      </c>
      <c r="H1520" s="9">
        <f>IFERROR(__xludf.DUMMYFUNCTION("""COMPUTED_VALUE"""),6.0)</f>
        <v>6</v>
      </c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</row>
    <row r="1521" ht="15.75" customHeight="1">
      <c r="A1521" s="11">
        <f>IFERROR(__xludf.DUMMYFUNCTION("""COMPUTED_VALUE"""),44471.0)</f>
        <v>44471</v>
      </c>
      <c r="B1521" s="9">
        <f>IFERROR(__xludf.DUMMYFUNCTION("""COMPUTED_VALUE"""),1003494.0)</f>
        <v>1003494</v>
      </c>
      <c r="C1521" s="9">
        <f>IFERROR(__xludf.DUMMYFUNCTION("""COMPUTED_VALUE"""),111220.0)</f>
        <v>111220</v>
      </c>
      <c r="D1521" s="9"/>
      <c r="E1521" s="9"/>
      <c r="F1521" s="9">
        <f>IFERROR(__xludf.DUMMYFUNCTION("""COMPUTED_VALUE"""),19.16)</f>
        <v>19.16</v>
      </c>
      <c r="G1521" s="9">
        <f>IFERROR(__xludf.DUMMYFUNCTION("""COMPUTED_VALUE"""),19.16)</f>
        <v>19.16</v>
      </c>
      <c r="H1521" s="9">
        <f>IFERROR(__xludf.DUMMYFUNCTION("""COMPUTED_VALUE"""),1.0)</f>
        <v>1</v>
      </c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</row>
    <row r="1522" ht="15.75" customHeight="1">
      <c r="A1522" s="11">
        <f>IFERROR(__xludf.DUMMYFUNCTION("""COMPUTED_VALUE"""),44471.0)</f>
        <v>44471</v>
      </c>
      <c r="B1522" s="9">
        <f>IFERROR(__xludf.DUMMYFUNCTION("""COMPUTED_VALUE"""),1003495.0)</f>
        <v>1003495</v>
      </c>
      <c r="C1522" s="9">
        <f>IFERROR(__xludf.DUMMYFUNCTION("""COMPUTED_VALUE"""),195244.0)</f>
        <v>195244</v>
      </c>
      <c r="D1522" s="9"/>
      <c r="E1522" s="9"/>
      <c r="F1522" s="9">
        <f>IFERROR(__xludf.DUMMYFUNCTION("""COMPUTED_VALUE"""),9.1)</f>
        <v>9.1</v>
      </c>
      <c r="G1522" s="9">
        <f>IFERROR(__xludf.DUMMYFUNCTION("""COMPUTED_VALUE"""),9.1)</f>
        <v>9.1</v>
      </c>
      <c r="H1522" s="9">
        <f>IFERROR(__xludf.DUMMYFUNCTION("""COMPUTED_VALUE"""),1.0)</f>
        <v>1</v>
      </c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</row>
    <row r="1523" ht="15.75" customHeight="1">
      <c r="A1523" s="11">
        <f>IFERROR(__xludf.DUMMYFUNCTION("""COMPUTED_VALUE"""),44471.0)</f>
        <v>44471</v>
      </c>
      <c r="B1523" s="9">
        <f>IFERROR(__xludf.DUMMYFUNCTION("""COMPUTED_VALUE"""),1003495.0)</f>
        <v>1003495</v>
      </c>
      <c r="C1523" s="9">
        <f>IFERROR(__xludf.DUMMYFUNCTION("""COMPUTED_VALUE"""),11795.0)</f>
        <v>11795</v>
      </c>
      <c r="D1523" s="10" t="str">
        <f>IFERROR(__xludf.DUMMYFUNCTION("""COMPUTED_VALUE"""),"Offre Speciale")</f>
        <v>Offre Speciale</v>
      </c>
      <c r="E1523" s="10"/>
      <c r="F1523" s="9">
        <f>IFERROR(__xludf.DUMMYFUNCTION("""COMPUTED_VALUE"""),12.506329113924)</f>
        <v>12.50632911</v>
      </c>
      <c r="G1523" s="9">
        <f>IFERROR(__xludf.DUMMYFUNCTION("""COMPUTED_VALUE"""),9.88)</f>
        <v>9.88</v>
      </c>
      <c r="H1523" s="9">
        <f>IFERROR(__xludf.DUMMYFUNCTION("""COMPUTED_VALUE"""),2.0)</f>
        <v>2</v>
      </c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</row>
    <row r="1524" ht="15.75" customHeight="1">
      <c r="A1524" s="11">
        <f>IFERROR(__xludf.DUMMYFUNCTION("""COMPUTED_VALUE"""),44471.0)</f>
        <v>44471</v>
      </c>
      <c r="B1524" s="9">
        <f>IFERROR(__xludf.DUMMYFUNCTION("""COMPUTED_VALUE"""),1003495.0)</f>
        <v>1003495</v>
      </c>
      <c r="C1524" s="9">
        <f>IFERROR(__xludf.DUMMYFUNCTION("""COMPUTED_VALUE"""),12648.0)</f>
        <v>12648</v>
      </c>
      <c r="D1524" s="9"/>
      <c r="E1524" s="9"/>
      <c r="F1524" s="9">
        <f>IFERROR(__xludf.DUMMYFUNCTION("""COMPUTED_VALUE"""),67.83)</f>
        <v>67.83</v>
      </c>
      <c r="G1524" s="9">
        <f>IFERROR(__xludf.DUMMYFUNCTION("""COMPUTED_VALUE"""),67.83)</f>
        <v>67.83</v>
      </c>
      <c r="H1524" s="9">
        <f>IFERROR(__xludf.DUMMYFUNCTION("""COMPUTED_VALUE"""),7.0)</f>
        <v>7</v>
      </c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</row>
    <row r="1525" ht="15.75" customHeight="1">
      <c r="A1525" s="11">
        <f>IFERROR(__xludf.DUMMYFUNCTION("""COMPUTED_VALUE"""),44471.0)</f>
        <v>44471</v>
      </c>
      <c r="B1525" s="9">
        <f>IFERROR(__xludf.DUMMYFUNCTION("""COMPUTED_VALUE"""),1003496.0)</f>
        <v>1003496</v>
      </c>
      <c r="C1525" s="9">
        <f>IFERROR(__xludf.DUMMYFUNCTION("""COMPUTED_VALUE"""),47050.0)</f>
        <v>47050</v>
      </c>
      <c r="D1525" s="9"/>
      <c r="E1525" s="9"/>
      <c r="F1525" s="9">
        <f>IFERROR(__xludf.DUMMYFUNCTION("""COMPUTED_VALUE"""),2.51)</f>
        <v>2.51</v>
      </c>
      <c r="G1525" s="9">
        <f>IFERROR(__xludf.DUMMYFUNCTION("""COMPUTED_VALUE"""),2.51)</f>
        <v>2.51</v>
      </c>
      <c r="H1525" s="9">
        <f>IFERROR(__xludf.DUMMYFUNCTION("""COMPUTED_VALUE"""),1.0)</f>
        <v>1</v>
      </c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</row>
    <row r="1526" ht="15.75" customHeight="1">
      <c r="A1526" s="11">
        <f>IFERROR(__xludf.DUMMYFUNCTION("""COMPUTED_VALUE"""),44471.0)</f>
        <v>44471</v>
      </c>
      <c r="B1526" s="9">
        <f>IFERROR(__xludf.DUMMYFUNCTION("""COMPUTED_VALUE"""),1003496.0)</f>
        <v>1003496</v>
      </c>
      <c r="C1526" s="9">
        <f>IFERROR(__xludf.DUMMYFUNCTION("""COMPUTED_VALUE"""),114668.0)</f>
        <v>114668</v>
      </c>
      <c r="D1526" s="9"/>
      <c r="E1526" s="9"/>
      <c r="F1526" s="9">
        <f>IFERROR(__xludf.DUMMYFUNCTION("""COMPUTED_VALUE"""),2.51)</f>
        <v>2.51</v>
      </c>
      <c r="G1526" s="9">
        <f>IFERROR(__xludf.DUMMYFUNCTION("""COMPUTED_VALUE"""),2.51)</f>
        <v>2.51</v>
      </c>
      <c r="H1526" s="9">
        <f>IFERROR(__xludf.DUMMYFUNCTION("""COMPUTED_VALUE"""),1.0)</f>
        <v>1</v>
      </c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</row>
    <row r="1527" ht="15.75" customHeight="1">
      <c r="A1527" s="11">
        <f>IFERROR(__xludf.DUMMYFUNCTION("""COMPUTED_VALUE"""),44471.0)</f>
        <v>44471</v>
      </c>
      <c r="B1527" s="9">
        <f>IFERROR(__xludf.DUMMYFUNCTION("""COMPUTED_VALUE"""),1003496.0)</f>
        <v>1003496</v>
      </c>
      <c r="C1527" s="9">
        <f>IFERROR(__xludf.DUMMYFUNCTION("""COMPUTED_VALUE"""),121576.0)</f>
        <v>121576</v>
      </c>
      <c r="D1527" s="9"/>
      <c r="E1527" s="9"/>
      <c r="F1527" s="9">
        <f>IFERROR(__xludf.DUMMYFUNCTION("""COMPUTED_VALUE"""),7.34)</f>
        <v>7.34</v>
      </c>
      <c r="G1527" s="9">
        <f>IFERROR(__xludf.DUMMYFUNCTION("""COMPUTED_VALUE"""),7.34)</f>
        <v>7.34</v>
      </c>
      <c r="H1527" s="9">
        <f>IFERROR(__xludf.DUMMYFUNCTION("""COMPUTED_VALUE"""),1.0)</f>
        <v>1</v>
      </c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</row>
    <row r="1528" ht="15.75" customHeight="1">
      <c r="A1528" s="11">
        <f>IFERROR(__xludf.DUMMYFUNCTION("""COMPUTED_VALUE"""),44471.0)</f>
        <v>44471</v>
      </c>
      <c r="B1528" s="9">
        <f>IFERROR(__xludf.DUMMYFUNCTION("""COMPUTED_VALUE"""),1003496.0)</f>
        <v>1003496</v>
      </c>
      <c r="C1528" s="9">
        <f>IFERROR(__xludf.DUMMYFUNCTION("""COMPUTED_VALUE"""),110571.0)</f>
        <v>110571</v>
      </c>
      <c r="D1528" s="9"/>
      <c r="E1528" s="9"/>
      <c r="F1528" s="9">
        <f>IFERROR(__xludf.DUMMYFUNCTION("""COMPUTED_VALUE"""),1.21)</f>
        <v>1.21</v>
      </c>
      <c r="G1528" s="9">
        <f>IFERROR(__xludf.DUMMYFUNCTION("""COMPUTED_VALUE"""),1.21)</f>
        <v>1.21</v>
      </c>
      <c r="H1528" s="9">
        <f>IFERROR(__xludf.DUMMYFUNCTION("""COMPUTED_VALUE"""),1.0)</f>
        <v>1</v>
      </c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</row>
    <row r="1529" ht="15.75" customHeight="1">
      <c r="A1529" s="11">
        <f>IFERROR(__xludf.DUMMYFUNCTION("""COMPUTED_VALUE"""),44471.0)</f>
        <v>44471</v>
      </c>
      <c r="B1529" s="9">
        <f>IFERROR(__xludf.DUMMYFUNCTION("""COMPUTED_VALUE"""),1003496.0)</f>
        <v>1003496</v>
      </c>
      <c r="C1529" s="9">
        <f>IFERROR(__xludf.DUMMYFUNCTION("""COMPUTED_VALUE"""),110572.0)</f>
        <v>110572</v>
      </c>
      <c r="D1529" s="9"/>
      <c r="E1529" s="9"/>
      <c r="F1529" s="9">
        <f>IFERROR(__xludf.DUMMYFUNCTION("""COMPUTED_VALUE"""),1.21)</f>
        <v>1.21</v>
      </c>
      <c r="G1529" s="9">
        <f>IFERROR(__xludf.DUMMYFUNCTION("""COMPUTED_VALUE"""),1.21)</f>
        <v>1.21</v>
      </c>
      <c r="H1529" s="9">
        <f>IFERROR(__xludf.DUMMYFUNCTION("""COMPUTED_VALUE"""),1.0)</f>
        <v>1</v>
      </c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</row>
    <row r="1530" ht="15.75" customHeight="1">
      <c r="A1530" s="11">
        <f>IFERROR(__xludf.DUMMYFUNCTION("""COMPUTED_VALUE"""),44471.0)</f>
        <v>44471</v>
      </c>
      <c r="B1530" s="9">
        <f>IFERROR(__xludf.DUMMYFUNCTION("""COMPUTED_VALUE"""),1003496.0)</f>
        <v>1003496</v>
      </c>
      <c r="C1530" s="9">
        <f>IFERROR(__xludf.DUMMYFUNCTION("""COMPUTED_VALUE"""),44718.0)</f>
        <v>44718</v>
      </c>
      <c r="D1530" s="10" t="str">
        <f>IFERROR(__xludf.DUMMYFUNCTION("""COMPUTED_VALUE"""),"Offre speciale")</f>
        <v>Offre speciale</v>
      </c>
      <c r="E1530" s="10"/>
      <c r="F1530" s="9">
        <f>IFERROR(__xludf.DUMMYFUNCTION("""COMPUTED_VALUE"""),1.89130434782608)</f>
        <v>1.891304348</v>
      </c>
      <c r="G1530" s="9">
        <f>IFERROR(__xludf.DUMMYFUNCTION("""COMPUTED_VALUE"""),1.74)</f>
        <v>1.74</v>
      </c>
      <c r="H1530" s="9">
        <f>IFERROR(__xludf.DUMMYFUNCTION("""COMPUTED_VALUE"""),1.0)</f>
        <v>1</v>
      </c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</row>
    <row r="1531" ht="15.75" customHeight="1">
      <c r="A1531" s="11">
        <f>IFERROR(__xludf.DUMMYFUNCTION("""COMPUTED_VALUE"""),44471.0)</f>
        <v>44471</v>
      </c>
      <c r="B1531" s="9">
        <f>IFERROR(__xludf.DUMMYFUNCTION("""COMPUTED_VALUE"""),1003496.0)</f>
        <v>1003496</v>
      </c>
      <c r="C1531" s="9">
        <f>IFERROR(__xludf.DUMMYFUNCTION("""COMPUTED_VALUE"""),76281.0)</f>
        <v>76281</v>
      </c>
      <c r="D1531" s="10" t="str">
        <f>IFERROR(__xludf.DUMMYFUNCTION("""COMPUTED_VALUE"""),"Vive le bio")</f>
        <v>Vive le bio</v>
      </c>
      <c r="E1531" s="10"/>
      <c r="F1531" s="9">
        <f>IFERROR(__xludf.DUMMYFUNCTION("""COMPUTED_VALUE"""),3.04444444444444)</f>
        <v>3.044444444</v>
      </c>
      <c r="G1531" s="9">
        <f>IFERROR(__xludf.DUMMYFUNCTION("""COMPUTED_VALUE"""),2.74)</f>
        <v>2.74</v>
      </c>
      <c r="H1531" s="9">
        <f>IFERROR(__xludf.DUMMYFUNCTION("""COMPUTED_VALUE"""),1.0)</f>
        <v>1</v>
      </c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</row>
    <row r="1532" ht="15.75" customHeight="1">
      <c r="A1532" s="11">
        <f>IFERROR(__xludf.DUMMYFUNCTION("""COMPUTED_VALUE"""),44471.0)</f>
        <v>44471</v>
      </c>
      <c r="B1532" s="9">
        <f>IFERROR(__xludf.DUMMYFUNCTION("""COMPUTED_VALUE"""),1003496.0)</f>
        <v>1003496</v>
      </c>
      <c r="C1532" s="9">
        <f>IFERROR(__xludf.DUMMYFUNCTION("""COMPUTED_VALUE"""),5665.0)</f>
        <v>5665</v>
      </c>
      <c r="D1532" s="10" t="str">
        <f>IFERROR(__xludf.DUMMYFUNCTION("""COMPUTED_VALUE"""),"Vive le bio")</f>
        <v>Vive le bio</v>
      </c>
      <c r="E1532" s="10"/>
      <c r="F1532" s="9">
        <f>IFERROR(__xludf.DUMMYFUNCTION("""COMPUTED_VALUE"""),4.35555555555555)</f>
        <v>4.355555556</v>
      </c>
      <c r="G1532" s="9">
        <f>IFERROR(__xludf.DUMMYFUNCTION("""COMPUTED_VALUE"""),3.92)</f>
        <v>3.92</v>
      </c>
      <c r="H1532" s="9">
        <f>IFERROR(__xludf.DUMMYFUNCTION("""COMPUTED_VALUE"""),1.0)</f>
        <v>1</v>
      </c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</row>
    <row r="1533" ht="15.75" customHeight="1">
      <c r="A1533" s="11">
        <f>IFERROR(__xludf.DUMMYFUNCTION("""COMPUTED_VALUE"""),44471.0)</f>
        <v>44471</v>
      </c>
      <c r="B1533" s="9">
        <f>IFERROR(__xludf.DUMMYFUNCTION("""COMPUTED_VALUE"""),1003496.0)</f>
        <v>1003496</v>
      </c>
      <c r="C1533" s="9">
        <f>IFERROR(__xludf.DUMMYFUNCTION("""COMPUTED_VALUE"""),87402.0)</f>
        <v>87402</v>
      </c>
      <c r="D1533" s="9"/>
      <c r="E1533" s="9"/>
      <c r="F1533" s="9">
        <f>IFERROR(__xludf.DUMMYFUNCTION("""COMPUTED_VALUE"""),1.86)</f>
        <v>1.86</v>
      </c>
      <c r="G1533" s="9">
        <f>IFERROR(__xludf.DUMMYFUNCTION("""COMPUTED_VALUE"""),1.86)</f>
        <v>1.86</v>
      </c>
      <c r="H1533" s="9">
        <f>IFERROR(__xludf.DUMMYFUNCTION("""COMPUTED_VALUE"""),1.0)</f>
        <v>1</v>
      </c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</row>
    <row r="1534" ht="15.75" customHeight="1">
      <c r="A1534" s="11">
        <f>IFERROR(__xludf.DUMMYFUNCTION("""COMPUTED_VALUE"""),44471.0)</f>
        <v>44471</v>
      </c>
      <c r="B1534" s="9">
        <f>IFERROR(__xludf.DUMMYFUNCTION("""COMPUTED_VALUE"""),1003496.0)</f>
        <v>1003496</v>
      </c>
      <c r="C1534" s="9">
        <f>IFERROR(__xludf.DUMMYFUNCTION("""COMPUTED_VALUE"""),115754.0)</f>
        <v>115754</v>
      </c>
      <c r="D1534" s="10" t="str">
        <f>IFERROR(__xludf.DUMMYFUNCTION("""COMPUTED_VALUE"""),"Vive le bio")</f>
        <v>Vive le bio</v>
      </c>
      <c r="E1534" s="10"/>
      <c r="F1534" s="9">
        <f>IFERROR(__xludf.DUMMYFUNCTION("""COMPUTED_VALUE"""),1.15555555555555)</f>
        <v>1.155555556</v>
      </c>
      <c r="G1534" s="9">
        <f>IFERROR(__xludf.DUMMYFUNCTION("""COMPUTED_VALUE"""),1.04)</f>
        <v>1.04</v>
      </c>
      <c r="H1534" s="9">
        <f>IFERROR(__xludf.DUMMYFUNCTION("""COMPUTED_VALUE"""),1.0)</f>
        <v>1</v>
      </c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</row>
    <row r="1535" ht="15.75" customHeight="1">
      <c r="A1535" s="11">
        <f>IFERROR(__xludf.DUMMYFUNCTION("""COMPUTED_VALUE"""),44471.0)</f>
        <v>44471</v>
      </c>
      <c r="B1535" s="9">
        <f>IFERROR(__xludf.DUMMYFUNCTION("""COMPUTED_VALUE"""),1003496.0)</f>
        <v>1003496</v>
      </c>
      <c r="C1535" s="9">
        <f>IFERROR(__xludf.DUMMYFUNCTION("""COMPUTED_VALUE"""),77366.0)</f>
        <v>77366</v>
      </c>
      <c r="D1535" s="9"/>
      <c r="E1535" s="9"/>
      <c r="F1535" s="9">
        <f>IFERROR(__xludf.DUMMYFUNCTION("""COMPUTED_VALUE"""),2.49)</f>
        <v>2.49</v>
      </c>
      <c r="G1535" s="9">
        <f>IFERROR(__xludf.DUMMYFUNCTION("""COMPUTED_VALUE"""),2.49)</f>
        <v>2.49</v>
      </c>
      <c r="H1535" s="9">
        <f>IFERROR(__xludf.DUMMYFUNCTION("""COMPUTED_VALUE"""),1.0)</f>
        <v>1</v>
      </c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</row>
    <row r="1536" ht="15.75" customHeight="1">
      <c r="A1536" s="11">
        <f>IFERROR(__xludf.DUMMYFUNCTION("""COMPUTED_VALUE"""),44471.0)</f>
        <v>44471</v>
      </c>
      <c r="B1536" s="9">
        <f>IFERROR(__xludf.DUMMYFUNCTION("""COMPUTED_VALUE"""),1003496.0)</f>
        <v>1003496</v>
      </c>
      <c r="C1536" s="9">
        <f>IFERROR(__xludf.DUMMYFUNCTION("""COMPUTED_VALUE"""),77293.0)</f>
        <v>77293</v>
      </c>
      <c r="D1536" s="10" t="str">
        <f>IFERROR(__xludf.DUMMYFUNCTION("""COMPUTED_VALUE"""),"Offre speciale")</f>
        <v>Offre speciale</v>
      </c>
      <c r="E1536" s="10"/>
      <c r="F1536" s="9">
        <f>IFERROR(__xludf.DUMMYFUNCTION("""COMPUTED_VALUE"""),3.6235294117647)</f>
        <v>3.623529412</v>
      </c>
      <c r="G1536" s="9">
        <f>IFERROR(__xludf.DUMMYFUNCTION("""COMPUTED_VALUE"""),3.08)</f>
        <v>3.08</v>
      </c>
      <c r="H1536" s="9">
        <f>IFERROR(__xludf.DUMMYFUNCTION("""COMPUTED_VALUE"""),1.0)</f>
        <v>1</v>
      </c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</row>
    <row r="1537" ht="15.75" customHeight="1">
      <c r="A1537" s="11">
        <f>IFERROR(__xludf.DUMMYFUNCTION("""COMPUTED_VALUE"""),44471.0)</f>
        <v>44471</v>
      </c>
      <c r="B1537" s="9">
        <f>IFERROR(__xludf.DUMMYFUNCTION("""COMPUTED_VALUE"""),1003496.0)</f>
        <v>1003496</v>
      </c>
      <c r="C1537" s="9">
        <f>IFERROR(__xludf.DUMMYFUNCTION("""COMPUTED_VALUE"""),159208.0)</f>
        <v>159208</v>
      </c>
      <c r="D1537" s="9"/>
      <c r="E1537" s="9"/>
      <c r="F1537" s="9">
        <f>IFERROR(__xludf.DUMMYFUNCTION("""COMPUTED_VALUE"""),3.67)</f>
        <v>3.67</v>
      </c>
      <c r="G1537" s="9">
        <f>IFERROR(__xludf.DUMMYFUNCTION("""COMPUTED_VALUE"""),3.67)</f>
        <v>3.67</v>
      </c>
      <c r="H1537" s="9">
        <f>IFERROR(__xludf.DUMMYFUNCTION("""COMPUTED_VALUE"""),2.0)</f>
        <v>2</v>
      </c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</row>
    <row r="1538" ht="15.75" customHeight="1">
      <c r="A1538" s="11">
        <f>IFERROR(__xludf.DUMMYFUNCTION("""COMPUTED_VALUE"""),44471.0)</f>
        <v>44471</v>
      </c>
      <c r="B1538" s="9">
        <f>IFERROR(__xludf.DUMMYFUNCTION("""COMPUTED_VALUE"""),1003496.0)</f>
        <v>1003496</v>
      </c>
      <c r="C1538" s="9">
        <f>IFERROR(__xludf.DUMMYFUNCTION("""COMPUTED_VALUE"""),77475.0)</f>
        <v>77475</v>
      </c>
      <c r="D1538" s="10" t="str">
        <f>IFERROR(__xludf.DUMMYFUNCTION("""COMPUTED_VALUE"""),"Vive le bio")</f>
        <v>Vive le bio</v>
      </c>
      <c r="E1538" s="10"/>
      <c r="F1538" s="9">
        <f>IFERROR(__xludf.DUMMYFUNCTION("""COMPUTED_VALUE"""),3.76666666666666)</f>
        <v>3.766666667</v>
      </c>
      <c r="G1538" s="9">
        <f>IFERROR(__xludf.DUMMYFUNCTION("""COMPUTED_VALUE"""),3.39)</f>
        <v>3.39</v>
      </c>
      <c r="H1538" s="9">
        <f>IFERROR(__xludf.DUMMYFUNCTION("""COMPUTED_VALUE"""),3.0)</f>
        <v>3</v>
      </c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</row>
    <row r="1539" ht="15.75" customHeight="1">
      <c r="A1539" s="11">
        <f>IFERROR(__xludf.DUMMYFUNCTION("""COMPUTED_VALUE"""),44471.0)</f>
        <v>44471</v>
      </c>
      <c r="B1539" s="9">
        <f>IFERROR(__xludf.DUMMYFUNCTION("""COMPUTED_VALUE"""),1003496.0)</f>
        <v>1003496</v>
      </c>
      <c r="C1539" s="9">
        <f>IFERROR(__xludf.DUMMYFUNCTION("""COMPUTED_VALUE"""),8862.0)</f>
        <v>8862</v>
      </c>
      <c r="D1539" s="9"/>
      <c r="E1539" s="9"/>
      <c r="F1539" s="9">
        <f>IFERROR(__xludf.DUMMYFUNCTION("""COMPUTED_VALUE"""),10.89)</f>
        <v>10.89</v>
      </c>
      <c r="G1539" s="9">
        <f>IFERROR(__xludf.DUMMYFUNCTION("""COMPUTED_VALUE"""),10.89)</f>
        <v>10.89</v>
      </c>
      <c r="H1539" s="9">
        <f>IFERROR(__xludf.DUMMYFUNCTION("""COMPUTED_VALUE"""),3.0)</f>
        <v>3</v>
      </c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</row>
    <row r="1540" ht="15.75" customHeight="1">
      <c r="A1540" s="11">
        <f>IFERROR(__xludf.DUMMYFUNCTION("""COMPUTED_VALUE"""),44471.0)</f>
        <v>44471</v>
      </c>
      <c r="B1540" s="9">
        <f>IFERROR(__xludf.DUMMYFUNCTION("""COMPUTED_VALUE"""),1003496.0)</f>
        <v>1003496</v>
      </c>
      <c r="C1540" s="9">
        <f>IFERROR(__xludf.DUMMYFUNCTION("""COMPUTED_VALUE"""),102720.0)</f>
        <v>102720</v>
      </c>
      <c r="D1540" s="9"/>
      <c r="E1540" s="9"/>
      <c r="F1540" s="9">
        <f>IFERROR(__xludf.DUMMYFUNCTION("""COMPUTED_VALUE"""),16.65)</f>
        <v>16.65</v>
      </c>
      <c r="G1540" s="9">
        <f>IFERROR(__xludf.DUMMYFUNCTION("""COMPUTED_VALUE"""),16.65)</f>
        <v>16.65</v>
      </c>
      <c r="H1540" s="9">
        <f>IFERROR(__xludf.DUMMYFUNCTION("""COMPUTED_VALUE"""),4.0)</f>
        <v>4</v>
      </c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</row>
    <row r="1541" ht="15.75" customHeight="1">
      <c r="A1541" s="11">
        <f>IFERROR(__xludf.DUMMYFUNCTION("""COMPUTED_VALUE"""),44471.0)</f>
        <v>44471</v>
      </c>
      <c r="B1541" s="9">
        <f>IFERROR(__xludf.DUMMYFUNCTION("""COMPUTED_VALUE"""),1003496.0)</f>
        <v>1003496</v>
      </c>
      <c r="C1541" s="9">
        <f>IFERROR(__xludf.DUMMYFUNCTION("""COMPUTED_VALUE"""),76603.0)</f>
        <v>76603</v>
      </c>
      <c r="D1541" s="10" t="str">
        <f>IFERROR(__xludf.DUMMYFUNCTION("""COMPUTED_VALUE"""),"Vive le bio")</f>
        <v>Vive le bio</v>
      </c>
      <c r="E1541" s="10"/>
      <c r="F1541" s="9">
        <f>IFERROR(__xludf.DUMMYFUNCTION("""COMPUTED_VALUE"""),10.3666666666666)</f>
        <v>10.36666667</v>
      </c>
      <c r="G1541" s="9">
        <f>IFERROR(__xludf.DUMMYFUNCTION("""COMPUTED_VALUE"""),9.33)</f>
        <v>9.33</v>
      </c>
      <c r="H1541" s="9">
        <f>IFERROR(__xludf.DUMMYFUNCTION("""COMPUTED_VALUE"""),4.0)</f>
        <v>4</v>
      </c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</row>
    <row r="1542" ht="15.75" customHeight="1">
      <c r="A1542" s="11">
        <f>IFERROR(__xludf.DUMMYFUNCTION("""COMPUTED_VALUE"""),44471.0)</f>
        <v>44471</v>
      </c>
      <c r="B1542" s="9">
        <f>IFERROR(__xludf.DUMMYFUNCTION("""COMPUTED_VALUE"""),1003496.0)</f>
        <v>1003496</v>
      </c>
      <c r="C1542" s="9">
        <f>IFERROR(__xludf.DUMMYFUNCTION("""COMPUTED_VALUE"""),90680.0)</f>
        <v>90680</v>
      </c>
      <c r="D1542" s="9"/>
      <c r="E1542" s="9"/>
      <c r="F1542" s="9">
        <f>IFERROR(__xludf.DUMMYFUNCTION("""COMPUTED_VALUE"""),15.06)</f>
        <v>15.06</v>
      </c>
      <c r="G1542" s="9">
        <f>IFERROR(__xludf.DUMMYFUNCTION("""COMPUTED_VALUE"""),15.06)</f>
        <v>15.06</v>
      </c>
      <c r="H1542" s="9">
        <f>IFERROR(__xludf.DUMMYFUNCTION("""COMPUTED_VALUE"""),6.0)</f>
        <v>6</v>
      </c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</row>
    <row r="1543" ht="15.75" customHeight="1">
      <c r="A1543" s="11">
        <f>IFERROR(__xludf.DUMMYFUNCTION("""COMPUTED_VALUE"""),44471.0)</f>
        <v>44471</v>
      </c>
      <c r="B1543" s="9">
        <f>IFERROR(__xludf.DUMMYFUNCTION("""COMPUTED_VALUE"""),1003496.0)</f>
        <v>1003496</v>
      </c>
      <c r="C1543" s="9">
        <f>IFERROR(__xludf.DUMMYFUNCTION("""COMPUTED_VALUE"""),115761.0)</f>
        <v>115761</v>
      </c>
      <c r="D1543" s="9"/>
      <c r="E1543" s="9"/>
      <c r="F1543" s="9">
        <f>IFERROR(__xludf.DUMMYFUNCTION("""COMPUTED_VALUE"""),7.83)</f>
        <v>7.83</v>
      </c>
      <c r="G1543" s="9">
        <f>IFERROR(__xludf.DUMMYFUNCTION("""COMPUTED_VALUE"""),7.83)</f>
        <v>7.83</v>
      </c>
      <c r="H1543" s="9">
        <f>IFERROR(__xludf.DUMMYFUNCTION("""COMPUTED_VALUE"""),6.0)</f>
        <v>6</v>
      </c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</row>
    <row r="1544" ht="15.75" customHeight="1">
      <c r="A1544" s="11">
        <f>IFERROR(__xludf.DUMMYFUNCTION("""COMPUTED_VALUE"""),44471.0)</f>
        <v>44471</v>
      </c>
      <c r="B1544" s="9">
        <f>IFERROR(__xludf.DUMMYFUNCTION("""COMPUTED_VALUE"""),1003497.0)</f>
        <v>1003497</v>
      </c>
      <c r="C1544" s="9">
        <f>IFERROR(__xludf.DUMMYFUNCTION("""COMPUTED_VALUE"""),95063.0)</f>
        <v>95063</v>
      </c>
      <c r="D1544" s="10" t="str">
        <f>IFERROR(__xludf.DUMMYFUNCTION("""COMPUTED_VALUE"""),"Offre Speciale")</f>
        <v>Offre Speciale</v>
      </c>
      <c r="E1544" s="10"/>
      <c r="F1544" s="9">
        <f>IFERROR(__xludf.DUMMYFUNCTION("""COMPUTED_VALUE"""),3.37647058823529)</f>
        <v>3.376470588</v>
      </c>
      <c r="G1544" s="9">
        <f>IFERROR(__xludf.DUMMYFUNCTION("""COMPUTED_VALUE"""),2.87)</f>
        <v>2.87</v>
      </c>
      <c r="H1544" s="9">
        <f>IFERROR(__xludf.DUMMYFUNCTION("""COMPUTED_VALUE"""),1.0)</f>
        <v>1</v>
      </c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</row>
    <row r="1545" ht="15.75" customHeight="1">
      <c r="A1545" s="11">
        <f>IFERROR(__xludf.DUMMYFUNCTION("""COMPUTED_VALUE"""),44471.0)</f>
        <v>44471</v>
      </c>
      <c r="B1545" s="9">
        <f>IFERROR(__xludf.DUMMYFUNCTION("""COMPUTED_VALUE"""),1003497.0)</f>
        <v>1003497</v>
      </c>
      <c r="C1545" s="9">
        <f>IFERROR(__xludf.DUMMYFUNCTION("""COMPUTED_VALUE"""),73925.0)</f>
        <v>73925</v>
      </c>
      <c r="D1545" s="10" t="str">
        <f>IFERROR(__xludf.DUMMYFUNCTION("""COMPUTED_VALUE"""),"Vive le bio")</f>
        <v>Vive le bio</v>
      </c>
      <c r="E1545" s="10"/>
      <c r="F1545" s="9">
        <f>IFERROR(__xludf.DUMMYFUNCTION("""COMPUTED_VALUE"""),2.71111111111111)</f>
        <v>2.711111111</v>
      </c>
      <c r="G1545" s="9">
        <f>IFERROR(__xludf.DUMMYFUNCTION("""COMPUTED_VALUE"""),2.44)</f>
        <v>2.44</v>
      </c>
      <c r="H1545" s="9">
        <f>IFERROR(__xludf.DUMMYFUNCTION("""COMPUTED_VALUE"""),1.0)</f>
        <v>1</v>
      </c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</row>
    <row r="1546" ht="15.75" customHeight="1">
      <c r="A1546" s="11">
        <f>IFERROR(__xludf.DUMMYFUNCTION("""COMPUTED_VALUE"""),44471.0)</f>
        <v>44471</v>
      </c>
      <c r="B1546" s="9">
        <f>IFERROR(__xludf.DUMMYFUNCTION("""COMPUTED_VALUE"""),1003497.0)</f>
        <v>1003497</v>
      </c>
      <c r="C1546" s="9">
        <f>IFERROR(__xludf.DUMMYFUNCTION("""COMPUTED_VALUE"""),86864.0)</f>
        <v>86864</v>
      </c>
      <c r="D1546" s="10" t="str">
        <f>IFERROR(__xludf.DUMMYFUNCTION("""COMPUTED_VALUE"""),"Offre Speciale")</f>
        <v>Offre Speciale</v>
      </c>
      <c r="E1546" s="10"/>
      <c r="F1546" s="9">
        <f>IFERROR(__xludf.DUMMYFUNCTION("""COMPUTED_VALUE"""),14.0235294117647)</f>
        <v>14.02352941</v>
      </c>
      <c r="G1546" s="9">
        <f>IFERROR(__xludf.DUMMYFUNCTION("""COMPUTED_VALUE"""),11.92)</f>
        <v>11.92</v>
      </c>
      <c r="H1546" s="9">
        <f>IFERROR(__xludf.DUMMYFUNCTION("""COMPUTED_VALUE"""),1.0)</f>
        <v>1</v>
      </c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</row>
    <row r="1547" ht="15.75" customHeight="1">
      <c r="A1547" s="11">
        <f>IFERROR(__xludf.DUMMYFUNCTION("""COMPUTED_VALUE"""),44471.0)</f>
        <v>44471</v>
      </c>
      <c r="B1547" s="9">
        <f>IFERROR(__xludf.DUMMYFUNCTION("""COMPUTED_VALUE"""),1003497.0)</f>
        <v>1003497</v>
      </c>
      <c r="C1547" s="9">
        <f>IFERROR(__xludf.DUMMYFUNCTION("""COMPUTED_VALUE"""),76732.0)</f>
        <v>76732</v>
      </c>
      <c r="D1547" s="10" t="str">
        <f>IFERROR(__xludf.DUMMYFUNCTION("""COMPUTED_VALUE"""),"Vive le bio")</f>
        <v>Vive le bio</v>
      </c>
      <c r="E1547" s="10"/>
      <c r="F1547" s="9">
        <f>IFERROR(__xludf.DUMMYFUNCTION("""COMPUTED_VALUE"""),9.37777777777777)</f>
        <v>9.377777778</v>
      </c>
      <c r="G1547" s="9">
        <f>IFERROR(__xludf.DUMMYFUNCTION("""COMPUTED_VALUE"""),8.44)</f>
        <v>8.44</v>
      </c>
      <c r="H1547" s="9">
        <f>IFERROR(__xludf.DUMMYFUNCTION("""COMPUTED_VALUE"""),1.0)</f>
        <v>1</v>
      </c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</row>
    <row r="1548" ht="15.75" customHeight="1">
      <c r="A1548" s="11">
        <f>IFERROR(__xludf.DUMMYFUNCTION("""COMPUTED_VALUE"""),44471.0)</f>
        <v>44471</v>
      </c>
      <c r="B1548" s="9">
        <f>IFERROR(__xludf.DUMMYFUNCTION("""COMPUTED_VALUE"""),1003497.0)</f>
        <v>1003497</v>
      </c>
      <c r="C1548" s="9">
        <f>IFERROR(__xludf.DUMMYFUNCTION("""COMPUTED_VALUE"""),83590.0)</f>
        <v>83590</v>
      </c>
      <c r="D1548" s="10" t="str">
        <f>IFERROR(__xludf.DUMMYFUNCTION("""COMPUTED_VALUE"""),"Vive le bio")</f>
        <v>Vive le bio</v>
      </c>
      <c r="E1548" s="10"/>
      <c r="F1548" s="9">
        <f>IFERROR(__xludf.DUMMYFUNCTION("""COMPUTED_VALUE"""),3.76666666666666)</f>
        <v>3.766666667</v>
      </c>
      <c r="G1548" s="9">
        <f>IFERROR(__xludf.DUMMYFUNCTION("""COMPUTED_VALUE"""),3.39)</f>
        <v>3.39</v>
      </c>
      <c r="H1548" s="9">
        <f>IFERROR(__xludf.DUMMYFUNCTION("""COMPUTED_VALUE"""),1.0)</f>
        <v>1</v>
      </c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</row>
    <row r="1549" ht="15.75" customHeight="1">
      <c r="A1549" s="11">
        <f>IFERROR(__xludf.DUMMYFUNCTION("""COMPUTED_VALUE"""),44471.0)</f>
        <v>44471</v>
      </c>
      <c r="B1549" s="9">
        <f>IFERROR(__xludf.DUMMYFUNCTION("""COMPUTED_VALUE"""),1003497.0)</f>
        <v>1003497</v>
      </c>
      <c r="C1549" s="9">
        <f>IFERROR(__xludf.DUMMYFUNCTION("""COMPUTED_VALUE"""),122653.0)</f>
        <v>122653</v>
      </c>
      <c r="D1549" s="10" t="str">
        <f>IFERROR(__xludf.DUMMYFUNCTION("""COMPUTED_VALUE"""),"Vive le bio")</f>
        <v>Vive le bio</v>
      </c>
      <c r="E1549" s="10"/>
      <c r="F1549" s="9">
        <f>IFERROR(__xludf.DUMMYFUNCTION("""COMPUTED_VALUE"""),12.0666666666666)</f>
        <v>12.06666667</v>
      </c>
      <c r="G1549" s="9">
        <f>IFERROR(__xludf.DUMMYFUNCTION("""COMPUTED_VALUE"""),10.86)</f>
        <v>10.86</v>
      </c>
      <c r="H1549" s="9">
        <f>IFERROR(__xludf.DUMMYFUNCTION("""COMPUTED_VALUE"""),1.0)</f>
        <v>1</v>
      </c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</row>
    <row r="1550" ht="15.75" customHeight="1">
      <c r="A1550" s="11">
        <f>IFERROR(__xludf.DUMMYFUNCTION("""COMPUTED_VALUE"""),44471.0)</f>
        <v>44471</v>
      </c>
      <c r="B1550" s="9">
        <f>IFERROR(__xludf.DUMMYFUNCTION("""COMPUTED_VALUE"""),1003497.0)</f>
        <v>1003497</v>
      </c>
      <c r="C1550" s="9">
        <f>IFERROR(__xludf.DUMMYFUNCTION("""COMPUTED_VALUE"""),84673.0)</f>
        <v>84673</v>
      </c>
      <c r="D1550" s="9"/>
      <c r="E1550" s="9"/>
      <c r="F1550" s="9">
        <f>IFERROR(__xludf.DUMMYFUNCTION("""COMPUTED_VALUE"""),2.9)</f>
        <v>2.9</v>
      </c>
      <c r="G1550" s="9">
        <f>IFERROR(__xludf.DUMMYFUNCTION("""COMPUTED_VALUE"""),2.9)</f>
        <v>2.9</v>
      </c>
      <c r="H1550" s="9">
        <f>IFERROR(__xludf.DUMMYFUNCTION("""COMPUTED_VALUE"""),1.0)</f>
        <v>1</v>
      </c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</row>
    <row r="1551" ht="15.75" customHeight="1">
      <c r="A1551" s="11">
        <f>IFERROR(__xludf.DUMMYFUNCTION("""COMPUTED_VALUE"""),44471.0)</f>
        <v>44471</v>
      </c>
      <c r="B1551" s="9">
        <f>IFERROR(__xludf.DUMMYFUNCTION("""COMPUTED_VALUE"""),1003497.0)</f>
        <v>1003497</v>
      </c>
      <c r="C1551" s="9">
        <f>IFERROR(__xludf.DUMMYFUNCTION("""COMPUTED_VALUE"""),47648.0)</f>
        <v>47648</v>
      </c>
      <c r="D1551" s="10" t="str">
        <f>IFERROR(__xludf.DUMMYFUNCTION("""COMPUTED_VALUE"""),"Vive le bio")</f>
        <v>Vive le bio</v>
      </c>
      <c r="E1551" s="10"/>
      <c r="F1551" s="9">
        <f>IFERROR(__xludf.DUMMYFUNCTION("""COMPUTED_VALUE"""),1.76666666666666)</f>
        <v>1.766666667</v>
      </c>
      <c r="G1551" s="9">
        <f>IFERROR(__xludf.DUMMYFUNCTION("""COMPUTED_VALUE"""),1.59)</f>
        <v>1.59</v>
      </c>
      <c r="H1551" s="9">
        <f>IFERROR(__xludf.DUMMYFUNCTION("""COMPUTED_VALUE"""),1.0)</f>
        <v>1</v>
      </c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</row>
    <row r="1552" ht="15.75" customHeight="1">
      <c r="A1552" s="11">
        <f>IFERROR(__xludf.DUMMYFUNCTION("""COMPUTED_VALUE"""),44471.0)</f>
        <v>44471</v>
      </c>
      <c r="B1552" s="9">
        <f>IFERROR(__xludf.DUMMYFUNCTION("""COMPUTED_VALUE"""),1003497.0)</f>
        <v>1003497</v>
      </c>
      <c r="C1552" s="9">
        <f>IFERROR(__xludf.DUMMYFUNCTION("""COMPUTED_VALUE"""),117628.0)</f>
        <v>117628</v>
      </c>
      <c r="D1552" s="10" t="str">
        <f>IFERROR(__xludf.DUMMYFUNCTION("""COMPUTED_VALUE"""),"Vive le bio")</f>
        <v>Vive le bio</v>
      </c>
      <c r="E1552" s="10"/>
      <c r="F1552" s="9">
        <f>IFERROR(__xludf.DUMMYFUNCTION("""COMPUTED_VALUE"""),2.95555555555555)</f>
        <v>2.955555556</v>
      </c>
      <c r="G1552" s="9">
        <f>IFERROR(__xludf.DUMMYFUNCTION("""COMPUTED_VALUE"""),2.66)</f>
        <v>2.66</v>
      </c>
      <c r="H1552" s="9">
        <f>IFERROR(__xludf.DUMMYFUNCTION("""COMPUTED_VALUE"""),1.0)</f>
        <v>1</v>
      </c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</row>
    <row r="1553" ht="15.75" customHeight="1">
      <c r="A1553" s="11">
        <f>IFERROR(__xludf.DUMMYFUNCTION("""COMPUTED_VALUE"""),44471.0)</f>
        <v>44471</v>
      </c>
      <c r="B1553" s="9">
        <f>IFERROR(__xludf.DUMMYFUNCTION("""COMPUTED_VALUE"""),1003497.0)</f>
        <v>1003497</v>
      </c>
      <c r="C1553" s="9">
        <f>IFERROR(__xludf.DUMMYFUNCTION("""COMPUTED_VALUE"""),14015.0)</f>
        <v>14015</v>
      </c>
      <c r="D1553" s="10" t="str">
        <f>IFERROR(__xludf.DUMMYFUNCTION("""COMPUTED_VALUE"""),"Vive le bio")</f>
        <v>Vive le bio</v>
      </c>
      <c r="E1553" s="10"/>
      <c r="F1553" s="9">
        <f>IFERROR(__xludf.DUMMYFUNCTION("""COMPUTED_VALUE"""),3.16666666666666)</f>
        <v>3.166666667</v>
      </c>
      <c r="G1553" s="9">
        <f>IFERROR(__xludf.DUMMYFUNCTION("""COMPUTED_VALUE"""),2.85)</f>
        <v>2.85</v>
      </c>
      <c r="H1553" s="9">
        <f>IFERROR(__xludf.DUMMYFUNCTION("""COMPUTED_VALUE"""),1.0)</f>
        <v>1</v>
      </c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</row>
    <row r="1554" ht="15.75" customHeight="1">
      <c r="A1554" s="11">
        <f>IFERROR(__xludf.DUMMYFUNCTION("""COMPUTED_VALUE"""),44471.0)</f>
        <v>44471</v>
      </c>
      <c r="B1554" s="9">
        <f>IFERROR(__xludf.DUMMYFUNCTION("""COMPUTED_VALUE"""),1003497.0)</f>
        <v>1003497</v>
      </c>
      <c r="C1554" s="9">
        <f>IFERROR(__xludf.DUMMYFUNCTION("""COMPUTED_VALUE"""),110833.0)</f>
        <v>110833</v>
      </c>
      <c r="D1554" s="10" t="str">
        <f>IFERROR(__xludf.DUMMYFUNCTION("""COMPUTED_VALUE"""),"Vive le bio")</f>
        <v>Vive le bio</v>
      </c>
      <c r="E1554" s="10"/>
      <c r="F1554" s="9">
        <f>IFERROR(__xludf.DUMMYFUNCTION("""COMPUTED_VALUE"""),7.25555555555555)</f>
        <v>7.255555556</v>
      </c>
      <c r="G1554" s="9">
        <f>IFERROR(__xludf.DUMMYFUNCTION("""COMPUTED_VALUE"""),6.53)</f>
        <v>6.53</v>
      </c>
      <c r="H1554" s="9">
        <f>IFERROR(__xludf.DUMMYFUNCTION("""COMPUTED_VALUE"""),1.0)</f>
        <v>1</v>
      </c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</row>
    <row r="1555" ht="15.75" customHeight="1">
      <c r="A1555" s="11">
        <f>IFERROR(__xludf.DUMMYFUNCTION("""COMPUTED_VALUE"""),44471.0)</f>
        <v>44471</v>
      </c>
      <c r="B1555" s="9">
        <f>IFERROR(__xludf.DUMMYFUNCTION("""COMPUTED_VALUE"""),1003497.0)</f>
        <v>1003497</v>
      </c>
      <c r="C1555" s="9">
        <f>IFERROR(__xludf.DUMMYFUNCTION("""COMPUTED_VALUE"""),5624.0)</f>
        <v>5624</v>
      </c>
      <c r="D1555" s="10" t="str">
        <f>IFERROR(__xludf.DUMMYFUNCTION("""COMPUTED_VALUE"""),"Vive le bio")</f>
        <v>Vive le bio</v>
      </c>
      <c r="E1555" s="10"/>
      <c r="F1555" s="9">
        <f>IFERROR(__xludf.DUMMYFUNCTION("""COMPUTED_VALUE"""),1.68888888888888)</f>
        <v>1.688888889</v>
      </c>
      <c r="G1555" s="9">
        <f>IFERROR(__xludf.DUMMYFUNCTION("""COMPUTED_VALUE"""),1.52)</f>
        <v>1.52</v>
      </c>
      <c r="H1555" s="9">
        <f>IFERROR(__xludf.DUMMYFUNCTION("""COMPUTED_VALUE"""),1.0)</f>
        <v>1</v>
      </c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</row>
    <row r="1556" ht="15.75" customHeight="1">
      <c r="A1556" s="11">
        <f>IFERROR(__xludf.DUMMYFUNCTION("""COMPUTED_VALUE"""),44471.0)</f>
        <v>44471</v>
      </c>
      <c r="B1556" s="9">
        <f>IFERROR(__xludf.DUMMYFUNCTION("""COMPUTED_VALUE"""),1003497.0)</f>
        <v>1003497</v>
      </c>
      <c r="C1556" s="9">
        <f>IFERROR(__xludf.DUMMYFUNCTION("""COMPUTED_VALUE"""),88683.0)</f>
        <v>88683</v>
      </c>
      <c r="D1556" s="10" t="str">
        <f>IFERROR(__xludf.DUMMYFUNCTION("""COMPUTED_VALUE"""),"Vive le bio")</f>
        <v>Vive le bio</v>
      </c>
      <c r="E1556" s="10"/>
      <c r="F1556" s="9">
        <f>IFERROR(__xludf.DUMMYFUNCTION("""COMPUTED_VALUE"""),2.58888888888888)</f>
        <v>2.588888889</v>
      </c>
      <c r="G1556" s="9">
        <f>IFERROR(__xludf.DUMMYFUNCTION("""COMPUTED_VALUE"""),2.33)</f>
        <v>2.33</v>
      </c>
      <c r="H1556" s="9">
        <f>IFERROR(__xludf.DUMMYFUNCTION("""COMPUTED_VALUE"""),1.0)</f>
        <v>1</v>
      </c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</row>
    <row r="1557" ht="15.75" customHeight="1">
      <c r="A1557" s="11">
        <f>IFERROR(__xludf.DUMMYFUNCTION("""COMPUTED_VALUE"""),44471.0)</f>
        <v>44471</v>
      </c>
      <c r="B1557" s="9">
        <f>IFERROR(__xludf.DUMMYFUNCTION("""COMPUTED_VALUE"""),1003497.0)</f>
        <v>1003497</v>
      </c>
      <c r="C1557" s="9">
        <f>IFERROR(__xludf.DUMMYFUNCTION("""COMPUTED_VALUE"""),113867.0)</f>
        <v>113867</v>
      </c>
      <c r="D1557" s="10" t="str">
        <f>IFERROR(__xludf.DUMMYFUNCTION("""COMPUTED_VALUE"""),"Vive le bio")</f>
        <v>Vive le bio</v>
      </c>
      <c r="E1557" s="10"/>
      <c r="F1557" s="9">
        <f>IFERROR(__xludf.DUMMYFUNCTION("""COMPUTED_VALUE"""),4.78888888888888)</f>
        <v>4.788888889</v>
      </c>
      <c r="G1557" s="9">
        <f>IFERROR(__xludf.DUMMYFUNCTION("""COMPUTED_VALUE"""),4.31)</f>
        <v>4.31</v>
      </c>
      <c r="H1557" s="9">
        <f>IFERROR(__xludf.DUMMYFUNCTION("""COMPUTED_VALUE"""),1.0)</f>
        <v>1</v>
      </c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</row>
    <row r="1558" ht="15.75" customHeight="1">
      <c r="A1558" s="11">
        <f>IFERROR(__xludf.DUMMYFUNCTION("""COMPUTED_VALUE"""),44471.0)</f>
        <v>44471</v>
      </c>
      <c r="B1558" s="9">
        <f>IFERROR(__xludf.DUMMYFUNCTION("""COMPUTED_VALUE"""),1003497.0)</f>
        <v>1003497</v>
      </c>
      <c r="C1558" s="9">
        <f>IFERROR(__xludf.DUMMYFUNCTION("""COMPUTED_VALUE"""),70242.0)</f>
        <v>70242</v>
      </c>
      <c r="D1558" s="10" t="str">
        <f>IFERROR(__xludf.DUMMYFUNCTION("""COMPUTED_VALUE"""),"Offre speciale")</f>
        <v>Offre speciale</v>
      </c>
      <c r="E1558" s="10"/>
      <c r="F1558" s="9">
        <f>IFERROR(__xludf.DUMMYFUNCTION("""COMPUTED_VALUE"""),6.28888888888888)</f>
        <v>6.288888889</v>
      </c>
      <c r="G1558" s="9">
        <f>IFERROR(__xludf.DUMMYFUNCTION("""COMPUTED_VALUE"""),5.66)</f>
        <v>5.66</v>
      </c>
      <c r="H1558" s="9">
        <f>IFERROR(__xludf.DUMMYFUNCTION("""COMPUTED_VALUE"""),1.0)</f>
        <v>1</v>
      </c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</row>
    <row r="1559" ht="15.75" customHeight="1">
      <c r="A1559" s="11">
        <f>IFERROR(__xludf.DUMMYFUNCTION("""COMPUTED_VALUE"""),44471.0)</f>
        <v>44471</v>
      </c>
      <c r="B1559" s="9">
        <f>IFERROR(__xludf.DUMMYFUNCTION("""COMPUTED_VALUE"""),1003497.0)</f>
        <v>1003497</v>
      </c>
      <c r="C1559" s="9">
        <f>IFERROR(__xludf.DUMMYFUNCTION("""COMPUTED_VALUE"""),44691.0)</f>
        <v>44691</v>
      </c>
      <c r="D1559" s="10" t="str">
        <f>IFERROR(__xludf.DUMMYFUNCTION("""COMPUTED_VALUE"""),"Vive le bio")</f>
        <v>Vive le bio</v>
      </c>
      <c r="E1559" s="10"/>
      <c r="F1559" s="9">
        <f>IFERROR(__xludf.DUMMYFUNCTION("""COMPUTED_VALUE"""),2.19999999999999)</f>
        <v>2.2</v>
      </c>
      <c r="G1559" s="9">
        <f>IFERROR(__xludf.DUMMYFUNCTION("""COMPUTED_VALUE"""),1.98)</f>
        <v>1.98</v>
      </c>
      <c r="H1559" s="9">
        <f>IFERROR(__xludf.DUMMYFUNCTION("""COMPUTED_VALUE"""),1.0)</f>
        <v>1</v>
      </c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</row>
    <row r="1560" ht="15.75" customHeight="1">
      <c r="A1560" s="11">
        <f>IFERROR(__xludf.DUMMYFUNCTION("""COMPUTED_VALUE"""),44471.0)</f>
        <v>44471</v>
      </c>
      <c r="B1560" s="9">
        <f>IFERROR(__xludf.DUMMYFUNCTION("""COMPUTED_VALUE"""),1003497.0)</f>
        <v>1003497</v>
      </c>
      <c r="C1560" s="9">
        <f>IFERROR(__xludf.DUMMYFUNCTION("""COMPUTED_VALUE"""),48502.0)</f>
        <v>48502</v>
      </c>
      <c r="D1560" s="10" t="str">
        <f>IFERROR(__xludf.DUMMYFUNCTION("""COMPUTED_VALUE"""),"Vive le bio")</f>
        <v>Vive le bio</v>
      </c>
      <c r="E1560" s="10"/>
      <c r="F1560" s="9">
        <f>IFERROR(__xludf.DUMMYFUNCTION("""COMPUTED_VALUE"""),1.95555555555555)</f>
        <v>1.955555556</v>
      </c>
      <c r="G1560" s="9">
        <f>IFERROR(__xludf.DUMMYFUNCTION("""COMPUTED_VALUE"""),1.76)</f>
        <v>1.76</v>
      </c>
      <c r="H1560" s="9">
        <f>IFERROR(__xludf.DUMMYFUNCTION("""COMPUTED_VALUE"""),1.0)</f>
        <v>1</v>
      </c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</row>
    <row r="1561" ht="15.75" customHeight="1">
      <c r="A1561" s="11">
        <f>IFERROR(__xludf.DUMMYFUNCTION("""COMPUTED_VALUE"""),44471.0)</f>
        <v>44471</v>
      </c>
      <c r="B1561" s="9">
        <f>IFERROR(__xludf.DUMMYFUNCTION("""COMPUTED_VALUE"""),1003497.0)</f>
        <v>1003497</v>
      </c>
      <c r="C1561" s="9">
        <f>IFERROR(__xludf.DUMMYFUNCTION("""COMPUTED_VALUE"""),108475.0)</f>
        <v>108475</v>
      </c>
      <c r="D1561" s="10" t="str">
        <f>IFERROR(__xludf.DUMMYFUNCTION("""COMPUTED_VALUE"""),"Offre speciale")</f>
        <v>Offre speciale</v>
      </c>
      <c r="E1561" s="10"/>
      <c r="F1561" s="9">
        <f>IFERROR(__xludf.DUMMYFUNCTION("""COMPUTED_VALUE"""),3.58823529411764)</f>
        <v>3.588235294</v>
      </c>
      <c r="G1561" s="9">
        <f>IFERROR(__xludf.DUMMYFUNCTION("""COMPUTED_VALUE"""),3.05)</f>
        <v>3.05</v>
      </c>
      <c r="H1561" s="9">
        <f>IFERROR(__xludf.DUMMYFUNCTION("""COMPUTED_VALUE"""),1.0)</f>
        <v>1</v>
      </c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</row>
    <row r="1562" ht="15.75" customHeight="1">
      <c r="A1562" s="11">
        <f>IFERROR(__xludf.DUMMYFUNCTION("""COMPUTED_VALUE"""),44471.0)</f>
        <v>44471</v>
      </c>
      <c r="B1562" s="9">
        <f>IFERROR(__xludf.DUMMYFUNCTION("""COMPUTED_VALUE"""),1003497.0)</f>
        <v>1003497</v>
      </c>
      <c r="C1562" s="9">
        <f>IFERROR(__xludf.DUMMYFUNCTION("""COMPUTED_VALUE"""),95079.0)</f>
        <v>95079</v>
      </c>
      <c r="D1562" s="10" t="str">
        <f>IFERROR(__xludf.DUMMYFUNCTION("""COMPUTED_VALUE"""),"Offre Speciale")</f>
        <v>Offre Speciale</v>
      </c>
      <c r="E1562" s="10"/>
      <c r="F1562" s="9">
        <f>IFERROR(__xludf.DUMMYFUNCTION("""COMPUTED_VALUE"""),5.18823529411764)</f>
        <v>5.188235294</v>
      </c>
      <c r="G1562" s="9">
        <f>IFERROR(__xludf.DUMMYFUNCTION("""COMPUTED_VALUE"""),4.41)</f>
        <v>4.41</v>
      </c>
      <c r="H1562" s="9">
        <f>IFERROR(__xludf.DUMMYFUNCTION("""COMPUTED_VALUE"""),1.0)</f>
        <v>1</v>
      </c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</row>
    <row r="1563" ht="15.75" customHeight="1">
      <c r="A1563" s="11">
        <f>IFERROR(__xludf.DUMMYFUNCTION("""COMPUTED_VALUE"""),44471.0)</f>
        <v>44471</v>
      </c>
      <c r="B1563" s="9">
        <f>IFERROR(__xludf.DUMMYFUNCTION("""COMPUTED_VALUE"""),1003497.0)</f>
        <v>1003497</v>
      </c>
      <c r="C1563" s="9">
        <f>IFERROR(__xludf.DUMMYFUNCTION("""COMPUTED_VALUE"""),13865.0)</f>
        <v>13865</v>
      </c>
      <c r="D1563" s="10" t="str">
        <f>IFERROR(__xludf.DUMMYFUNCTION("""COMPUTED_VALUE"""),"Vive le bio")</f>
        <v>Vive le bio</v>
      </c>
      <c r="E1563" s="10"/>
      <c r="F1563" s="9">
        <f>IFERROR(__xludf.DUMMYFUNCTION("""COMPUTED_VALUE"""),7.77777777777777)</f>
        <v>7.777777778</v>
      </c>
      <c r="G1563" s="9">
        <f>IFERROR(__xludf.DUMMYFUNCTION("""COMPUTED_VALUE"""),7.0)</f>
        <v>7</v>
      </c>
      <c r="H1563" s="9">
        <f>IFERROR(__xludf.DUMMYFUNCTION("""COMPUTED_VALUE"""),1.0)</f>
        <v>1</v>
      </c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</row>
    <row r="1564" ht="15.75" customHeight="1">
      <c r="A1564" s="11">
        <f>IFERROR(__xludf.DUMMYFUNCTION("""COMPUTED_VALUE"""),44471.0)</f>
        <v>44471</v>
      </c>
      <c r="B1564" s="9">
        <f>IFERROR(__xludf.DUMMYFUNCTION("""COMPUTED_VALUE"""),1003497.0)</f>
        <v>1003497</v>
      </c>
      <c r="C1564" s="9">
        <f>IFERROR(__xludf.DUMMYFUNCTION("""COMPUTED_VALUE"""),63864.0)</f>
        <v>63864</v>
      </c>
      <c r="D1564" s="10" t="str">
        <f>IFERROR(__xludf.DUMMYFUNCTION("""COMPUTED_VALUE"""),"Offre speciale")</f>
        <v>Offre speciale</v>
      </c>
      <c r="E1564" s="10"/>
      <c r="F1564" s="9">
        <f>IFERROR(__xludf.DUMMYFUNCTION("""COMPUTED_VALUE"""),10.0)</f>
        <v>10</v>
      </c>
      <c r="G1564" s="9">
        <f>IFERROR(__xludf.DUMMYFUNCTION("""COMPUTED_VALUE"""),8.5)</f>
        <v>8.5</v>
      </c>
      <c r="H1564" s="9">
        <f>IFERROR(__xludf.DUMMYFUNCTION("""COMPUTED_VALUE"""),2.0)</f>
        <v>2</v>
      </c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</row>
    <row r="1565" ht="15.75" customHeight="1">
      <c r="A1565" s="11">
        <f>IFERROR(__xludf.DUMMYFUNCTION("""COMPUTED_VALUE"""),44471.0)</f>
        <v>44471</v>
      </c>
      <c r="B1565" s="9">
        <f>IFERROR(__xludf.DUMMYFUNCTION("""COMPUTED_VALUE"""),1003497.0)</f>
        <v>1003497</v>
      </c>
      <c r="C1565" s="9">
        <f>IFERROR(__xludf.DUMMYFUNCTION("""COMPUTED_VALUE"""),48705.0)</f>
        <v>48705</v>
      </c>
      <c r="D1565" s="10" t="str">
        <f>IFERROR(__xludf.DUMMYFUNCTION("""COMPUTED_VALUE"""),"Vive le bio")</f>
        <v>Vive le bio</v>
      </c>
      <c r="E1565" s="10"/>
      <c r="F1565" s="9">
        <f>IFERROR(__xludf.DUMMYFUNCTION("""COMPUTED_VALUE"""),6.18888888888888)</f>
        <v>6.188888889</v>
      </c>
      <c r="G1565" s="9">
        <f>IFERROR(__xludf.DUMMYFUNCTION("""COMPUTED_VALUE"""),5.57)</f>
        <v>5.57</v>
      </c>
      <c r="H1565" s="9">
        <f>IFERROR(__xludf.DUMMYFUNCTION("""COMPUTED_VALUE"""),2.0)</f>
        <v>2</v>
      </c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</row>
    <row r="1566" ht="15.75" customHeight="1">
      <c r="A1566" s="11">
        <f>IFERROR(__xludf.DUMMYFUNCTION("""COMPUTED_VALUE"""),44471.0)</f>
        <v>44471</v>
      </c>
      <c r="B1566" s="9">
        <f>IFERROR(__xludf.DUMMYFUNCTION("""COMPUTED_VALUE"""),1003497.0)</f>
        <v>1003497</v>
      </c>
      <c r="C1566" s="9">
        <f>IFERROR(__xludf.DUMMYFUNCTION("""COMPUTED_VALUE"""),120876.0)</f>
        <v>120876</v>
      </c>
      <c r="D1566" s="10" t="str">
        <f>IFERROR(__xludf.DUMMYFUNCTION("""COMPUTED_VALUE"""),"Vive le bio")</f>
        <v>Vive le bio</v>
      </c>
      <c r="E1566" s="10"/>
      <c r="F1566" s="9">
        <f>IFERROR(__xludf.DUMMYFUNCTION("""COMPUTED_VALUE"""),5.98888888888888)</f>
        <v>5.988888889</v>
      </c>
      <c r="G1566" s="9">
        <f>IFERROR(__xludf.DUMMYFUNCTION("""COMPUTED_VALUE"""),5.39)</f>
        <v>5.39</v>
      </c>
      <c r="H1566" s="9">
        <f>IFERROR(__xludf.DUMMYFUNCTION("""COMPUTED_VALUE"""),2.0)</f>
        <v>2</v>
      </c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</row>
    <row r="1567" ht="15.75" customHeight="1">
      <c r="A1567" s="11">
        <f>IFERROR(__xludf.DUMMYFUNCTION("""COMPUTED_VALUE"""),44471.0)</f>
        <v>44471</v>
      </c>
      <c r="B1567" s="9">
        <f>IFERROR(__xludf.DUMMYFUNCTION("""COMPUTED_VALUE"""),1003497.0)</f>
        <v>1003497</v>
      </c>
      <c r="C1567" s="9">
        <f>IFERROR(__xludf.DUMMYFUNCTION("""COMPUTED_VALUE"""),21027.0)</f>
        <v>21027</v>
      </c>
      <c r="D1567" s="10" t="str">
        <f>IFERROR(__xludf.DUMMYFUNCTION("""COMPUTED_VALUE"""),"Vive le bio")</f>
        <v>Vive le bio</v>
      </c>
      <c r="E1567" s="10"/>
      <c r="F1567" s="9">
        <f>IFERROR(__xludf.DUMMYFUNCTION("""COMPUTED_VALUE"""),12.8222222222222)</f>
        <v>12.82222222</v>
      </c>
      <c r="G1567" s="9">
        <f>IFERROR(__xludf.DUMMYFUNCTION("""COMPUTED_VALUE"""),11.54)</f>
        <v>11.54</v>
      </c>
      <c r="H1567" s="9">
        <f>IFERROR(__xludf.DUMMYFUNCTION("""COMPUTED_VALUE"""),2.0)</f>
        <v>2</v>
      </c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</row>
    <row r="1568" ht="15.75" customHeight="1">
      <c r="A1568" s="11">
        <f>IFERROR(__xludf.DUMMYFUNCTION("""COMPUTED_VALUE"""),44471.0)</f>
        <v>44471</v>
      </c>
      <c r="B1568" s="9">
        <f>IFERROR(__xludf.DUMMYFUNCTION("""COMPUTED_VALUE"""),1003497.0)</f>
        <v>1003497</v>
      </c>
      <c r="C1568" s="9">
        <f>IFERROR(__xludf.DUMMYFUNCTION("""COMPUTED_VALUE"""),5638.0)</f>
        <v>5638</v>
      </c>
      <c r="D1568" s="10" t="str">
        <f>IFERROR(__xludf.DUMMYFUNCTION("""COMPUTED_VALUE"""),"Vive le bio")</f>
        <v>Vive le bio</v>
      </c>
      <c r="E1568" s="10"/>
      <c r="F1568" s="9">
        <f>IFERROR(__xludf.DUMMYFUNCTION("""COMPUTED_VALUE"""),3.01111111111111)</f>
        <v>3.011111111</v>
      </c>
      <c r="G1568" s="9">
        <f>IFERROR(__xludf.DUMMYFUNCTION("""COMPUTED_VALUE"""),2.71)</f>
        <v>2.71</v>
      </c>
      <c r="H1568" s="9">
        <f>IFERROR(__xludf.DUMMYFUNCTION("""COMPUTED_VALUE"""),2.0)</f>
        <v>2</v>
      </c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</row>
    <row r="1569" ht="15.75" customHeight="1">
      <c r="A1569" s="11">
        <f>IFERROR(__xludf.DUMMYFUNCTION("""COMPUTED_VALUE"""),44471.0)</f>
        <v>44471</v>
      </c>
      <c r="B1569" s="9">
        <f>IFERROR(__xludf.DUMMYFUNCTION("""COMPUTED_VALUE"""),1003497.0)</f>
        <v>1003497</v>
      </c>
      <c r="C1569" s="9">
        <f>IFERROR(__xludf.DUMMYFUNCTION("""COMPUTED_VALUE"""),119230.0)</f>
        <v>119230</v>
      </c>
      <c r="D1569" s="10" t="str">
        <f>IFERROR(__xludf.DUMMYFUNCTION("""COMPUTED_VALUE"""),"Offre speciale")</f>
        <v>Offre speciale</v>
      </c>
      <c r="E1569" s="10"/>
      <c r="F1569" s="9">
        <f>IFERROR(__xludf.DUMMYFUNCTION("""COMPUTED_VALUE"""),6.94117647058823)</f>
        <v>6.941176471</v>
      </c>
      <c r="G1569" s="9">
        <f>IFERROR(__xludf.DUMMYFUNCTION("""COMPUTED_VALUE"""),5.9)</f>
        <v>5.9</v>
      </c>
      <c r="H1569" s="9">
        <f>IFERROR(__xludf.DUMMYFUNCTION("""COMPUTED_VALUE"""),2.0)</f>
        <v>2</v>
      </c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</row>
    <row r="1570" ht="15.75" customHeight="1">
      <c r="A1570" s="11">
        <f>IFERROR(__xludf.DUMMYFUNCTION("""COMPUTED_VALUE"""),44471.0)</f>
        <v>44471</v>
      </c>
      <c r="B1570" s="9">
        <f>IFERROR(__xludf.DUMMYFUNCTION("""COMPUTED_VALUE"""),1003497.0)</f>
        <v>1003497</v>
      </c>
      <c r="C1570" s="9">
        <f>IFERROR(__xludf.DUMMYFUNCTION("""COMPUTED_VALUE"""),107232.0)</f>
        <v>107232</v>
      </c>
      <c r="D1570" s="10" t="str">
        <f>IFERROR(__xludf.DUMMYFUNCTION("""COMPUTED_VALUE"""),"Offre speciale")</f>
        <v>Offre speciale</v>
      </c>
      <c r="E1570" s="10"/>
      <c r="F1570" s="9">
        <f>IFERROR(__xludf.DUMMYFUNCTION("""COMPUTED_VALUE"""),7.27777777777777)</f>
        <v>7.277777778</v>
      </c>
      <c r="G1570" s="9">
        <f>IFERROR(__xludf.DUMMYFUNCTION("""COMPUTED_VALUE"""),6.55)</f>
        <v>6.55</v>
      </c>
      <c r="H1570" s="9">
        <f>IFERROR(__xludf.DUMMYFUNCTION("""COMPUTED_VALUE"""),2.0)</f>
        <v>2</v>
      </c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</row>
    <row r="1571" ht="15.75" customHeight="1">
      <c r="A1571" s="11">
        <f>IFERROR(__xludf.DUMMYFUNCTION("""COMPUTED_VALUE"""),44471.0)</f>
        <v>44471</v>
      </c>
      <c r="B1571" s="9">
        <f>IFERROR(__xludf.DUMMYFUNCTION("""COMPUTED_VALUE"""),1003497.0)</f>
        <v>1003497</v>
      </c>
      <c r="C1571" s="9">
        <f>IFERROR(__xludf.DUMMYFUNCTION("""COMPUTED_VALUE"""),86469.0)</f>
        <v>86469</v>
      </c>
      <c r="D1571" s="10" t="str">
        <f>IFERROR(__xludf.DUMMYFUNCTION("""COMPUTED_VALUE"""),"Vive le bio")</f>
        <v>Vive le bio</v>
      </c>
      <c r="E1571" s="10"/>
      <c r="F1571" s="9">
        <f>IFERROR(__xludf.DUMMYFUNCTION("""COMPUTED_VALUE"""),4.07777777777777)</f>
        <v>4.077777778</v>
      </c>
      <c r="G1571" s="9">
        <f>IFERROR(__xludf.DUMMYFUNCTION("""COMPUTED_VALUE"""),3.67)</f>
        <v>3.67</v>
      </c>
      <c r="H1571" s="9">
        <f>IFERROR(__xludf.DUMMYFUNCTION("""COMPUTED_VALUE"""),2.0)</f>
        <v>2</v>
      </c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</row>
    <row r="1572" ht="15.75" customHeight="1">
      <c r="A1572" s="11">
        <f>IFERROR(__xludf.DUMMYFUNCTION("""COMPUTED_VALUE"""),44471.0)</f>
        <v>44471</v>
      </c>
      <c r="B1572" s="9">
        <f>IFERROR(__xludf.DUMMYFUNCTION("""COMPUTED_VALUE"""),1003497.0)</f>
        <v>1003497</v>
      </c>
      <c r="C1572" s="9">
        <f>IFERROR(__xludf.DUMMYFUNCTION("""COMPUTED_VALUE"""),121479.0)</f>
        <v>121479</v>
      </c>
      <c r="D1572" s="10" t="str">
        <f>IFERROR(__xludf.DUMMYFUNCTION("""COMPUTED_VALUE"""),"Vive le bio")</f>
        <v>Vive le bio</v>
      </c>
      <c r="E1572" s="10"/>
      <c r="F1572" s="9">
        <f>IFERROR(__xludf.DUMMYFUNCTION("""COMPUTED_VALUE"""),7.34444444444444)</f>
        <v>7.344444444</v>
      </c>
      <c r="G1572" s="9">
        <f>IFERROR(__xludf.DUMMYFUNCTION("""COMPUTED_VALUE"""),6.61)</f>
        <v>6.61</v>
      </c>
      <c r="H1572" s="9">
        <f>IFERROR(__xludf.DUMMYFUNCTION("""COMPUTED_VALUE"""),4.0)</f>
        <v>4</v>
      </c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</row>
    <row r="1573" ht="15.75" customHeight="1">
      <c r="A1573" s="11">
        <f>IFERROR(__xludf.DUMMYFUNCTION("""COMPUTED_VALUE"""),44471.0)</f>
        <v>44471</v>
      </c>
      <c r="B1573" s="9">
        <f>IFERROR(__xludf.DUMMYFUNCTION("""COMPUTED_VALUE"""),1003497.0)</f>
        <v>1003497</v>
      </c>
      <c r="C1573" s="9">
        <f>IFERROR(__xludf.DUMMYFUNCTION("""COMPUTED_VALUE"""),115758.0)</f>
        <v>115758</v>
      </c>
      <c r="D1573" s="10" t="str">
        <f>IFERROR(__xludf.DUMMYFUNCTION("""COMPUTED_VALUE"""),"Vive le bio")</f>
        <v>Vive le bio</v>
      </c>
      <c r="E1573" s="10"/>
      <c r="F1573" s="9">
        <f>IFERROR(__xludf.DUMMYFUNCTION("""COMPUTED_VALUE"""),4.64444444444444)</f>
        <v>4.644444444</v>
      </c>
      <c r="G1573" s="9">
        <f>IFERROR(__xludf.DUMMYFUNCTION("""COMPUTED_VALUE"""),4.18)</f>
        <v>4.18</v>
      </c>
      <c r="H1573" s="9">
        <f>IFERROR(__xludf.DUMMYFUNCTION("""COMPUTED_VALUE"""),4.0)</f>
        <v>4</v>
      </c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</row>
    <row r="1574" ht="15.75" customHeight="1">
      <c r="A1574" s="11">
        <f>IFERROR(__xludf.DUMMYFUNCTION("""COMPUTED_VALUE"""),44471.0)</f>
        <v>44471</v>
      </c>
      <c r="B1574" s="9">
        <f>IFERROR(__xludf.DUMMYFUNCTION("""COMPUTED_VALUE"""),1003497.0)</f>
        <v>1003497</v>
      </c>
      <c r="C1574" s="9">
        <f>IFERROR(__xludf.DUMMYFUNCTION("""COMPUTED_VALUE"""),100395.0)</f>
        <v>100395</v>
      </c>
      <c r="D1574" s="10" t="str">
        <f>IFERROR(__xludf.DUMMYFUNCTION("""COMPUTED_VALUE"""),"Vive le bio")</f>
        <v>Vive le bio</v>
      </c>
      <c r="E1574" s="10"/>
      <c r="F1574" s="9">
        <f>IFERROR(__xludf.DUMMYFUNCTION("""COMPUTED_VALUE"""),9.27777777777777)</f>
        <v>9.277777778</v>
      </c>
      <c r="G1574" s="9">
        <f>IFERROR(__xludf.DUMMYFUNCTION("""COMPUTED_VALUE"""),8.35)</f>
        <v>8.35</v>
      </c>
      <c r="H1574" s="9">
        <f>IFERROR(__xludf.DUMMYFUNCTION("""COMPUTED_VALUE"""),4.0)</f>
        <v>4</v>
      </c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</row>
    <row r="1575" ht="15.75" customHeight="1">
      <c r="A1575" s="11">
        <f>IFERROR(__xludf.DUMMYFUNCTION("""COMPUTED_VALUE"""),44471.0)</f>
        <v>44471</v>
      </c>
      <c r="B1575" s="9">
        <f>IFERROR(__xludf.DUMMYFUNCTION("""COMPUTED_VALUE"""),1003497.0)</f>
        <v>1003497</v>
      </c>
      <c r="C1575" s="9">
        <f>IFERROR(__xludf.DUMMYFUNCTION("""COMPUTED_VALUE"""),115754.0)</f>
        <v>115754</v>
      </c>
      <c r="D1575" s="10" t="str">
        <f>IFERROR(__xludf.DUMMYFUNCTION("""COMPUTED_VALUE"""),"Vive le bio")</f>
        <v>Vive le bio</v>
      </c>
      <c r="E1575" s="10"/>
      <c r="F1575" s="9">
        <f>IFERROR(__xludf.DUMMYFUNCTION("""COMPUTED_VALUE"""),6.96666666666666)</f>
        <v>6.966666667</v>
      </c>
      <c r="G1575" s="9">
        <f>IFERROR(__xludf.DUMMYFUNCTION("""COMPUTED_VALUE"""),6.27)</f>
        <v>6.27</v>
      </c>
      <c r="H1575" s="9">
        <f>IFERROR(__xludf.DUMMYFUNCTION("""COMPUTED_VALUE"""),6.0)</f>
        <v>6</v>
      </c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</row>
    <row r="1576" ht="15.75" customHeight="1">
      <c r="A1576" s="11">
        <f>IFERROR(__xludf.DUMMYFUNCTION("""COMPUTED_VALUE"""),44471.0)</f>
        <v>44471</v>
      </c>
      <c r="B1576" s="9">
        <f>IFERROR(__xludf.DUMMYFUNCTION("""COMPUTED_VALUE"""),1003498.0)</f>
        <v>1003498</v>
      </c>
      <c r="C1576" s="9">
        <f>IFERROR(__xludf.DUMMYFUNCTION("""COMPUTED_VALUE"""),19297.0)</f>
        <v>19297</v>
      </c>
      <c r="D1576" s="9"/>
      <c r="E1576" s="10" t="str">
        <f>IFERROR(__xludf.DUMMYFUNCTION("""COMPUTED_VALUE"""),"GREENAMIS")</f>
        <v>GREENAMIS</v>
      </c>
      <c r="F1576" s="10">
        <f>IFERROR(__xludf.DUMMYFUNCTION("""COMPUTED_VALUE"""),5.25)</f>
        <v>5.25</v>
      </c>
      <c r="G1576" s="9">
        <f>IFERROR(__xludf.DUMMYFUNCTION("""COMPUTED_VALUE"""),5.25)</f>
        <v>5.25</v>
      </c>
      <c r="H1576" s="9">
        <f>IFERROR(__xludf.DUMMYFUNCTION("""COMPUTED_VALUE"""),1.0)</f>
        <v>1</v>
      </c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</row>
    <row r="1577" ht="15.75" customHeight="1">
      <c r="A1577" s="11">
        <f>IFERROR(__xludf.DUMMYFUNCTION("""COMPUTED_VALUE"""),44471.0)</f>
        <v>44471</v>
      </c>
      <c r="B1577" s="9">
        <f>IFERROR(__xludf.DUMMYFUNCTION("""COMPUTED_VALUE"""),1003498.0)</f>
        <v>1003498</v>
      </c>
      <c r="C1577" s="9">
        <f>IFERROR(__xludf.DUMMYFUNCTION("""COMPUTED_VALUE"""),7264.0)</f>
        <v>7264</v>
      </c>
      <c r="D1577" s="9"/>
      <c r="E1577" s="10" t="str">
        <f>IFERROR(__xludf.DUMMYFUNCTION("""COMPUTED_VALUE"""),"GREENAMIS")</f>
        <v>GREENAMIS</v>
      </c>
      <c r="F1577" s="10">
        <f>IFERROR(__xludf.DUMMYFUNCTION("""COMPUTED_VALUE"""),2.39)</f>
        <v>2.39</v>
      </c>
      <c r="G1577" s="9">
        <f>IFERROR(__xludf.DUMMYFUNCTION("""COMPUTED_VALUE"""),2.39)</f>
        <v>2.39</v>
      </c>
      <c r="H1577" s="9">
        <f>IFERROR(__xludf.DUMMYFUNCTION("""COMPUTED_VALUE"""),1.0)</f>
        <v>1</v>
      </c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</row>
    <row r="1578" ht="15.75" customHeight="1">
      <c r="A1578" s="11">
        <f>IFERROR(__xludf.DUMMYFUNCTION("""COMPUTED_VALUE"""),44471.0)</f>
        <v>44471</v>
      </c>
      <c r="B1578" s="9">
        <f>IFERROR(__xludf.DUMMYFUNCTION("""COMPUTED_VALUE"""),1003498.0)</f>
        <v>1003498</v>
      </c>
      <c r="C1578" s="9">
        <f>IFERROR(__xludf.DUMMYFUNCTION("""COMPUTED_VALUE"""),127016.0)</f>
        <v>127016</v>
      </c>
      <c r="D1578" s="10" t="str">
        <f>IFERROR(__xludf.DUMMYFUNCTION("""COMPUTED_VALUE"""),"Carryboo coton 2021")</f>
        <v>Carryboo coton 2021</v>
      </c>
      <c r="E1578" s="10" t="str">
        <f>IFERROR(__xludf.DUMMYFUNCTION("""COMPUTED_VALUE"""),"GREENAMIS")</f>
        <v>GREENAMIS</v>
      </c>
      <c r="F1578" s="10">
        <f>IFERROR(__xludf.DUMMYFUNCTION("""COMPUTED_VALUE"""),4.29333333333333)</f>
        <v>4.293333333</v>
      </c>
      <c r="G1578" s="9">
        <f>IFERROR(__xludf.DUMMYFUNCTION("""COMPUTED_VALUE"""),3.22)</f>
        <v>3.22</v>
      </c>
      <c r="H1578" s="9">
        <f>IFERROR(__xludf.DUMMYFUNCTION("""COMPUTED_VALUE"""),1.0)</f>
        <v>1</v>
      </c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</row>
    <row r="1579" ht="15.75" customHeight="1">
      <c r="A1579" s="11">
        <f>IFERROR(__xludf.DUMMYFUNCTION("""COMPUTED_VALUE"""),44471.0)</f>
        <v>44471</v>
      </c>
      <c r="B1579" s="9">
        <f>IFERROR(__xludf.DUMMYFUNCTION("""COMPUTED_VALUE"""),1003498.0)</f>
        <v>1003498</v>
      </c>
      <c r="C1579" s="9">
        <f>IFERROR(__xludf.DUMMYFUNCTION("""COMPUTED_VALUE"""),109985.0)</f>
        <v>109985</v>
      </c>
      <c r="D1579" s="10" t="str">
        <f>IFERROR(__xludf.DUMMYFUNCTION("""COMPUTED_VALUE"""),"Carryboo soin bebe 2021")</f>
        <v>Carryboo soin bebe 2021</v>
      </c>
      <c r="E1579" s="10" t="str">
        <f>IFERROR(__xludf.DUMMYFUNCTION("""COMPUTED_VALUE"""),"GREENAMIS")</f>
        <v>GREENAMIS</v>
      </c>
      <c r="F1579" s="10">
        <f>IFERROR(__xludf.DUMMYFUNCTION("""COMPUTED_VALUE"""),2.4)</f>
        <v>2.4</v>
      </c>
      <c r="G1579" s="9">
        <f>IFERROR(__xludf.DUMMYFUNCTION("""COMPUTED_VALUE"""),1.8)</f>
        <v>1.8</v>
      </c>
      <c r="H1579" s="9">
        <f>IFERROR(__xludf.DUMMYFUNCTION("""COMPUTED_VALUE"""),1.0)</f>
        <v>1</v>
      </c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</row>
    <row r="1580" ht="15.75" customHeight="1">
      <c r="A1580" s="11">
        <f>IFERROR(__xludf.DUMMYFUNCTION("""COMPUTED_VALUE"""),44471.0)</f>
        <v>44471</v>
      </c>
      <c r="B1580" s="9">
        <f>IFERROR(__xludf.DUMMYFUNCTION("""COMPUTED_VALUE"""),1003498.0)</f>
        <v>1003498</v>
      </c>
      <c r="C1580" s="9">
        <f>IFERROR(__xludf.DUMMYFUNCTION("""COMPUTED_VALUE"""),7263.0)</f>
        <v>7263</v>
      </c>
      <c r="D1580" s="9"/>
      <c r="E1580" s="10" t="str">
        <f>IFERROR(__xludf.DUMMYFUNCTION("""COMPUTED_VALUE"""),"GREENAMIS")</f>
        <v>GREENAMIS</v>
      </c>
      <c r="F1580" s="10">
        <f>IFERROR(__xludf.DUMMYFUNCTION("""COMPUTED_VALUE"""),2.22)</f>
        <v>2.22</v>
      </c>
      <c r="G1580" s="9">
        <f>IFERROR(__xludf.DUMMYFUNCTION("""COMPUTED_VALUE"""),2.22)</f>
        <v>2.22</v>
      </c>
      <c r="H1580" s="9">
        <f>IFERROR(__xludf.DUMMYFUNCTION("""COMPUTED_VALUE"""),1.0)</f>
        <v>1</v>
      </c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</row>
    <row r="1581" ht="15.75" customHeight="1">
      <c r="A1581" s="11">
        <f>IFERROR(__xludf.DUMMYFUNCTION("""COMPUTED_VALUE"""),44471.0)</f>
        <v>44471</v>
      </c>
      <c r="B1581" s="9">
        <f>IFERROR(__xludf.DUMMYFUNCTION("""COMPUTED_VALUE"""),1003498.0)</f>
        <v>1003498</v>
      </c>
      <c r="C1581" s="9">
        <f>IFERROR(__xludf.DUMMYFUNCTION("""COMPUTED_VALUE"""),19294.0)</f>
        <v>19294</v>
      </c>
      <c r="D1581" s="9"/>
      <c r="E1581" s="10" t="str">
        <f>IFERROR(__xludf.DUMMYFUNCTION("""COMPUTED_VALUE"""),"GREENAMIS")</f>
        <v>GREENAMIS</v>
      </c>
      <c r="F1581" s="10">
        <f>IFERROR(__xludf.DUMMYFUNCTION("""COMPUTED_VALUE"""),3.86)</f>
        <v>3.86</v>
      </c>
      <c r="G1581" s="9">
        <f>IFERROR(__xludf.DUMMYFUNCTION("""COMPUTED_VALUE"""),3.86)</f>
        <v>3.86</v>
      </c>
      <c r="H1581" s="9">
        <f>IFERROR(__xludf.DUMMYFUNCTION("""COMPUTED_VALUE"""),1.0)</f>
        <v>1</v>
      </c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</row>
    <row r="1582" ht="15.75" customHeight="1">
      <c r="A1582" s="11">
        <f>IFERROR(__xludf.DUMMYFUNCTION("""COMPUTED_VALUE"""),44471.0)</f>
        <v>44471</v>
      </c>
      <c r="B1582" s="9">
        <f>IFERROR(__xludf.DUMMYFUNCTION("""COMPUTED_VALUE"""),1003498.0)</f>
        <v>1003498</v>
      </c>
      <c r="C1582" s="9">
        <f>IFERROR(__xludf.DUMMYFUNCTION("""COMPUTED_VALUE"""),116676.0)</f>
        <v>116676</v>
      </c>
      <c r="D1582" s="9"/>
      <c r="E1582" s="10" t="str">
        <f>IFERROR(__xludf.DUMMYFUNCTION("""COMPUTED_VALUE"""),"GREENAMIS")</f>
        <v>GREENAMIS</v>
      </c>
      <c r="F1582" s="10">
        <f>IFERROR(__xludf.DUMMYFUNCTION("""COMPUTED_VALUE"""),45.22)</f>
        <v>45.22</v>
      </c>
      <c r="G1582" s="9">
        <f>IFERROR(__xludf.DUMMYFUNCTION("""COMPUTED_VALUE"""),45.22)</f>
        <v>45.22</v>
      </c>
      <c r="H1582" s="9">
        <f>IFERROR(__xludf.DUMMYFUNCTION("""COMPUTED_VALUE"""),3.0)</f>
        <v>3</v>
      </c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</row>
    <row r="1583" ht="15.75" customHeight="1">
      <c r="A1583" s="11">
        <f>IFERROR(__xludf.DUMMYFUNCTION("""COMPUTED_VALUE"""),44471.0)</f>
        <v>44471</v>
      </c>
      <c r="B1583" s="9">
        <f>IFERROR(__xludf.DUMMYFUNCTION("""COMPUTED_VALUE"""),1003499.0)</f>
        <v>1003499</v>
      </c>
      <c r="C1583" s="9">
        <f>IFERROR(__xludf.DUMMYFUNCTION("""COMPUTED_VALUE"""),78235.0)</f>
        <v>78235</v>
      </c>
      <c r="D1583" s="10" t="str">
        <f>IFERROR(__xludf.DUMMYFUNCTION("""COMPUTED_VALUE"""),"Offre Speciale")</f>
        <v>Offre Speciale</v>
      </c>
      <c r="E1583" s="10"/>
      <c r="F1583" s="9">
        <f>IFERROR(__xludf.DUMMYFUNCTION("""COMPUTED_VALUE"""),9.84444444444444)</f>
        <v>9.844444444</v>
      </c>
      <c r="G1583" s="9">
        <f>IFERROR(__xludf.DUMMYFUNCTION("""COMPUTED_VALUE"""),8.86)</f>
        <v>8.86</v>
      </c>
      <c r="H1583" s="9">
        <f>IFERROR(__xludf.DUMMYFUNCTION("""COMPUTED_VALUE"""),1.0)</f>
        <v>1</v>
      </c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</row>
    <row r="1584" ht="15.75" customHeight="1">
      <c r="A1584" s="11">
        <f>IFERROR(__xludf.DUMMYFUNCTION("""COMPUTED_VALUE"""),44471.0)</f>
        <v>44471</v>
      </c>
      <c r="B1584" s="9">
        <f>IFERROR(__xludf.DUMMYFUNCTION("""COMPUTED_VALUE"""),1003499.0)</f>
        <v>1003499</v>
      </c>
      <c r="C1584" s="9">
        <f>IFERROR(__xludf.DUMMYFUNCTION("""COMPUTED_VALUE"""),11000.0)</f>
        <v>11000</v>
      </c>
      <c r="D1584" s="9"/>
      <c r="E1584" s="9"/>
      <c r="F1584" s="9">
        <f>IFERROR(__xludf.DUMMYFUNCTION("""COMPUTED_VALUE"""),4.32)</f>
        <v>4.32</v>
      </c>
      <c r="G1584" s="9">
        <f>IFERROR(__xludf.DUMMYFUNCTION("""COMPUTED_VALUE"""),4.32)</f>
        <v>4.32</v>
      </c>
      <c r="H1584" s="9">
        <f>IFERROR(__xludf.DUMMYFUNCTION("""COMPUTED_VALUE"""),1.0)</f>
        <v>1</v>
      </c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</row>
    <row r="1585" ht="15.75" customHeight="1">
      <c r="A1585" s="11">
        <f>IFERROR(__xludf.DUMMYFUNCTION("""COMPUTED_VALUE"""),44471.0)</f>
        <v>44471</v>
      </c>
      <c r="B1585" s="9">
        <f>IFERROR(__xludf.DUMMYFUNCTION("""COMPUTED_VALUE"""),1003499.0)</f>
        <v>1003499</v>
      </c>
      <c r="C1585" s="9">
        <f>IFERROR(__xludf.DUMMYFUNCTION("""COMPUTED_VALUE"""),29650.0)</f>
        <v>29650</v>
      </c>
      <c r="D1585" s="9"/>
      <c r="E1585" s="9"/>
      <c r="F1585" s="9">
        <f>IFERROR(__xludf.DUMMYFUNCTION("""COMPUTED_VALUE"""),1.58)</f>
        <v>1.58</v>
      </c>
      <c r="G1585" s="9">
        <f>IFERROR(__xludf.DUMMYFUNCTION("""COMPUTED_VALUE"""),1.58)</f>
        <v>1.58</v>
      </c>
      <c r="H1585" s="9">
        <f>IFERROR(__xludf.DUMMYFUNCTION("""COMPUTED_VALUE"""),1.0)</f>
        <v>1</v>
      </c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</row>
    <row r="1586" ht="15.75" customHeight="1">
      <c r="A1586" s="11">
        <f>IFERROR(__xludf.DUMMYFUNCTION("""COMPUTED_VALUE"""),44471.0)</f>
        <v>44471</v>
      </c>
      <c r="B1586" s="9">
        <f>IFERROR(__xludf.DUMMYFUNCTION("""COMPUTED_VALUE"""),1003499.0)</f>
        <v>1003499</v>
      </c>
      <c r="C1586" s="9">
        <f>IFERROR(__xludf.DUMMYFUNCTION("""COMPUTED_VALUE"""),11771.0)</f>
        <v>11771</v>
      </c>
      <c r="D1586" s="10" t="str">
        <f>IFERROR(__xludf.DUMMYFUNCTION("""COMPUTED_VALUE"""),"Offre Speciale")</f>
        <v>Offre Speciale</v>
      </c>
      <c r="E1586" s="10"/>
      <c r="F1586" s="9">
        <f>IFERROR(__xludf.DUMMYFUNCTION("""COMPUTED_VALUE"""),4.54430379746835)</f>
        <v>4.544303797</v>
      </c>
      <c r="G1586" s="9">
        <f>IFERROR(__xludf.DUMMYFUNCTION("""COMPUTED_VALUE"""),3.59)</f>
        <v>3.59</v>
      </c>
      <c r="H1586" s="9">
        <f>IFERROR(__xludf.DUMMYFUNCTION("""COMPUTED_VALUE"""),1.0)</f>
        <v>1</v>
      </c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</row>
    <row r="1587" ht="15.75" customHeight="1">
      <c r="A1587" s="11">
        <f>IFERROR(__xludf.DUMMYFUNCTION("""COMPUTED_VALUE"""),44471.0)</f>
        <v>44471</v>
      </c>
      <c r="B1587" s="9">
        <f>IFERROR(__xludf.DUMMYFUNCTION("""COMPUTED_VALUE"""),1003499.0)</f>
        <v>1003499</v>
      </c>
      <c r="C1587" s="9">
        <f>IFERROR(__xludf.DUMMYFUNCTION("""COMPUTED_VALUE"""),103245.0)</f>
        <v>103245</v>
      </c>
      <c r="D1587" s="9"/>
      <c r="E1587" s="9"/>
      <c r="F1587" s="9">
        <f>IFERROR(__xludf.DUMMYFUNCTION("""COMPUTED_VALUE"""),5.61)</f>
        <v>5.61</v>
      </c>
      <c r="G1587" s="9">
        <f>IFERROR(__xludf.DUMMYFUNCTION("""COMPUTED_VALUE"""),5.61)</f>
        <v>5.61</v>
      </c>
      <c r="H1587" s="9">
        <f>IFERROR(__xludf.DUMMYFUNCTION("""COMPUTED_VALUE"""),1.0)</f>
        <v>1</v>
      </c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</row>
    <row r="1588" ht="15.75" customHeight="1">
      <c r="A1588" s="11">
        <f>IFERROR(__xludf.DUMMYFUNCTION("""COMPUTED_VALUE"""),44471.0)</f>
        <v>44471</v>
      </c>
      <c r="B1588" s="9">
        <f>IFERROR(__xludf.DUMMYFUNCTION("""COMPUTED_VALUE"""),1003499.0)</f>
        <v>1003499</v>
      </c>
      <c r="C1588" s="9">
        <f>IFERROR(__xludf.DUMMYFUNCTION("""COMPUTED_VALUE"""),116277.0)</f>
        <v>116277</v>
      </c>
      <c r="D1588" s="9"/>
      <c r="E1588" s="9"/>
      <c r="F1588" s="9">
        <f>IFERROR(__xludf.DUMMYFUNCTION("""COMPUTED_VALUE"""),5.66)</f>
        <v>5.66</v>
      </c>
      <c r="G1588" s="9">
        <f>IFERROR(__xludf.DUMMYFUNCTION("""COMPUTED_VALUE"""),5.66)</f>
        <v>5.66</v>
      </c>
      <c r="H1588" s="9">
        <f>IFERROR(__xludf.DUMMYFUNCTION("""COMPUTED_VALUE"""),1.0)</f>
        <v>1</v>
      </c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</row>
    <row r="1589" ht="15.75" customHeight="1">
      <c r="A1589" s="11">
        <f>IFERROR(__xludf.DUMMYFUNCTION("""COMPUTED_VALUE"""),44471.0)</f>
        <v>44471</v>
      </c>
      <c r="B1589" s="9">
        <f>IFERROR(__xludf.DUMMYFUNCTION("""COMPUTED_VALUE"""),1003499.0)</f>
        <v>1003499</v>
      </c>
      <c r="C1589" s="9">
        <f>IFERROR(__xludf.DUMMYFUNCTION("""COMPUTED_VALUE"""),24076.0)</f>
        <v>24076</v>
      </c>
      <c r="D1589" s="9"/>
      <c r="E1589" s="9"/>
      <c r="F1589" s="9">
        <f>IFERROR(__xludf.DUMMYFUNCTION("""COMPUTED_VALUE"""),6.41)</f>
        <v>6.41</v>
      </c>
      <c r="G1589" s="9">
        <f>IFERROR(__xludf.DUMMYFUNCTION("""COMPUTED_VALUE"""),6.41)</f>
        <v>6.41</v>
      </c>
      <c r="H1589" s="9">
        <f>IFERROR(__xludf.DUMMYFUNCTION("""COMPUTED_VALUE"""),1.0)</f>
        <v>1</v>
      </c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</row>
    <row r="1590" ht="15.75" customHeight="1">
      <c r="A1590" s="11">
        <f>IFERROR(__xludf.DUMMYFUNCTION("""COMPUTED_VALUE"""),44471.0)</f>
        <v>44471</v>
      </c>
      <c r="B1590" s="9">
        <f>IFERROR(__xludf.DUMMYFUNCTION("""COMPUTED_VALUE"""),1003499.0)</f>
        <v>1003499</v>
      </c>
      <c r="C1590" s="9">
        <f>IFERROR(__xludf.DUMMYFUNCTION("""COMPUTED_VALUE"""),100436.0)</f>
        <v>100436</v>
      </c>
      <c r="D1590" s="9"/>
      <c r="E1590" s="9"/>
      <c r="F1590" s="9">
        <f>IFERROR(__xludf.DUMMYFUNCTION("""COMPUTED_VALUE"""),4.17)</f>
        <v>4.17</v>
      </c>
      <c r="G1590" s="9">
        <f>IFERROR(__xludf.DUMMYFUNCTION("""COMPUTED_VALUE"""),4.17)</f>
        <v>4.17</v>
      </c>
      <c r="H1590" s="9">
        <f>IFERROR(__xludf.DUMMYFUNCTION("""COMPUTED_VALUE"""),1.0)</f>
        <v>1</v>
      </c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</row>
    <row r="1591" ht="15.75" customHeight="1">
      <c r="A1591" s="11">
        <f>IFERROR(__xludf.DUMMYFUNCTION("""COMPUTED_VALUE"""),44471.0)</f>
        <v>44471</v>
      </c>
      <c r="B1591" s="9">
        <f>IFERROR(__xludf.DUMMYFUNCTION("""COMPUTED_VALUE"""),1003499.0)</f>
        <v>1003499</v>
      </c>
      <c r="C1591" s="9">
        <f>IFERROR(__xludf.DUMMYFUNCTION("""COMPUTED_VALUE"""),110072.0)</f>
        <v>110072</v>
      </c>
      <c r="D1591" s="9"/>
      <c r="E1591" s="9"/>
      <c r="F1591" s="9">
        <f>IFERROR(__xludf.DUMMYFUNCTION("""COMPUTED_VALUE"""),4.44)</f>
        <v>4.44</v>
      </c>
      <c r="G1591" s="9">
        <f>IFERROR(__xludf.DUMMYFUNCTION("""COMPUTED_VALUE"""),4.44)</f>
        <v>4.44</v>
      </c>
      <c r="H1591" s="9">
        <f>IFERROR(__xludf.DUMMYFUNCTION("""COMPUTED_VALUE"""),1.0)</f>
        <v>1</v>
      </c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</row>
    <row r="1592" ht="15.75" customHeight="1">
      <c r="A1592" s="11">
        <f>IFERROR(__xludf.DUMMYFUNCTION("""COMPUTED_VALUE"""),44471.0)</f>
        <v>44471</v>
      </c>
      <c r="B1592" s="9">
        <f>IFERROR(__xludf.DUMMYFUNCTION("""COMPUTED_VALUE"""),1003499.0)</f>
        <v>1003499</v>
      </c>
      <c r="C1592" s="9">
        <f>IFERROR(__xludf.DUMMYFUNCTION("""COMPUTED_VALUE"""),111941.0)</f>
        <v>111941</v>
      </c>
      <c r="D1592" s="9"/>
      <c r="E1592" s="9"/>
      <c r="F1592" s="9">
        <f>IFERROR(__xludf.DUMMYFUNCTION("""COMPUTED_VALUE"""),8.17)</f>
        <v>8.17</v>
      </c>
      <c r="G1592" s="9">
        <f>IFERROR(__xludf.DUMMYFUNCTION("""COMPUTED_VALUE"""),8.17)</f>
        <v>8.17</v>
      </c>
      <c r="H1592" s="9">
        <f>IFERROR(__xludf.DUMMYFUNCTION("""COMPUTED_VALUE"""),1.0)</f>
        <v>1</v>
      </c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</row>
    <row r="1593" ht="15.75" customHeight="1">
      <c r="A1593" s="11">
        <f>IFERROR(__xludf.DUMMYFUNCTION("""COMPUTED_VALUE"""),44471.0)</f>
        <v>44471</v>
      </c>
      <c r="B1593" s="9">
        <f>IFERROR(__xludf.DUMMYFUNCTION("""COMPUTED_VALUE"""),1003499.0)</f>
        <v>1003499</v>
      </c>
      <c r="C1593" s="9">
        <f>IFERROR(__xludf.DUMMYFUNCTION("""COMPUTED_VALUE"""),11404.0)</f>
        <v>11404</v>
      </c>
      <c r="D1593" s="9"/>
      <c r="E1593" s="9"/>
      <c r="F1593" s="9">
        <f>IFERROR(__xludf.DUMMYFUNCTION("""COMPUTED_VALUE"""),5.74)</f>
        <v>5.74</v>
      </c>
      <c r="G1593" s="9">
        <f>IFERROR(__xludf.DUMMYFUNCTION("""COMPUTED_VALUE"""),5.74)</f>
        <v>5.74</v>
      </c>
      <c r="H1593" s="9">
        <f>IFERROR(__xludf.DUMMYFUNCTION("""COMPUTED_VALUE"""),1.0)</f>
        <v>1</v>
      </c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</row>
    <row r="1594" ht="15.75" customHeight="1">
      <c r="A1594" s="11">
        <f>IFERROR(__xludf.DUMMYFUNCTION("""COMPUTED_VALUE"""),44471.0)</f>
        <v>44471</v>
      </c>
      <c r="B1594" s="9">
        <f>IFERROR(__xludf.DUMMYFUNCTION("""COMPUTED_VALUE"""),1003499.0)</f>
        <v>1003499</v>
      </c>
      <c r="C1594" s="9">
        <f>IFERROR(__xludf.DUMMYFUNCTION("""COMPUTED_VALUE"""),110724.0)</f>
        <v>110724</v>
      </c>
      <c r="D1594" s="9"/>
      <c r="E1594" s="9"/>
      <c r="F1594" s="9">
        <f>IFERROR(__xludf.DUMMYFUNCTION("""COMPUTED_VALUE"""),5.02)</f>
        <v>5.02</v>
      </c>
      <c r="G1594" s="9">
        <f>IFERROR(__xludf.DUMMYFUNCTION("""COMPUTED_VALUE"""),5.02)</f>
        <v>5.02</v>
      </c>
      <c r="H1594" s="9">
        <f>IFERROR(__xludf.DUMMYFUNCTION("""COMPUTED_VALUE"""),2.0)</f>
        <v>2</v>
      </c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</row>
    <row r="1595" ht="15.75" customHeight="1">
      <c r="A1595" s="11">
        <f>IFERROR(__xludf.DUMMYFUNCTION("""COMPUTED_VALUE"""),44471.0)</f>
        <v>44471</v>
      </c>
      <c r="B1595" s="9">
        <f>IFERROR(__xludf.DUMMYFUNCTION("""COMPUTED_VALUE"""),1003500.0)</f>
        <v>1003500</v>
      </c>
      <c r="C1595" s="9">
        <f>IFERROR(__xludf.DUMMYFUNCTION("""COMPUTED_VALUE"""),5052.0)</f>
        <v>5052</v>
      </c>
      <c r="D1595" s="9"/>
      <c r="E1595" s="10" t="str">
        <f>IFERROR(__xludf.DUMMYFUNCTION("""COMPUTED_VALUE"""),"GREENRELAIS")</f>
        <v>GREENRELAIS</v>
      </c>
      <c r="F1595" s="10">
        <f>IFERROR(__xludf.DUMMYFUNCTION("""COMPUTED_VALUE"""),3.0)</f>
        <v>3</v>
      </c>
      <c r="G1595" s="9">
        <f>IFERROR(__xludf.DUMMYFUNCTION("""COMPUTED_VALUE"""),3.0)</f>
        <v>3</v>
      </c>
      <c r="H1595" s="9">
        <f>IFERROR(__xludf.DUMMYFUNCTION("""COMPUTED_VALUE"""),1.0)</f>
        <v>1</v>
      </c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</row>
    <row r="1596" ht="15.75" customHeight="1">
      <c r="A1596" s="11">
        <f>IFERROR(__xludf.DUMMYFUNCTION("""COMPUTED_VALUE"""),44471.0)</f>
        <v>44471</v>
      </c>
      <c r="B1596" s="9">
        <f>IFERROR(__xludf.DUMMYFUNCTION("""COMPUTED_VALUE"""),1003500.0)</f>
        <v>1003500</v>
      </c>
      <c r="C1596" s="9">
        <f>IFERROR(__xludf.DUMMYFUNCTION("""COMPUTED_VALUE"""),5538.0)</f>
        <v>5538</v>
      </c>
      <c r="D1596" s="9"/>
      <c r="E1596" s="10" t="str">
        <f>IFERROR(__xludf.DUMMYFUNCTION("""COMPUTED_VALUE"""),"GREENRELAIS")</f>
        <v>GREENRELAIS</v>
      </c>
      <c r="F1596" s="10">
        <f>IFERROR(__xludf.DUMMYFUNCTION("""COMPUTED_VALUE"""),1.94)</f>
        <v>1.94</v>
      </c>
      <c r="G1596" s="9">
        <f>IFERROR(__xludf.DUMMYFUNCTION("""COMPUTED_VALUE"""),1.94)</f>
        <v>1.94</v>
      </c>
      <c r="H1596" s="9">
        <f>IFERROR(__xludf.DUMMYFUNCTION("""COMPUTED_VALUE"""),1.0)</f>
        <v>1</v>
      </c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</row>
    <row r="1597" ht="15.75" customHeight="1">
      <c r="A1597" s="11">
        <f>IFERROR(__xludf.DUMMYFUNCTION("""COMPUTED_VALUE"""),44471.0)</f>
        <v>44471</v>
      </c>
      <c r="B1597" s="9">
        <f>IFERROR(__xludf.DUMMYFUNCTION("""COMPUTED_VALUE"""),1003500.0)</f>
        <v>1003500</v>
      </c>
      <c r="C1597" s="9">
        <f>IFERROR(__xludf.DUMMYFUNCTION("""COMPUTED_VALUE"""),81519.0)</f>
        <v>81519</v>
      </c>
      <c r="D1597" s="9"/>
      <c r="E1597" s="10" t="str">
        <f>IFERROR(__xludf.DUMMYFUNCTION("""COMPUTED_VALUE"""),"GREENRELAIS")</f>
        <v>GREENRELAIS</v>
      </c>
      <c r="F1597" s="10">
        <f>IFERROR(__xludf.DUMMYFUNCTION("""COMPUTED_VALUE"""),8.27)</f>
        <v>8.27</v>
      </c>
      <c r="G1597" s="9">
        <f>IFERROR(__xludf.DUMMYFUNCTION("""COMPUTED_VALUE"""),8.27)</f>
        <v>8.27</v>
      </c>
      <c r="H1597" s="9">
        <f>IFERROR(__xludf.DUMMYFUNCTION("""COMPUTED_VALUE"""),1.0)</f>
        <v>1</v>
      </c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</row>
    <row r="1598" ht="15.75" customHeight="1">
      <c r="A1598" s="11">
        <f>IFERROR(__xludf.DUMMYFUNCTION("""COMPUTED_VALUE"""),44471.0)</f>
        <v>44471</v>
      </c>
      <c r="B1598" s="9">
        <f>IFERROR(__xludf.DUMMYFUNCTION("""COMPUTED_VALUE"""),1003500.0)</f>
        <v>1003500</v>
      </c>
      <c r="C1598" s="9">
        <f>IFERROR(__xludf.DUMMYFUNCTION("""COMPUTED_VALUE"""),82979.0)</f>
        <v>82979</v>
      </c>
      <c r="D1598" s="10" t="str">
        <f>IFERROR(__xludf.DUMMYFUNCTION("""COMPUTED_VALUE"""),"Vive le bio")</f>
        <v>Vive le bio</v>
      </c>
      <c r="E1598" s="10" t="str">
        <f>IFERROR(__xludf.DUMMYFUNCTION("""COMPUTED_VALUE"""),"GREENRELAIS")</f>
        <v>GREENRELAIS</v>
      </c>
      <c r="F1598" s="10">
        <f>IFERROR(__xludf.DUMMYFUNCTION("""COMPUTED_VALUE"""),3.32222222222222)</f>
        <v>3.322222222</v>
      </c>
      <c r="G1598" s="9">
        <f>IFERROR(__xludf.DUMMYFUNCTION("""COMPUTED_VALUE"""),2.99)</f>
        <v>2.99</v>
      </c>
      <c r="H1598" s="9">
        <f>IFERROR(__xludf.DUMMYFUNCTION("""COMPUTED_VALUE"""),1.0)</f>
        <v>1</v>
      </c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</row>
    <row r="1599" ht="15.75" customHeight="1">
      <c r="A1599" s="11">
        <f>IFERROR(__xludf.DUMMYFUNCTION("""COMPUTED_VALUE"""),44471.0)</f>
        <v>44471</v>
      </c>
      <c r="B1599" s="9">
        <f>IFERROR(__xludf.DUMMYFUNCTION("""COMPUTED_VALUE"""),1003500.0)</f>
        <v>1003500</v>
      </c>
      <c r="C1599" s="9">
        <f>IFERROR(__xludf.DUMMYFUNCTION("""COMPUTED_VALUE"""),73187.0)</f>
        <v>73187</v>
      </c>
      <c r="D1599" s="9"/>
      <c r="E1599" s="10" t="str">
        <f>IFERROR(__xludf.DUMMYFUNCTION("""COMPUTED_VALUE"""),"GREENRELAIS")</f>
        <v>GREENRELAIS</v>
      </c>
      <c r="F1599" s="10">
        <f>IFERROR(__xludf.DUMMYFUNCTION("""COMPUTED_VALUE"""),18.53)</f>
        <v>18.53</v>
      </c>
      <c r="G1599" s="9">
        <f>IFERROR(__xludf.DUMMYFUNCTION("""COMPUTED_VALUE"""),18.53)</f>
        <v>18.53</v>
      </c>
      <c r="H1599" s="9">
        <f>IFERROR(__xludf.DUMMYFUNCTION("""COMPUTED_VALUE"""),1.0)</f>
        <v>1</v>
      </c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</row>
    <row r="1600" ht="15.75" customHeight="1">
      <c r="A1600" s="11">
        <f>IFERROR(__xludf.DUMMYFUNCTION("""COMPUTED_VALUE"""),44471.0)</f>
        <v>44471</v>
      </c>
      <c r="B1600" s="9">
        <f>IFERROR(__xludf.DUMMYFUNCTION("""COMPUTED_VALUE"""),1003500.0)</f>
        <v>1003500</v>
      </c>
      <c r="C1600" s="9">
        <f>IFERROR(__xludf.DUMMYFUNCTION("""COMPUTED_VALUE"""),122254.0)</f>
        <v>122254</v>
      </c>
      <c r="D1600" s="9"/>
      <c r="E1600" s="10" t="str">
        <f>IFERROR(__xludf.DUMMYFUNCTION("""COMPUTED_VALUE"""),"GREENRELAIS")</f>
        <v>GREENRELAIS</v>
      </c>
      <c r="F1600" s="10">
        <f>IFERROR(__xludf.DUMMYFUNCTION("""COMPUTED_VALUE"""),4.63)</f>
        <v>4.63</v>
      </c>
      <c r="G1600" s="9">
        <f>IFERROR(__xludf.DUMMYFUNCTION("""COMPUTED_VALUE"""),4.63)</f>
        <v>4.63</v>
      </c>
      <c r="H1600" s="9">
        <f>IFERROR(__xludf.DUMMYFUNCTION("""COMPUTED_VALUE"""),1.0)</f>
        <v>1</v>
      </c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</row>
    <row r="1601" ht="15.75" customHeight="1">
      <c r="A1601" s="11">
        <f>IFERROR(__xludf.DUMMYFUNCTION("""COMPUTED_VALUE"""),44471.0)</f>
        <v>44471</v>
      </c>
      <c r="B1601" s="9">
        <f>IFERROR(__xludf.DUMMYFUNCTION("""COMPUTED_VALUE"""),1003500.0)</f>
        <v>1003500</v>
      </c>
      <c r="C1601" s="9">
        <f>IFERROR(__xludf.DUMMYFUNCTION("""COMPUTED_VALUE"""),17627.0)</f>
        <v>17627</v>
      </c>
      <c r="D1601" s="10" t="str">
        <f>IFERROR(__xludf.DUMMYFUNCTION("""COMPUTED_VALUE"""),"Vive le bio")</f>
        <v>Vive le bio</v>
      </c>
      <c r="E1601" s="10" t="str">
        <f>IFERROR(__xludf.DUMMYFUNCTION("""COMPUTED_VALUE"""),"GREENRELAIS")</f>
        <v>GREENRELAIS</v>
      </c>
      <c r="F1601" s="10">
        <f>IFERROR(__xludf.DUMMYFUNCTION("""COMPUTED_VALUE"""),14.9894736842105)</f>
        <v>14.98947368</v>
      </c>
      <c r="G1601" s="9">
        <f>IFERROR(__xludf.DUMMYFUNCTION("""COMPUTED_VALUE"""),14.24)</f>
        <v>14.24</v>
      </c>
      <c r="H1601" s="9">
        <f>IFERROR(__xludf.DUMMYFUNCTION("""COMPUTED_VALUE"""),1.0)</f>
        <v>1</v>
      </c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</row>
    <row r="1602" ht="15.75" customHeight="1">
      <c r="A1602" s="11">
        <f>IFERROR(__xludf.DUMMYFUNCTION("""COMPUTED_VALUE"""),44471.0)</f>
        <v>44471</v>
      </c>
      <c r="B1602" s="9">
        <f>IFERROR(__xludf.DUMMYFUNCTION("""COMPUTED_VALUE"""),1003500.0)</f>
        <v>1003500</v>
      </c>
      <c r="C1602" s="9">
        <f>IFERROR(__xludf.DUMMYFUNCTION("""COMPUTED_VALUE"""),112249.0)</f>
        <v>112249</v>
      </c>
      <c r="D1602" s="9"/>
      <c r="E1602" s="10" t="str">
        <f>IFERROR(__xludf.DUMMYFUNCTION("""COMPUTED_VALUE"""),"GREENRELAIS")</f>
        <v>GREENRELAIS</v>
      </c>
      <c r="F1602" s="10">
        <f>IFERROR(__xludf.DUMMYFUNCTION("""COMPUTED_VALUE"""),3.71)</f>
        <v>3.71</v>
      </c>
      <c r="G1602" s="9">
        <f>IFERROR(__xludf.DUMMYFUNCTION("""COMPUTED_VALUE"""),3.71)</f>
        <v>3.71</v>
      </c>
      <c r="H1602" s="9">
        <f>IFERROR(__xludf.DUMMYFUNCTION("""COMPUTED_VALUE"""),1.0)</f>
        <v>1</v>
      </c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</row>
    <row r="1603" ht="15.75" customHeight="1">
      <c r="A1603" s="11">
        <f>IFERROR(__xludf.DUMMYFUNCTION("""COMPUTED_VALUE"""),44471.0)</f>
        <v>44471</v>
      </c>
      <c r="B1603" s="9">
        <f>IFERROR(__xludf.DUMMYFUNCTION("""COMPUTED_VALUE"""),1003501.0)</f>
        <v>1003501</v>
      </c>
      <c r="C1603" s="9">
        <f>IFERROR(__xludf.DUMMYFUNCTION("""COMPUTED_VALUE"""),42255.0)</f>
        <v>42255</v>
      </c>
      <c r="D1603" s="9"/>
      <c r="E1603" s="9"/>
      <c r="F1603" s="9">
        <f>IFERROR(__xludf.DUMMYFUNCTION("""COMPUTED_VALUE"""),2.5)</f>
        <v>2.5</v>
      </c>
      <c r="G1603" s="9">
        <f>IFERROR(__xludf.DUMMYFUNCTION("""COMPUTED_VALUE"""),2.5)</f>
        <v>2.5</v>
      </c>
      <c r="H1603" s="9">
        <f>IFERROR(__xludf.DUMMYFUNCTION("""COMPUTED_VALUE"""),1.0)</f>
        <v>1</v>
      </c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</row>
    <row r="1604" ht="15.75" customHeight="1">
      <c r="A1604" s="11">
        <f>IFERROR(__xludf.DUMMYFUNCTION("""COMPUTED_VALUE"""),44471.0)</f>
        <v>44471</v>
      </c>
      <c r="B1604" s="9">
        <f>IFERROR(__xludf.DUMMYFUNCTION("""COMPUTED_VALUE"""),1003501.0)</f>
        <v>1003501</v>
      </c>
      <c r="C1604" s="9">
        <f>IFERROR(__xludf.DUMMYFUNCTION("""COMPUTED_VALUE"""),118260.0)</f>
        <v>118260</v>
      </c>
      <c r="D1604" s="9"/>
      <c r="E1604" s="9"/>
      <c r="F1604" s="9">
        <f>IFERROR(__xludf.DUMMYFUNCTION("""COMPUTED_VALUE"""),1.59)</f>
        <v>1.59</v>
      </c>
      <c r="G1604" s="9">
        <f>IFERROR(__xludf.DUMMYFUNCTION("""COMPUTED_VALUE"""),1.59)</f>
        <v>1.59</v>
      </c>
      <c r="H1604" s="9">
        <f>IFERROR(__xludf.DUMMYFUNCTION("""COMPUTED_VALUE"""),1.0)</f>
        <v>1</v>
      </c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</row>
    <row r="1605" ht="15.75" customHeight="1">
      <c r="A1605" s="11">
        <f>IFERROR(__xludf.DUMMYFUNCTION("""COMPUTED_VALUE"""),44471.0)</f>
        <v>44471</v>
      </c>
      <c r="B1605" s="9">
        <f>IFERROR(__xludf.DUMMYFUNCTION("""COMPUTED_VALUE"""),1003501.0)</f>
        <v>1003501</v>
      </c>
      <c r="C1605" s="9">
        <f>IFERROR(__xludf.DUMMYFUNCTION("""COMPUTED_VALUE"""),5526.0)</f>
        <v>5526</v>
      </c>
      <c r="D1605" s="9"/>
      <c r="E1605" s="9"/>
      <c r="F1605" s="9">
        <f>IFERROR(__xludf.DUMMYFUNCTION("""COMPUTED_VALUE"""),4.64)</f>
        <v>4.64</v>
      </c>
      <c r="G1605" s="9">
        <f>IFERROR(__xludf.DUMMYFUNCTION("""COMPUTED_VALUE"""),4.64)</f>
        <v>4.64</v>
      </c>
      <c r="H1605" s="9">
        <f>IFERROR(__xludf.DUMMYFUNCTION("""COMPUTED_VALUE"""),1.0)</f>
        <v>1</v>
      </c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</row>
    <row r="1606" ht="15.75" customHeight="1">
      <c r="A1606" s="11">
        <f>IFERROR(__xludf.DUMMYFUNCTION("""COMPUTED_VALUE"""),44471.0)</f>
        <v>44471</v>
      </c>
      <c r="B1606" s="9">
        <f>IFERROR(__xludf.DUMMYFUNCTION("""COMPUTED_VALUE"""),1003501.0)</f>
        <v>1003501</v>
      </c>
      <c r="C1606" s="9">
        <f>IFERROR(__xludf.DUMMYFUNCTION("""COMPUTED_VALUE"""),104316.0)</f>
        <v>104316</v>
      </c>
      <c r="D1606" s="9"/>
      <c r="E1606" s="9"/>
      <c r="F1606" s="9">
        <f>IFERROR(__xludf.DUMMYFUNCTION("""COMPUTED_VALUE"""),3.09)</f>
        <v>3.09</v>
      </c>
      <c r="G1606" s="9">
        <f>IFERROR(__xludf.DUMMYFUNCTION("""COMPUTED_VALUE"""),3.09)</f>
        <v>3.09</v>
      </c>
      <c r="H1606" s="9">
        <f>IFERROR(__xludf.DUMMYFUNCTION("""COMPUTED_VALUE"""),1.0)</f>
        <v>1</v>
      </c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</row>
    <row r="1607" ht="15.75" customHeight="1">
      <c r="A1607" s="11">
        <f>IFERROR(__xludf.DUMMYFUNCTION("""COMPUTED_VALUE"""),44471.0)</f>
        <v>44471</v>
      </c>
      <c r="B1607" s="9">
        <f>IFERROR(__xludf.DUMMYFUNCTION("""COMPUTED_VALUE"""),1003501.0)</f>
        <v>1003501</v>
      </c>
      <c r="C1607" s="9">
        <f>IFERROR(__xludf.DUMMYFUNCTION("""COMPUTED_VALUE"""),117247.0)</f>
        <v>117247</v>
      </c>
      <c r="D1607" s="9"/>
      <c r="E1607" s="9"/>
      <c r="F1607" s="9">
        <f>IFERROR(__xludf.DUMMYFUNCTION("""COMPUTED_VALUE"""),2.47)</f>
        <v>2.47</v>
      </c>
      <c r="G1607" s="9">
        <f>IFERROR(__xludf.DUMMYFUNCTION("""COMPUTED_VALUE"""),2.47)</f>
        <v>2.47</v>
      </c>
      <c r="H1607" s="9">
        <f>IFERROR(__xludf.DUMMYFUNCTION("""COMPUTED_VALUE"""),1.0)</f>
        <v>1</v>
      </c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</row>
    <row r="1608" ht="15.75" customHeight="1">
      <c r="A1608" s="11">
        <f>IFERROR(__xludf.DUMMYFUNCTION("""COMPUTED_VALUE"""),44471.0)</f>
        <v>44471</v>
      </c>
      <c r="B1608" s="9">
        <f>IFERROR(__xludf.DUMMYFUNCTION("""COMPUTED_VALUE"""),1003501.0)</f>
        <v>1003501</v>
      </c>
      <c r="C1608" s="9">
        <f>IFERROR(__xludf.DUMMYFUNCTION("""COMPUTED_VALUE"""),106758.0)</f>
        <v>106758</v>
      </c>
      <c r="D1608" s="9"/>
      <c r="E1608" s="9"/>
      <c r="F1608" s="9">
        <f>IFERROR(__xludf.DUMMYFUNCTION("""COMPUTED_VALUE"""),4.44)</f>
        <v>4.44</v>
      </c>
      <c r="G1608" s="9">
        <f>IFERROR(__xludf.DUMMYFUNCTION("""COMPUTED_VALUE"""),4.44)</f>
        <v>4.44</v>
      </c>
      <c r="H1608" s="9">
        <f>IFERROR(__xludf.DUMMYFUNCTION("""COMPUTED_VALUE"""),1.0)</f>
        <v>1</v>
      </c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</row>
    <row r="1609" ht="15.75" customHeight="1">
      <c r="A1609" s="11">
        <f>IFERROR(__xludf.DUMMYFUNCTION("""COMPUTED_VALUE"""),44471.0)</f>
        <v>44471</v>
      </c>
      <c r="B1609" s="9">
        <f>IFERROR(__xludf.DUMMYFUNCTION("""COMPUTED_VALUE"""),1003501.0)</f>
        <v>1003501</v>
      </c>
      <c r="C1609" s="9">
        <f>IFERROR(__xludf.DUMMYFUNCTION("""COMPUTED_VALUE"""),77310.0)</f>
        <v>77310</v>
      </c>
      <c r="D1609" s="9"/>
      <c r="E1609" s="9"/>
      <c r="F1609" s="9">
        <f>IFERROR(__xludf.DUMMYFUNCTION("""COMPUTED_VALUE"""),4.45)</f>
        <v>4.45</v>
      </c>
      <c r="G1609" s="9">
        <f>IFERROR(__xludf.DUMMYFUNCTION("""COMPUTED_VALUE"""),4.45)</f>
        <v>4.45</v>
      </c>
      <c r="H1609" s="9">
        <f>IFERROR(__xludf.DUMMYFUNCTION("""COMPUTED_VALUE"""),1.0)</f>
        <v>1</v>
      </c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</row>
    <row r="1610" ht="15.75" customHeight="1">
      <c r="A1610" s="11">
        <f>IFERROR(__xludf.DUMMYFUNCTION("""COMPUTED_VALUE"""),44471.0)</f>
        <v>44471</v>
      </c>
      <c r="B1610" s="9">
        <f>IFERROR(__xludf.DUMMYFUNCTION("""COMPUTED_VALUE"""),1003501.0)</f>
        <v>1003501</v>
      </c>
      <c r="C1610" s="9">
        <f>IFERROR(__xludf.DUMMYFUNCTION("""COMPUTED_VALUE"""),69469.0)</f>
        <v>69469</v>
      </c>
      <c r="D1610" s="9"/>
      <c r="E1610" s="9"/>
      <c r="F1610" s="9">
        <f>IFERROR(__xludf.DUMMYFUNCTION("""COMPUTED_VALUE"""),8.12)</f>
        <v>8.12</v>
      </c>
      <c r="G1610" s="9">
        <f>IFERROR(__xludf.DUMMYFUNCTION("""COMPUTED_VALUE"""),8.12)</f>
        <v>8.12</v>
      </c>
      <c r="H1610" s="9">
        <f>IFERROR(__xludf.DUMMYFUNCTION("""COMPUTED_VALUE"""),2.0)</f>
        <v>2</v>
      </c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</row>
    <row r="1611" ht="15.75" customHeight="1">
      <c r="A1611" s="11">
        <f>IFERROR(__xludf.DUMMYFUNCTION("""COMPUTED_VALUE"""),44471.0)</f>
        <v>44471</v>
      </c>
      <c r="B1611" s="9">
        <f>IFERROR(__xludf.DUMMYFUNCTION("""COMPUTED_VALUE"""),1003501.0)</f>
        <v>1003501</v>
      </c>
      <c r="C1611" s="9">
        <f>IFERROR(__xludf.DUMMYFUNCTION("""COMPUTED_VALUE"""),92915.0)</f>
        <v>92915</v>
      </c>
      <c r="D1611" s="9"/>
      <c r="E1611" s="9"/>
      <c r="F1611" s="9">
        <f>IFERROR(__xludf.DUMMYFUNCTION("""COMPUTED_VALUE"""),19.51)</f>
        <v>19.51</v>
      </c>
      <c r="G1611" s="9">
        <f>IFERROR(__xludf.DUMMYFUNCTION("""COMPUTED_VALUE"""),19.51)</f>
        <v>19.51</v>
      </c>
      <c r="H1611" s="9">
        <f>IFERROR(__xludf.DUMMYFUNCTION("""COMPUTED_VALUE"""),2.0)</f>
        <v>2</v>
      </c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</row>
    <row r="1612" ht="15.75" customHeight="1">
      <c r="A1612" s="11">
        <f>IFERROR(__xludf.DUMMYFUNCTION("""COMPUTED_VALUE"""),44471.0)</f>
        <v>44471</v>
      </c>
      <c r="B1612" s="9">
        <f>IFERROR(__xludf.DUMMYFUNCTION("""COMPUTED_VALUE"""),1003501.0)</f>
        <v>1003501</v>
      </c>
      <c r="C1612" s="9">
        <f>IFERROR(__xludf.DUMMYFUNCTION("""COMPUTED_VALUE"""),27871.0)</f>
        <v>27871</v>
      </c>
      <c r="D1612" s="9"/>
      <c r="E1612" s="9"/>
      <c r="F1612" s="9">
        <f>IFERROR(__xludf.DUMMYFUNCTION("""COMPUTED_VALUE"""),24.09)</f>
        <v>24.09</v>
      </c>
      <c r="G1612" s="9">
        <f>IFERROR(__xludf.DUMMYFUNCTION("""COMPUTED_VALUE"""),24.09)</f>
        <v>24.09</v>
      </c>
      <c r="H1612" s="9">
        <f>IFERROR(__xludf.DUMMYFUNCTION("""COMPUTED_VALUE"""),2.0)</f>
        <v>2</v>
      </c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</row>
    <row r="1613" ht="15.75" customHeight="1">
      <c r="A1613" s="11">
        <f>IFERROR(__xludf.DUMMYFUNCTION("""COMPUTED_VALUE"""),44471.0)</f>
        <v>44471</v>
      </c>
      <c r="B1613" s="9">
        <f>IFERROR(__xludf.DUMMYFUNCTION("""COMPUTED_VALUE"""),1003501.0)</f>
        <v>1003501</v>
      </c>
      <c r="C1613" s="9">
        <f>IFERROR(__xludf.DUMMYFUNCTION("""COMPUTED_VALUE"""),121461.0)</f>
        <v>121461</v>
      </c>
      <c r="D1613" s="9"/>
      <c r="E1613" s="9"/>
      <c r="F1613" s="9">
        <f>IFERROR(__xludf.DUMMYFUNCTION("""COMPUTED_VALUE"""),2.73)</f>
        <v>2.73</v>
      </c>
      <c r="G1613" s="9">
        <f>IFERROR(__xludf.DUMMYFUNCTION("""COMPUTED_VALUE"""),2.73)</f>
        <v>2.73</v>
      </c>
      <c r="H1613" s="9">
        <f>IFERROR(__xludf.DUMMYFUNCTION("""COMPUTED_VALUE"""),2.0)</f>
        <v>2</v>
      </c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</row>
    <row r="1614" ht="15.75" customHeight="1">
      <c r="A1614" s="11">
        <f>IFERROR(__xludf.DUMMYFUNCTION("""COMPUTED_VALUE"""),44471.0)</f>
        <v>44471</v>
      </c>
      <c r="B1614" s="9">
        <f>IFERROR(__xludf.DUMMYFUNCTION("""COMPUTED_VALUE"""),1003501.0)</f>
        <v>1003501</v>
      </c>
      <c r="C1614" s="9">
        <f>IFERROR(__xludf.DUMMYFUNCTION("""COMPUTED_VALUE"""),68867.0)</f>
        <v>68867</v>
      </c>
      <c r="D1614" s="9"/>
      <c r="E1614" s="9"/>
      <c r="F1614" s="9">
        <f>IFERROR(__xludf.DUMMYFUNCTION("""COMPUTED_VALUE"""),5.22)</f>
        <v>5.22</v>
      </c>
      <c r="G1614" s="9">
        <f>IFERROR(__xludf.DUMMYFUNCTION("""COMPUTED_VALUE"""),5.22)</f>
        <v>5.22</v>
      </c>
      <c r="H1614" s="9">
        <f>IFERROR(__xludf.DUMMYFUNCTION("""COMPUTED_VALUE"""),2.0)</f>
        <v>2</v>
      </c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</row>
    <row r="1615" ht="15.75" customHeight="1">
      <c r="A1615" s="11">
        <f>IFERROR(__xludf.DUMMYFUNCTION("""COMPUTED_VALUE"""),44471.0)</f>
        <v>44471</v>
      </c>
      <c r="B1615" s="9">
        <f>IFERROR(__xludf.DUMMYFUNCTION("""COMPUTED_VALUE"""),1003501.0)</f>
        <v>1003501</v>
      </c>
      <c r="C1615" s="9">
        <f>IFERROR(__xludf.DUMMYFUNCTION("""COMPUTED_VALUE"""),83807.0)</f>
        <v>83807</v>
      </c>
      <c r="D1615" s="9"/>
      <c r="E1615" s="9"/>
      <c r="F1615" s="9">
        <f>IFERROR(__xludf.DUMMYFUNCTION("""COMPUTED_VALUE"""),18.33)</f>
        <v>18.33</v>
      </c>
      <c r="G1615" s="9">
        <f>IFERROR(__xludf.DUMMYFUNCTION("""COMPUTED_VALUE"""),18.33)</f>
        <v>18.33</v>
      </c>
      <c r="H1615" s="9">
        <f>IFERROR(__xludf.DUMMYFUNCTION("""COMPUTED_VALUE"""),4.0)</f>
        <v>4</v>
      </c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</row>
    <row r="1616" ht="15.75" customHeight="1">
      <c r="A1616" s="11">
        <f>IFERROR(__xludf.DUMMYFUNCTION("""COMPUTED_VALUE"""),44471.0)</f>
        <v>44471</v>
      </c>
      <c r="B1616" s="9">
        <f>IFERROR(__xludf.DUMMYFUNCTION("""COMPUTED_VALUE"""),1003501.0)</f>
        <v>1003501</v>
      </c>
      <c r="C1616" s="9">
        <f>IFERROR(__xludf.DUMMYFUNCTION("""COMPUTED_VALUE"""),80802.0)</f>
        <v>80802</v>
      </c>
      <c r="D1616" s="9"/>
      <c r="E1616" s="9"/>
      <c r="F1616" s="9">
        <f>IFERROR(__xludf.DUMMYFUNCTION("""COMPUTED_VALUE"""),6.69)</f>
        <v>6.69</v>
      </c>
      <c r="G1616" s="9">
        <f>IFERROR(__xludf.DUMMYFUNCTION("""COMPUTED_VALUE"""),6.69)</f>
        <v>6.69</v>
      </c>
      <c r="H1616" s="9">
        <f>IFERROR(__xludf.DUMMYFUNCTION("""COMPUTED_VALUE"""),5.0)</f>
        <v>5</v>
      </c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</row>
    <row r="1617" ht="15.75" customHeight="1">
      <c r="A1617" s="11">
        <f>IFERROR(__xludf.DUMMYFUNCTION("""COMPUTED_VALUE"""),44471.0)</f>
        <v>44471</v>
      </c>
      <c r="B1617" s="9">
        <f>IFERROR(__xludf.DUMMYFUNCTION("""COMPUTED_VALUE"""),1003501.0)</f>
        <v>1003501</v>
      </c>
      <c r="C1617" s="9">
        <f>IFERROR(__xludf.DUMMYFUNCTION("""COMPUTED_VALUE"""),46132.0)</f>
        <v>46132</v>
      </c>
      <c r="D1617" s="9"/>
      <c r="E1617" s="9"/>
      <c r="F1617" s="9">
        <f>IFERROR(__xludf.DUMMYFUNCTION("""COMPUTED_VALUE"""),10.73)</f>
        <v>10.73</v>
      </c>
      <c r="G1617" s="9">
        <f>IFERROR(__xludf.DUMMYFUNCTION("""COMPUTED_VALUE"""),10.73)</f>
        <v>10.73</v>
      </c>
      <c r="H1617" s="9">
        <f>IFERROR(__xludf.DUMMYFUNCTION("""COMPUTED_VALUE"""),6.0)</f>
        <v>6</v>
      </c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</row>
    <row r="1618" ht="15.75" customHeight="1">
      <c r="A1618" s="11">
        <f>IFERROR(__xludf.DUMMYFUNCTION("""COMPUTED_VALUE"""),44471.0)</f>
        <v>44471</v>
      </c>
      <c r="B1618" s="9">
        <f>IFERROR(__xludf.DUMMYFUNCTION("""COMPUTED_VALUE"""),1003502.0)</f>
        <v>1003502</v>
      </c>
      <c r="C1618" s="9">
        <f>IFERROR(__xludf.DUMMYFUNCTION("""COMPUTED_VALUE"""),116446.0)</f>
        <v>116446</v>
      </c>
      <c r="D1618" s="9"/>
      <c r="E1618" s="9"/>
      <c r="F1618" s="9">
        <f>IFERROR(__xludf.DUMMYFUNCTION("""COMPUTED_VALUE"""),8.72)</f>
        <v>8.72</v>
      </c>
      <c r="G1618" s="9">
        <f>IFERROR(__xludf.DUMMYFUNCTION("""COMPUTED_VALUE"""),8.72)</f>
        <v>8.72</v>
      </c>
      <c r="H1618" s="9">
        <f>IFERROR(__xludf.DUMMYFUNCTION("""COMPUTED_VALUE"""),3.0)</f>
        <v>3</v>
      </c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</row>
    <row r="1619" ht="15.75" customHeight="1">
      <c r="A1619" s="11">
        <f>IFERROR(__xludf.DUMMYFUNCTION("""COMPUTED_VALUE"""),44471.0)</f>
        <v>44471</v>
      </c>
      <c r="B1619" s="9">
        <f>IFERROR(__xludf.DUMMYFUNCTION("""COMPUTED_VALUE"""),1003503.0)</f>
        <v>1003503</v>
      </c>
      <c r="C1619" s="9">
        <f>IFERROR(__xludf.DUMMYFUNCTION("""COMPUTED_VALUE"""),108638.0)</f>
        <v>108638</v>
      </c>
      <c r="D1619" s="9"/>
      <c r="E1619" s="10" t="str">
        <f>IFERROR(__xludf.DUMMYFUNCTION("""COMPUTED_VALUE"""),"GREENRELAIS")</f>
        <v>GREENRELAIS</v>
      </c>
      <c r="F1619" s="10">
        <f>IFERROR(__xludf.DUMMYFUNCTION("""COMPUTED_VALUE"""),10.41)</f>
        <v>10.41</v>
      </c>
      <c r="G1619" s="9">
        <f>IFERROR(__xludf.DUMMYFUNCTION("""COMPUTED_VALUE"""),10.41)</f>
        <v>10.41</v>
      </c>
      <c r="H1619" s="9">
        <f>IFERROR(__xludf.DUMMYFUNCTION("""COMPUTED_VALUE"""),1.0)</f>
        <v>1</v>
      </c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</row>
    <row r="1620" ht="15.75" customHeight="1">
      <c r="A1620" s="11">
        <f>IFERROR(__xludf.DUMMYFUNCTION("""COMPUTED_VALUE"""),44471.0)</f>
        <v>44471</v>
      </c>
      <c r="B1620" s="9">
        <f>IFERROR(__xludf.DUMMYFUNCTION("""COMPUTED_VALUE"""),1003503.0)</f>
        <v>1003503</v>
      </c>
      <c r="C1620" s="9">
        <f>IFERROR(__xludf.DUMMYFUNCTION("""COMPUTED_VALUE"""),84201.0)</f>
        <v>84201</v>
      </c>
      <c r="D1620" s="9"/>
      <c r="E1620" s="10" t="str">
        <f>IFERROR(__xludf.DUMMYFUNCTION("""COMPUTED_VALUE"""),"GREENRELAIS")</f>
        <v>GREENRELAIS</v>
      </c>
      <c r="F1620" s="10">
        <f>IFERROR(__xludf.DUMMYFUNCTION("""COMPUTED_VALUE"""),6.84)</f>
        <v>6.84</v>
      </c>
      <c r="G1620" s="9">
        <f>IFERROR(__xludf.DUMMYFUNCTION("""COMPUTED_VALUE"""),6.84)</f>
        <v>6.84</v>
      </c>
      <c r="H1620" s="9">
        <f>IFERROR(__xludf.DUMMYFUNCTION("""COMPUTED_VALUE"""),1.0)</f>
        <v>1</v>
      </c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</row>
    <row r="1621" ht="15.75" customHeight="1">
      <c r="A1621" s="11">
        <f>IFERROR(__xludf.DUMMYFUNCTION("""COMPUTED_VALUE"""),44471.0)</f>
        <v>44471</v>
      </c>
      <c r="B1621" s="9">
        <f>IFERROR(__xludf.DUMMYFUNCTION("""COMPUTED_VALUE"""),1003503.0)</f>
        <v>1003503</v>
      </c>
      <c r="C1621" s="9">
        <f>IFERROR(__xludf.DUMMYFUNCTION("""COMPUTED_VALUE"""),76567.0)</f>
        <v>76567</v>
      </c>
      <c r="D1621" s="9"/>
      <c r="E1621" s="10" t="str">
        <f>IFERROR(__xludf.DUMMYFUNCTION("""COMPUTED_VALUE"""),"GREENRELAIS")</f>
        <v>GREENRELAIS</v>
      </c>
      <c r="F1621" s="10">
        <f>IFERROR(__xludf.DUMMYFUNCTION("""COMPUTED_VALUE"""),27.96)</f>
        <v>27.96</v>
      </c>
      <c r="G1621" s="9">
        <f>IFERROR(__xludf.DUMMYFUNCTION("""COMPUTED_VALUE"""),27.96)</f>
        <v>27.96</v>
      </c>
      <c r="H1621" s="9">
        <f>IFERROR(__xludf.DUMMYFUNCTION("""COMPUTED_VALUE"""),1.0)</f>
        <v>1</v>
      </c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</row>
    <row r="1622" ht="15.75" customHeight="1">
      <c r="A1622" s="11">
        <f>IFERROR(__xludf.DUMMYFUNCTION("""COMPUTED_VALUE"""),44471.0)</f>
        <v>44471</v>
      </c>
      <c r="B1622" s="9">
        <f>IFERROR(__xludf.DUMMYFUNCTION("""COMPUTED_VALUE"""),1003503.0)</f>
        <v>1003503</v>
      </c>
      <c r="C1622" s="9">
        <f>IFERROR(__xludf.DUMMYFUNCTION("""COMPUTED_VALUE"""),109579.0)</f>
        <v>109579</v>
      </c>
      <c r="D1622" s="9"/>
      <c r="E1622" s="10" t="str">
        <f>IFERROR(__xludf.DUMMYFUNCTION("""COMPUTED_VALUE"""),"GREENRELAIS")</f>
        <v>GREENRELAIS</v>
      </c>
      <c r="F1622" s="10">
        <f>IFERROR(__xludf.DUMMYFUNCTION("""COMPUTED_VALUE"""),35.76)</f>
        <v>35.76</v>
      </c>
      <c r="G1622" s="9">
        <f>IFERROR(__xludf.DUMMYFUNCTION("""COMPUTED_VALUE"""),35.76)</f>
        <v>35.76</v>
      </c>
      <c r="H1622" s="9">
        <f>IFERROR(__xludf.DUMMYFUNCTION("""COMPUTED_VALUE"""),2.0)</f>
        <v>2</v>
      </c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</row>
    <row r="1623" ht="15.75" customHeight="1">
      <c r="A1623" s="11">
        <f>IFERROR(__xludf.DUMMYFUNCTION("""COMPUTED_VALUE"""),44471.0)</f>
        <v>44471</v>
      </c>
      <c r="B1623" s="9">
        <f>IFERROR(__xludf.DUMMYFUNCTION("""COMPUTED_VALUE"""),1003504.0)</f>
        <v>1003504</v>
      </c>
      <c r="C1623" s="9">
        <f>IFERROR(__xludf.DUMMYFUNCTION("""COMPUTED_VALUE"""),29584.0)</f>
        <v>29584</v>
      </c>
      <c r="D1623" s="9"/>
      <c r="E1623" s="10" t="str">
        <f>IFERROR(__xludf.DUMMYFUNCTION("""COMPUTED_VALUE"""),"GREENRELAIS")</f>
        <v>GREENRELAIS</v>
      </c>
      <c r="F1623" s="10">
        <f>IFERROR(__xludf.DUMMYFUNCTION("""COMPUTED_VALUE"""),6.3)</f>
        <v>6.3</v>
      </c>
      <c r="G1623" s="9">
        <f>IFERROR(__xludf.DUMMYFUNCTION("""COMPUTED_VALUE"""),6.3)</f>
        <v>6.3</v>
      </c>
      <c r="H1623" s="9">
        <f>IFERROR(__xludf.DUMMYFUNCTION("""COMPUTED_VALUE"""),1.0)</f>
        <v>1</v>
      </c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</row>
    <row r="1624" ht="15.75" customHeight="1">
      <c r="A1624" s="11">
        <f>IFERROR(__xludf.DUMMYFUNCTION("""COMPUTED_VALUE"""),44471.0)</f>
        <v>44471</v>
      </c>
      <c r="B1624" s="9">
        <f>IFERROR(__xludf.DUMMYFUNCTION("""COMPUTED_VALUE"""),1003504.0)</f>
        <v>1003504</v>
      </c>
      <c r="C1624" s="9">
        <f>IFERROR(__xludf.DUMMYFUNCTION("""COMPUTED_VALUE"""),49107.0)</f>
        <v>49107</v>
      </c>
      <c r="D1624" s="9"/>
      <c r="E1624" s="10" t="str">
        <f>IFERROR(__xludf.DUMMYFUNCTION("""COMPUTED_VALUE"""),"GREENRELAIS")</f>
        <v>GREENRELAIS</v>
      </c>
      <c r="F1624" s="10">
        <f>IFERROR(__xludf.DUMMYFUNCTION("""COMPUTED_VALUE"""),3.95)</f>
        <v>3.95</v>
      </c>
      <c r="G1624" s="9">
        <f>IFERROR(__xludf.DUMMYFUNCTION("""COMPUTED_VALUE"""),3.95)</f>
        <v>3.95</v>
      </c>
      <c r="H1624" s="9">
        <f>IFERROR(__xludf.DUMMYFUNCTION("""COMPUTED_VALUE"""),1.0)</f>
        <v>1</v>
      </c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</row>
    <row r="1625" ht="15.75" customHeight="1">
      <c r="A1625" s="11">
        <f>IFERROR(__xludf.DUMMYFUNCTION("""COMPUTED_VALUE"""),44471.0)</f>
        <v>44471</v>
      </c>
      <c r="B1625" s="9">
        <f>IFERROR(__xludf.DUMMYFUNCTION("""COMPUTED_VALUE"""),1003504.0)</f>
        <v>1003504</v>
      </c>
      <c r="C1625" s="9">
        <f>IFERROR(__xludf.DUMMYFUNCTION("""COMPUTED_VALUE"""),109899.0)</f>
        <v>109899</v>
      </c>
      <c r="D1625" s="9"/>
      <c r="E1625" s="10" t="str">
        <f>IFERROR(__xludf.DUMMYFUNCTION("""COMPUTED_VALUE"""),"GREENRELAIS")</f>
        <v>GREENRELAIS</v>
      </c>
      <c r="F1625" s="10">
        <f>IFERROR(__xludf.DUMMYFUNCTION("""COMPUTED_VALUE"""),6.19)</f>
        <v>6.19</v>
      </c>
      <c r="G1625" s="9">
        <f>IFERROR(__xludf.DUMMYFUNCTION("""COMPUTED_VALUE"""),6.19)</f>
        <v>6.19</v>
      </c>
      <c r="H1625" s="9">
        <f>IFERROR(__xludf.DUMMYFUNCTION("""COMPUTED_VALUE"""),1.0)</f>
        <v>1</v>
      </c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</row>
    <row r="1626" ht="15.75" customHeight="1">
      <c r="A1626" s="11">
        <f>IFERROR(__xludf.DUMMYFUNCTION("""COMPUTED_VALUE"""),44471.0)</f>
        <v>44471</v>
      </c>
      <c r="B1626" s="9">
        <f>IFERROR(__xludf.DUMMYFUNCTION("""COMPUTED_VALUE"""),1003504.0)</f>
        <v>1003504</v>
      </c>
      <c r="C1626" s="9">
        <f>IFERROR(__xludf.DUMMYFUNCTION("""COMPUTED_VALUE"""),121876.0)</f>
        <v>121876</v>
      </c>
      <c r="D1626" s="10" t="str">
        <f>IFERROR(__xludf.DUMMYFUNCTION("""COMPUTED_VALUE"""),"Offre speciale Herbatint")</f>
        <v>Offre speciale Herbatint</v>
      </c>
      <c r="E1626" s="10" t="str">
        <f>IFERROR(__xludf.DUMMYFUNCTION("""COMPUTED_VALUE"""),"GREENRELAIS")</f>
        <v>GREENRELAIS</v>
      </c>
      <c r="F1626" s="10">
        <f>IFERROR(__xludf.DUMMYFUNCTION("""COMPUTED_VALUE"""),40.0124999999999)</f>
        <v>40.0125</v>
      </c>
      <c r="G1626" s="9">
        <f>IFERROR(__xludf.DUMMYFUNCTION("""COMPUTED_VALUE"""),32.01)</f>
        <v>32.01</v>
      </c>
      <c r="H1626" s="9">
        <f>IFERROR(__xludf.DUMMYFUNCTION("""COMPUTED_VALUE"""),5.0)</f>
        <v>5</v>
      </c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</row>
    <row r="1627" ht="15.75" customHeight="1">
      <c r="A1627" s="11">
        <f>IFERROR(__xludf.DUMMYFUNCTION("""COMPUTED_VALUE"""),44471.0)</f>
        <v>44471</v>
      </c>
      <c r="B1627" s="9">
        <f>IFERROR(__xludf.DUMMYFUNCTION("""COMPUTED_VALUE"""),1003505.0)</f>
        <v>1003505</v>
      </c>
      <c r="C1627" s="9">
        <f>IFERROR(__xludf.DUMMYFUNCTION("""COMPUTED_VALUE"""),118243.0)</f>
        <v>118243</v>
      </c>
      <c r="D1627" s="10" t="str">
        <f>IFERROR(__xludf.DUMMYFUNCTION("""COMPUTED_VALUE"""),"Natur'vox Carryboo couches Sept 21")</f>
        <v>Natur'vox Carryboo couches Sept 21</v>
      </c>
      <c r="E1627" s="10"/>
      <c r="F1627" s="9">
        <f>IFERROR(__xludf.DUMMYFUNCTION("""COMPUTED_VALUE"""),65.4933333333333)</f>
        <v>65.49333333</v>
      </c>
      <c r="G1627" s="9">
        <f>IFERROR(__xludf.DUMMYFUNCTION("""COMPUTED_VALUE"""),49.12)</f>
        <v>49.12</v>
      </c>
      <c r="H1627" s="9">
        <f>IFERROR(__xludf.DUMMYFUNCTION("""COMPUTED_VALUE"""),4.0)</f>
        <v>4</v>
      </c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</row>
    <row r="1628" ht="15.75" customHeight="1">
      <c r="A1628" s="11">
        <f>IFERROR(__xludf.DUMMYFUNCTION("""COMPUTED_VALUE"""),44471.0)</f>
        <v>44471</v>
      </c>
      <c r="B1628" s="9">
        <f>IFERROR(__xludf.DUMMYFUNCTION("""COMPUTED_VALUE"""),1003506.0)</f>
        <v>1003506</v>
      </c>
      <c r="C1628" s="9">
        <f>IFERROR(__xludf.DUMMYFUNCTION("""COMPUTED_VALUE"""),120309.0)</f>
        <v>120309</v>
      </c>
      <c r="D1628" s="9"/>
      <c r="E1628" s="9"/>
      <c r="F1628" s="9">
        <f>IFERROR(__xludf.DUMMYFUNCTION("""COMPUTED_VALUE"""),9.75)</f>
        <v>9.75</v>
      </c>
      <c r="G1628" s="9">
        <f>IFERROR(__xludf.DUMMYFUNCTION("""COMPUTED_VALUE"""),9.75)</f>
        <v>9.75</v>
      </c>
      <c r="H1628" s="9">
        <f>IFERROR(__xludf.DUMMYFUNCTION("""COMPUTED_VALUE"""),1.0)</f>
        <v>1</v>
      </c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</row>
    <row r="1629" ht="15.75" customHeight="1">
      <c r="A1629" s="11">
        <f>IFERROR(__xludf.DUMMYFUNCTION("""COMPUTED_VALUE"""),44471.0)</f>
        <v>44471</v>
      </c>
      <c r="B1629" s="9">
        <f>IFERROR(__xludf.DUMMYFUNCTION("""COMPUTED_VALUE"""),1003506.0)</f>
        <v>1003506</v>
      </c>
      <c r="C1629" s="9">
        <f>IFERROR(__xludf.DUMMYFUNCTION("""COMPUTED_VALUE"""),79323.0)</f>
        <v>79323</v>
      </c>
      <c r="D1629" s="9"/>
      <c r="E1629" s="9"/>
      <c r="F1629" s="9">
        <f>IFERROR(__xludf.DUMMYFUNCTION("""COMPUTED_VALUE"""),6.63)</f>
        <v>6.63</v>
      </c>
      <c r="G1629" s="9">
        <f>IFERROR(__xludf.DUMMYFUNCTION("""COMPUTED_VALUE"""),6.63)</f>
        <v>6.63</v>
      </c>
      <c r="H1629" s="9">
        <f>IFERROR(__xludf.DUMMYFUNCTION("""COMPUTED_VALUE"""),1.0)</f>
        <v>1</v>
      </c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</row>
    <row r="1630" ht="15.75" customHeight="1">
      <c r="A1630" s="11">
        <f>IFERROR(__xludf.DUMMYFUNCTION("""COMPUTED_VALUE"""),44471.0)</f>
        <v>44471</v>
      </c>
      <c r="B1630" s="9">
        <f>IFERROR(__xludf.DUMMYFUNCTION("""COMPUTED_VALUE"""),1003506.0)</f>
        <v>1003506</v>
      </c>
      <c r="C1630" s="9">
        <f>IFERROR(__xludf.DUMMYFUNCTION("""COMPUTED_VALUE"""),11408.0)</f>
        <v>11408</v>
      </c>
      <c r="D1630" s="9"/>
      <c r="E1630" s="9"/>
      <c r="F1630" s="9">
        <f>IFERROR(__xludf.DUMMYFUNCTION("""COMPUTED_VALUE"""),7.63)</f>
        <v>7.63</v>
      </c>
      <c r="G1630" s="9">
        <f>IFERROR(__xludf.DUMMYFUNCTION("""COMPUTED_VALUE"""),7.63)</f>
        <v>7.63</v>
      </c>
      <c r="H1630" s="9">
        <f>IFERROR(__xludf.DUMMYFUNCTION("""COMPUTED_VALUE"""),1.0)</f>
        <v>1</v>
      </c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</row>
    <row r="1631" ht="15.75" customHeight="1">
      <c r="A1631" s="11">
        <f>IFERROR(__xludf.DUMMYFUNCTION("""COMPUTED_VALUE"""),44471.0)</f>
        <v>44471</v>
      </c>
      <c r="B1631" s="9">
        <f>IFERROR(__xludf.DUMMYFUNCTION("""COMPUTED_VALUE"""),1003506.0)</f>
        <v>1003506</v>
      </c>
      <c r="C1631" s="9">
        <f>IFERROR(__xludf.DUMMYFUNCTION("""COMPUTED_VALUE"""),111957.0)</f>
        <v>111957</v>
      </c>
      <c r="D1631" s="9"/>
      <c r="E1631" s="9"/>
      <c r="F1631" s="9">
        <f>IFERROR(__xludf.DUMMYFUNCTION("""COMPUTED_VALUE"""),15.13)</f>
        <v>15.13</v>
      </c>
      <c r="G1631" s="9">
        <f>IFERROR(__xludf.DUMMYFUNCTION("""COMPUTED_VALUE"""),15.13)</f>
        <v>15.13</v>
      </c>
      <c r="H1631" s="9">
        <f>IFERROR(__xludf.DUMMYFUNCTION("""COMPUTED_VALUE"""),1.0)</f>
        <v>1</v>
      </c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</row>
    <row r="1632" ht="15.75" customHeight="1">
      <c r="A1632" s="11">
        <f>IFERROR(__xludf.DUMMYFUNCTION("""COMPUTED_VALUE"""),44471.0)</f>
        <v>44471</v>
      </c>
      <c r="B1632" s="9">
        <f>IFERROR(__xludf.DUMMYFUNCTION("""COMPUTED_VALUE"""),1003507.0)</f>
        <v>1003507</v>
      </c>
      <c r="C1632" s="9">
        <f>IFERROR(__xludf.DUMMYFUNCTION("""COMPUTED_VALUE"""),7358.0)</f>
        <v>7358</v>
      </c>
      <c r="D1632" s="9"/>
      <c r="E1632" s="9"/>
      <c r="F1632" s="9">
        <f>IFERROR(__xludf.DUMMYFUNCTION("""COMPUTED_VALUE"""),4.25)</f>
        <v>4.25</v>
      </c>
      <c r="G1632" s="9">
        <f>IFERROR(__xludf.DUMMYFUNCTION("""COMPUTED_VALUE"""),4.25)</f>
        <v>4.25</v>
      </c>
      <c r="H1632" s="9">
        <f>IFERROR(__xludf.DUMMYFUNCTION("""COMPUTED_VALUE"""),1.0)</f>
        <v>1</v>
      </c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</row>
    <row r="1633" ht="15.75" customHeight="1">
      <c r="A1633" s="11">
        <f>IFERROR(__xludf.DUMMYFUNCTION("""COMPUTED_VALUE"""),44471.0)</f>
        <v>44471</v>
      </c>
      <c r="B1633" s="9">
        <f>IFERROR(__xludf.DUMMYFUNCTION("""COMPUTED_VALUE"""),1003508.0)</f>
        <v>1003508</v>
      </c>
      <c r="C1633" s="9">
        <f>IFERROR(__xludf.DUMMYFUNCTION("""COMPUTED_VALUE"""),88636.0)</f>
        <v>88636</v>
      </c>
      <c r="D1633" s="10" t="str">
        <f>IFERROR(__xludf.DUMMYFUNCTION("""COMPUTED_VALUE"""),"Vive le bio")</f>
        <v>Vive le bio</v>
      </c>
      <c r="E1633" s="10"/>
      <c r="F1633" s="9">
        <f>IFERROR(__xludf.DUMMYFUNCTION("""COMPUTED_VALUE"""),6.03333333333333)</f>
        <v>6.033333333</v>
      </c>
      <c r="G1633" s="9">
        <f>IFERROR(__xludf.DUMMYFUNCTION("""COMPUTED_VALUE"""),5.43)</f>
        <v>5.43</v>
      </c>
      <c r="H1633" s="9">
        <f>IFERROR(__xludf.DUMMYFUNCTION("""COMPUTED_VALUE"""),1.0)</f>
        <v>1</v>
      </c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</row>
    <row r="1634" ht="15.75" customHeight="1">
      <c r="A1634" s="11">
        <f>IFERROR(__xludf.DUMMYFUNCTION("""COMPUTED_VALUE"""),44471.0)</f>
        <v>44471</v>
      </c>
      <c r="B1634" s="9">
        <f>IFERROR(__xludf.DUMMYFUNCTION("""COMPUTED_VALUE"""),1003508.0)</f>
        <v>1003508</v>
      </c>
      <c r="C1634" s="9">
        <f>IFERROR(__xludf.DUMMYFUNCTION("""COMPUTED_VALUE"""),149505.0)</f>
        <v>149505</v>
      </c>
      <c r="D1634" s="9"/>
      <c r="E1634" s="9"/>
      <c r="F1634" s="9">
        <f>IFERROR(__xludf.DUMMYFUNCTION("""COMPUTED_VALUE"""),5.99)</f>
        <v>5.99</v>
      </c>
      <c r="G1634" s="9">
        <f>IFERROR(__xludf.DUMMYFUNCTION("""COMPUTED_VALUE"""),5.99)</f>
        <v>5.99</v>
      </c>
      <c r="H1634" s="9">
        <f>IFERROR(__xludf.DUMMYFUNCTION("""COMPUTED_VALUE"""),1.0)</f>
        <v>1</v>
      </c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</row>
    <row r="1635" ht="15.75" customHeight="1">
      <c r="A1635" s="11">
        <f>IFERROR(__xludf.DUMMYFUNCTION("""COMPUTED_VALUE"""),44471.0)</f>
        <v>44471</v>
      </c>
      <c r="B1635" s="9">
        <f>IFERROR(__xludf.DUMMYFUNCTION("""COMPUTED_VALUE"""),1003508.0)</f>
        <v>1003508</v>
      </c>
      <c r="C1635" s="9">
        <f>IFERROR(__xludf.DUMMYFUNCTION("""COMPUTED_VALUE"""),110704.0)</f>
        <v>110704</v>
      </c>
      <c r="D1635" s="9"/>
      <c r="E1635" s="9"/>
      <c r="F1635" s="9">
        <f>IFERROR(__xludf.DUMMYFUNCTION("""COMPUTED_VALUE"""),14.06)</f>
        <v>14.06</v>
      </c>
      <c r="G1635" s="9">
        <f>IFERROR(__xludf.DUMMYFUNCTION("""COMPUTED_VALUE"""),14.06)</f>
        <v>14.06</v>
      </c>
      <c r="H1635" s="9">
        <f>IFERROR(__xludf.DUMMYFUNCTION("""COMPUTED_VALUE"""),3.0)</f>
        <v>3</v>
      </c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</row>
    <row r="1636" ht="15.75" customHeight="1">
      <c r="A1636" s="11">
        <f>IFERROR(__xludf.DUMMYFUNCTION("""COMPUTED_VALUE"""),44471.0)</f>
        <v>44471</v>
      </c>
      <c r="B1636" s="9">
        <f>IFERROR(__xludf.DUMMYFUNCTION("""COMPUTED_VALUE"""),1003508.0)</f>
        <v>1003508</v>
      </c>
      <c r="C1636" s="9">
        <f>IFERROR(__xludf.DUMMYFUNCTION("""COMPUTED_VALUE"""),83567.0)</f>
        <v>83567</v>
      </c>
      <c r="D1636" s="9"/>
      <c r="E1636" s="9"/>
      <c r="F1636" s="9">
        <f>IFERROR(__xludf.DUMMYFUNCTION("""COMPUTED_VALUE"""),25.11)</f>
        <v>25.11</v>
      </c>
      <c r="G1636" s="9">
        <f>IFERROR(__xludf.DUMMYFUNCTION("""COMPUTED_VALUE"""),25.11)</f>
        <v>25.11</v>
      </c>
      <c r="H1636" s="9">
        <f>IFERROR(__xludf.DUMMYFUNCTION("""COMPUTED_VALUE"""),6.0)</f>
        <v>6</v>
      </c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</row>
    <row r="1637" ht="15.75" customHeight="1">
      <c r="A1637" s="11">
        <f>IFERROR(__xludf.DUMMYFUNCTION("""COMPUTED_VALUE"""),44471.0)</f>
        <v>44471</v>
      </c>
      <c r="B1637" s="9">
        <f>IFERROR(__xludf.DUMMYFUNCTION("""COMPUTED_VALUE"""),1003508.0)</f>
        <v>1003508</v>
      </c>
      <c r="C1637" s="9">
        <f>IFERROR(__xludf.DUMMYFUNCTION("""COMPUTED_VALUE"""),106806.0)</f>
        <v>106806</v>
      </c>
      <c r="D1637" s="9"/>
      <c r="E1637" s="9"/>
      <c r="F1637" s="9">
        <f>IFERROR(__xludf.DUMMYFUNCTION("""COMPUTED_VALUE"""),40.35)</f>
        <v>40.35</v>
      </c>
      <c r="G1637" s="9">
        <f>IFERROR(__xludf.DUMMYFUNCTION("""COMPUTED_VALUE"""),40.35)</f>
        <v>40.35</v>
      </c>
      <c r="H1637" s="9">
        <f>IFERROR(__xludf.DUMMYFUNCTION("""COMPUTED_VALUE"""),6.0)</f>
        <v>6</v>
      </c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</row>
    <row r="1638" ht="15.75" customHeight="1">
      <c r="A1638" s="11">
        <f>IFERROR(__xludf.DUMMYFUNCTION("""COMPUTED_VALUE"""),44471.0)</f>
        <v>44471</v>
      </c>
      <c r="B1638" s="9">
        <f>IFERROR(__xludf.DUMMYFUNCTION("""COMPUTED_VALUE"""),1003510.0)</f>
        <v>1003510</v>
      </c>
      <c r="C1638" s="9">
        <f>IFERROR(__xludf.DUMMYFUNCTION("""COMPUTED_VALUE"""),101297.0)</f>
        <v>101297</v>
      </c>
      <c r="D1638" s="10" t="str">
        <f>IFERROR(__xludf.DUMMYFUNCTION("""COMPUTED_VALUE"""),"Natur'vox Carryboo couches Sept 21")</f>
        <v>Natur'vox Carryboo couches Sept 21</v>
      </c>
      <c r="E1638" s="10" t="str">
        <f>IFERROR(__xludf.DUMMYFUNCTION("""COMPUTED_VALUE"""),"GREENRELAIS")</f>
        <v>GREENRELAIS</v>
      </c>
      <c r="F1638" s="10">
        <f>IFERROR(__xludf.DUMMYFUNCTION("""COMPUTED_VALUE"""),16.5333333333333)</f>
        <v>16.53333333</v>
      </c>
      <c r="G1638" s="9">
        <f>IFERROR(__xludf.DUMMYFUNCTION("""COMPUTED_VALUE"""),12.4)</f>
        <v>12.4</v>
      </c>
      <c r="H1638" s="9">
        <f>IFERROR(__xludf.DUMMYFUNCTION("""COMPUTED_VALUE"""),1.0)</f>
        <v>1</v>
      </c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</row>
    <row r="1639" ht="15.75" customHeight="1">
      <c r="A1639" s="11">
        <f>IFERROR(__xludf.DUMMYFUNCTION("""COMPUTED_VALUE"""),44471.0)</f>
        <v>44471</v>
      </c>
      <c r="B1639" s="9">
        <f>IFERROR(__xludf.DUMMYFUNCTION("""COMPUTED_VALUE"""),1003510.0)</f>
        <v>1003510</v>
      </c>
      <c r="C1639" s="9">
        <f>IFERROR(__xludf.DUMMYFUNCTION("""COMPUTED_VALUE"""),43943.0)</f>
        <v>43943</v>
      </c>
      <c r="D1639" s="9"/>
      <c r="E1639" s="10" t="str">
        <f>IFERROR(__xludf.DUMMYFUNCTION("""COMPUTED_VALUE"""),"GREENRELAIS")</f>
        <v>GREENRELAIS</v>
      </c>
      <c r="F1639" s="10">
        <f>IFERROR(__xludf.DUMMYFUNCTION("""COMPUTED_VALUE"""),49.12)</f>
        <v>49.12</v>
      </c>
      <c r="G1639" s="9">
        <f>IFERROR(__xludf.DUMMYFUNCTION("""COMPUTED_VALUE"""),49.12)</f>
        <v>49.12</v>
      </c>
      <c r="H1639" s="9">
        <f>IFERROR(__xludf.DUMMYFUNCTION("""COMPUTED_VALUE"""),3.0)</f>
        <v>3</v>
      </c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</row>
    <row r="1640" ht="15.75" customHeight="1">
      <c r="A1640" s="11">
        <f>IFERROR(__xludf.DUMMYFUNCTION("""COMPUTED_VALUE"""),44471.0)</f>
        <v>44471</v>
      </c>
      <c r="B1640" s="9">
        <f>IFERROR(__xludf.DUMMYFUNCTION("""COMPUTED_VALUE"""),1003511.0)</f>
        <v>1003511</v>
      </c>
      <c r="C1640" s="9">
        <f>IFERROR(__xludf.DUMMYFUNCTION("""COMPUTED_VALUE"""),108904.0)</f>
        <v>108904</v>
      </c>
      <c r="D1640" s="10" t="str">
        <f>IFERROR(__xludf.DUMMYFUNCTION("""COMPUTED_VALUE"""),"Vive le bio")</f>
        <v>Vive le bio</v>
      </c>
      <c r="E1640" s="10"/>
      <c r="F1640" s="9">
        <f>IFERROR(__xludf.DUMMYFUNCTION("""COMPUTED_VALUE"""),23.8)</f>
        <v>23.8</v>
      </c>
      <c r="G1640" s="9">
        <f>IFERROR(__xludf.DUMMYFUNCTION("""COMPUTED_VALUE"""),21.42)</f>
        <v>21.42</v>
      </c>
      <c r="H1640" s="9">
        <f>IFERROR(__xludf.DUMMYFUNCTION("""COMPUTED_VALUE"""),2.0)</f>
        <v>2</v>
      </c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</row>
    <row r="1641" ht="15.75" customHeight="1">
      <c r="A1641" s="11">
        <f>IFERROR(__xludf.DUMMYFUNCTION("""COMPUTED_VALUE"""),44471.0)</f>
        <v>44471</v>
      </c>
      <c r="B1641" s="9">
        <f>IFERROR(__xludf.DUMMYFUNCTION("""COMPUTED_VALUE"""),1003512.0)</f>
        <v>1003512</v>
      </c>
      <c r="C1641" s="9">
        <f>IFERROR(__xludf.DUMMYFUNCTION("""COMPUTED_VALUE"""),98939.0)</f>
        <v>98939</v>
      </c>
      <c r="D1641" s="10" t="str">
        <f>IFERROR(__xludf.DUMMYFUNCTION("""COMPUTED_VALUE"""),"Offre Speciale")</f>
        <v>Offre Speciale</v>
      </c>
      <c r="E1641" s="10"/>
      <c r="F1641" s="9">
        <f>IFERROR(__xludf.DUMMYFUNCTION("""COMPUTED_VALUE"""),19.325)</f>
        <v>19.325</v>
      </c>
      <c r="G1641" s="9">
        <f>IFERROR(__xludf.DUMMYFUNCTION("""COMPUTED_VALUE"""),15.46)</f>
        <v>15.46</v>
      </c>
      <c r="H1641" s="9">
        <f>IFERROR(__xludf.DUMMYFUNCTION("""COMPUTED_VALUE"""),1.0)</f>
        <v>1</v>
      </c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</row>
    <row r="1642" ht="15.75" customHeight="1">
      <c r="A1642" s="11">
        <f>IFERROR(__xludf.DUMMYFUNCTION("""COMPUTED_VALUE"""),44471.0)</f>
        <v>44471</v>
      </c>
      <c r="B1642" s="9">
        <f>IFERROR(__xludf.DUMMYFUNCTION("""COMPUTED_VALUE"""),1003512.0)</f>
        <v>1003512</v>
      </c>
      <c r="C1642" s="9">
        <f>IFERROR(__xludf.DUMMYFUNCTION("""COMPUTED_VALUE"""),102750.0)</f>
        <v>102750</v>
      </c>
      <c r="D1642" s="9"/>
      <c r="E1642" s="9"/>
      <c r="F1642" s="9">
        <f>IFERROR(__xludf.DUMMYFUNCTION("""COMPUTED_VALUE"""),11.8)</f>
        <v>11.8</v>
      </c>
      <c r="G1642" s="9">
        <f>IFERROR(__xludf.DUMMYFUNCTION("""COMPUTED_VALUE"""),11.8)</f>
        <v>11.8</v>
      </c>
      <c r="H1642" s="9">
        <f>IFERROR(__xludf.DUMMYFUNCTION("""COMPUTED_VALUE"""),1.0)</f>
        <v>1</v>
      </c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</row>
    <row r="1643" ht="15.75" customHeight="1">
      <c r="A1643" s="11">
        <f>IFERROR(__xludf.DUMMYFUNCTION("""COMPUTED_VALUE"""),44471.0)</f>
        <v>44471</v>
      </c>
      <c r="B1643" s="9">
        <f>IFERROR(__xludf.DUMMYFUNCTION("""COMPUTED_VALUE"""),1003512.0)</f>
        <v>1003512</v>
      </c>
      <c r="C1643" s="9">
        <f>IFERROR(__xludf.DUMMYFUNCTION("""COMPUTED_VALUE"""),109184.0)</f>
        <v>109184</v>
      </c>
      <c r="D1643" s="9"/>
      <c r="E1643" s="9"/>
      <c r="F1643" s="9">
        <f>IFERROR(__xludf.DUMMYFUNCTION("""COMPUTED_VALUE"""),15.75)</f>
        <v>15.75</v>
      </c>
      <c r="G1643" s="9">
        <f>IFERROR(__xludf.DUMMYFUNCTION("""COMPUTED_VALUE"""),15.75)</f>
        <v>15.75</v>
      </c>
      <c r="H1643" s="9">
        <f>IFERROR(__xludf.DUMMYFUNCTION("""COMPUTED_VALUE"""),2.0)</f>
        <v>2</v>
      </c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</row>
    <row r="1644" ht="15.75" customHeight="1">
      <c r="A1644" s="11">
        <f>IFERROR(__xludf.DUMMYFUNCTION("""COMPUTED_VALUE"""),44471.0)</f>
        <v>44471</v>
      </c>
      <c r="B1644" s="9">
        <f>IFERROR(__xludf.DUMMYFUNCTION("""COMPUTED_VALUE"""),1003512.0)</f>
        <v>1003512</v>
      </c>
      <c r="C1644" s="9">
        <f>IFERROR(__xludf.DUMMYFUNCTION("""COMPUTED_VALUE"""),82115.0)</f>
        <v>82115</v>
      </c>
      <c r="D1644" s="10" t="str">
        <f>IFERROR(__xludf.DUMMYFUNCTION("""COMPUTED_VALUE"""),"Vive le bio")</f>
        <v>Vive le bio</v>
      </c>
      <c r="E1644" s="10"/>
      <c r="F1644" s="9">
        <f>IFERROR(__xludf.DUMMYFUNCTION("""COMPUTED_VALUE"""),44.8444444444444)</f>
        <v>44.84444444</v>
      </c>
      <c r="G1644" s="9">
        <f>IFERROR(__xludf.DUMMYFUNCTION("""COMPUTED_VALUE"""),40.36)</f>
        <v>40.36</v>
      </c>
      <c r="H1644" s="9">
        <f>IFERROR(__xludf.DUMMYFUNCTION("""COMPUTED_VALUE"""),2.0)</f>
        <v>2</v>
      </c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</row>
    <row r="1645" ht="15.75" customHeight="1">
      <c r="A1645" s="11">
        <f>IFERROR(__xludf.DUMMYFUNCTION("""COMPUTED_VALUE"""),44471.0)</f>
        <v>44471</v>
      </c>
      <c r="B1645" s="9">
        <f>IFERROR(__xludf.DUMMYFUNCTION("""COMPUTED_VALUE"""),1003513.0)</f>
        <v>1003513</v>
      </c>
      <c r="C1645" s="9">
        <f>IFERROR(__xludf.DUMMYFUNCTION("""COMPUTED_VALUE"""),117601.0)</f>
        <v>117601</v>
      </c>
      <c r="D1645" s="10" t="str">
        <f>IFERROR(__xludf.DUMMYFUNCTION("""COMPUTED_VALUE"""),"Vive le bio")</f>
        <v>Vive le bio</v>
      </c>
      <c r="E1645" s="10"/>
      <c r="F1645" s="9">
        <f>IFERROR(__xludf.DUMMYFUNCTION("""COMPUTED_VALUE"""),1.44210526315789)</f>
        <v>1.442105263</v>
      </c>
      <c r="G1645" s="9">
        <f>IFERROR(__xludf.DUMMYFUNCTION("""COMPUTED_VALUE"""),1.37)</f>
        <v>1.37</v>
      </c>
      <c r="H1645" s="9">
        <f>IFERROR(__xludf.DUMMYFUNCTION("""COMPUTED_VALUE"""),1.0)</f>
        <v>1</v>
      </c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</row>
    <row r="1646" ht="15.75" customHeight="1">
      <c r="A1646" s="11">
        <f>IFERROR(__xludf.DUMMYFUNCTION("""COMPUTED_VALUE"""),44471.0)</f>
        <v>44471</v>
      </c>
      <c r="B1646" s="9">
        <f>IFERROR(__xludf.DUMMYFUNCTION("""COMPUTED_VALUE"""),1003513.0)</f>
        <v>1003513</v>
      </c>
      <c r="C1646" s="9">
        <f>IFERROR(__xludf.DUMMYFUNCTION("""COMPUTED_VALUE"""),4381.0)</f>
        <v>4381</v>
      </c>
      <c r="D1646" s="10" t="str">
        <f>IFERROR(__xludf.DUMMYFUNCTION("""COMPUTED_VALUE"""),"Vive le bio")</f>
        <v>Vive le bio</v>
      </c>
      <c r="E1646" s="10"/>
      <c r="F1646" s="9">
        <f>IFERROR(__xludf.DUMMYFUNCTION("""COMPUTED_VALUE"""),2.9)</f>
        <v>2.9</v>
      </c>
      <c r="G1646" s="9">
        <f>IFERROR(__xludf.DUMMYFUNCTION("""COMPUTED_VALUE"""),2.61)</f>
        <v>2.61</v>
      </c>
      <c r="H1646" s="9">
        <f>IFERROR(__xludf.DUMMYFUNCTION("""COMPUTED_VALUE"""),1.0)</f>
        <v>1</v>
      </c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</row>
    <row r="1647" ht="15.75" customHeight="1">
      <c r="A1647" s="11">
        <f>IFERROR(__xludf.DUMMYFUNCTION("""COMPUTED_VALUE"""),44471.0)</f>
        <v>44471</v>
      </c>
      <c r="B1647" s="9">
        <f>IFERROR(__xludf.DUMMYFUNCTION("""COMPUTED_VALUE"""),1003513.0)</f>
        <v>1003513</v>
      </c>
      <c r="C1647" s="9">
        <f>IFERROR(__xludf.DUMMYFUNCTION("""COMPUTED_VALUE"""),4380.0)</f>
        <v>4380</v>
      </c>
      <c r="D1647" s="9"/>
      <c r="E1647" s="9"/>
      <c r="F1647" s="9">
        <f>IFERROR(__xludf.DUMMYFUNCTION("""COMPUTED_VALUE"""),2.9)</f>
        <v>2.9</v>
      </c>
      <c r="G1647" s="9">
        <f>IFERROR(__xludf.DUMMYFUNCTION("""COMPUTED_VALUE"""),2.9)</f>
        <v>2.9</v>
      </c>
      <c r="H1647" s="9">
        <f>IFERROR(__xludf.DUMMYFUNCTION("""COMPUTED_VALUE"""),1.0)</f>
        <v>1</v>
      </c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</row>
    <row r="1648" ht="15.75" customHeight="1">
      <c r="A1648" s="11">
        <f>IFERROR(__xludf.DUMMYFUNCTION("""COMPUTED_VALUE"""),44471.0)</f>
        <v>44471</v>
      </c>
      <c r="B1648" s="9">
        <f>IFERROR(__xludf.DUMMYFUNCTION("""COMPUTED_VALUE"""),1003513.0)</f>
        <v>1003513</v>
      </c>
      <c r="C1648" s="9">
        <f>IFERROR(__xludf.DUMMYFUNCTION("""COMPUTED_VALUE"""),4383.0)</f>
        <v>4383</v>
      </c>
      <c r="D1648" s="9"/>
      <c r="E1648" s="9"/>
      <c r="F1648" s="9">
        <f>IFERROR(__xludf.DUMMYFUNCTION("""COMPUTED_VALUE"""),2.17)</f>
        <v>2.17</v>
      </c>
      <c r="G1648" s="9">
        <f>IFERROR(__xludf.DUMMYFUNCTION("""COMPUTED_VALUE"""),2.17)</f>
        <v>2.17</v>
      </c>
      <c r="H1648" s="9">
        <f>IFERROR(__xludf.DUMMYFUNCTION("""COMPUTED_VALUE"""),1.0)</f>
        <v>1</v>
      </c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</row>
    <row r="1649" ht="15.75" customHeight="1">
      <c r="A1649" s="11">
        <f>IFERROR(__xludf.DUMMYFUNCTION("""COMPUTED_VALUE"""),44471.0)</f>
        <v>44471</v>
      </c>
      <c r="B1649" s="9">
        <f>IFERROR(__xludf.DUMMYFUNCTION("""COMPUTED_VALUE"""),1003513.0)</f>
        <v>1003513</v>
      </c>
      <c r="C1649" s="9">
        <f>IFERROR(__xludf.DUMMYFUNCTION("""COMPUTED_VALUE"""),4379.0)</f>
        <v>4379</v>
      </c>
      <c r="D1649" s="9"/>
      <c r="E1649" s="9"/>
      <c r="F1649" s="9">
        <f>IFERROR(__xludf.DUMMYFUNCTION("""COMPUTED_VALUE"""),2.17)</f>
        <v>2.17</v>
      </c>
      <c r="G1649" s="9">
        <f>IFERROR(__xludf.DUMMYFUNCTION("""COMPUTED_VALUE"""),2.17)</f>
        <v>2.17</v>
      </c>
      <c r="H1649" s="9">
        <f>IFERROR(__xludf.DUMMYFUNCTION("""COMPUTED_VALUE"""),1.0)</f>
        <v>1</v>
      </c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</row>
    <row r="1650" ht="15.75" customHeight="1">
      <c r="A1650" s="11">
        <f>IFERROR(__xludf.DUMMYFUNCTION("""COMPUTED_VALUE"""),44471.0)</f>
        <v>44471</v>
      </c>
      <c r="B1650" s="9">
        <f>IFERROR(__xludf.DUMMYFUNCTION("""COMPUTED_VALUE"""),1003513.0)</f>
        <v>1003513</v>
      </c>
      <c r="C1650" s="9">
        <f>IFERROR(__xludf.DUMMYFUNCTION("""COMPUTED_VALUE"""),68513.0)</f>
        <v>68513</v>
      </c>
      <c r="D1650" s="9"/>
      <c r="E1650" s="9"/>
      <c r="F1650" s="9">
        <f>IFERROR(__xludf.DUMMYFUNCTION("""COMPUTED_VALUE"""),2.46)</f>
        <v>2.46</v>
      </c>
      <c r="G1650" s="9">
        <f>IFERROR(__xludf.DUMMYFUNCTION("""COMPUTED_VALUE"""),2.46)</f>
        <v>2.46</v>
      </c>
      <c r="H1650" s="9">
        <f>IFERROR(__xludf.DUMMYFUNCTION("""COMPUTED_VALUE"""),1.0)</f>
        <v>1</v>
      </c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</row>
    <row r="1651" ht="15.75" customHeight="1">
      <c r="A1651" s="11">
        <f>IFERROR(__xludf.DUMMYFUNCTION("""COMPUTED_VALUE"""),44471.0)</f>
        <v>44471</v>
      </c>
      <c r="B1651" s="9">
        <f>IFERROR(__xludf.DUMMYFUNCTION("""COMPUTED_VALUE"""),1003513.0)</f>
        <v>1003513</v>
      </c>
      <c r="C1651" s="9">
        <f>IFERROR(__xludf.DUMMYFUNCTION("""COMPUTED_VALUE"""),4389.0)</f>
        <v>4389</v>
      </c>
      <c r="D1651" s="10" t="str">
        <f>IFERROR(__xludf.DUMMYFUNCTION("""COMPUTED_VALUE"""),"Hipp 2021")</f>
        <v>Hipp 2021</v>
      </c>
      <c r="E1651" s="10"/>
      <c r="F1651" s="9">
        <f>IFERROR(__xludf.DUMMYFUNCTION("""COMPUTED_VALUE"""),2.84705882352941)</f>
        <v>2.847058824</v>
      </c>
      <c r="G1651" s="9">
        <f>IFERROR(__xludf.DUMMYFUNCTION("""COMPUTED_VALUE"""),2.42)</f>
        <v>2.42</v>
      </c>
      <c r="H1651" s="9">
        <f>IFERROR(__xludf.DUMMYFUNCTION("""COMPUTED_VALUE"""),1.0)</f>
        <v>1</v>
      </c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</row>
    <row r="1652" ht="15.75" customHeight="1">
      <c r="A1652" s="11">
        <f>IFERROR(__xludf.DUMMYFUNCTION("""COMPUTED_VALUE"""),44471.0)</f>
        <v>44471</v>
      </c>
      <c r="B1652" s="9">
        <f>IFERROR(__xludf.DUMMYFUNCTION("""COMPUTED_VALUE"""),1003513.0)</f>
        <v>1003513</v>
      </c>
      <c r="C1652" s="9">
        <f>IFERROR(__xludf.DUMMYFUNCTION("""COMPUTED_VALUE"""),4388.0)</f>
        <v>4388</v>
      </c>
      <c r="D1652" s="10" t="str">
        <f>IFERROR(__xludf.DUMMYFUNCTION("""COMPUTED_VALUE"""),"Hipp 2021")</f>
        <v>Hipp 2021</v>
      </c>
      <c r="E1652" s="10"/>
      <c r="F1652" s="9">
        <f>IFERROR(__xludf.DUMMYFUNCTION("""COMPUTED_VALUE"""),2.35294117647058)</f>
        <v>2.352941176</v>
      </c>
      <c r="G1652" s="9">
        <f>IFERROR(__xludf.DUMMYFUNCTION("""COMPUTED_VALUE"""),2.0)</f>
        <v>2</v>
      </c>
      <c r="H1652" s="9">
        <f>IFERROR(__xludf.DUMMYFUNCTION("""COMPUTED_VALUE"""),1.0)</f>
        <v>1</v>
      </c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</row>
    <row r="1653" ht="15.75" customHeight="1">
      <c r="A1653" s="11">
        <f>IFERROR(__xludf.DUMMYFUNCTION("""COMPUTED_VALUE"""),44471.0)</f>
        <v>44471</v>
      </c>
      <c r="B1653" s="9">
        <f>IFERROR(__xludf.DUMMYFUNCTION("""COMPUTED_VALUE"""),1003513.0)</f>
        <v>1003513</v>
      </c>
      <c r="C1653" s="9">
        <f>IFERROR(__xludf.DUMMYFUNCTION("""COMPUTED_VALUE"""),26320.0)</f>
        <v>26320</v>
      </c>
      <c r="D1653" s="9"/>
      <c r="E1653" s="9"/>
      <c r="F1653" s="9">
        <f>IFERROR(__xludf.DUMMYFUNCTION("""COMPUTED_VALUE"""),3.11)</f>
        <v>3.11</v>
      </c>
      <c r="G1653" s="9">
        <f>IFERROR(__xludf.DUMMYFUNCTION("""COMPUTED_VALUE"""),3.11)</f>
        <v>3.11</v>
      </c>
      <c r="H1653" s="9">
        <f>IFERROR(__xludf.DUMMYFUNCTION("""COMPUTED_VALUE"""),1.0)</f>
        <v>1</v>
      </c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</row>
    <row r="1654" ht="15.75" customHeight="1">
      <c r="A1654" s="11">
        <f>IFERROR(__xludf.DUMMYFUNCTION("""COMPUTED_VALUE"""),44471.0)</f>
        <v>44471</v>
      </c>
      <c r="B1654" s="9">
        <f>IFERROR(__xludf.DUMMYFUNCTION("""COMPUTED_VALUE"""),1003513.0)</f>
        <v>1003513</v>
      </c>
      <c r="C1654" s="9">
        <f>IFERROR(__xludf.DUMMYFUNCTION("""COMPUTED_VALUE"""),84967.0)</f>
        <v>84967</v>
      </c>
      <c r="D1654" s="9"/>
      <c r="E1654" s="9"/>
      <c r="F1654" s="9">
        <f>IFERROR(__xludf.DUMMYFUNCTION("""COMPUTED_VALUE"""),1.62)</f>
        <v>1.62</v>
      </c>
      <c r="G1654" s="9">
        <f>IFERROR(__xludf.DUMMYFUNCTION("""COMPUTED_VALUE"""),1.62)</f>
        <v>1.62</v>
      </c>
      <c r="H1654" s="9">
        <f>IFERROR(__xludf.DUMMYFUNCTION("""COMPUTED_VALUE"""),1.0)</f>
        <v>1</v>
      </c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</row>
    <row r="1655" ht="15.75" customHeight="1">
      <c r="A1655" s="11">
        <f>IFERROR(__xludf.DUMMYFUNCTION("""COMPUTED_VALUE"""),44471.0)</f>
        <v>44471</v>
      </c>
      <c r="B1655" s="9">
        <f>IFERROR(__xludf.DUMMYFUNCTION("""COMPUTED_VALUE"""),1003514.0)</f>
        <v>1003514</v>
      </c>
      <c r="C1655" s="9">
        <f>IFERROR(__xludf.DUMMYFUNCTION("""COMPUTED_VALUE"""),118243.0)</f>
        <v>118243</v>
      </c>
      <c r="D1655" s="10" t="str">
        <f>IFERROR(__xludf.DUMMYFUNCTION("""COMPUTED_VALUE"""),"Natur'vox Carryboo couches Sept 21")</f>
        <v>Natur'vox Carryboo couches Sept 21</v>
      </c>
      <c r="E1655" s="10"/>
      <c r="F1655" s="9">
        <f>IFERROR(__xludf.DUMMYFUNCTION("""COMPUTED_VALUE"""),16.5333333333333)</f>
        <v>16.53333333</v>
      </c>
      <c r="G1655" s="9">
        <f>IFERROR(__xludf.DUMMYFUNCTION("""COMPUTED_VALUE"""),12.4)</f>
        <v>12.4</v>
      </c>
      <c r="H1655" s="9">
        <f>IFERROR(__xludf.DUMMYFUNCTION("""COMPUTED_VALUE"""),1.0)</f>
        <v>1</v>
      </c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</row>
    <row r="1656" ht="15.75" customHeight="1">
      <c r="A1656" s="11">
        <f>IFERROR(__xludf.DUMMYFUNCTION("""COMPUTED_VALUE"""),44471.0)</f>
        <v>44471</v>
      </c>
      <c r="B1656" s="9">
        <f>IFERROR(__xludf.DUMMYFUNCTION("""COMPUTED_VALUE"""),1003514.0)</f>
        <v>1003514</v>
      </c>
      <c r="C1656" s="9">
        <f>IFERROR(__xludf.DUMMYFUNCTION("""COMPUTED_VALUE"""),101297.0)</f>
        <v>101297</v>
      </c>
      <c r="D1656" s="10" t="str">
        <f>IFERROR(__xludf.DUMMYFUNCTION("""COMPUTED_VALUE"""),"Natur'vox Carryboo couches Sept 21")</f>
        <v>Natur'vox Carryboo couches Sept 21</v>
      </c>
      <c r="E1656" s="10"/>
      <c r="F1656" s="9">
        <f>IFERROR(__xludf.DUMMYFUNCTION("""COMPUTED_VALUE"""),49.12)</f>
        <v>49.12</v>
      </c>
      <c r="G1656" s="9">
        <f>IFERROR(__xludf.DUMMYFUNCTION("""COMPUTED_VALUE"""),36.84)</f>
        <v>36.84</v>
      </c>
      <c r="H1656" s="9">
        <f>IFERROR(__xludf.DUMMYFUNCTION("""COMPUTED_VALUE"""),3.0)</f>
        <v>3</v>
      </c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</row>
    <row r="1657" ht="15.75" customHeight="1">
      <c r="A1657" s="11">
        <f>IFERROR(__xludf.DUMMYFUNCTION("""COMPUTED_VALUE"""),44471.0)</f>
        <v>44471</v>
      </c>
      <c r="B1657" s="9">
        <f>IFERROR(__xludf.DUMMYFUNCTION("""COMPUTED_VALUE"""),1003514.0)</f>
        <v>1003514</v>
      </c>
      <c r="C1657" s="9">
        <f>IFERROR(__xludf.DUMMYFUNCTION("""COMPUTED_VALUE"""),103592.0)</f>
        <v>103592</v>
      </c>
      <c r="D1657" s="10" t="str">
        <f>IFERROR(__xludf.DUMMYFUNCTION("""COMPUTED_VALUE"""),"Love &amp; Green Couches et Culottes sept 2021")</f>
        <v>Love &amp; Green Couches et Culottes sept 2021</v>
      </c>
      <c r="E1657" s="10"/>
      <c r="F1657" s="9">
        <f>IFERROR(__xludf.DUMMYFUNCTION("""COMPUTED_VALUE"""),62.0285714285714)</f>
        <v>62.02857143</v>
      </c>
      <c r="G1657" s="9">
        <f>IFERROR(__xludf.DUMMYFUNCTION("""COMPUTED_VALUE"""),43.42)</f>
        <v>43.42</v>
      </c>
      <c r="H1657" s="9">
        <f>IFERROR(__xludf.DUMMYFUNCTION("""COMPUTED_VALUE"""),4.0)</f>
        <v>4</v>
      </c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</row>
    <row r="1658" ht="15.75" customHeight="1">
      <c r="A1658" s="11">
        <f>IFERROR(__xludf.DUMMYFUNCTION("""COMPUTED_VALUE"""),44471.0)</f>
        <v>44471</v>
      </c>
      <c r="B1658" s="9">
        <f>IFERROR(__xludf.DUMMYFUNCTION("""COMPUTED_VALUE"""),1003514.0)</f>
        <v>1003514</v>
      </c>
      <c r="C1658" s="9">
        <f>IFERROR(__xludf.DUMMYFUNCTION("""COMPUTED_VALUE"""),101303.0)</f>
        <v>101303</v>
      </c>
      <c r="D1658" s="10" t="str">
        <f>IFERROR(__xludf.DUMMYFUNCTION("""COMPUTED_VALUE"""),"Natur'vox Carryboo couches Sept 21")</f>
        <v>Natur'vox Carryboo couches Sept 21</v>
      </c>
      <c r="E1658" s="10"/>
      <c r="F1658" s="9">
        <f>IFERROR(__xludf.DUMMYFUNCTION("""COMPUTED_VALUE"""),50.68)</f>
        <v>50.68</v>
      </c>
      <c r="G1658" s="9">
        <f>IFERROR(__xludf.DUMMYFUNCTION("""COMPUTED_VALUE"""),38.01)</f>
        <v>38.01</v>
      </c>
      <c r="H1658" s="9">
        <f>IFERROR(__xludf.DUMMYFUNCTION("""COMPUTED_VALUE"""),6.0)</f>
        <v>6</v>
      </c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</row>
    <row r="1659" ht="15.75" customHeight="1">
      <c r="A1659" s="11">
        <f>IFERROR(__xludf.DUMMYFUNCTION("""COMPUTED_VALUE"""),44471.0)</f>
        <v>44471</v>
      </c>
      <c r="B1659" s="9">
        <f>IFERROR(__xludf.DUMMYFUNCTION("""COMPUTED_VALUE"""),1003514.0)</f>
        <v>1003514</v>
      </c>
      <c r="C1659" s="9">
        <f>IFERROR(__xludf.DUMMYFUNCTION("""COMPUTED_VALUE"""),101302.0)</f>
        <v>101302</v>
      </c>
      <c r="D1659" s="10" t="str">
        <f>IFERROR(__xludf.DUMMYFUNCTION("""COMPUTED_VALUE"""),"Natur'vox Carryboo couches Sept 21")</f>
        <v>Natur'vox Carryboo couches Sept 21</v>
      </c>
      <c r="E1659" s="10"/>
      <c r="F1659" s="9">
        <f>IFERROR(__xludf.DUMMYFUNCTION("""COMPUTED_VALUE"""),35.8666666666666)</f>
        <v>35.86666667</v>
      </c>
      <c r="G1659" s="9">
        <f>IFERROR(__xludf.DUMMYFUNCTION("""COMPUTED_VALUE"""),26.9)</f>
        <v>26.9</v>
      </c>
      <c r="H1659" s="9">
        <f>IFERROR(__xludf.DUMMYFUNCTION("""COMPUTED_VALUE"""),6.0)</f>
        <v>6</v>
      </c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</row>
    <row r="1660" ht="15.75" customHeight="1">
      <c r="A1660" s="11">
        <f>IFERROR(__xludf.DUMMYFUNCTION("""COMPUTED_VALUE"""),44471.0)</f>
        <v>44471</v>
      </c>
      <c r="B1660" s="9">
        <f>IFERROR(__xludf.DUMMYFUNCTION("""COMPUTED_VALUE"""),1003515.0)</f>
        <v>1003515</v>
      </c>
      <c r="C1660" s="9">
        <f>IFERROR(__xludf.DUMMYFUNCTION("""COMPUTED_VALUE"""),110724.0)</f>
        <v>110724</v>
      </c>
      <c r="D1660" s="9"/>
      <c r="E1660" s="9"/>
      <c r="F1660" s="9">
        <f>IFERROR(__xludf.DUMMYFUNCTION("""COMPUTED_VALUE"""),2.51)</f>
        <v>2.51</v>
      </c>
      <c r="G1660" s="9">
        <f>IFERROR(__xludf.DUMMYFUNCTION("""COMPUTED_VALUE"""),2.51)</f>
        <v>2.51</v>
      </c>
      <c r="H1660" s="9">
        <f>IFERROR(__xludf.DUMMYFUNCTION("""COMPUTED_VALUE"""),1.0)</f>
        <v>1</v>
      </c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</row>
    <row r="1661" ht="15.75" customHeight="1">
      <c r="A1661" s="11">
        <f>IFERROR(__xludf.DUMMYFUNCTION("""COMPUTED_VALUE"""),44471.0)</f>
        <v>44471</v>
      </c>
      <c r="B1661" s="9">
        <f>IFERROR(__xludf.DUMMYFUNCTION("""COMPUTED_VALUE"""),1003515.0)</f>
        <v>1003515</v>
      </c>
      <c r="C1661" s="9">
        <f>IFERROR(__xludf.DUMMYFUNCTION("""COMPUTED_VALUE"""),18115.0)</f>
        <v>18115</v>
      </c>
      <c r="D1661" s="9"/>
      <c r="E1661" s="9"/>
      <c r="F1661" s="9">
        <f>IFERROR(__xludf.DUMMYFUNCTION("""COMPUTED_VALUE"""),3.79)</f>
        <v>3.79</v>
      </c>
      <c r="G1661" s="9">
        <f>IFERROR(__xludf.DUMMYFUNCTION("""COMPUTED_VALUE"""),3.79)</f>
        <v>3.79</v>
      </c>
      <c r="H1661" s="9">
        <f>IFERROR(__xludf.DUMMYFUNCTION("""COMPUTED_VALUE"""),1.0)</f>
        <v>1</v>
      </c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</row>
    <row r="1662" ht="15.75" customHeight="1">
      <c r="A1662" s="11">
        <f>IFERROR(__xludf.DUMMYFUNCTION("""COMPUTED_VALUE"""),44471.0)</f>
        <v>44471</v>
      </c>
      <c r="B1662" s="9">
        <f>IFERROR(__xludf.DUMMYFUNCTION("""COMPUTED_VALUE"""),1003515.0)</f>
        <v>1003515</v>
      </c>
      <c r="C1662" s="9">
        <f>IFERROR(__xludf.DUMMYFUNCTION("""COMPUTED_VALUE"""),103635.0)</f>
        <v>103635</v>
      </c>
      <c r="D1662" s="9"/>
      <c r="E1662" s="9"/>
      <c r="F1662" s="9">
        <f>IFERROR(__xludf.DUMMYFUNCTION("""COMPUTED_VALUE"""),5.33)</f>
        <v>5.33</v>
      </c>
      <c r="G1662" s="9">
        <f>IFERROR(__xludf.DUMMYFUNCTION("""COMPUTED_VALUE"""),5.33)</f>
        <v>5.33</v>
      </c>
      <c r="H1662" s="9">
        <f>IFERROR(__xludf.DUMMYFUNCTION("""COMPUTED_VALUE"""),1.0)</f>
        <v>1</v>
      </c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</row>
    <row r="1663" ht="15.75" customHeight="1">
      <c r="A1663" s="11">
        <f>IFERROR(__xludf.DUMMYFUNCTION("""COMPUTED_VALUE"""),44471.0)</f>
        <v>44471</v>
      </c>
      <c r="B1663" s="9">
        <f>IFERROR(__xludf.DUMMYFUNCTION("""COMPUTED_VALUE"""),1003515.0)</f>
        <v>1003515</v>
      </c>
      <c r="C1663" s="9">
        <f>IFERROR(__xludf.DUMMYFUNCTION("""COMPUTED_VALUE"""),45571.0)</f>
        <v>45571</v>
      </c>
      <c r="D1663" s="9"/>
      <c r="E1663" s="9"/>
      <c r="F1663" s="9">
        <f>IFERROR(__xludf.DUMMYFUNCTION("""COMPUTED_VALUE"""),4.16)</f>
        <v>4.16</v>
      </c>
      <c r="G1663" s="9">
        <f>IFERROR(__xludf.DUMMYFUNCTION("""COMPUTED_VALUE"""),4.16)</f>
        <v>4.16</v>
      </c>
      <c r="H1663" s="9">
        <f>IFERROR(__xludf.DUMMYFUNCTION("""COMPUTED_VALUE"""),1.0)</f>
        <v>1</v>
      </c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</row>
    <row r="1664" ht="15.75" customHeight="1">
      <c r="A1664" s="11">
        <f>IFERROR(__xludf.DUMMYFUNCTION("""COMPUTED_VALUE"""),44471.0)</f>
        <v>44471</v>
      </c>
      <c r="B1664" s="9">
        <f>IFERROR(__xludf.DUMMYFUNCTION("""COMPUTED_VALUE"""),1003515.0)</f>
        <v>1003515</v>
      </c>
      <c r="C1664" s="9">
        <f>IFERROR(__xludf.DUMMYFUNCTION("""COMPUTED_VALUE"""),122697.0)</f>
        <v>122697</v>
      </c>
      <c r="D1664" s="9"/>
      <c r="E1664" s="9"/>
      <c r="F1664" s="9">
        <f>IFERROR(__xludf.DUMMYFUNCTION("""COMPUTED_VALUE"""),9.23)</f>
        <v>9.23</v>
      </c>
      <c r="G1664" s="9">
        <f>IFERROR(__xludf.DUMMYFUNCTION("""COMPUTED_VALUE"""),9.23)</f>
        <v>9.23</v>
      </c>
      <c r="H1664" s="9">
        <f>IFERROR(__xludf.DUMMYFUNCTION("""COMPUTED_VALUE"""),1.0)</f>
        <v>1</v>
      </c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</row>
    <row r="1665" ht="15.75" customHeight="1">
      <c r="A1665" s="11">
        <f>IFERROR(__xludf.DUMMYFUNCTION("""COMPUTED_VALUE"""),44471.0)</f>
        <v>44471</v>
      </c>
      <c r="B1665" s="9">
        <f>IFERROR(__xludf.DUMMYFUNCTION("""COMPUTED_VALUE"""),1003515.0)</f>
        <v>1003515</v>
      </c>
      <c r="C1665" s="9">
        <f>IFERROR(__xludf.DUMMYFUNCTION("""COMPUTED_VALUE"""),103604.0)</f>
        <v>103604</v>
      </c>
      <c r="D1665" s="9"/>
      <c r="E1665" s="9"/>
      <c r="F1665" s="9">
        <f>IFERROR(__xludf.DUMMYFUNCTION("""COMPUTED_VALUE"""),7.25)</f>
        <v>7.25</v>
      </c>
      <c r="G1665" s="9">
        <f>IFERROR(__xludf.DUMMYFUNCTION("""COMPUTED_VALUE"""),7.25)</f>
        <v>7.25</v>
      </c>
      <c r="H1665" s="9">
        <f>IFERROR(__xludf.DUMMYFUNCTION("""COMPUTED_VALUE"""),3.0)</f>
        <v>3</v>
      </c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</row>
    <row r="1666" ht="15.75" customHeight="1">
      <c r="A1666" s="11">
        <f>IFERROR(__xludf.DUMMYFUNCTION("""COMPUTED_VALUE"""),44471.0)</f>
        <v>44471</v>
      </c>
      <c r="B1666" s="9">
        <f>IFERROR(__xludf.DUMMYFUNCTION("""COMPUTED_VALUE"""),1003515.0)</f>
        <v>1003515</v>
      </c>
      <c r="C1666" s="9">
        <f>IFERROR(__xludf.DUMMYFUNCTION("""COMPUTED_VALUE"""),103626.0)</f>
        <v>103626</v>
      </c>
      <c r="D1666" s="9"/>
      <c r="E1666" s="9"/>
      <c r="F1666" s="9">
        <f>IFERROR(__xludf.DUMMYFUNCTION("""COMPUTED_VALUE"""),9.75)</f>
        <v>9.75</v>
      </c>
      <c r="G1666" s="9">
        <f>IFERROR(__xludf.DUMMYFUNCTION("""COMPUTED_VALUE"""),9.75)</f>
        <v>9.75</v>
      </c>
      <c r="H1666" s="9">
        <f>IFERROR(__xludf.DUMMYFUNCTION("""COMPUTED_VALUE"""),3.0)</f>
        <v>3</v>
      </c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</row>
    <row r="1667" ht="15.75" customHeight="1">
      <c r="A1667" s="11">
        <f>IFERROR(__xludf.DUMMYFUNCTION("""COMPUTED_VALUE"""),44471.0)</f>
        <v>44471</v>
      </c>
      <c r="B1667" s="9">
        <f>IFERROR(__xludf.DUMMYFUNCTION("""COMPUTED_VALUE"""),1003515.0)</f>
        <v>1003515</v>
      </c>
      <c r="C1667" s="9">
        <f>IFERROR(__xludf.DUMMYFUNCTION("""COMPUTED_VALUE"""),101534.0)</f>
        <v>101534</v>
      </c>
      <c r="D1667" s="9"/>
      <c r="E1667" s="9"/>
      <c r="F1667" s="9">
        <f>IFERROR(__xludf.DUMMYFUNCTION("""COMPUTED_VALUE"""),7.09)</f>
        <v>7.09</v>
      </c>
      <c r="G1667" s="9">
        <f>IFERROR(__xludf.DUMMYFUNCTION("""COMPUTED_VALUE"""),7.09)</f>
        <v>7.09</v>
      </c>
      <c r="H1667" s="9">
        <f>IFERROR(__xludf.DUMMYFUNCTION("""COMPUTED_VALUE"""),3.0)</f>
        <v>3</v>
      </c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</row>
    <row r="1668" ht="15.75" customHeight="1">
      <c r="A1668" s="11">
        <f>IFERROR(__xludf.DUMMYFUNCTION("""COMPUTED_VALUE"""),44471.0)</f>
        <v>44471</v>
      </c>
      <c r="B1668" s="9">
        <f>IFERROR(__xludf.DUMMYFUNCTION("""COMPUTED_VALUE"""),1003515.0)</f>
        <v>1003515</v>
      </c>
      <c r="C1668" s="9">
        <f>IFERROR(__xludf.DUMMYFUNCTION("""COMPUTED_VALUE"""),128409.0)</f>
        <v>128409</v>
      </c>
      <c r="D1668" s="9"/>
      <c r="E1668" s="9"/>
      <c r="F1668" s="9">
        <f>IFERROR(__xludf.DUMMYFUNCTION("""COMPUTED_VALUE"""),8.58)</f>
        <v>8.58</v>
      </c>
      <c r="G1668" s="9">
        <f>IFERROR(__xludf.DUMMYFUNCTION("""COMPUTED_VALUE"""),8.58)</f>
        <v>8.58</v>
      </c>
      <c r="H1668" s="9">
        <f>IFERROR(__xludf.DUMMYFUNCTION("""COMPUTED_VALUE"""),4.0)</f>
        <v>4</v>
      </c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</row>
    <row r="1669" ht="15.75" customHeight="1">
      <c r="A1669" s="11">
        <f>IFERROR(__xludf.DUMMYFUNCTION("""COMPUTED_VALUE"""),44471.0)</f>
        <v>44471</v>
      </c>
      <c r="B1669" s="9">
        <f>IFERROR(__xludf.DUMMYFUNCTION("""COMPUTED_VALUE"""),1003515.0)</f>
        <v>1003515</v>
      </c>
      <c r="C1669" s="9">
        <f>IFERROR(__xludf.DUMMYFUNCTION("""COMPUTED_VALUE"""),122026.0)</f>
        <v>122026</v>
      </c>
      <c r="D1669" s="10" t="str">
        <f>IFERROR(__xludf.DUMMYFUNCTION("""COMPUTED_VALUE"""),"Love &amp; Green Couches et Culottes sept 2021")</f>
        <v>Love &amp; Green Couches et Culottes sept 2021</v>
      </c>
      <c r="E1669" s="10"/>
      <c r="F1669" s="9">
        <f>IFERROR(__xludf.DUMMYFUNCTION("""COMPUTED_VALUE"""),79.3428571428571)</f>
        <v>79.34285714</v>
      </c>
      <c r="G1669" s="9">
        <f>IFERROR(__xludf.DUMMYFUNCTION("""COMPUTED_VALUE"""),55.54)</f>
        <v>55.54</v>
      </c>
      <c r="H1669" s="9">
        <f>IFERROR(__xludf.DUMMYFUNCTION("""COMPUTED_VALUE"""),8.0)</f>
        <v>8</v>
      </c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</row>
    <row r="1670" ht="15.75" customHeight="1">
      <c r="A1670" s="11">
        <f>IFERROR(__xludf.DUMMYFUNCTION("""COMPUTED_VALUE"""),44471.0)</f>
        <v>44471</v>
      </c>
      <c r="B1670" s="9">
        <f>IFERROR(__xludf.DUMMYFUNCTION("""COMPUTED_VALUE"""),1003517.0)</f>
        <v>1003517</v>
      </c>
      <c r="C1670" s="9">
        <f>IFERROR(__xludf.DUMMYFUNCTION("""COMPUTED_VALUE"""),118242.0)</f>
        <v>118242</v>
      </c>
      <c r="D1670" s="10" t="str">
        <f>IFERROR(__xludf.DUMMYFUNCTION("""COMPUTED_VALUE"""),"Natur'vox Carryboo couches Sept 21")</f>
        <v>Natur'vox Carryboo couches Sept 21</v>
      </c>
      <c r="E1670" s="10" t="str">
        <f>IFERROR(__xludf.DUMMYFUNCTION("""COMPUTED_VALUE"""),"GREENRELAIS")</f>
        <v>GREENRELAIS</v>
      </c>
      <c r="F1670" s="10">
        <f>IFERROR(__xludf.DUMMYFUNCTION("""COMPUTED_VALUE"""),130.973333333333)</f>
        <v>130.9733333</v>
      </c>
      <c r="G1670" s="9">
        <f>IFERROR(__xludf.DUMMYFUNCTION("""COMPUTED_VALUE"""),98.23)</f>
        <v>98.23</v>
      </c>
      <c r="H1670" s="9">
        <f>IFERROR(__xludf.DUMMYFUNCTION("""COMPUTED_VALUE"""),8.0)</f>
        <v>8</v>
      </c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</row>
    <row r="1671" ht="15.75" customHeight="1">
      <c r="A1671" s="11">
        <f>IFERROR(__xludf.DUMMYFUNCTION("""COMPUTED_VALUE"""),44471.0)</f>
        <v>44471</v>
      </c>
      <c r="B1671" s="9">
        <f>IFERROR(__xludf.DUMMYFUNCTION("""COMPUTED_VALUE"""),1003518.0)</f>
        <v>1003518</v>
      </c>
      <c r="C1671" s="9">
        <f>IFERROR(__xludf.DUMMYFUNCTION("""COMPUTED_VALUE"""),108160.0)</f>
        <v>108160</v>
      </c>
      <c r="D1671" s="9"/>
      <c r="E1671" s="9"/>
      <c r="F1671" s="9">
        <f>IFERROR(__xludf.DUMMYFUNCTION("""COMPUTED_VALUE"""),7.72)</f>
        <v>7.72</v>
      </c>
      <c r="G1671" s="9">
        <f>IFERROR(__xludf.DUMMYFUNCTION("""COMPUTED_VALUE"""),7.72)</f>
        <v>7.72</v>
      </c>
      <c r="H1671" s="9">
        <f>IFERROR(__xludf.DUMMYFUNCTION("""COMPUTED_VALUE"""),1.0)</f>
        <v>1</v>
      </c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</row>
    <row r="1672" ht="15.75" customHeight="1">
      <c r="A1672" s="11">
        <f>IFERROR(__xludf.DUMMYFUNCTION("""COMPUTED_VALUE"""),44471.0)</f>
        <v>44471</v>
      </c>
      <c r="B1672" s="9">
        <f>IFERROR(__xludf.DUMMYFUNCTION("""COMPUTED_VALUE"""),1003518.0)</f>
        <v>1003518</v>
      </c>
      <c r="C1672" s="9">
        <f>IFERROR(__xludf.DUMMYFUNCTION("""COMPUTED_VALUE"""),21066.0)</f>
        <v>21066</v>
      </c>
      <c r="D1672" s="9"/>
      <c r="E1672" s="9"/>
      <c r="F1672" s="9">
        <f>IFERROR(__xludf.DUMMYFUNCTION("""COMPUTED_VALUE"""),14.63)</f>
        <v>14.63</v>
      </c>
      <c r="G1672" s="9">
        <f>IFERROR(__xludf.DUMMYFUNCTION("""COMPUTED_VALUE"""),14.63)</f>
        <v>14.63</v>
      </c>
      <c r="H1672" s="9">
        <f>IFERROR(__xludf.DUMMYFUNCTION("""COMPUTED_VALUE"""),2.0)</f>
        <v>2</v>
      </c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</row>
    <row r="1673" ht="15.75" customHeight="1">
      <c r="A1673" s="11">
        <f>IFERROR(__xludf.DUMMYFUNCTION("""COMPUTED_VALUE"""),44471.0)</f>
        <v>44471</v>
      </c>
      <c r="B1673" s="9">
        <f>IFERROR(__xludf.DUMMYFUNCTION("""COMPUTED_VALUE"""),1003519.0)</f>
        <v>1003519</v>
      </c>
      <c r="C1673" s="9">
        <f>IFERROR(__xludf.DUMMYFUNCTION("""COMPUTED_VALUE"""),9508.0)</f>
        <v>9508</v>
      </c>
      <c r="D1673" s="9"/>
      <c r="E1673" s="10" t="str">
        <f>IFERROR(__xludf.DUMMYFUNCTION("""COMPUTED_VALUE"""),"PREMIERE")</f>
        <v>PREMIERE</v>
      </c>
      <c r="F1673" s="10">
        <f>IFERROR(__xludf.DUMMYFUNCTION("""COMPUTED_VALUE"""),38.45)</f>
        <v>38.45</v>
      </c>
      <c r="G1673" s="9">
        <f>IFERROR(__xludf.DUMMYFUNCTION("""COMPUTED_VALUE"""),38.45)</f>
        <v>38.45</v>
      </c>
      <c r="H1673" s="9">
        <f>IFERROR(__xludf.DUMMYFUNCTION("""COMPUTED_VALUE"""),26.0)</f>
        <v>26</v>
      </c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</row>
    <row r="1674" ht="15.75" customHeight="1">
      <c r="A1674" s="11">
        <f>IFERROR(__xludf.DUMMYFUNCTION("""COMPUTED_VALUE"""),44471.0)</f>
        <v>44471</v>
      </c>
      <c r="B1674" s="9">
        <f>IFERROR(__xludf.DUMMYFUNCTION("""COMPUTED_VALUE"""),1003520.0)</f>
        <v>1003520</v>
      </c>
      <c r="C1674" s="9">
        <f>IFERROR(__xludf.DUMMYFUNCTION("""COMPUTED_VALUE"""),87242.0)</f>
        <v>87242</v>
      </c>
      <c r="D1674" s="10" t="str">
        <f>IFERROR(__xludf.DUMMYFUNCTION("""COMPUTED_VALUE"""),"Vive le bio")</f>
        <v>Vive le bio</v>
      </c>
      <c r="E1674" s="10"/>
      <c r="F1674" s="9">
        <f>IFERROR(__xludf.DUMMYFUNCTION("""COMPUTED_VALUE"""),5.82222222222222)</f>
        <v>5.822222222</v>
      </c>
      <c r="G1674" s="9">
        <f>IFERROR(__xludf.DUMMYFUNCTION("""COMPUTED_VALUE"""),5.24)</f>
        <v>5.24</v>
      </c>
      <c r="H1674" s="9">
        <f>IFERROR(__xludf.DUMMYFUNCTION("""COMPUTED_VALUE"""),1.0)</f>
        <v>1</v>
      </c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</row>
    <row r="1675" ht="15.75" customHeight="1">
      <c r="A1675" s="11">
        <f>IFERROR(__xludf.DUMMYFUNCTION("""COMPUTED_VALUE"""),44471.0)</f>
        <v>44471</v>
      </c>
      <c r="B1675" s="9">
        <f>IFERROR(__xludf.DUMMYFUNCTION("""COMPUTED_VALUE"""),1003520.0)</f>
        <v>1003520</v>
      </c>
      <c r="C1675" s="9">
        <f>IFERROR(__xludf.DUMMYFUNCTION("""COMPUTED_VALUE"""),24074.0)</f>
        <v>24074</v>
      </c>
      <c r="D1675" s="9"/>
      <c r="E1675" s="9"/>
      <c r="F1675" s="9">
        <f>IFERROR(__xludf.DUMMYFUNCTION("""COMPUTED_VALUE"""),27.66)</f>
        <v>27.66</v>
      </c>
      <c r="G1675" s="9">
        <f>IFERROR(__xludf.DUMMYFUNCTION("""COMPUTED_VALUE"""),27.66)</f>
        <v>27.66</v>
      </c>
      <c r="H1675" s="9">
        <f>IFERROR(__xludf.DUMMYFUNCTION("""COMPUTED_VALUE"""),2.0)</f>
        <v>2</v>
      </c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</row>
    <row r="1676" ht="15.75" customHeight="1">
      <c r="A1676" s="11">
        <f>IFERROR(__xludf.DUMMYFUNCTION("""COMPUTED_VALUE"""),44471.0)</f>
        <v>44471</v>
      </c>
      <c r="B1676" s="9">
        <f>IFERROR(__xludf.DUMMYFUNCTION("""COMPUTED_VALUE"""),1003520.0)</f>
        <v>1003520</v>
      </c>
      <c r="C1676" s="9">
        <f>IFERROR(__xludf.DUMMYFUNCTION("""COMPUTED_VALUE"""),24061.0)</f>
        <v>24061</v>
      </c>
      <c r="D1676" s="9"/>
      <c r="E1676" s="9"/>
      <c r="F1676" s="9">
        <f>IFERROR(__xludf.DUMMYFUNCTION("""COMPUTED_VALUE"""),30.65)</f>
        <v>30.65</v>
      </c>
      <c r="G1676" s="9">
        <f>IFERROR(__xludf.DUMMYFUNCTION("""COMPUTED_VALUE"""),30.65)</f>
        <v>30.65</v>
      </c>
      <c r="H1676" s="9">
        <f>IFERROR(__xludf.DUMMYFUNCTION("""COMPUTED_VALUE"""),2.0)</f>
        <v>2</v>
      </c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</row>
    <row r="1677" ht="15.75" customHeight="1">
      <c r="A1677" s="11">
        <f>IFERROR(__xludf.DUMMYFUNCTION("""COMPUTED_VALUE"""),44471.0)</f>
        <v>44471</v>
      </c>
      <c r="B1677" s="9">
        <f>IFERROR(__xludf.DUMMYFUNCTION("""COMPUTED_VALUE"""),1003520.0)</f>
        <v>1003520</v>
      </c>
      <c r="C1677" s="9">
        <f>IFERROR(__xludf.DUMMYFUNCTION("""COMPUTED_VALUE"""),12877.0)</f>
        <v>12877</v>
      </c>
      <c r="D1677" s="10" t="str">
        <f>IFERROR(__xludf.DUMMYFUNCTION("""COMPUTED_VALUE"""),"Vive le bio")</f>
        <v>Vive le bio</v>
      </c>
      <c r="E1677" s="10"/>
      <c r="F1677" s="9">
        <f>IFERROR(__xludf.DUMMYFUNCTION("""COMPUTED_VALUE"""),63.8111111111111)</f>
        <v>63.81111111</v>
      </c>
      <c r="G1677" s="9">
        <f>IFERROR(__xludf.DUMMYFUNCTION("""COMPUTED_VALUE"""),57.43)</f>
        <v>57.43</v>
      </c>
      <c r="H1677" s="9">
        <f>IFERROR(__xludf.DUMMYFUNCTION("""COMPUTED_VALUE"""),2.0)</f>
        <v>2</v>
      </c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</row>
    <row r="1678" ht="15.75" customHeight="1">
      <c r="A1678" s="11">
        <f>IFERROR(__xludf.DUMMYFUNCTION("""COMPUTED_VALUE"""),44471.0)</f>
        <v>44471</v>
      </c>
      <c r="B1678" s="9">
        <f>IFERROR(__xludf.DUMMYFUNCTION("""COMPUTED_VALUE"""),1003520.0)</f>
        <v>1003520</v>
      </c>
      <c r="C1678" s="9">
        <f>IFERROR(__xludf.DUMMYFUNCTION("""COMPUTED_VALUE"""),24076.0)</f>
        <v>24076</v>
      </c>
      <c r="D1678" s="9"/>
      <c r="E1678" s="9"/>
      <c r="F1678" s="9">
        <f>IFERROR(__xludf.DUMMYFUNCTION("""COMPUTED_VALUE"""),19.23)</f>
        <v>19.23</v>
      </c>
      <c r="G1678" s="9">
        <f>IFERROR(__xludf.DUMMYFUNCTION("""COMPUTED_VALUE"""),19.23)</f>
        <v>19.23</v>
      </c>
      <c r="H1678" s="9">
        <f>IFERROR(__xludf.DUMMYFUNCTION("""COMPUTED_VALUE"""),3.0)</f>
        <v>3</v>
      </c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</row>
    <row r="1679" ht="15.75" customHeight="1">
      <c r="A1679" s="11">
        <f>IFERROR(__xludf.DUMMYFUNCTION("""COMPUTED_VALUE"""),44471.0)</f>
        <v>44471</v>
      </c>
      <c r="B1679" s="9">
        <f>IFERROR(__xludf.DUMMYFUNCTION("""COMPUTED_VALUE"""),1003520.0)</f>
        <v>1003520</v>
      </c>
      <c r="C1679" s="9">
        <f>IFERROR(__xludf.DUMMYFUNCTION("""COMPUTED_VALUE"""),90837.0)</f>
        <v>90837</v>
      </c>
      <c r="D1679" s="9"/>
      <c r="E1679" s="9"/>
      <c r="F1679" s="9">
        <f>IFERROR(__xludf.DUMMYFUNCTION("""COMPUTED_VALUE"""),3.9)</f>
        <v>3.9</v>
      </c>
      <c r="G1679" s="9">
        <f>IFERROR(__xludf.DUMMYFUNCTION("""COMPUTED_VALUE"""),3.9)</f>
        <v>3.9</v>
      </c>
      <c r="H1679" s="9">
        <f>IFERROR(__xludf.DUMMYFUNCTION("""COMPUTED_VALUE"""),4.0)</f>
        <v>4</v>
      </c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</row>
    <row r="1680" ht="15.75" customHeight="1">
      <c r="A1680" s="11">
        <f>IFERROR(__xludf.DUMMYFUNCTION("""COMPUTED_VALUE"""),44471.0)</f>
        <v>44471</v>
      </c>
      <c r="B1680" s="9">
        <f>IFERROR(__xludf.DUMMYFUNCTION("""COMPUTED_VALUE"""),1003521.0)</f>
        <v>1003521</v>
      </c>
      <c r="C1680" s="9">
        <f>IFERROR(__xludf.DUMMYFUNCTION("""COMPUTED_VALUE"""),116851.0)</f>
        <v>116851</v>
      </c>
      <c r="D1680" s="9"/>
      <c r="E1680" s="9"/>
      <c r="F1680" s="9">
        <f>IFERROR(__xludf.DUMMYFUNCTION("""COMPUTED_VALUE"""),26.86)</f>
        <v>26.86</v>
      </c>
      <c r="G1680" s="9">
        <f>IFERROR(__xludf.DUMMYFUNCTION("""COMPUTED_VALUE"""),26.86)</f>
        <v>26.86</v>
      </c>
      <c r="H1680" s="9">
        <f>IFERROR(__xludf.DUMMYFUNCTION("""COMPUTED_VALUE"""),1.0)</f>
        <v>1</v>
      </c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</row>
    <row r="1681" ht="15.75" customHeight="1">
      <c r="A1681" s="11">
        <f>IFERROR(__xludf.DUMMYFUNCTION("""COMPUTED_VALUE"""),44471.0)</f>
        <v>44471</v>
      </c>
      <c r="B1681" s="9">
        <f>IFERROR(__xludf.DUMMYFUNCTION("""COMPUTED_VALUE"""),1003522.0)</f>
        <v>1003522</v>
      </c>
      <c r="C1681" s="9">
        <f>IFERROR(__xludf.DUMMYFUNCTION("""COMPUTED_VALUE"""),112618.0)</f>
        <v>112618</v>
      </c>
      <c r="D1681" s="9"/>
      <c r="E1681" s="9"/>
      <c r="F1681" s="9">
        <f>IFERROR(__xludf.DUMMYFUNCTION("""COMPUTED_VALUE"""),4.0)</f>
        <v>4</v>
      </c>
      <c r="G1681" s="9">
        <f>IFERROR(__xludf.DUMMYFUNCTION("""COMPUTED_VALUE"""),4.0)</f>
        <v>4</v>
      </c>
      <c r="H1681" s="9">
        <f>IFERROR(__xludf.DUMMYFUNCTION("""COMPUTED_VALUE"""),1.0)</f>
        <v>1</v>
      </c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</row>
    <row r="1682" ht="15.75" customHeight="1">
      <c r="A1682" s="11">
        <f>IFERROR(__xludf.DUMMYFUNCTION("""COMPUTED_VALUE"""),44471.0)</f>
        <v>44471</v>
      </c>
      <c r="B1682" s="9">
        <f>IFERROR(__xludf.DUMMYFUNCTION("""COMPUTED_VALUE"""),1003522.0)</f>
        <v>1003522</v>
      </c>
      <c r="C1682" s="9">
        <f>IFERROR(__xludf.DUMMYFUNCTION("""COMPUTED_VALUE"""),110187.0)</f>
        <v>110187</v>
      </c>
      <c r="D1682" s="9"/>
      <c r="E1682" s="9"/>
      <c r="F1682" s="9">
        <f>IFERROR(__xludf.DUMMYFUNCTION("""COMPUTED_VALUE"""),6.79)</f>
        <v>6.79</v>
      </c>
      <c r="G1682" s="9">
        <f>IFERROR(__xludf.DUMMYFUNCTION("""COMPUTED_VALUE"""),6.79)</f>
        <v>6.79</v>
      </c>
      <c r="H1682" s="9">
        <f>IFERROR(__xludf.DUMMYFUNCTION("""COMPUTED_VALUE"""),1.0)</f>
        <v>1</v>
      </c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</row>
    <row r="1683" ht="15.75" customHeight="1">
      <c r="A1683" s="11">
        <f>IFERROR(__xludf.DUMMYFUNCTION("""COMPUTED_VALUE"""),44471.0)</f>
        <v>44471</v>
      </c>
      <c r="B1683" s="9">
        <f>IFERROR(__xludf.DUMMYFUNCTION("""COMPUTED_VALUE"""),1003522.0)</f>
        <v>1003522</v>
      </c>
      <c r="C1683" s="9">
        <f>IFERROR(__xludf.DUMMYFUNCTION("""COMPUTED_VALUE"""),88627.0)</f>
        <v>88627</v>
      </c>
      <c r="D1683" s="10" t="str">
        <f>IFERROR(__xludf.DUMMYFUNCTION("""COMPUTED_VALUE"""),"Vive le bio")</f>
        <v>Vive le bio</v>
      </c>
      <c r="E1683" s="10"/>
      <c r="F1683" s="9">
        <f>IFERROR(__xludf.DUMMYFUNCTION("""COMPUTED_VALUE"""),1.97777777777777)</f>
        <v>1.977777778</v>
      </c>
      <c r="G1683" s="9">
        <f>IFERROR(__xludf.DUMMYFUNCTION("""COMPUTED_VALUE"""),1.78)</f>
        <v>1.78</v>
      </c>
      <c r="H1683" s="9">
        <f>IFERROR(__xludf.DUMMYFUNCTION("""COMPUTED_VALUE"""),1.0)</f>
        <v>1</v>
      </c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</row>
    <row r="1684" ht="15.75" customHeight="1">
      <c r="A1684" s="11">
        <f>IFERROR(__xludf.DUMMYFUNCTION("""COMPUTED_VALUE"""),44471.0)</f>
        <v>44471</v>
      </c>
      <c r="B1684" s="9">
        <f>IFERROR(__xludf.DUMMYFUNCTION("""COMPUTED_VALUE"""),1003522.0)</f>
        <v>1003522</v>
      </c>
      <c r="C1684" s="9">
        <f>IFERROR(__xludf.DUMMYFUNCTION("""COMPUTED_VALUE"""),88628.0)</f>
        <v>88628</v>
      </c>
      <c r="D1684" s="9"/>
      <c r="E1684" s="9"/>
      <c r="F1684" s="9">
        <f>IFERROR(__xludf.DUMMYFUNCTION("""COMPUTED_VALUE"""),2.08)</f>
        <v>2.08</v>
      </c>
      <c r="G1684" s="9">
        <f>IFERROR(__xludf.DUMMYFUNCTION("""COMPUTED_VALUE"""),2.08)</f>
        <v>2.08</v>
      </c>
      <c r="H1684" s="9">
        <f>IFERROR(__xludf.DUMMYFUNCTION("""COMPUTED_VALUE"""),1.0)</f>
        <v>1</v>
      </c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</row>
    <row r="1685" ht="15.75" customHeight="1">
      <c r="A1685" s="11">
        <f>IFERROR(__xludf.DUMMYFUNCTION("""COMPUTED_VALUE"""),44471.0)</f>
        <v>44471</v>
      </c>
      <c r="B1685" s="9">
        <f>IFERROR(__xludf.DUMMYFUNCTION("""COMPUTED_VALUE"""),1003522.0)</f>
        <v>1003522</v>
      </c>
      <c r="C1685" s="9">
        <f>IFERROR(__xludf.DUMMYFUNCTION("""COMPUTED_VALUE"""),7267.0)</f>
        <v>7267</v>
      </c>
      <c r="D1685" s="9"/>
      <c r="E1685" s="9"/>
      <c r="F1685" s="9">
        <f>IFERROR(__xludf.DUMMYFUNCTION("""COMPUTED_VALUE"""),2.48)</f>
        <v>2.48</v>
      </c>
      <c r="G1685" s="9">
        <f>IFERROR(__xludf.DUMMYFUNCTION("""COMPUTED_VALUE"""),2.48)</f>
        <v>2.48</v>
      </c>
      <c r="H1685" s="9">
        <f>IFERROR(__xludf.DUMMYFUNCTION("""COMPUTED_VALUE"""),1.0)</f>
        <v>1</v>
      </c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</row>
    <row r="1686" ht="15.75" customHeight="1">
      <c r="A1686" s="11">
        <f>IFERROR(__xludf.DUMMYFUNCTION("""COMPUTED_VALUE"""),44471.0)</f>
        <v>44471</v>
      </c>
      <c r="B1686" s="9">
        <f>IFERROR(__xludf.DUMMYFUNCTION("""COMPUTED_VALUE"""),1003522.0)</f>
        <v>1003522</v>
      </c>
      <c r="C1686" s="9">
        <f>IFERROR(__xludf.DUMMYFUNCTION("""COMPUTED_VALUE"""),108258.0)</f>
        <v>108258</v>
      </c>
      <c r="D1686" s="9"/>
      <c r="E1686" s="9"/>
      <c r="F1686" s="9">
        <f>IFERROR(__xludf.DUMMYFUNCTION("""COMPUTED_VALUE"""),19.13)</f>
        <v>19.13</v>
      </c>
      <c r="G1686" s="9">
        <f>IFERROR(__xludf.DUMMYFUNCTION("""COMPUTED_VALUE"""),19.13)</f>
        <v>19.13</v>
      </c>
      <c r="H1686" s="9">
        <f>IFERROR(__xludf.DUMMYFUNCTION("""COMPUTED_VALUE"""),2.0)</f>
        <v>2</v>
      </c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</row>
    <row r="1687" ht="15.75" customHeight="1">
      <c r="A1687" s="11">
        <f>IFERROR(__xludf.DUMMYFUNCTION("""COMPUTED_VALUE"""),44471.0)</f>
        <v>44471</v>
      </c>
      <c r="B1687" s="9">
        <f>IFERROR(__xludf.DUMMYFUNCTION("""COMPUTED_VALUE"""),1003523.0)</f>
        <v>1003523</v>
      </c>
      <c r="C1687" s="9">
        <f>IFERROR(__xludf.DUMMYFUNCTION("""COMPUTED_VALUE"""),101534.0)</f>
        <v>101534</v>
      </c>
      <c r="D1687" s="9"/>
      <c r="E1687" s="9"/>
      <c r="F1687" s="9">
        <f>IFERROR(__xludf.DUMMYFUNCTION("""COMPUTED_VALUE"""),2.39)</f>
        <v>2.39</v>
      </c>
      <c r="G1687" s="9">
        <f>IFERROR(__xludf.DUMMYFUNCTION("""COMPUTED_VALUE"""),2.39)</f>
        <v>2.39</v>
      </c>
      <c r="H1687" s="9">
        <f>IFERROR(__xludf.DUMMYFUNCTION("""COMPUTED_VALUE"""),1.0)</f>
        <v>1</v>
      </c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</row>
    <row r="1688" ht="15.75" customHeight="1">
      <c r="A1688" s="11">
        <f>IFERROR(__xludf.DUMMYFUNCTION("""COMPUTED_VALUE"""),44471.0)</f>
        <v>44471</v>
      </c>
      <c r="B1688" s="9">
        <f>IFERROR(__xludf.DUMMYFUNCTION("""COMPUTED_VALUE"""),1003523.0)</f>
        <v>1003523</v>
      </c>
      <c r="C1688" s="9">
        <f>IFERROR(__xludf.DUMMYFUNCTION("""COMPUTED_VALUE"""),29650.0)</f>
        <v>29650</v>
      </c>
      <c r="D1688" s="9"/>
      <c r="E1688" s="9"/>
      <c r="F1688" s="9">
        <f>IFERROR(__xludf.DUMMYFUNCTION("""COMPUTED_VALUE"""),1.58)</f>
        <v>1.58</v>
      </c>
      <c r="G1688" s="9">
        <f>IFERROR(__xludf.DUMMYFUNCTION("""COMPUTED_VALUE"""),1.58)</f>
        <v>1.58</v>
      </c>
      <c r="H1688" s="9">
        <f>IFERROR(__xludf.DUMMYFUNCTION("""COMPUTED_VALUE"""),1.0)</f>
        <v>1</v>
      </c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</row>
    <row r="1689" ht="15.75" customHeight="1">
      <c r="A1689" s="11">
        <f>IFERROR(__xludf.DUMMYFUNCTION("""COMPUTED_VALUE"""),44471.0)</f>
        <v>44471</v>
      </c>
      <c r="B1689" s="9">
        <f>IFERROR(__xludf.DUMMYFUNCTION("""COMPUTED_VALUE"""),1003523.0)</f>
        <v>1003523</v>
      </c>
      <c r="C1689" s="9">
        <f>IFERROR(__xludf.DUMMYFUNCTION("""COMPUTED_VALUE"""),101489.0)</f>
        <v>101489</v>
      </c>
      <c r="D1689" s="9"/>
      <c r="E1689" s="9"/>
      <c r="F1689" s="9">
        <f>IFERROR(__xludf.DUMMYFUNCTION("""COMPUTED_VALUE"""),4.33)</f>
        <v>4.33</v>
      </c>
      <c r="G1689" s="9">
        <f>IFERROR(__xludf.DUMMYFUNCTION("""COMPUTED_VALUE"""),4.33)</f>
        <v>4.33</v>
      </c>
      <c r="H1689" s="9">
        <f>IFERROR(__xludf.DUMMYFUNCTION("""COMPUTED_VALUE"""),2.0)</f>
        <v>2</v>
      </c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</row>
    <row r="1690" ht="15.75" customHeight="1">
      <c r="A1690" s="11">
        <f>IFERROR(__xludf.DUMMYFUNCTION("""COMPUTED_VALUE"""),44471.0)</f>
        <v>44471</v>
      </c>
      <c r="B1690" s="9">
        <f>IFERROR(__xludf.DUMMYFUNCTION("""COMPUTED_VALUE"""),1003523.0)</f>
        <v>1003523</v>
      </c>
      <c r="C1690" s="9">
        <f>IFERROR(__xludf.DUMMYFUNCTION("""COMPUTED_VALUE"""),101534.0)</f>
        <v>101534</v>
      </c>
      <c r="D1690" s="9"/>
      <c r="E1690" s="9"/>
      <c r="F1690" s="9">
        <f>IFERROR(__xludf.DUMMYFUNCTION("""COMPUTED_VALUE"""),14.17)</f>
        <v>14.17</v>
      </c>
      <c r="G1690" s="9">
        <f>IFERROR(__xludf.DUMMYFUNCTION("""COMPUTED_VALUE"""),14.17)</f>
        <v>14.17</v>
      </c>
      <c r="H1690" s="9">
        <f>IFERROR(__xludf.DUMMYFUNCTION("""COMPUTED_VALUE"""),6.0)</f>
        <v>6</v>
      </c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</row>
    <row r="1691" ht="15.75" customHeight="1">
      <c r="A1691" s="11">
        <f>IFERROR(__xludf.DUMMYFUNCTION("""COMPUTED_VALUE"""),44471.0)</f>
        <v>44471</v>
      </c>
      <c r="B1691" s="9">
        <f>IFERROR(__xludf.DUMMYFUNCTION("""COMPUTED_VALUE"""),1003524.0)</f>
        <v>1003524</v>
      </c>
      <c r="C1691" s="9">
        <f>IFERROR(__xludf.DUMMYFUNCTION("""COMPUTED_VALUE"""),117756.0)</f>
        <v>117756</v>
      </c>
      <c r="D1691" s="9"/>
      <c r="E1691" s="10" t="str">
        <f>IFERROR(__xludf.DUMMYFUNCTION("""COMPUTED_VALUE"""),"GREENRELAIS")</f>
        <v>GREENRELAIS</v>
      </c>
      <c r="F1691" s="10">
        <f>IFERROR(__xludf.DUMMYFUNCTION("""COMPUTED_VALUE"""),72.35)</f>
        <v>72.35</v>
      </c>
      <c r="G1691" s="9">
        <f>IFERROR(__xludf.DUMMYFUNCTION("""COMPUTED_VALUE"""),72.35)</f>
        <v>72.35</v>
      </c>
      <c r="H1691" s="9">
        <f>IFERROR(__xludf.DUMMYFUNCTION("""COMPUTED_VALUE"""),8.0)</f>
        <v>8</v>
      </c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</row>
    <row r="1692" ht="15.75" customHeight="1">
      <c r="A1692" s="11">
        <f>IFERROR(__xludf.DUMMYFUNCTION("""COMPUTED_VALUE"""),44471.0)</f>
        <v>44471</v>
      </c>
      <c r="B1692" s="9">
        <f>IFERROR(__xludf.DUMMYFUNCTION("""COMPUTED_VALUE"""),1003525.0)</f>
        <v>1003525</v>
      </c>
      <c r="C1692" s="9">
        <f>IFERROR(__xludf.DUMMYFUNCTION("""COMPUTED_VALUE"""),78448.0)</f>
        <v>78448</v>
      </c>
      <c r="D1692" s="9"/>
      <c r="E1692" s="10" t="str">
        <f>IFERROR(__xludf.DUMMYFUNCTION("""COMPUTED_VALUE"""),"GREENTIDOO")</f>
        <v>GREENTIDOO</v>
      </c>
      <c r="F1692" s="10">
        <f>IFERROR(__xludf.DUMMYFUNCTION("""COMPUTED_VALUE"""),3.23)</f>
        <v>3.23</v>
      </c>
      <c r="G1692" s="9">
        <f>IFERROR(__xludf.DUMMYFUNCTION("""COMPUTED_VALUE"""),3.23)</f>
        <v>3.23</v>
      </c>
      <c r="H1692" s="9">
        <f>IFERROR(__xludf.DUMMYFUNCTION("""COMPUTED_VALUE"""),1.0)</f>
        <v>1</v>
      </c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</row>
    <row r="1693" ht="15.75" customHeight="1">
      <c r="A1693" s="11">
        <f>IFERROR(__xludf.DUMMYFUNCTION("""COMPUTED_VALUE"""),44471.0)</f>
        <v>44471</v>
      </c>
      <c r="B1693" s="9">
        <f>IFERROR(__xludf.DUMMYFUNCTION("""COMPUTED_VALUE"""),1003525.0)</f>
        <v>1003525</v>
      </c>
      <c r="C1693" s="9">
        <f>IFERROR(__xludf.DUMMYFUNCTION("""COMPUTED_VALUE"""),117893.0)</f>
        <v>117893</v>
      </c>
      <c r="D1693" s="9"/>
      <c r="E1693" s="10" t="str">
        <f>IFERROR(__xludf.DUMMYFUNCTION("""COMPUTED_VALUE"""),"GREENTIDOO")</f>
        <v>GREENTIDOO</v>
      </c>
      <c r="F1693" s="10">
        <f>IFERROR(__xludf.DUMMYFUNCTION("""COMPUTED_VALUE"""),20.13)</f>
        <v>20.13</v>
      </c>
      <c r="G1693" s="9">
        <f>IFERROR(__xludf.DUMMYFUNCTION("""COMPUTED_VALUE"""),20.13)</f>
        <v>20.13</v>
      </c>
      <c r="H1693" s="9">
        <f>IFERROR(__xludf.DUMMYFUNCTION("""COMPUTED_VALUE"""),1.0)</f>
        <v>1</v>
      </c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</row>
    <row r="1694" ht="15.75" customHeight="1">
      <c r="A1694" s="11">
        <f>IFERROR(__xludf.DUMMYFUNCTION("""COMPUTED_VALUE"""),44471.0)</f>
        <v>44471</v>
      </c>
      <c r="B1694" s="9">
        <f>IFERROR(__xludf.DUMMYFUNCTION("""COMPUTED_VALUE"""),1003525.0)</f>
        <v>1003525</v>
      </c>
      <c r="C1694" s="9">
        <f>IFERROR(__xludf.DUMMYFUNCTION("""COMPUTED_VALUE"""),127016.0)</f>
        <v>127016</v>
      </c>
      <c r="D1694" s="10" t="str">
        <f>IFERROR(__xludf.DUMMYFUNCTION("""COMPUTED_VALUE"""),"Carryboo coton 2021")</f>
        <v>Carryboo coton 2021</v>
      </c>
      <c r="E1694" s="10" t="str">
        <f>IFERROR(__xludf.DUMMYFUNCTION("""COMPUTED_VALUE"""),"GREENTIDOO")</f>
        <v>GREENTIDOO</v>
      </c>
      <c r="F1694" s="10">
        <f>IFERROR(__xludf.DUMMYFUNCTION("""COMPUTED_VALUE"""),8.57333333333333)</f>
        <v>8.573333333</v>
      </c>
      <c r="G1694" s="9">
        <f>IFERROR(__xludf.DUMMYFUNCTION("""COMPUTED_VALUE"""),6.43)</f>
        <v>6.43</v>
      </c>
      <c r="H1694" s="9">
        <f>IFERROR(__xludf.DUMMYFUNCTION("""COMPUTED_VALUE"""),2.0)</f>
        <v>2</v>
      </c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</row>
    <row r="1695" ht="15.75" customHeight="1">
      <c r="A1695" s="11">
        <f>IFERROR(__xludf.DUMMYFUNCTION("""COMPUTED_VALUE"""),44471.0)</f>
        <v>44471</v>
      </c>
      <c r="B1695" s="9">
        <f>IFERROR(__xludf.DUMMYFUNCTION("""COMPUTED_VALUE"""),1003525.0)</f>
        <v>1003525</v>
      </c>
      <c r="C1695" s="9">
        <f>IFERROR(__xludf.DUMMYFUNCTION("""COMPUTED_VALUE"""),81128.0)</f>
        <v>81128</v>
      </c>
      <c r="D1695" s="9"/>
      <c r="E1695" s="10" t="str">
        <f>IFERROR(__xludf.DUMMYFUNCTION("""COMPUTED_VALUE"""),"GREENTIDOO")</f>
        <v>GREENTIDOO</v>
      </c>
      <c r="F1695" s="10">
        <f>IFERROR(__xludf.DUMMYFUNCTION("""COMPUTED_VALUE"""),9.62)</f>
        <v>9.62</v>
      </c>
      <c r="G1695" s="9">
        <f>IFERROR(__xludf.DUMMYFUNCTION("""COMPUTED_VALUE"""),9.62)</f>
        <v>9.62</v>
      </c>
      <c r="H1695" s="9">
        <f>IFERROR(__xludf.DUMMYFUNCTION("""COMPUTED_VALUE"""),3.0)</f>
        <v>3</v>
      </c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</row>
    <row r="1696" ht="15.75" customHeight="1">
      <c r="A1696" s="11">
        <f>IFERROR(__xludf.DUMMYFUNCTION("""COMPUTED_VALUE"""),44471.0)</f>
        <v>44471</v>
      </c>
      <c r="B1696" s="9">
        <f>IFERROR(__xludf.DUMMYFUNCTION("""COMPUTED_VALUE"""),1003525.0)</f>
        <v>1003525</v>
      </c>
      <c r="C1696" s="9">
        <f>IFERROR(__xludf.DUMMYFUNCTION("""COMPUTED_VALUE"""),102550.0)</f>
        <v>102550</v>
      </c>
      <c r="D1696" s="9"/>
      <c r="E1696" s="10" t="str">
        <f>IFERROR(__xludf.DUMMYFUNCTION("""COMPUTED_VALUE"""),"GREENTIDOO")</f>
        <v>GREENTIDOO</v>
      </c>
      <c r="F1696" s="10">
        <f>IFERROR(__xludf.DUMMYFUNCTION("""COMPUTED_VALUE"""),35.31)</f>
        <v>35.31</v>
      </c>
      <c r="G1696" s="9">
        <f>IFERROR(__xludf.DUMMYFUNCTION("""COMPUTED_VALUE"""),35.31)</f>
        <v>35.31</v>
      </c>
      <c r="H1696" s="9">
        <f>IFERROR(__xludf.DUMMYFUNCTION("""COMPUTED_VALUE"""),4.0)</f>
        <v>4</v>
      </c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</row>
    <row r="1697" ht="15.75" customHeight="1">
      <c r="A1697" s="11">
        <f>IFERROR(__xludf.DUMMYFUNCTION("""COMPUTED_VALUE"""),44471.0)</f>
        <v>44471</v>
      </c>
      <c r="B1697" s="9">
        <f>IFERROR(__xludf.DUMMYFUNCTION("""COMPUTED_VALUE"""),1003526.0)</f>
        <v>1003526</v>
      </c>
      <c r="C1697" s="9">
        <f>IFERROR(__xludf.DUMMYFUNCTION("""COMPUTED_VALUE"""),43944.0)</f>
        <v>43944</v>
      </c>
      <c r="D1697" s="9"/>
      <c r="E1697" s="9"/>
      <c r="F1697" s="9">
        <f>IFERROR(__xludf.DUMMYFUNCTION("""COMPUTED_VALUE"""),16.54)</f>
        <v>16.54</v>
      </c>
      <c r="G1697" s="9">
        <f>IFERROR(__xludf.DUMMYFUNCTION("""COMPUTED_VALUE"""),16.54)</f>
        <v>16.54</v>
      </c>
      <c r="H1697" s="9">
        <f>IFERROR(__xludf.DUMMYFUNCTION("""COMPUTED_VALUE"""),1.0)</f>
        <v>1</v>
      </c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</row>
    <row r="1698" ht="15.75" customHeight="1">
      <c r="A1698" s="11">
        <f>IFERROR(__xludf.DUMMYFUNCTION("""COMPUTED_VALUE"""),44471.0)</f>
        <v>44471</v>
      </c>
      <c r="B1698" s="9">
        <f>IFERROR(__xludf.DUMMYFUNCTION("""COMPUTED_VALUE"""),1003526.0)</f>
        <v>1003526</v>
      </c>
      <c r="C1698" s="9">
        <f>IFERROR(__xludf.DUMMYFUNCTION("""COMPUTED_VALUE"""),89581.0)</f>
        <v>89581</v>
      </c>
      <c r="D1698" s="9"/>
      <c r="E1698" s="9"/>
      <c r="F1698" s="9">
        <f>IFERROR(__xludf.DUMMYFUNCTION("""COMPUTED_VALUE"""),3.39)</f>
        <v>3.39</v>
      </c>
      <c r="G1698" s="9">
        <f>IFERROR(__xludf.DUMMYFUNCTION("""COMPUTED_VALUE"""),3.39)</f>
        <v>3.39</v>
      </c>
      <c r="H1698" s="9">
        <f>IFERROR(__xludf.DUMMYFUNCTION("""COMPUTED_VALUE"""),1.0)</f>
        <v>1</v>
      </c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</row>
    <row r="1699" ht="15.75" customHeight="1">
      <c r="A1699" s="11">
        <f>IFERROR(__xludf.DUMMYFUNCTION("""COMPUTED_VALUE"""),44471.0)</f>
        <v>44471</v>
      </c>
      <c r="B1699" s="9">
        <f>IFERROR(__xludf.DUMMYFUNCTION("""COMPUTED_VALUE"""),1003526.0)</f>
        <v>1003526</v>
      </c>
      <c r="C1699" s="9">
        <f>IFERROR(__xludf.DUMMYFUNCTION("""COMPUTED_VALUE"""),110565.0)</f>
        <v>110565</v>
      </c>
      <c r="D1699" s="9"/>
      <c r="E1699" s="9"/>
      <c r="F1699" s="9">
        <f>IFERROR(__xludf.DUMMYFUNCTION("""COMPUTED_VALUE"""),1.76)</f>
        <v>1.76</v>
      </c>
      <c r="G1699" s="9">
        <f>IFERROR(__xludf.DUMMYFUNCTION("""COMPUTED_VALUE"""),1.76)</f>
        <v>1.76</v>
      </c>
      <c r="H1699" s="9">
        <f>IFERROR(__xludf.DUMMYFUNCTION("""COMPUTED_VALUE"""),1.0)</f>
        <v>1</v>
      </c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</row>
    <row r="1700" ht="15.75" customHeight="1">
      <c r="A1700" s="11">
        <f>IFERROR(__xludf.DUMMYFUNCTION("""COMPUTED_VALUE"""),44471.0)</f>
        <v>44471</v>
      </c>
      <c r="B1700" s="9">
        <f>IFERROR(__xludf.DUMMYFUNCTION("""COMPUTED_VALUE"""),1003526.0)</f>
        <v>1003526</v>
      </c>
      <c r="C1700" s="9">
        <f>IFERROR(__xludf.DUMMYFUNCTION("""COMPUTED_VALUE"""),119086.0)</f>
        <v>119086</v>
      </c>
      <c r="D1700" s="9"/>
      <c r="E1700" s="9"/>
      <c r="F1700" s="9">
        <f>IFERROR(__xludf.DUMMYFUNCTION("""COMPUTED_VALUE"""),2.04)</f>
        <v>2.04</v>
      </c>
      <c r="G1700" s="9">
        <f>IFERROR(__xludf.DUMMYFUNCTION("""COMPUTED_VALUE"""),2.04)</f>
        <v>2.04</v>
      </c>
      <c r="H1700" s="9">
        <f>IFERROR(__xludf.DUMMYFUNCTION("""COMPUTED_VALUE"""),1.0)</f>
        <v>1</v>
      </c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</row>
    <row r="1701" ht="15.75" customHeight="1">
      <c r="A1701" s="11">
        <f>IFERROR(__xludf.DUMMYFUNCTION("""COMPUTED_VALUE"""),44471.0)</f>
        <v>44471</v>
      </c>
      <c r="B1701" s="9">
        <f>IFERROR(__xludf.DUMMYFUNCTION("""COMPUTED_VALUE"""),1003526.0)</f>
        <v>1003526</v>
      </c>
      <c r="C1701" s="9">
        <f>IFERROR(__xludf.DUMMYFUNCTION("""COMPUTED_VALUE"""),80199.0)</f>
        <v>80199</v>
      </c>
      <c r="D1701" s="9"/>
      <c r="E1701" s="9"/>
      <c r="F1701" s="9">
        <f>IFERROR(__xludf.DUMMYFUNCTION("""COMPUTED_VALUE"""),1.66)</f>
        <v>1.66</v>
      </c>
      <c r="G1701" s="9">
        <f>IFERROR(__xludf.DUMMYFUNCTION("""COMPUTED_VALUE"""),1.66)</f>
        <v>1.66</v>
      </c>
      <c r="H1701" s="9">
        <f>IFERROR(__xludf.DUMMYFUNCTION("""COMPUTED_VALUE"""),1.0)</f>
        <v>1</v>
      </c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</row>
    <row r="1702" ht="15.75" customHeight="1">
      <c r="A1702" s="11">
        <f>IFERROR(__xludf.DUMMYFUNCTION("""COMPUTED_VALUE"""),44471.0)</f>
        <v>44471</v>
      </c>
      <c r="B1702" s="9">
        <f>IFERROR(__xludf.DUMMYFUNCTION("""COMPUTED_VALUE"""),1003526.0)</f>
        <v>1003526</v>
      </c>
      <c r="C1702" s="9">
        <f>IFERROR(__xludf.DUMMYFUNCTION("""COMPUTED_VALUE"""),107304.0)</f>
        <v>107304</v>
      </c>
      <c r="D1702" s="9"/>
      <c r="E1702" s="9"/>
      <c r="F1702" s="9">
        <f>IFERROR(__xludf.DUMMYFUNCTION("""COMPUTED_VALUE"""),4.41)</f>
        <v>4.41</v>
      </c>
      <c r="G1702" s="9">
        <f>IFERROR(__xludf.DUMMYFUNCTION("""COMPUTED_VALUE"""),4.41)</f>
        <v>4.41</v>
      </c>
      <c r="H1702" s="9">
        <f>IFERROR(__xludf.DUMMYFUNCTION("""COMPUTED_VALUE"""),1.0)</f>
        <v>1</v>
      </c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</row>
    <row r="1703" ht="15.75" customHeight="1">
      <c r="A1703" s="11">
        <f>IFERROR(__xludf.DUMMYFUNCTION("""COMPUTED_VALUE"""),44471.0)</f>
        <v>44471</v>
      </c>
      <c r="B1703" s="9">
        <f>IFERROR(__xludf.DUMMYFUNCTION("""COMPUTED_VALUE"""),1003526.0)</f>
        <v>1003526</v>
      </c>
      <c r="C1703" s="9">
        <f>IFERROR(__xludf.DUMMYFUNCTION("""COMPUTED_VALUE"""),108083.0)</f>
        <v>108083</v>
      </c>
      <c r="D1703" s="9"/>
      <c r="E1703" s="9"/>
      <c r="F1703" s="9">
        <f>IFERROR(__xludf.DUMMYFUNCTION("""COMPUTED_VALUE"""),2.09)</f>
        <v>2.09</v>
      </c>
      <c r="G1703" s="9">
        <f>IFERROR(__xludf.DUMMYFUNCTION("""COMPUTED_VALUE"""),2.09)</f>
        <v>2.09</v>
      </c>
      <c r="H1703" s="9">
        <f>IFERROR(__xludf.DUMMYFUNCTION("""COMPUTED_VALUE"""),1.0)</f>
        <v>1</v>
      </c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</row>
    <row r="1704" ht="15.75" customHeight="1">
      <c r="A1704" s="11">
        <f>IFERROR(__xludf.DUMMYFUNCTION("""COMPUTED_VALUE"""),44471.0)</f>
        <v>44471</v>
      </c>
      <c r="B1704" s="9">
        <f>IFERROR(__xludf.DUMMYFUNCTION("""COMPUTED_VALUE"""),1003526.0)</f>
        <v>1003526</v>
      </c>
      <c r="C1704" s="9">
        <f>IFERROR(__xludf.DUMMYFUNCTION("""COMPUTED_VALUE"""),79421.0)</f>
        <v>79421</v>
      </c>
      <c r="D1704" s="9"/>
      <c r="E1704" s="9"/>
      <c r="F1704" s="9">
        <f>IFERROR(__xludf.DUMMYFUNCTION("""COMPUTED_VALUE"""),2.09)</f>
        <v>2.09</v>
      </c>
      <c r="G1704" s="9">
        <f>IFERROR(__xludf.DUMMYFUNCTION("""COMPUTED_VALUE"""),2.09)</f>
        <v>2.09</v>
      </c>
      <c r="H1704" s="9">
        <f>IFERROR(__xludf.DUMMYFUNCTION("""COMPUTED_VALUE"""),1.0)</f>
        <v>1</v>
      </c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</row>
    <row r="1705" ht="15.75" customHeight="1">
      <c r="A1705" s="11">
        <f>IFERROR(__xludf.DUMMYFUNCTION("""COMPUTED_VALUE"""),44471.0)</f>
        <v>44471</v>
      </c>
      <c r="B1705" s="9">
        <f>IFERROR(__xludf.DUMMYFUNCTION("""COMPUTED_VALUE"""),1003526.0)</f>
        <v>1003526</v>
      </c>
      <c r="C1705" s="9">
        <f>IFERROR(__xludf.DUMMYFUNCTION("""COMPUTED_VALUE"""),109289.0)</f>
        <v>109289</v>
      </c>
      <c r="D1705" s="9"/>
      <c r="E1705" s="9"/>
      <c r="F1705" s="9">
        <f>IFERROR(__xludf.DUMMYFUNCTION("""COMPUTED_VALUE"""),20.26)</f>
        <v>20.26</v>
      </c>
      <c r="G1705" s="9">
        <f>IFERROR(__xludf.DUMMYFUNCTION("""COMPUTED_VALUE"""),20.26)</f>
        <v>20.26</v>
      </c>
      <c r="H1705" s="9">
        <f>IFERROR(__xludf.DUMMYFUNCTION("""COMPUTED_VALUE"""),1.0)</f>
        <v>1</v>
      </c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</row>
    <row r="1706" ht="15.75" customHeight="1">
      <c r="A1706" s="11">
        <f>IFERROR(__xludf.DUMMYFUNCTION("""COMPUTED_VALUE"""),44471.0)</f>
        <v>44471</v>
      </c>
      <c r="B1706" s="9">
        <f>IFERROR(__xludf.DUMMYFUNCTION("""COMPUTED_VALUE"""),1003526.0)</f>
        <v>1003526</v>
      </c>
      <c r="C1706" s="9">
        <f>IFERROR(__xludf.DUMMYFUNCTION("""COMPUTED_VALUE"""),9644.0)</f>
        <v>9644</v>
      </c>
      <c r="D1706" s="9"/>
      <c r="E1706" s="9"/>
      <c r="F1706" s="9">
        <f>IFERROR(__xludf.DUMMYFUNCTION("""COMPUTED_VALUE"""),1.99)</f>
        <v>1.99</v>
      </c>
      <c r="G1706" s="9">
        <f>IFERROR(__xludf.DUMMYFUNCTION("""COMPUTED_VALUE"""),1.99)</f>
        <v>1.99</v>
      </c>
      <c r="H1706" s="9">
        <f>IFERROR(__xludf.DUMMYFUNCTION("""COMPUTED_VALUE"""),1.0)</f>
        <v>1</v>
      </c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</row>
    <row r="1707" ht="15.75" customHeight="1">
      <c r="A1707" s="11">
        <f>IFERROR(__xludf.DUMMYFUNCTION("""COMPUTED_VALUE"""),44471.0)</f>
        <v>44471</v>
      </c>
      <c r="B1707" s="9">
        <f>IFERROR(__xludf.DUMMYFUNCTION("""COMPUTED_VALUE"""),1003526.0)</f>
        <v>1003526</v>
      </c>
      <c r="C1707" s="9">
        <f>IFERROR(__xludf.DUMMYFUNCTION("""COMPUTED_VALUE"""),128344.0)</f>
        <v>128344</v>
      </c>
      <c r="D1707" s="9"/>
      <c r="E1707" s="9"/>
      <c r="F1707" s="9">
        <f>IFERROR(__xludf.DUMMYFUNCTION("""COMPUTED_VALUE"""),2.74)</f>
        <v>2.74</v>
      </c>
      <c r="G1707" s="9">
        <f>IFERROR(__xludf.DUMMYFUNCTION("""COMPUTED_VALUE"""),2.74)</f>
        <v>2.74</v>
      </c>
      <c r="H1707" s="9">
        <f>IFERROR(__xludf.DUMMYFUNCTION("""COMPUTED_VALUE"""),1.0)</f>
        <v>1</v>
      </c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</row>
    <row r="1708" ht="15.75" customHeight="1">
      <c r="A1708" s="11">
        <f>IFERROR(__xludf.DUMMYFUNCTION("""COMPUTED_VALUE"""),44471.0)</f>
        <v>44471</v>
      </c>
      <c r="B1708" s="9">
        <f>IFERROR(__xludf.DUMMYFUNCTION("""COMPUTED_VALUE"""),1003526.0)</f>
        <v>1003526</v>
      </c>
      <c r="C1708" s="9">
        <f>IFERROR(__xludf.DUMMYFUNCTION("""COMPUTED_VALUE"""),5779.0)</f>
        <v>5779</v>
      </c>
      <c r="D1708" s="9"/>
      <c r="E1708" s="9"/>
      <c r="F1708" s="9">
        <f>IFERROR(__xludf.DUMMYFUNCTION("""COMPUTED_VALUE"""),1.55)</f>
        <v>1.55</v>
      </c>
      <c r="G1708" s="9">
        <f>IFERROR(__xludf.DUMMYFUNCTION("""COMPUTED_VALUE"""),1.55)</f>
        <v>1.55</v>
      </c>
      <c r="H1708" s="9">
        <f>IFERROR(__xludf.DUMMYFUNCTION("""COMPUTED_VALUE"""),2.0)</f>
        <v>2</v>
      </c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</row>
    <row r="1709" ht="15.75" customHeight="1">
      <c r="A1709" s="11">
        <f>IFERROR(__xludf.DUMMYFUNCTION("""COMPUTED_VALUE"""),44471.0)</f>
        <v>44471</v>
      </c>
      <c r="B1709" s="9">
        <f>IFERROR(__xludf.DUMMYFUNCTION("""COMPUTED_VALUE"""),1003526.0)</f>
        <v>1003526</v>
      </c>
      <c r="C1709" s="9">
        <f>IFERROR(__xludf.DUMMYFUNCTION("""COMPUTED_VALUE"""),12053.0)</f>
        <v>12053</v>
      </c>
      <c r="D1709" s="9"/>
      <c r="E1709" s="9"/>
      <c r="F1709" s="9">
        <f>IFERROR(__xludf.DUMMYFUNCTION("""COMPUTED_VALUE"""),2.61)</f>
        <v>2.61</v>
      </c>
      <c r="G1709" s="9">
        <f>IFERROR(__xludf.DUMMYFUNCTION("""COMPUTED_VALUE"""),2.61)</f>
        <v>2.61</v>
      </c>
      <c r="H1709" s="9">
        <f>IFERROR(__xludf.DUMMYFUNCTION("""COMPUTED_VALUE"""),2.0)</f>
        <v>2</v>
      </c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</row>
    <row r="1710" ht="15.75" customHeight="1">
      <c r="A1710" s="11">
        <f>IFERROR(__xludf.DUMMYFUNCTION("""COMPUTED_VALUE"""),44471.0)</f>
        <v>44471</v>
      </c>
      <c r="B1710" s="9">
        <f>IFERROR(__xludf.DUMMYFUNCTION("""COMPUTED_VALUE"""),1003527.0)</f>
        <v>1003527</v>
      </c>
      <c r="C1710" s="9">
        <f>IFERROR(__xludf.DUMMYFUNCTION("""COMPUTED_VALUE"""),93893.0)</f>
        <v>93893</v>
      </c>
      <c r="D1710" s="10" t="str">
        <f>IFERROR(__xludf.DUMMYFUNCTION("""COMPUTED_VALUE"""),"Vive le bio")</f>
        <v>Vive le bio</v>
      </c>
      <c r="E1710" s="10" t="str">
        <f>IFERROR(__xludf.DUMMYFUNCTION("""COMPUTED_VALUE"""),"PREMIERE")</f>
        <v>PREMIERE</v>
      </c>
      <c r="F1710" s="10">
        <f>IFERROR(__xludf.DUMMYFUNCTION("""COMPUTED_VALUE"""),8.41111111111111)</f>
        <v>8.411111111</v>
      </c>
      <c r="G1710" s="9">
        <f>IFERROR(__xludf.DUMMYFUNCTION("""COMPUTED_VALUE"""),7.57)</f>
        <v>7.57</v>
      </c>
      <c r="H1710" s="9">
        <f>IFERROR(__xludf.DUMMYFUNCTION("""COMPUTED_VALUE"""),1.0)</f>
        <v>1</v>
      </c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</row>
    <row r="1711" ht="15.75" customHeight="1">
      <c r="A1711" s="11">
        <f>IFERROR(__xludf.DUMMYFUNCTION("""COMPUTED_VALUE"""),44471.0)</f>
        <v>44471</v>
      </c>
      <c r="B1711" s="9">
        <f>IFERROR(__xludf.DUMMYFUNCTION("""COMPUTED_VALUE"""),1003527.0)</f>
        <v>1003527</v>
      </c>
      <c r="C1711" s="9">
        <f>IFERROR(__xludf.DUMMYFUNCTION("""COMPUTED_VALUE"""),85944.0)</f>
        <v>85944</v>
      </c>
      <c r="D1711" s="9"/>
      <c r="E1711" s="10" t="str">
        <f>IFERROR(__xludf.DUMMYFUNCTION("""COMPUTED_VALUE"""),"PREMIERE")</f>
        <v>PREMIERE</v>
      </c>
      <c r="F1711" s="10">
        <f>IFERROR(__xludf.DUMMYFUNCTION("""COMPUTED_VALUE"""),9.66)</f>
        <v>9.66</v>
      </c>
      <c r="G1711" s="9">
        <f>IFERROR(__xludf.DUMMYFUNCTION("""COMPUTED_VALUE"""),9.66)</f>
        <v>9.66</v>
      </c>
      <c r="H1711" s="9">
        <f>IFERROR(__xludf.DUMMYFUNCTION("""COMPUTED_VALUE"""),1.0)</f>
        <v>1</v>
      </c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</row>
    <row r="1712" ht="15.75" customHeight="1">
      <c r="A1712" s="11">
        <f>IFERROR(__xludf.DUMMYFUNCTION("""COMPUTED_VALUE"""),44471.0)</f>
        <v>44471</v>
      </c>
      <c r="B1712" s="9">
        <f>IFERROR(__xludf.DUMMYFUNCTION("""COMPUTED_VALUE"""),1003527.0)</f>
        <v>1003527</v>
      </c>
      <c r="C1712" s="9">
        <f>IFERROR(__xludf.DUMMYFUNCTION("""COMPUTED_VALUE"""),118270.0)</f>
        <v>118270</v>
      </c>
      <c r="D1712" s="9"/>
      <c r="E1712" s="10" t="str">
        <f>IFERROR(__xludf.DUMMYFUNCTION("""COMPUTED_VALUE"""),"PREMIERE")</f>
        <v>PREMIERE</v>
      </c>
      <c r="F1712" s="10">
        <f>IFERROR(__xludf.DUMMYFUNCTION("""COMPUTED_VALUE"""),5.62)</f>
        <v>5.62</v>
      </c>
      <c r="G1712" s="9">
        <f>IFERROR(__xludf.DUMMYFUNCTION("""COMPUTED_VALUE"""),5.62)</f>
        <v>5.62</v>
      </c>
      <c r="H1712" s="9">
        <f>IFERROR(__xludf.DUMMYFUNCTION("""COMPUTED_VALUE"""),1.0)</f>
        <v>1</v>
      </c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</row>
    <row r="1713" ht="15.75" customHeight="1">
      <c r="A1713" s="11">
        <f>IFERROR(__xludf.DUMMYFUNCTION("""COMPUTED_VALUE"""),44471.0)</f>
        <v>44471</v>
      </c>
      <c r="B1713" s="9">
        <f>IFERROR(__xludf.DUMMYFUNCTION("""COMPUTED_VALUE"""),1003527.0)</f>
        <v>1003527</v>
      </c>
      <c r="C1713" s="9">
        <f>IFERROR(__xludf.DUMMYFUNCTION("""COMPUTED_VALUE"""),118271.0)</f>
        <v>118271</v>
      </c>
      <c r="D1713" s="9"/>
      <c r="E1713" s="10" t="str">
        <f>IFERROR(__xludf.DUMMYFUNCTION("""COMPUTED_VALUE"""),"PREMIERE")</f>
        <v>PREMIERE</v>
      </c>
      <c r="F1713" s="10">
        <f>IFERROR(__xludf.DUMMYFUNCTION("""COMPUTED_VALUE"""),5.41)</f>
        <v>5.41</v>
      </c>
      <c r="G1713" s="9">
        <f>IFERROR(__xludf.DUMMYFUNCTION("""COMPUTED_VALUE"""),5.41)</f>
        <v>5.41</v>
      </c>
      <c r="H1713" s="9">
        <f>IFERROR(__xludf.DUMMYFUNCTION("""COMPUTED_VALUE"""),1.0)</f>
        <v>1</v>
      </c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</row>
    <row r="1714" ht="15.75" customHeight="1">
      <c r="A1714" s="11">
        <f>IFERROR(__xludf.DUMMYFUNCTION("""COMPUTED_VALUE"""),44471.0)</f>
        <v>44471</v>
      </c>
      <c r="B1714" s="9">
        <f>IFERROR(__xludf.DUMMYFUNCTION("""COMPUTED_VALUE"""),1003527.0)</f>
        <v>1003527</v>
      </c>
      <c r="C1714" s="9">
        <f>IFERROR(__xludf.DUMMYFUNCTION("""COMPUTED_VALUE"""),29585.0)</f>
        <v>29585</v>
      </c>
      <c r="D1714" s="9"/>
      <c r="E1714" s="10" t="str">
        <f>IFERROR(__xludf.DUMMYFUNCTION("""COMPUTED_VALUE"""),"PREMIERE")</f>
        <v>PREMIERE</v>
      </c>
      <c r="F1714" s="10">
        <f>IFERROR(__xludf.DUMMYFUNCTION("""COMPUTED_VALUE"""),4.7)</f>
        <v>4.7</v>
      </c>
      <c r="G1714" s="9">
        <f>IFERROR(__xludf.DUMMYFUNCTION("""COMPUTED_VALUE"""),4.7)</f>
        <v>4.7</v>
      </c>
      <c r="H1714" s="9">
        <f>IFERROR(__xludf.DUMMYFUNCTION("""COMPUTED_VALUE"""),1.0)</f>
        <v>1</v>
      </c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</row>
    <row r="1715" ht="15.75" customHeight="1">
      <c r="A1715" s="11">
        <f>IFERROR(__xludf.DUMMYFUNCTION("""COMPUTED_VALUE"""),44471.0)</f>
        <v>44471</v>
      </c>
      <c r="B1715" s="9">
        <f>IFERROR(__xludf.DUMMYFUNCTION("""COMPUTED_VALUE"""),1003528.0)</f>
        <v>1003528</v>
      </c>
      <c r="C1715" s="9">
        <f>IFERROR(__xludf.DUMMYFUNCTION("""COMPUTED_VALUE"""),103592.0)</f>
        <v>103592</v>
      </c>
      <c r="D1715" s="10" t="str">
        <f>IFERROR(__xludf.DUMMYFUNCTION("""COMPUTED_VALUE"""),"Love &amp; Green Couches et Culottes sept 2021")</f>
        <v>Love &amp; Green Couches et Culottes sept 2021</v>
      </c>
      <c r="E1715" s="10"/>
      <c r="F1715" s="9">
        <f>IFERROR(__xludf.DUMMYFUNCTION("""COMPUTED_VALUE"""),124.042857142857)</f>
        <v>124.0428571</v>
      </c>
      <c r="G1715" s="9">
        <f>IFERROR(__xludf.DUMMYFUNCTION("""COMPUTED_VALUE"""),86.83)</f>
        <v>86.83</v>
      </c>
      <c r="H1715" s="9">
        <f>IFERROR(__xludf.DUMMYFUNCTION("""COMPUTED_VALUE"""),8.0)</f>
        <v>8</v>
      </c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</row>
    <row r="1716" ht="15.75" customHeight="1">
      <c r="A1716" s="11">
        <f>IFERROR(__xludf.DUMMYFUNCTION("""COMPUTED_VALUE"""),44471.0)</f>
        <v>44471</v>
      </c>
      <c r="B1716" s="9">
        <f>IFERROR(__xludf.DUMMYFUNCTION("""COMPUTED_VALUE"""),1003530.0)</f>
        <v>1003530</v>
      </c>
      <c r="C1716" s="9">
        <f>IFERROR(__xludf.DUMMYFUNCTION("""COMPUTED_VALUE"""),29642.0)</f>
        <v>29642</v>
      </c>
      <c r="D1716" s="9"/>
      <c r="E1716" s="10" t="str">
        <f>IFERROR(__xludf.DUMMYFUNCTION("""COMPUTED_VALUE"""),"GREENRELAIS")</f>
        <v>GREENRELAIS</v>
      </c>
      <c r="F1716" s="10">
        <f>IFERROR(__xludf.DUMMYFUNCTION("""COMPUTED_VALUE"""),4.1)</f>
        <v>4.1</v>
      </c>
      <c r="G1716" s="9">
        <f>IFERROR(__xludf.DUMMYFUNCTION("""COMPUTED_VALUE"""),4.1)</f>
        <v>4.1</v>
      </c>
      <c r="H1716" s="9">
        <f>IFERROR(__xludf.DUMMYFUNCTION("""COMPUTED_VALUE"""),1.0)</f>
        <v>1</v>
      </c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</row>
    <row r="1717" ht="15.75" customHeight="1">
      <c r="A1717" s="11">
        <f>IFERROR(__xludf.DUMMYFUNCTION("""COMPUTED_VALUE"""),44471.0)</f>
        <v>44471</v>
      </c>
      <c r="B1717" s="9">
        <f>IFERROR(__xludf.DUMMYFUNCTION("""COMPUTED_VALUE"""),1003530.0)</f>
        <v>1003530</v>
      </c>
      <c r="C1717" s="9">
        <f>IFERROR(__xludf.DUMMYFUNCTION("""COMPUTED_VALUE"""),46896.0)</f>
        <v>46896</v>
      </c>
      <c r="D1717" s="9"/>
      <c r="E1717" s="10" t="str">
        <f>IFERROR(__xludf.DUMMYFUNCTION("""COMPUTED_VALUE"""),"GREENRELAIS")</f>
        <v>GREENRELAIS</v>
      </c>
      <c r="F1717" s="10">
        <f>IFERROR(__xludf.DUMMYFUNCTION("""COMPUTED_VALUE"""),4.87)</f>
        <v>4.87</v>
      </c>
      <c r="G1717" s="9">
        <f>IFERROR(__xludf.DUMMYFUNCTION("""COMPUTED_VALUE"""),4.87)</f>
        <v>4.87</v>
      </c>
      <c r="H1717" s="9">
        <f>IFERROR(__xludf.DUMMYFUNCTION("""COMPUTED_VALUE"""),1.0)</f>
        <v>1</v>
      </c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</row>
    <row r="1718" ht="15.75" customHeight="1">
      <c r="A1718" s="11">
        <f>IFERROR(__xludf.DUMMYFUNCTION("""COMPUTED_VALUE"""),44471.0)</f>
        <v>44471</v>
      </c>
      <c r="B1718" s="9">
        <f>IFERROR(__xludf.DUMMYFUNCTION("""COMPUTED_VALUE"""),1003530.0)</f>
        <v>1003530</v>
      </c>
      <c r="C1718" s="9">
        <f>IFERROR(__xludf.DUMMYFUNCTION("""COMPUTED_VALUE"""),110334.0)</f>
        <v>110334</v>
      </c>
      <c r="D1718" s="10" t="str">
        <f>IFERROR(__xludf.DUMMYFUNCTION("""COMPUTED_VALUE"""),"Love &amp; Green Couches et Culottes sept 2021")</f>
        <v>Love &amp; Green Couches et Culottes sept 2021</v>
      </c>
      <c r="E1718" s="10" t="str">
        <f>IFERROR(__xludf.DUMMYFUNCTION("""COMPUTED_VALUE"""),"GREENRELAIS")</f>
        <v>GREENRELAIS</v>
      </c>
      <c r="F1718" s="10">
        <f>IFERROR(__xludf.DUMMYFUNCTION("""COMPUTED_VALUE"""),10.4571428571428)</f>
        <v>10.45714286</v>
      </c>
      <c r="G1718" s="9">
        <f>IFERROR(__xludf.DUMMYFUNCTION("""COMPUTED_VALUE"""),7.32)</f>
        <v>7.32</v>
      </c>
      <c r="H1718" s="9">
        <f>IFERROR(__xludf.DUMMYFUNCTION("""COMPUTED_VALUE"""),1.0)</f>
        <v>1</v>
      </c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</row>
    <row r="1719" ht="15.75" customHeight="1">
      <c r="A1719" s="11">
        <f>IFERROR(__xludf.DUMMYFUNCTION("""COMPUTED_VALUE"""),44471.0)</f>
        <v>44471</v>
      </c>
      <c r="B1719" s="9">
        <f>IFERROR(__xludf.DUMMYFUNCTION("""COMPUTED_VALUE"""),1003530.0)</f>
        <v>1003530</v>
      </c>
      <c r="C1719" s="9">
        <f>IFERROR(__xludf.DUMMYFUNCTION("""COMPUTED_VALUE"""),29585.0)</f>
        <v>29585</v>
      </c>
      <c r="D1719" s="9"/>
      <c r="E1719" s="10" t="str">
        <f>IFERROR(__xludf.DUMMYFUNCTION("""COMPUTED_VALUE"""),"GREENRELAIS")</f>
        <v>GREENRELAIS</v>
      </c>
      <c r="F1719" s="10">
        <f>IFERROR(__xludf.DUMMYFUNCTION("""COMPUTED_VALUE"""),9.41)</f>
        <v>9.41</v>
      </c>
      <c r="G1719" s="9">
        <f>IFERROR(__xludf.DUMMYFUNCTION("""COMPUTED_VALUE"""),9.41)</f>
        <v>9.41</v>
      </c>
      <c r="H1719" s="9">
        <f>IFERROR(__xludf.DUMMYFUNCTION("""COMPUTED_VALUE"""),2.0)</f>
        <v>2</v>
      </c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</row>
    <row r="1720" ht="15.75" customHeight="1">
      <c r="A1720" s="11">
        <f>IFERROR(__xludf.DUMMYFUNCTION("""COMPUTED_VALUE"""),44471.0)</f>
        <v>44471</v>
      </c>
      <c r="B1720" s="9">
        <f>IFERROR(__xludf.DUMMYFUNCTION("""COMPUTED_VALUE"""),1003530.0)</f>
        <v>1003530</v>
      </c>
      <c r="C1720" s="9">
        <f>IFERROR(__xludf.DUMMYFUNCTION("""COMPUTED_VALUE"""),30501.0)</f>
        <v>30501</v>
      </c>
      <c r="D1720" s="9"/>
      <c r="E1720" s="10" t="str">
        <f>IFERROR(__xludf.DUMMYFUNCTION("""COMPUTED_VALUE"""),"GREENRELAIS")</f>
        <v>GREENRELAIS</v>
      </c>
      <c r="F1720" s="10">
        <f>IFERROR(__xludf.DUMMYFUNCTION("""COMPUTED_VALUE"""),18.82)</f>
        <v>18.82</v>
      </c>
      <c r="G1720" s="9">
        <f>IFERROR(__xludf.DUMMYFUNCTION("""COMPUTED_VALUE"""),18.82)</f>
        <v>18.82</v>
      </c>
      <c r="H1720" s="9">
        <f>IFERROR(__xludf.DUMMYFUNCTION("""COMPUTED_VALUE"""),2.0)</f>
        <v>2</v>
      </c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</row>
    <row r="1721" ht="15.75" customHeight="1">
      <c r="A1721" s="11">
        <f>IFERROR(__xludf.DUMMYFUNCTION("""COMPUTED_VALUE"""),44471.0)</f>
        <v>44471</v>
      </c>
      <c r="B1721" s="9">
        <f>IFERROR(__xludf.DUMMYFUNCTION("""COMPUTED_VALUE"""),1003530.0)</f>
        <v>1003530</v>
      </c>
      <c r="C1721" s="9">
        <f>IFERROR(__xludf.DUMMYFUNCTION("""COMPUTED_VALUE"""),83102.0)</f>
        <v>83102</v>
      </c>
      <c r="D1721" s="9"/>
      <c r="E1721" s="10" t="str">
        <f>IFERROR(__xludf.DUMMYFUNCTION("""COMPUTED_VALUE"""),"GREENRELAIS")</f>
        <v>GREENRELAIS</v>
      </c>
      <c r="F1721" s="10">
        <f>IFERROR(__xludf.DUMMYFUNCTION("""COMPUTED_VALUE"""),6.46)</f>
        <v>6.46</v>
      </c>
      <c r="G1721" s="9">
        <f>IFERROR(__xludf.DUMMYFUNCTION("""COMPUTED_VALUE"""),6.46)</f>
        <v>6.46</v>
      </c>
      <c r="H1721" s="9">
        <f>IFERROR(__xludf.DUMMYFUNCTION("""COMPUTED_VALUE"""),2.0)</f>
        <v>2</v>
      </c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</row>
    <row r="1722" ht="15.75" customHeight="1">
      <c r="A1722" s="11">
        <f>IFERROR(__xludf.DUMMYFUNCTION("""COMPUTED_VALUE"""),44471.0)</f>
        <v>44471</v>
      </c>
      <c r="B1722" s="9">
        <f>IFERROR(__xludf.DUMMYFUNCTION("""COMPUTED_VALUE"""),1003531.0)</f>
        <v>1003531</v>
      </c>
      <c r="C1722" s="9">
        <f>IFERROR(__xludf.DUMMYFUNCTION("""COMPUTED_VALUE"""),112731.0)</f>
        <v>112731</v>
      </c>
      <c r="D1722" s="10" t="str">
        <f>IFERROR(__xludf.DUMMYFUNCTION("""COMPUTED_VALUE"""),"Vive le bio")</f>
        <v>Vive le bio</v>
      </c>
      <c r="E1722" s="10"/>
      <c r="F1722" s="9">
        <f>IFERROR(__xludf.DUMMYFUNCTION("""COMPUTED_VALUE"""),6.76666666666666)</f>
        <v>6.766666667</v>
      </c>
      <c r="G1722" s="9">
        <f>IFERROR(__xludf.DUMMYFUNCTION("""COMPUTED_VALUE"""),6.09)</f>
        <v>6.09</v>
      </c>
      <c r="H1722" s="9">
        <f>IFERROR(__xludf.DUMMYFUNCTION("""COMPUTED_VALUE"""),1.0)</f>
        <v>1</v>
      </c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</row>
    <row r="1723" ht="15.75" customHeight="1">
      <c r="A1723" s="11">
        <f>IFERROR(__xludf.DUMMYFUNCTION("""COMPUTED_VALUE"""),44471.0)</f>
        <v>44471</v>
      </c>
      <c r="B1723" s="9">
        <f>IFERROR(__xludf.DUMMYFUNCTION("""COMPUTED_VALUE"""),1003531.0)</f>
        <v>1003531</v>
      </c>
      <c r="C1723" s="9">
        <f>IFERROR(__xludf.DUMMYFUNCTION("""COMPUTED_VALUE"""),117270.0)</f>
        <v>117270</v>
      </c>
      <c r="D1723" s="9"/>
      <c r="E1723" s="9"/>
      <c r="F1723" s="9">
        <f>IFERROR(__xludf.DUMMYFUNCTION("""COMPUTED_VALUE"""),14.08)</f>
        <v>14.08</v>
      </c>
      <c r="G1723" s="9">
        <f>IFERROR(__xludf.DUMMYFUNCTION("""COMPUTED_VALUE"""),14.08)</f>
        <v>14.08</v>
      </c>
      <c r="H1723" s="9">
        <f>IFERROR(__xludf.DUMMYFUNCTION("""COMPUTED_VALUE"""),2.0)</f>
        <v>2</v>
      </c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</row>
    <row r="1724" ht="15.75" customHeight="1">
      <c r="A1724" s="11">
        <f>IFERROR(__xludf.DUMMYFUNCTION("""COMPUTED_VALUE"""),44471.0)</f>
        <v>44471</v>
      </c>
      <c r="B1724" s="9">
        <f>IFERROR(__xludf.DUMMYFUNCTION("""COMPUTED_VALUE"""),1003532.0)</f>
        <v>1003532</v>
      </c>
      <c r="C1724" s="9">
        <f>IFERROR(__xludf.DUMMYFUNCTION("""COMPUTED_VALUE"""),102275.0)</f>
        <v>102275</v>
      </c>
      <c r="D1724" s="9"/>
      <c r="E1724" s="9"/>
      <c r="F1724" s="9">
        <f>IFERROR(__xludf.DUMMYFUNCTION("""COMPUTED_VALUE"""),34.3)</f>
        <v>34.3</v>
      </c>
      <c r="G1724" s="9">
        <f>IFERROR(__xludf.DUMMYFUNCTION("""COMPUTED_VALUE"""),34.3)</f>
        <v>34.3</v>
      </c>
      <c r="H1724" s="9">
        <f>IFERROR(__xludf.DUMMYFUNCTION("""COMPUTED_VALUE"""),4.0)</f>
        <v>4</v>
      </c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</row>
    <row r="1725" ht="15.75" customHeight="1">
      <c r="A1725" s="11">
        <f>IFERROR(__xludf.DUMMYFUNCTION("""COMPUTED_VALUE"""),44471.0)</f>
        <v>44471</v>
      </c>
      <c r="B1725" s="9">
        <f>IFERROR(__xludf.DUMMYFUNCTION("""COMPUTED_VALUE"""),1003532.0)</f>
        <v>1003532</v>
      </c>
      <c r="C1725" s="9">
        <f>IFERROR(__xludf.DUMMYFUNCTION("""COMPUTED_VALUE"""),102272.0)</f>
        <v>102272</v>
      </c>
      <c r="D1725" s="9"/>
      <c r="E1725" s="9"/>
      <c r="F1725" s="9">
        <f>IFERROR(__xludf.DUMMYFUNCTION("""COMPUTED_VALUE"""),34.3)</f>
        <v>34.3</v>
      </c>
      <c r="G1725" s="9">
        <f>IFERROR(__xludf.DUMMYFUNCTION("""COMPUTED_VALUE"""),34.3)</f>
        <v>34.3</v>
      </c>
      <c r="H1725" s="9">
        <f>IFERROR(__xludf.DUMMYFUNCTION("""COMPUTED_VALUE"""),4.0)</f>
        <v>4</v>
      </c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</row>
    <row r="1726" ht="15.75" customHeight="1">
      <c r="A1726" s="11">
        <f>IFERROR(__xludf.DUMMYFUNCTION("""COMPUTED_VALUE"""),44471.0)</f>
        <v>44471</v>
      </c>
      <c r="B1726" s="9">
        <f>IFERROR(__xludf.DUMMYFUNCTION("""COMPUTED_VALUE"""),1003533.0)</f>
        <v>1003533</v>
      </c>
      <c r="C1726" s="9">
        <f>IFERROR(__xludf.DUMMYFUNCTION("""COMPUTED_VALUE"""),14715.0)</f>
        <v>14715</v>
      </c>
      <c r="D1726" s="9"/>
      <c r="E1726" s="9"/>
      <c r="F1726" s="9">
        <f>IFERROR(__xludf.DUMMYFUNCTION("""COMPUTED_VALUE"""),10.68)</f>
        <v>10.68</v>
      </c>
      <c r="G1726" s="9">
        <f>IFERROR(__xludf.DUMMYFUNCTION("""COMPUTED_VALUE"""),10.68)</f>
        <v>10.68</v>
      </c>
      <c r="H1726" s="9">
        <f>IFERROR(__xludf.DUMMYFUNCTION("""COMPUTED_VALUE"""),2.0)</f>
        <v>2</v>
      </c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</row>
    <row r="1727" ht="15.75" customHeight="1">
      <c r="A1727" s="11">
        <f>IFERROR(__xludf.DUMMYFUNCTION("""COMPUTED_VALUE"""),44471.0)</f>
        <v>44471</v>
      </c>
      <c r="B1727" s="9">
        <f>IFERROR(__xludf.DUMMYFUNCTION("""COMPUTED_VALUE"""),1003534.0)</f>
        <v>1003534</v>
      </c>
      <c r="C1727" s="9">
        <f>IFERROR(__xludf.DUMMYFUNCTION("""COMPUTED_VALUE"""),111469.0)</f>
        <v>111469</v>
      </c>
      <c r="D1727" s="9"/>
      <c r="E1727" s="10" t="str">
        <f>IFERROR(__xludf.DUMMYFUNCTION("""COMPUTED_VALUE"""),"GREENRELAIS")</f>
        <v>GREENRELAIS</v>
      </c>
      <c r="F1727" s="10">
        <f>IFERROR(__xludf.DUMMYFUNCTION("""COMPUTED_VALUE"""),12.04)</f>
        <v>12.04</v>
      </c>
      <c r="G1727" s="9">
        <f>IFERROR(__xludf.DUMMYFUNCTION("""COMPUTED_VALUE"""),12.04)</f>
        <v>12.04</v>
      </c>
      <c r="H1727" s="9">
        <f>IFERROR(__xludf.DUMMYFUNCTION("""COMPUTED_VALUE"""),1.0)</f>
        <v>1</v>
      </c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</row>
    <row r="1728" ht="15.75" customHeight="1">
      <c r="A1728" s="11">
        <f>IFERROR(__xludf.DUMMYFUNCTION("""COMPUTED_VALUE"""),44471.0)</f>
        <v>44471</v>
      </c>
      <c r="B1728" s="9">
        <f>IFERROR(__xludf.DUMMYFUNCTION("""COMPUTED_VALUE"""),1003534.0)</f>
        <v>1003534</v>
      </c>
      <c r="C1728" s="9">
        <f>IFERROR(__xludf.DUMMYFUNCTION("""COMPUTED_VALUE"""),100247.0)</f>
        <v>100247</v>
      </c>
      <c r="D1728" s="9"/>
      <c r="E1728" s="10" t="str">
        <f>IFERROR(__xludf.DUMMYFUNCTION("""COMPUTED_VALUE"""),"GREENRELAIS")</f>
        <v>GREENRELAIS</v>
      </c>
      <c r="F1728" s="10">
        <f>IFERROR(__xludf.DUMMYFUNCTION("""COMPUTED_VALUE"""),4.08)</f>
        <v>4.08</v>
      </c>
      <c r="G1728" s="9">
        <f>IFERROR(__xludf.DUMMYFUNCTION("""COMPUTED_VALUE"""),4.08)</f>
        <v>4.08</v>
      </c>
      <c r="H1728" s="9">
        <f>IFERROR(__xludf.DUMMYFUNCTION("""COMPUTED_VALUE"""),1.0)</f>
        <v>1</v>
      </c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</row>
    <row r="1729" ht="15.75" customHeight="1">
      <c r="A1729" s="11">
        <f>IFERROR(__xludf.DUMMYFUNCTION("""COMPUTED_VALUE"""),44471.0)</f>
        <v>44471</v>
      </c>
      <c r="B1729" s="9">
        <f>IFERROR(__xludf.DUMMYFUNCTION("""COMPUTED_VALUE"""),1003534.0)</f>
        <v>1003534</v>
      </c>
      <c r="C1729" s="9">
        <f>IFERROR(__xludf.DUMMYFUNCTION("""COMPUTED_VALUE"""),107881.0)</f>
        <v>107881</v>
      </c>
      <c r="D1729" s="9"/>
      <c r="E1729" s="10" t="str">
        <f>IFERROR(__xludf.DUMMYFUNCTION("""COMPUTED_VALUE"""),"GREENRELAIS")</f>
        <v>GREENRELAIS</v>
      </c>
      <c r="F1729" s="10">
        <f>IFERROR(__xludf.DUMMYFUNCTION("""COMPUTED_VALUE"""),40.3)</f>
        <v>40.3</v>
      </c>
      <c r="G1729" s="9">
        <f>IFERROR(__xludf.DUMMYFUNCTION("""COMPUTED_VALUE"""),40.3)</f>
        <v>40.3</v>
      </c>
      <c r="H1729" s="9">
        <f>IFERROR(__xludf.DUMMYFUNCTION("""COMPUTED_VALUE"""),1.0)</f>
        <v>1</v>
      </c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</row>
    <row r="1730" ht="15.75" customHeight="1">
      <c r="A1730" s="11">
        <f>IFERROR(__xludf.DUMMYFUNCTION("""COMPUTED_VALUE"""),44471.0)</f>
        <v>44471</v>
      </c>
      <c r="B1730" s="9">
        <f>IFERROR(__xludf.DUMMYFUNCTION("""COMPUTED_VALUE"""),1003534.0)</f>
        <v>1003534</v>
      </c>
      <c r="C1730" s="9">
        <f>IFERROR(__xludf.DUMMYFUNCTION("""COMPUTED_VALUE"""),107878.0)</f>
        <v>107878</v>
      </c>
      <c r="D1730" s="9"/>
      <c r="E1730" s="10" t="str">
        <f>IFERROR(__xludf.DUMMYFUNCTION("""COMPUTED_VALUE"""),"GREENRELAIS")</f>
        <v>GREENRELAIS</v>
      </c>
      <c r="F1730" s="10">
        <f>IFERROR(__xludf.DUMMYFUNCTION("""COMPUTED_VALUE"""),21.02)</f>
        <v>21.02</v>
      </c>
      <c r="G1730" s="9">
        <f>IFERROR(__xludf.DUMMYFUNCTION("""COMPUTED_VALUE"""),21.02)</f>
        <v>21.02</v>
      </c>
      <c r="H1730" s="9">
        <f>IFERROR(__xludf.DUMMYFUNCTION("""COMPUTED_VALUE"""),1.0)</f>
        <v>1</v>
      </c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</row>
    <row r="1731" ht="15.75" customHeight="1">
      <c r="A1731" s="11">
        <f>IFERROR(__xludf.DUMMYFUNCTION("""COMPUTED_VALUE"""),44471.0)</f>
        <v>44471</v>
      </c>
      <c r="B1731" s="9">
        <f>IFERROR(__xludf.DUMMYFUNCTION("""COMPUTED_VALUE"""),1003535.0)</f>
        <v>1003535</v>
      </c>
      <c r="C1731" s="9">
        <f>IFERROR(__xludf.DUMMYFUNCTION("""COMPUTED_VALUE"""),82134.0)</f>
        <v>82134</v>
      </c>
      <c r="D1731" s="9"/>
      <c r="E1731" s="9"/>
      <c r="F1731" s="9">
        <f>IFERROR(__xludf.DUMMYFUNCTION("""COMPUTED_VALUE"""),9.54)</f>
        <v>9.54</v>
      </c>
      <c r="G1731" s="9">
        <f>IFERROR(__xludf.DUMMYFUNCTION("""COMPUTED_VALUE"""),9.54)</f>
        <v>9.54</v>
      </c>
      <c r="H1731" s="9">
        <f>IFERROR(__xludf.DUMMYFUNCTION("""COMPUTED_VALUE"""),1.0)</f>
        <v>1</v>
      </c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</row>
    <row r="1732" ht="15.75" customHeight="1">
      <c r="A1732" s="11">
        <f>IFERROR(__xludf.DUMMYFUNCTION("""COMPUTED_VALUE"""),44471.0)</f>
        <v>44471</v>
      </c>
      <c r="B1732" s="9">
        <f>IFERROR(__xludf.DUMMYFUNCTION("""COMPUTED_VALUE"""),1003535.0)</f>
        <v>1003535</v>
      </c>
      <c r="C1732" s="9">
        <f>IFERROR(__xludf.DUMMYFUNCTION("""COMPUTED_VALUE"""),96441.0)</f>
        <v>96441</v>
      </c>
      <c r="D1732" s="9"/>
      <c r="E1732" s="9"/>
      <c r="F1732" s="9">
        <f>IFERROR(__xludf.DUMMYFUNCTION("""COMPUTED_VALUE"""),4.35)</f>
        <v>4.35</v>
      </c>
      <c r="G1732" s="9">
        <f>IFERROR(__xludf.DUMMYFUNCTION("""COMPUTED_VALUE"""),4.35)</f>
        <v>4.35</v>
      </c>
      <c r="H1732" s="9">
        <f>IFERROR(__xludf.DUMMYFUNCTION("""COMPUTED_VALUE"""),1.0)</f>
        <v>1</v>
      </c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</row>
    <row r="1733" ht="15.75" customHeight="1">
      <c r="A1733" s="11">
        <f>IFERROR(__xludf.DUMMYFUNCTION("""COMPUTED_VALUE"""),44471.0)</f>
        <v>44471</v>
      </c>
      <c r="B1733" s="9">
        <f>IFERROR(__xludf.DUMMYFUNCTION("""COMPUTED_VALUE"""),1003535.0)</f>
        <v>1003535</v>
      </c>
      <c r="C1733" s="9">
        <f>IFERROR(__xludf.DUMMYFUNCTION("""COMPUTED_VALUE"""),46441.0)</f>
        <v>46441</v>
      </c>
      <c r="D1733" s="9"/>
      <c r="E1733" s="9"/>
      <c r="F1733" s="9">
        <f>IFERROR(__xludf.DUMMYFUNCTION("""COMPUTED_VALUE"""),5.2)</f>
        <v>5.2</v>
      </c>
      <c r="G1733" s="9">
        <f>IFERROR(__xludf.DUMMYFUNCTION("""COMPUTED_VALUE"""),5.2)</f>
        <v>5.2</v>
      </c>
      <c r="H1733" s="9">
        <f>IFERROR(__xludf.DUMMYFUNCTION("""COMPUTED_VALUE"""),1.0)</f>
        <v>1</v>
      </c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</row>
    <row r="1734" ht="15.75" customHeight="1">
      <c r="A1734" s="11">
        <f>IFERROR(__xludf.DUMMYFUNCTION("""COMPUTED_VALUE"""),44471.0)</f>
        <v>44471</v>
      </c>
      <c r="B1734" s="9">
        <f>IFERROR(__xludf.DUMMYFUNCTION("""COMPUTED_VALUE"""),1003535.0)</f>
        <v>1003535</v>
      </c>
      <c r="C1734" s="9">
        <f>IFERROR(__xludf.DUMMYFUNCTION("""COMPUTED_VALUE"""),46440.0)</f>
        <v>46440</v>
      </c>
      <c r="D1734" s="9"/>
      <c r="E1734" s="9"/>
      <c r="F1734" s="9">
        <f>IFERROR(__xludf.DUMMYFUNCTION("""COMPUTED_VALUE"""),4.49)</f>
        <v>4.49</v>
      </c>
      <c r="G1734" s="9">
        <f>IFERROR(__xludf.DUMMYFUNCTION("""COMPUTED_VALUE"""),4.49)</f>
        <v>4.49</v>
      </c>
      <c r="H1734" s="9">
        <f>IFERROR(__xludf.DUMMYFUNCTION("""COMPUTED_VALUE"""),1.0)</f>
        <v>1</v>
      </c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</row>
    <row r="1735" ht="15.75" customHeight="1">
      <c r="A1735" s="11">
        <f>IFERROR(__xludf.DUMMYFUNCTION("""COMPUTED_VALUE"""),44471.0)</f>
        <v>44471</v>
      </c>
      <c r="B1735" s="9">
        <f>IFERROR(__xludf.DUMMYFUNCTION("""COMPUTED_VALUE"""),1003535.0)</f>
        <v>1003535</v>
      </c>
      <c r="C1735" s="9">
        <f>IFERROR(__xludf.DUMMYFUNCTION("""COMPUTED_VALUE"""),5905.0)</f>
        <v>5905</v>
      </c>
      <c r="D1735" s="9"/>
      <c r="E1735" s="9"/>
      <c r="F1735" s="9">
        <f>IFERROR(__xludf.DUMMYFUNCTION("""COMPUTED_VALUE"""),6.17)</f>
        <v>6.17</v>
      </c>
      <c r="G1735" s="9">
        <f>IFERROR(__xludf.DUMMYFUNCTION("""COMPUTED_VALUE"""),6.17)</f>
        <v>6.17</v>
      </c>
      <c r="H1735" s="9">
        <f>IFERROR(__xludf.DUMMYFUNCTION("""COMPUTED_VALUE"""),2.0)</f>
        <v>2</v>
      </c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</row>
    <row r="1736" ht="15.75" customHeight="1">
      <c r="A1736" s="11">
        <f>IFERROR(__xludf.DUMMYFUNCTION("""COMPUTED_VALUE"""),44471.0)</f>
        <v>44471</v>
      </c>
      <c r="B1736" s="9">
        <f>IFERROR(__xludf.DUMMYFUNCTION("""COMPUTED_VALUE"""),1003536.0)</f>
        <v>1003536</v>
      </c>
      <c r="C1736" s="9">
        <f>IFERROR(__xludf.DUMMYFUNCTION("""COMPUTED_VALUE"""),79316.0)</f>
        <v>79316</v>
      </c>
      <c r="D1736" s="9"/>
      <c r="E1736" s="9"/>
      <c r="F1736" s="9">
        <f>IFERROR(__xludf.DUMMYFUNCTION("""COMPUTED_VALUE"""),8.0)</f>
        <v>8</v>
      </c>
      <c r="G1736" s="9">
        <f>IFERROR(__xludf.DUMMYFUNCTION("""COMPUTED_VALUE"""),8.0)</f>
        <v>8</v>
      </c>
      <c r="H1736" s="9">
        <f>IFERROR(__xludf.DUMMYFUNCTION("""COMPUTED_VALUE"""),1.0)</f>
        <v>1</v>
      </c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</row>
    <row r="1737" ht="15.75" customHeight="1">
      <c r="A1737" s="11">
        <f>IFERROR(__xludf.DUMMYFUNCTION("""COMPUTED_VALUE"""),44471.0)</f>
        <v>44471</v>
      </c>
      <c r="B1737" s="9">
        <f>IFERROR(__xludf.DUMMYFUNCTION("""COMPUTED_VALUE"""),1003536.0)</f>
        <v>1003536</v>
      </c>
      <c r="C1737" s="9">
        <f>IFERROR(__xludf.DUMMYFUNCTION("""COMPUTED_VALUE"""),118150.0)</f>
        <v>118150</v>
      </c>
      <c r="D1737" s="9"/>
      <c r="E1737" s="9"/>
      <c r="F1737" s="9">
        <f>IFERROR(__xludf.DUMMYFUNCTION("""COMPUTED_VALUE"""),1.69)</f>
        <v>1.69</v>
      </c>
      <c r="G1737" s="9">
        <f>IFERROR(__xludf.DUMMYFUNCTION("""COMPUTED_VALUE"""),1.69)</f>
        <v>1.69</v>
      </c>
      <c r="H1737" s="9">
        <f>IFERROR(__xludf.DUMMYFUNCTION("""COMPUTED_VALUE"""),1.0)</f>
        <v>1</v>
      </c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</row>
    <row r="1738" ht="15.75" customHeight="1">
      <c r="A1738" s="11">
        <f>IFERROR(__xludf.DUMMYFUNCTION("""COMPUTED_VALUE"""),44471.0)</f>
        <v>44471</v>
      </c>
      <c r="B1738" s="9">
        <f>IFERROR(__xludf.DUMMYFUNCTION("""COMPUTED_VALUE"""),1003536.0)</f>
        <v>1003536</v>
      </c>
      <c r="C1738" s="9">
        <f>IFERROR(__xludf.DUMMYFUNCTION("""COMPUTED_VALUE"""),72511.0)</f>
        <v>72511</v>
      </c>
      <c r="D1738" s="9"/>
      <c r="E1738" s="9"/>
      <c r="F1738" s="9">
        <f>IFERROR(__xludf.DUMMYFUNCTION("""COMPUTED_VALUE"""),3.4)</f>
        <v>3.4</v>
      </c>
      <c r="G1738" s="9">
        <f>IFERROR(__xludf.DUMMYFUNCTION("""COMPUTED_VALUE"""),3.4)</f>
        <v>3.4</v>
      </c>
      <c r="H1738" s="9">
        <f>IFERROR(__xludf.DUMMYFUNCTION("""COMPUTED_VALUE"""),1.0)</f>
        <v>1</v>
      </c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</row>
    <row r="1739" ht="15.75" customHeight="1">
      <c r="A1739" s="11">
        <f>IFERROR(__xludf.DUMMYFUNCTION("""COMPUTED_VALUE"""),44471.0)</f>
        <v>44471</v>
      </c>
      <c r="B1739" s="9">
        <f>IFERROR(__xludf.DUMMYFUNCTION("""COMPUTED_VALUE"""),1003536.0)</f>
        <v>1003536</v>
      </c>
      <c r="C1739" s="9">
        <f>IFERROR(__xludf.DUMMYFUNCTION("""COMPUTED_VALUE"""),46989.0)</f>
        <v>46989</v>
      </c>
      <c r="D1739" s="9"/>
      <c r="E1739" s="9"/>
      <c r="F1739" s="9">
        <f>IFERROR(__xludf.DUMMYFUNCTION("""COMPUTED_VALUE"""),4.8)</f>
        <v>4.8</v>
      </c>
      <c r="G1739" s="9">
        <f>IFERROR(__xludf.DUMMYFUNCTION("""COMPUTED_VALUE"""),4.8)</f>
        <v>4.8</v>
      </c>
      <c r="H1739" s="9">
        <f>IFERROR(__xludf.DUMMYFUNCTION("""COMPUTED_VALUE"""),1.0)</f>
        <v>1</v>
      </c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</row>
    <row r="1740" ht="15.75" customHeight="1">
      <c r="A1740" s="11">
        <f>IFERROR(__xludf.DUMMYFUNCTION("""COMPUTED_VALUE"""),44471.0)</f>
        <v>44471</v>
      </c>
      <c r="B1740" s="9">
        <f>IFERROR(__xludf.DUMMYFUNCTION("""COMPUTED_VALUE"""),1003536.0)</f>
        <v>1003536</v>
      </c>
      <c r="C1740" s="9">
        <f>IFERROR(__xludf.DUMMYFUNCTION("""COMPUTED_VALUE"""),111716.0)</f>
        <v>111716</v>
      </c>
      <c r="D1740" s="9"/>
      <c r="E1740" s="9"/>
      <c r="F1740" s="9">
        <f>IFERROR(__xludf.DUMMYFUNCTION("""COMPUTED_VALUE"""),1.2)</f>
        <v>1.2</v>
      </c>
      <c r="G1740" s="9">
        <f>IFERROR(__xludf.DUMMYFUNCTION("""COMPUTED_VALUE"""),1.2)</f>
        <v>1.2</v>
      </c>
      <c r="H1740" s="9">
        <f>IFERROR(__xludf.DUMMYFUNCTION("""COMPUTED_VALUE"""),1.0)</f>
        <v>1</v>
      </c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</row>
    <row r="1741" ht="15.75" customHeight="1">
      <c r="A1741" s="11">
        <f>IFERROR(__xludf.DUMMYFUNCTION("""COMPUTED_VALUE"""),44471.0)</f>
        <v>44471</v>
      </c>
      <c r="B1741" s="9">
        <f>IFERROR(__xludf.DUMMYFUNCTION("""COMPUTED_VALUE"""),1003536.0)</f>
        <v>1003536</v>
      </c>
      <c r="C1741" s="9">
        <f>IFERROR(__xludf.DUMMYFUNCTION("""COMPUTED_VALUE"""),70065.0)</f>
        <v>70065</v>
      </c>
      <c r="D1741" s="10" t="str">
        <f>IFERROR(__xludf.DUMMYFUNCTION("""COMPUTED_VALUE"""),"Vive le bio")</f>
        <v>Vive le bio</v>
      </c>
      <c r="E1741" s="10"/>
      <c r="F1741" s="9">
        <f>IFERROR(__xludf.DUMMYFUNCTION("""COMPUTED_VALUE"""),5.98888888888888)</f>
        <v>5.988888889</v>
      </c>
      <c r="G1741" s="9">
        <f>IFERROR(__xludf.DUMMYFUNCTION("""COMPUTED_VALUE"""),5.39)</f>
        <v>5.39</v>
      </c>
      <c r="H1741" s="9">
        <f>IFERROR(__xludf.DUMMYFUNCTION("""COMPUTED_VALUE"""),1.0)</f>
        <v>1</v>
      </c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</row>
    <row r="1742" ht="15.75" customHeight="1">
      <c r="A1742" s="11">
        <f>IFERROR(__xludf.DUMMYFUNCTION("""COMPUTED_VALUE"""),44471.0)</f>
        <v>44471</v>
      </c>
      <c r="B1742" s="9">
        <f>IFERROR(__xludf.DUMMYFUNCTION("""COMPUTED_VALUE"""),1003536.0)</f>
        <v>1003536</v>
      </c>
      <c r="C1742" s="9">
        <f>IFERROR(__xludf.DUMMYFUNCTION("""COMPUTED_VALUE"""),29538.0)</f>
        <v>29538</v>
      </c>
      <c r="D1742" s="9"/>
      <c r="E1742" s="9"/>
      <c r="F1742" s="9">
        <f>IFERROR(__xludf.DUMMYFUNCTION("""COMPUTED_VALUE"""),2.3)</f>
        <v>2.3</v>
      </c>
      <c r="G1742" s="9">
        <f>IFERROR(__xludf.DUMMYFUNCTION("""COMPUTED_VALUE"""),2.3)</f>
        <v>2.3</v>
      </c>
      <c r="H1742" s="9">
        <f>IFERROR(__xludf.DUMMYFUNCTION("""COMPUTED_VALUE"""),1.0)</f>
        <v>1</v>
      </c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</row>
    <row r="1743" ht="15.75" customHeight="1">
      <c r="A1743" s="11">
        <f>IFERROR(__xludf.DUMMYFUNCTION("""COMPUTED_VALUE"""),44471.0)</f>
        <v>44471</v>
      </c>
      <c r="B1743" s="9">
        <f>IFERROR(__xludf.DUMMYFUNCTION("""COMPUTED_VALUE"""),1003536.0)</f>
        <v>1003536</v>
      </c>
      <c r="C1743" s="9">
        <f>IFERROR(__xludf.DUMMYFUNCTION("""COMPUTED_VALUE"""),9706.0)</f>
        <v>9706</v>
      </c>
      <c r="D1743" s="9"/>
      <c r="E1743" s="9"/>
      <c r="F1743" s="9">
        <f>IFERROR(__xludf.DUMMYFUNCTION("""COMPUTED_VALUE"""),8.05)</f>
        <v>8.05</v>
      </c>
      <c r="G1743" s="9">
        <f>IFERROR(__xludf.DUMMYFUNCTION("""COMPUTED_VALUE"""),8.05)</f>
        <v>8.05</v>
      </c>
      <c r="H1743" s="9">
        <f>IFERROR(__xludf.DUMMYFUNCTION("""COMPUTED_VALUE"""),1.0)</f>
        <v>1</v>
      </c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</row>
    <row r="1744" ht="15.75" customHeight="1">
      <c r="A1744" s="11">
        <f>IFERROR(__xludf.DUMMYFUNCTION("""COMPUTED_VALUE"""),44471.0)</f>
        <v>44471</v>
      </c>
      <c r="B1744" s="9">
        <f>IFERROR(__xludf.DUMMYFUNCTION("""COMPUTED_VALUE"""),1003536.0)</f>
        <v>1003536</v>
      </c>
      <c r="C1744" s="9">
        <f>IFERROR(__xludf.DUMMYFUNCTION("""COMPUTED_VALUE"""),80131.0)</f>
        <v>80131</v>
      </c>
      <c r="D1744" s="9"/>
      <c r="E1744" s="9"/>
      <c r="F1744" s="9">
        <f>IFERROR(__xludf.DUMMYFUNCTION("""COMPUTED_VALUE"""),12.09)</f>
        <v>12.09</v>
      </c>
      <c r="G1744" s="9">
        <f>IFERROR(__xludf.DUMMYFUNCTION("""COMPUTED_VALUE"""),12.09)</f>
        <v>12.09</v>
      </c>
      <c r="H1744" s="9">
        <f>IFERROR(__xludf.DUMMYFUNCTION("""COMPUTED_VALUE"""),1.0)</f>
        <v>1</v>
      </c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</row>
    <row r="1745" ht="15.75" customHeight="1">
      <c r="A1745" s="11">
        <f>IFERROR(__xludf.DUMMYFUNCTION("""COMPUTED_VALUE"""),44471.0)</f>
        <v>44471</v>
      </c>
      <c r="B1745" s="9">
        <f>IFERROR(__xludf.DUMMYFUNCTION("""COMPUTED_VALUE"""),1003536.0)</f>
        <v>1003536</v>
      </c>
      <c r="C1745" s="9">
        <f>IFERROR(__xludf.DUMMYFUNCTION("""COMPUTED_VALUE"""),82464.0)</f>
        <v>82464</v>
      </c>
      <c r="D1745" s="9"/>
      <c r="E1745" s="9"/>
      <c r="F1745" s="9">
        <f>IFERROR(__xludf.DUMMYFUNCTION("""COMPUTED_VALUE"""),4.44)</f>
        <v>4.44</v>
      </c>
      <c r="G1745" s="9">
        <f>IFERROR(__xludf.DUMMYFUNCTION("""COMPUTED_VALUE"""),4.44)</f>
        <v>4.44</v>
      </c>
      <c r="H1745" s="9">
        <f>IFERROR(__xludf.DUMMYFUNCTION("""COMPUTED_VALUE"""),1.0)</f>
        <v>1</v>
      </c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</row>
    <row r="1746" ht="15.75" customHeight="1">
      <c r="A1746" s="11">
        <f>IFERROR(__xludf.DUMMYFUNCTION("""COMPUTED_VALUE"""),44471.0)</f>
        <v>44471</v>
      </c>
      <c r="B1746" s="9">
        <f>IFERROR(__xludf.DUMMYFUNCTION("""COMPUTED_VALUE"""),1003536.0)</f>
        <v>1003536</v>
      </c>
      <c r="C1746" s="9">
        <f>IFERROR(__xludf.DUMMYFUNCTION("""COMPUTED_VALUE"""),79318.0)</f>
        <v>79318</v>
      </c>
      <c r="D1746" s="9"/>
      <c r="E1746" s="9"/>
      <c r="F1746" s="9">
        <f>IFERROR(__xludf.DUMMYFUNCTION("""COMPUTED_VALUE"""),5.95)</f>
        <v>5.95</v>
      </c>
      <c r="G1746" s="9">
        <f>IFERROR(__xludf.DUMMYFUNCTION("""COMPUTED_VALUE"""),5.95)</f>
        <v>5.95</v>
      </c>
      <c r="H1746" s="9">
        <f>IFERROR(__xludf.DUMMYFUNCTION("""COMPUTED_VALUE"""),1.0)</f>
        <v>1</v>
      </c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</row>
    <row r="1747" ht="15.75" customHeight="1">
      <c r="A1747" s="11">
        <f>IFERROR(__xludf.DUMMYFUNCTION("""COMPUTED_VALUE"""),44471.0)</f>
        <v>44471</v>
      </c>
      <c r="B1747" s="9">
        <f>IFERROR(__xludf.DUMMYFUNCTION("""COMPUTED_VALUE"""),1003536.0)</f>
        <v>1003536</v>
      </c>
      <c r="C1747" s="9">
        <f>IFERROR(__xludf.DUMMYFUNCTION("""COMPUTED_VALUE"""),49108.0)</f>
        <v>49108</v>
      </c>
      <c r="D1747" s="9"/>
      <c r="E1747" s="9"/>
      <c r="F1747" s="9">
        <f>IFERROR(__xludf.DUMMYFUNCTION("""COMPUTED_VALUE"""),3.98)</f>
        <v>3.98</v>
      </c>
      <c r="G1747" s="9">
        <f>IFERROR(__xludf.DUMMYFUNCTION("""COMPUTED_VALUE"""),3.98)</f>
        <v>3.98</v>
      </c>
      <c r="H1747" s="9">
        <f>IFERROR(__xludf.DUMMYFUNCTION("""COMPUTED_VALUE"""),1.0)</f>
        <v>1</v>
      </c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</row>
    <row r="1748" ht="15.75" customHeight="1">
      <c r="A1748" s="11">
        <f>IFERROR(__xludf.DUMMYFUNCTION("""COMPUTED_VALUE"""),44471.0)</f>
        <v>44471</v>
      </c>
      <c r="B1748" s="9">
        <f>IFERROR(__xludf.DUMMYFUNCTION("""COMPUTED_VALUE"""),1003536.0)</f>
        <v>1003536</v>
      </c>
      <c r="C1748" s="9">
        <f>IFERROR(__xludf.DUMMYFUNCTION("""COMPUTED_VALUE"""),118930.0)</f>
        <v>118930</v>
      </c>
      <c r="D1748" s="9"/>
      <c r="E1748" s="9"/>
      <c r="F1748" s="9">
        <f>IFERROR(__xludf.DUMMYFUNCTION("""COMPUTED_VALUE"""),6.47)</f>
        <v>6.47</v>
      </c>
      <c r="G1748" s="9">
        <f>IFERROR(__xludf.DUMMYFUNCTION("""COMPUTED_VALUE"""),6.47)</f>
        <v>6.47</v>
      </c>
      <c r="H1748" s="9">
        <f>IFERROR(__xludf.DUMMYFUNCTION("""COMPUTED_VALUE"""),1.0)</f>
        <v>1</v>
      </c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</row>
    <row r="1749" ht="15.75" customHeight="1">
      <c r="A1749" s="11">
        <f>IFERROR(__xludf.DUMMYFUNCTION("""COMPUTED_VALUE"""),44471.0)</f>
        <v>44471</v>
      </c>
      <c r="B1749" s="9">
        <f>IFERROR(__xludf.DUMMYFUNCTION("""COMPUTED_VALUE"""),1003537.0)</f>
        <v>1003537</v>
      </c>
      <c r="C1749" s="9">
        <f>IFERROR(__xludf.DUMMYFUNCTION("""COMPUTED_VALUE"""),120541.0)</f>
        <v>120541</v>
      </c>
      <c r="D1749" s="9"/>
      <c r="E1749" s="10" t="str">
        <f>IFERROR(__xludf.DUMMYFUNCTION("""COMPUTED_VALUE"""),"GREENRELAIS")</f>
        <v>GREENRELAIS</v>
      </c>
      <c r="F1749" s="10">
        <f>IFERROR(__xludf.DUMMYFUNCTION("""COMPUTED_VALUE"""),6.28)</f>
        <v>6.28</v>
      </c>
      <c r="G1749" s="9">
        <f>IFERROR(__xludf.DUMMYFUNCTION("""COMPUTED_VALUE"""),6.28)</f>
        <v>6.28</v>
      </c>
      <c r="H1749" s="9">
        <f>IFERROR(__xludf.DUMMYFUNCTION("""COMPUTED_VALUE"""),1.0)</f>
        <v>1</v>
      </c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</row>
    <row r="1750" ht="15.75" customHeight="1">
      <c r="A1750" s="11">
        <f>IFERROR(__xludf.DUMMYFUNCTION("""COMPUTED_VALUE"""),44471.0)</f>
        <v>44471</v>
      </c>
      <c r="B1750" s="9">
        <f>IFERROR(__xludf.DUMMYFUNCTION("""COMPUTED_VALUE"""),1003537.0)</f>
        <v>1003537</v>
      </c>
      <c r="C1750" s="9">
        <f>IFERROR(__xludf.DUMMYFUNCTION("""COMPUTED_VALUE"""),120390.0)</f>
        <v>120390</v>
      </c>
      <c r="D1750" s="9"/>
      <c r="E1750" s="10" t="str">
        <f>IFERROR(__xludf.DUMMYFUNCTION("""COMPUTED_VALUE"""),"GREENRELAIS")</f>
        <v>GREENRELAIS</v>
      </c>
      <c r="F1750" s="10">
        <f>IFERROR(__xludf.DUMMYFUNCTION("""COMPUTED_VALUE"""),3.19)</f>
        <v>3.19</v>
      </c>
      <c r="G1750" s="9">
        <f>IFERROR(__xludf.DUMMYFUNCTION("""COMPUTED_VALUE"""),3.19)</f>
        <v>3.19</v>
      </c>
      <c r="H1750" s="9">
        <f>IFERROR(__xludf.DUMMYFUNCTION("""COMPUTED_VALUE"""),1.0)</f>
        <v>1</v>
      </c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</row>
    <row r="1751" ht="15.75" customHeight="1">
      <c r="A1751" s="11">
        <f>IFERROR(__xludf.DUMMYFUNCTION("""COMPUTED_VALUE"""),44471.0)</f>
        <v>44471</v>
      </c>
      <c r="B1751" s="9">
        <f>IFERROR(__xludf.DUMMYFUNCTION("""COMPUTED_VALUE"""),1003537.0)</f>
        <v>1003537</v>
      </c>
      <c r="C1751" s="9">
        <f>IFERROR(__xludf.DUMMYFUNCTION("""COMPUTED_VALUE"""),89774.0)</f>
        <v>89774</v>
      </c>
      <c r="D1751" s="9"/>
      <c r="E1751" s="10" t="str">
        <f>IFERROR(__xludf.DUMMYFUNCTION("""COMPUTED_VALUE"""),"GREENRELAIS")</f>
        <v>GREENRELAIS</v>
      </c>
      <c r="F1751" s="10">
        <f>IFERROR(__xludf.DUMMYFUNCTION("""COMPUTED_VALUE"""),11.8)</f>
        <v>11.8</v>
      </c>
      <c r="G1751" s="9">
        <f>IFERROR(__xludf.DUMMYFUNCTION("""COMPUTED_VALUE"""),11.8)</f>
        <v>11.8</v>
      </c>
      <c r="H1751" s="9">
        <f>IFERROR(__xludf.DUMMYFUNCTION("""COMPUTED_VALUE"""),2.0)</f>
        <v>2</v>
      </c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</row>
    <row r="1752" ht="15.75" customHeight="1">
      <c r="A1752" s="11">
        <f>IFERROR(__xludf.DUMMYFUNCTION("""COMPUTED_VALUE"""),44471.0)</f>
        <v>44471</v>
      </c>
      <c r="B1752" s="9">
        <f>IFERROR(__xludf.DUMMYFUNCTION("""COMPUTED_VALUE"""),1003537.0)</f>
        <v>1003537</v>
      </c>
      <c r="C1752" s="9">
        <f>IFERROR(__xludf.DUMMYFUNCTION("""COMPUTED_VALUE"""),90873.0)</f>
        <v>90873</v>
      </c>
      <c r="D1752" s="9"/>
      <c r="E1752" s="10" t="str">
        <f>IFERROR(__xludf.DUMMYFUNCTION("""COMPUTED_VALUE"""),"GREENRELAIS")</f>
        <v>GREENRELAIS</v>
      </c>
      <c r="F1752" s="10">
        <f>IFERROR(__xludf.DUMMYFUNCTION("""COMPUTED_VALUE"""),38.29)</f>
        <v>38.29</v>
      </c>
      <c r="G1752" s="9">
        <f>IFERROR(__xludf.DUMMYFUNCTION("""COMPUTED_VALUE"""),38.29)</f>
        <v>38.29</v>
      </c>
      <c r="H1752" s="9">
        <f>IFERROR(__xludf.DUMMYFUNCTION("""COMPUTED_VALUE"""),11.0)</f>
        <v>11</v>
      </c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</row>
    <row r="1753" ht="15.75" customHeight="1">
      <c r="A1753" s="11">
        <f>IFERROR(__xludf.DUMMYFUNCTION("""COMPUTED_VALUE"""),44471.0)</f>
        <v>44471</v>
      </c>
      <c r="B1753" s="9">
        <f>IFERROR(__xludf.DUMMYFUNCTION("""COMPUTED_VALUE"""),1003538.0)</f>
        <v>1003538</v>
      </c>
      <c r="C1753" s="9">
        <f>IFERROR(__xludf.DUMMYFUNCTION("""COMPUTED_VALUE"""),117615.0)</f>
        <v>117615</v>
      </c>
      <c r="D1753" s="9"/>
      <c r="E1753" s="10" t="str">
        <f>IFERROR(__xludf.DUMMYFUNCTION("""COMPUTED_VALUE"""),"PREMIERE")</f>
        <v>PREMIERE</v>
      </c>
      <c r="F1753" s="10">
        <f>IFERROR(__xludf.DUMMYFUNCTION("""COMPUTED_VALUE"""),6.75)</f>
        <v>6.75</v>
      </c>
      <c r="G1753" s="9">
        <f>IFERROR(__xludf.DUMMYFUNCTION("""COMPUTED_VALUE"""),6.75)</f>
        <v>6.75</v>
      </c>
      <c r="H1753" s="9">
        <f>IFERROR(__xludf.DUMMYFUNCTION("""COMPUTED_VALUE"""),1.0)</f>
        <v>1</v>
      </c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</row>
    <row r="1754" ht="15.75" customHeight="1">
      <c r="A1754" s="11">
        <f>IFERROR(__xludf.DUMMYFUNCTION("""COMPUTED_VALUE"""),44471.0)</f>
        <v>44471</v>
      </c>
      <c r="B1754" s="9">
        <f>IFERROR(__xludf.DUMMYFUNCTION("""COMPUTED_VALUE"""),1003538.0)</f>
        <v>1003538</v>
      </c>
      <c r="C1754" s="9">
        <f>IFERROR(__xludf.DUMMYFUNCTION("""COMPUTED_VALUE"""),111617.0)</f>
        <v>111617</v>
      </c>
      <c r="D1754" s="9"/>
      <c r="E1754" s="10" t="str">
        <f>IFERROR(__xludf.DUMMYFUNCTION("""COMPUTED_VALUE"""),"PREMIERE")</f>
        <v>PREMIERE</v>
      </c>
      <c r="F1754" s="10">
        <f>IFERROR(__xludf.DUMMYFUNCTION("""COMPUTED_VALUE"""),5.58)</f>
        <v>5.58</v>
      </c>
      <c r="G1754" s="9">
        <f>IFERROR(__xludf.DUMMYFUNCTION("""COMPUTED_VALUE"""),5.58)</f>
        <v>5.58</v>
      </c>
      <c r="H1754" s="9">
        <f>IFERROR(__xludf.DUMMYFUNCTION("""COMPUTED_VALUE"""),1.0)</f>
        <v>1</v>
      </c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</row>
    <row r="1755" ht="15.75" customHeight="1">
      <c r="A1755" s="11">
        <f>IFERROR(__xludf.DUMMYFUNCTION("""COMPUTED_VALUE"""),44471.0)</f>
        <v>44471</v>
      </c>
      <c r="B1755" s="9">
        <f>IFERROR(__xludf.DUMMYFUNCTION("""COMPUTED_VALUE"""),1003538.0)</f>
        <v>1003538</v>
      </c>
      <c r="C1755" s="9">
        <f>IFERROR(__xludf.DUMMYFUNCTION("""COMPUTED_VALUE"""),122643.0)</f>
        <v>122643</v>
      </c>
      <c r="D1755" s="9"/>
      <c r="E1755" s="10" t="str">
        <f>IFERROR(__xludf.DUMMYFUNCTION("""COMPUTED_VALUE"""),"PREMIERE")</f>
        <v>PREMIERE</v>
      </c>
      <c r="F1755" s="10">
        <f>IFERROR(__xludf.DUMMYFUNCTION("""COMPUTED_VALUE"""),4.85)</f>
        <v>4.85</v>
      </c>
      <c r="G1755" s="9">
        <f>IFERROR(__xludf.DUMMYFUNCTION("""COMPUTED_VALUE"""),4.85)</f>
        <v>4.85</v>
      </c>
      <c r="H1755" s="9">
        <f>IFERROR(__xludf.DUMMYFUNCTION("""COMPUTED_VALUE"""),1.0)</f>
        <v>1</v>
      </c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</row>
    <row r="1756" ht="15.75" customHeight="1">
      <c r="A1756" s="11">
        <f>IFERROR(__xludf.DUMMYFUNCTION("""COMPUTED_VALUE"""),44471.0)</f>
        <v>44471</v>
      </c>
      <c r="B1756" s="9">
        <f>IFERROR(__xludf.DUMMYFUNCTION("""COMPUTED_VALUE"""),1003538.0)</f>
        <v>1003538</v>
      </c>
      <c r="C1756" s="9">
        <f>IFERROR(__xludf.DUMMYFUNCTION("""COMPUTED_VALUE"""),89155.0)</f>
        <v>89155</v>
      </c>
      <c r="D1756" s="9"/>
      <c r="E1756" s="10" t="str">
        <f>IFERROR(__xludf.DUMMYFUNCTION("""COMPUTED_VALUE"""),"PREMIERE")</f>
        <v>PREMIERE</v>
      </c>
      <c r="F1756" s="10">
        <f>IFERROR(__xludf.DUMMYFUNCTION("""COMPUTED_VALUE"""),3.49)</f>
        <v>3.49</v>
      </c>
      <c r="G1756" s="9">
        <f>IFERROR(__xludf.DUMMYFUNCTION("""COMPUTED_VALUE"""),3.49)</f>
        <v>3.49</v>
      </c>
      <c r="H1756" s="9">
        <f>IFERROR(__xludf.DUMMYFUNCTION("""COMPUTED_VALUE"""),1.0)</f>
        <v>1</v>
      </c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</row>
    <row r="1757" ht="15.75" customHeight="1">
      <c r="A1757" s="11">
        <f>IFERROR(__xludf.DUMMYFUNCTION("""COMPUTED_VALUE"""),44471.0)</f>
        <v>44471</v>
      </c>
      <c r="B1757" s="9">
        <f>IFERROR(__xludf.DUMMYFUNCTION("""COMPUTED_VALUE"""),1003538.0)</f>
        <v>1003538</v>
      </c>
      <c r="C1757" s="9">
        <f>IFERROR(__xludf.DUMMYFUNCTION("""COMPUTED_VALUE"""),100327.0)</f>
        <v>100327</v>
      </c>
      <c r="D1757" s="10" t="str">
        <f>IFERROR(__xludf.DUMMYFUNCTION("""COMPUTED_VALUE"""),"Offre speciale")</f>
        <v>Offre speciale</v>
      </c>
      <c r="E1757" s="10" t="str">
        <f>IFERROR(__xludf.DUMMYFUNCTION("""COMPUTED_VALUE"""),"PREMIERE")</f>
        <v>PREMIERE</v>
      </c>
      <c r="F1757" s="10">
        <f>IFERROR(__xludf.DUMMYFUNCTION("""COMPUTED_VALUE"""),7.53333333333333)</f>
        <v>7.533333333</v>
      </c>
      <c r="G1757" s="9">
        <f>IFERROR(__xludf.DUMMYFUNCTION("""COMPUTED_VALUE"""),5.65)</f>
        <v>5.65</v>
      </c>
      <c r="H1757" s="9">
        <f>IFERROR(__xludf.DUMMYFUNCTION("""COMPUTED_VALUE"""),2.0)</f>
        <v>2</v>
      </c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</row>
    <row r="1758" ht="15.75" customHeight="1">
      <c r="A1758" s="11">
        <f>IFERROR(__xludf.DUMMYFUNCTION("""COMPUTED_VALUE"""),44471.0)</f>
        <v>44471</v>
      </c>
      <c r="B1758" s="9">
        <f>IFERROR(__xludf.DUMMYFUNCTION("""COMPUTED_VALUE"""),1003538.0)</f>
        <v>1003538</v>
      </c>
      <c r="C1758" s="9">
        <f>IFERROR(__xludf.DUMMYFUNCTION("""COMPUTED_VALUE"""),116770.0)</f>
        <v>116770</v>
      </c>
      <c r="D1758" s="9"/>
      <c r="E1758" s="10" t="str">
        <f>IFERROR(__xludf.DUMMYFUNCTION("""COMPUTED_VALUE"""),"PREMIERE")</f>
        <v>PREMIERE</v>
      </c>
      <c r="F1758" s="10">
        <f>IFERROR(__xludf.DUMMYFUNCTION("""COMPUTED_VALUE"""),7.84)</f>
        <v>7.84</v>
      </c>
      <c r="G1758" s="9">
        <f>IFERROR(__xludf.DUMMYFUNCTION("""COMPUTED_VALUE"""),7.84)</f>
        <v>7.84</v>
      </c>
      <c r="H1758" s="9">
        <f>IFERROR(__xludf.DUMMYFUNCTION("""COMPUTED_VALUE"""),2.0)</f>
        <v>2</v>
      </c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</row>
    <row r="1759" ht="15.75" customHeight="1">
      <c r="A1759" s="11">
        <f>IFERROR(__xludf.DUMMYFUNCTION("""COMPUTED_VALUE"""),44471.0)</f>
        <v>44471</v>
      </c>
      <c r="B1759" s="9">
        <f>IFERROR(__xludf.DUMMYFUNCTION("""COMPUTED_VALUE"""),1003539.0)</f>
        <v>1003539</v>
      </c>
      <c r="C1759" s="9">
        <f>IFERROR(__xludf.DUMMYFUNCTION("""COMPUTED_VALUE"""),70292.0)</f>
        <v>70292</v>
      </c>
      <c r="D1759" s="9"/>
      <c r="E1759" s="9"/>
      <c r="F1759" s="9">
        <f>IFERROR(__xludf.DUMMYFUNCTION("""COMPUTED_VALUE"""),6.27)</f>
        <v>6.27</v>
      </c>
      <c r="G1759" s="9">
        <f>IFERROR(__xludf.DUMMYFUNCTION("""COMPUTED_VALUE"""),6.27)</f>
        <v>6.27</v>
      </c>
      <c r="H1759" s="9">
        <f>IFERROR(__xludf.DUMMYFUNCTION("""COMPUTED_VALUE"""),1.0)</f>
        <v>1</v>
      </c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</row>
    <row r="1760" ht="15.75" customHeight="1">
      <c r="A1760" s="11">
        <f>IFERROR(__xludf.DUMMYFUNCTION("""COMPUTED_VALUE"""),44471.0)</f>
        <v>44471</v>
      </c>
      <c r="B1760" s="9">
        <f>IFERROR(__xludf.DUMMYFUNCTION("""COMPUTED_VALUE"""),1003539.0)</f>
        <v>1003539</v>
      </c>
      <c r="C1760" s="9">
        <f>IFERROR(__xludf.DUMMYFUNCTION("""COMPUTED_VALUE"""),70442.0)</f>
        <v>70442</v>
      </c>
      <c r="D1760" s="9"/>
      <c r="E1760" s="9"/>
      <c r="F1760" s="9">
        <f>IFERROR(__xludf.DUMMYFUNCTION("""COMPUTED_VALUE"""),4.09)</f>
        <v>4.09</v>
      </c>
      <c r="G1760" s="9">
        <f>IFERROR(__xludf.DUMMYFUNCTION("""COMPUTED_VALUE"""),4.09)</f>
        <v>4.09</v>
      </c>
      <c r="H1760" s="9">
        <f>IFERROR(__xludf.DUMMYFUNCTION("""COMPUTED_VALUE"""),1.0)</f>
        <v>1</v>
      </c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</row>
    <row r="1761" ht="15.75" customHeight="1">
      <c r="A1761" s="11">
        <f>IFERROR(__xludf.DUMMYFUNCTION("""COMPUTED_VALUE"""),44471.0)</f>
        <v>44471</v>
      </c>
      <c r="B1761" s="9">
        <f>IFERROR(__xludf.DUMMYFUNCTION("""COMPUTED_VALUE"""),1003539.0)</f>
        <v>1003539</v>
      </c>
      <c r="C1761" s="9">
        <f>IFERROR(__xludf.DUMMYFUNCTION("""COMPUTED_VALUE"""),119280.0)</f>
        <v>119280</v>
      </c>
      <c r="D1761" s="9"/>
      <c r="E1761" s="9"/>
      <c r="F1761" s="9">
        <f>IFERROR(__xludf.DUMMYFUNCTION("""COMPUTED_VALUE"""),3.68)</f>
        <v>3.68</v>
      </c>
      <c r="G1761" s="9">
        <f>IFERROR(__xludf.DUMMYFUNCTION("""COMPUTED_VALUE"""),3.68)</f>
        <v>3.68</v>
      </c>
      <c r="H1761" s="9">
        <f>IFERROR(__xludf.DUMMYFUNCTION("""COMPUTED_VALUE"""),1.0)</f>
        <v>1</v>
      </c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</row>
    <row r="1762" ht="15.75" customHeight="1">
      <c r="A1762" s="11">
        <f>IFERROR(__xludf.DUMMYFUNCTION("""COMPUTED_VALUE"""),44471.0)</f>
        <v>44471</v>
      </c>
      <c r="B1762" s="9">
        <f>IFERROR(__xludf.DUMMYFUNCTION("""COMPUTED_VALUE"""),1003539.0)</f>
        <v>1003539</v>
      </c>
      <c r="C1762" s="9">
        <f>IFERROR(__xludf.DUMMYFUNCTION("""COMPUTED_VALUE"""),110342.0)</f>
        <v>110342</v>
      </c>
      <c r="D1762" s="10" t="str">
        <f>IFERROR(__xludf.DUMMYFUNCTION("""COMPUTED_VALUE"""),"Love &amp; Green Couches et Culottes sept 2021")</f>
        <v>Love &amp; Green Couches et Culottes sept 2021</v>
      </c>
      <c r="E1762" s="10"/>
      <c r="F1762" s="9">
        <f>IFERROR(__xludf.DUMMYFUNCTION("""COMPUTED_VALUE"""),20.9142857142857)</f>
        <v>20.91428571</v>
      </c>
      <c r="G1762" s="9">
        <f>IFERROR(__xludf.DUMMYFUNCTION("""COMPUTED_VALUE"""),14.64)</f>
        <v>14.64</v>
      </c>
      <c r="H1762" s="9">
        <f>IFERROR(__xludf.DUMMYFUNCTION("""COMPUTED_VALUE"""),2.0)</f>
        <v>2</v>
      </c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</row>
    <row r="1763" ht="15.75" customHeight="1">
      <c r="A1763" s="11">
        <f>IFERROR(__xludf.DUMMYFUNCTION("""COMPUTED_VALUE"""),44471.0)</f>
        <v>44471</v>
      </c>
      <c r="B1763" s="9">
        <f>IFERROR(__xludf.DUMMYFUNCTION("""COMPUTED_VALUE"""),1003539.0)</f>
        <v>1003539</v>
      </c>
      <c r="C1763" s="9">
        <f>IFERROR(__xludf.DUMMYFUNCTION("""COMPUTED_VALUE"""),90007.0)</f>
        <v>90007</v>
      </c>
      <c r="D1763" s="9"/>
      <c r="E1763" s="9"/>
      <c r="F1763" s="9">
        <f>IFERROR(__xludf.DUMMYFUNCTION("""COMPUTED_VALUE"""),12.21)</f>
        <v>12.21</v>
      </c>
      <c r="G1763" s="9">
        <f>IFERROR(__xludf.DUMMYFUNCTION("""COMPUTED_VALUE"""),12.21)</f>
        <v>12.21</v>
      </c>
      <c r="H1763" s="9">
        <f>IFERROR(__xludf.DUMMYFUNCTION("""COMPUTED_VALUE"""),3.0)</f>
        <v>3</v>
      </c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</row>
    <row r="1764" ht="15.75" customHeight="1">
      <c r="A1764" s="11">
        <f>IFERROR(__xludf.DUMMYFUNCTION("""COMPUTED_VALUE"""),44471.0)</f>
        <v>44471</v>
      </c>
      <c r="B1764" s="9">
        <f>IFERROR(__xludf.DUMMYFUNCTION("""COMPUTED_VALUE"""),1003540.0)</f>
        <v>1003540</v>
      </c>
      <c r="C1764" s="9">
        <f>IFERROR(__xludf.DUMMYFUNCTION("""COMPUTED_VALUE"""),109312.0)</f>
        <v>109312</v>
      </c>
      <c r="D1764" s="9"/>
      <c r="E1764" s="10" t="str">
        <f>IFERROR(__xludf.DUMMYFUNCTION("""COMPUTED_VALUE"""),"GREENRELAIS")</f>
        <v>GREENRELAIS</v>
      </c>
      <c r="F1764" s="10">
        <f>IFERROR(__xludf.DUMMYFUNCTION("""COMPUTED_VALUE"""),2.68)</f>
        <v>2.68</v>
      </c>
      <c r="G1764" s="9">
        <f>IFERROR(__xludf.DUMMYFUNCTION("""COMPUTED_VALUE"""),2.68)</f>
        <v>2.68</v>
      </c>
      <c r="H1764" s="9">
        <f>IFERROR(__xludf.DUMMYFUNCTION("""COMPUTED_VALUE"""),1.0)</f>
        <v>1</v>
      </c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</row>
    <row r="1765" ht="15.75" customHeight="1">
      <c r="A1765" s="11">
        <f>IFERROR(__xludf.DUMMYFUNCTION("""COMPUTED_VALUE"""),44471.0)</f>
        <v>44471</v>
      </c>
      <c r="B1765" s="9">
        <f>IFERROR(__xludf.DUMMYFUNCTION("""COMPUTED_VALUE"""),1003540.0)</f>
        <v>1003540</v>
      </c>
      <c r="C1765" s="9">
        <f>IFERROR(__xludf.DUMMYFUNCTION("""COMPUTED_VALUE"""),113920.0)</f>
        <v>113920</v>
      </c>
      <c r="D1765" s="9"/>
      <c r="E1765" s="10" t="str">
        <f>IFERROR(__xludf.DUMMYFUNCTION("""COMPUTED_VALUE"""),"GREENRELAIS")</f>
        <v>GREENRELAIS</v>
      </c>
      <c r="F1765" s="10">
        <f>IFERROR(__xludf.DUMMYFUNCTION("""COMPUTED_VALUE"""),3.45)</f>
        <v>3.45</v>
      </c>
      <c r="G1765" s="9">
        <f>IFERROR(__xludf.DUMMYFUNCTION("""COMPUTED_VALUE"""),3.45)</f>
        <v>3.45</v>
      </c>
      <c r="H1765" s="9">
        <f>IFERROR(__xludf.DUMMYFUNCTION("""COMPUTED_VALUE"""),1.0)</f>
        <v>1</v>
      </c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</row>
    <row r="1766" ht="15.75" customHeight="1">
      <c r="A1766" s="11">
        <f>IFERROR(__xludf.DUMMYFUNCTION("""COMPUTED_VALUE"""),44471.0)</f>
        <v>44471</v>
      </c>
      <c r="B1766" s="9">
        <f>IFERROR(__xludf.DUMMYFUNCTION("""COMPUTED_VALUE"""),1003540.0)</f>
        <v>1003540</v>
      </c>
      <c r="C1766" s="9">
        <f>IFERROR(__xludf.DUMMYFUNCTION("""COMPUTED_VALUE"""),118226.0)</f>
        <v>118226</v>
      </c>
      <c r="D1766" s="9"/>
      <c r="E1766" s="10" t="str">
        <f>IFERROR(__xludf.DUMMYFUNCTION("""COMPUTED_VALUE"""),"GREENRELAIS")</f>
        <v>GREENRELAIS</v>
      </c>
      <c r="F1766" s="10">
        <f>IFERROR(__xludf.DUMMYFUNCTION("""COMPUTED_VALUE"""),2.34)</f>
        <v>2.34</v>
      </c>
      <c r="G1766" s="9">
        <f>IFERROR(__xludf.DUMMYFUNCTION("""COMPUTED_VALUE"""),2.34)</f>
        <v>2.34</v>
      </c>
      <c r="H1766" s="9">
        <f>IFERROR(__xludf.DUMMYFUNCTION("""COMPUTED_VALUE"""),1.0)</f>
        <v>1</v>
      </c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</row>
    <row r="1767" ht="15.75" customHeight="1">
      <c r="A1767" s="11">
        <f>IFERROR(__xludf.DUMMYFUNCTION("""COMPUTED_VALUE"""),44471.0)</f>
        <v>44471</v>
      </c>
      <c r="B1767" s="9">
        <f>IFERROR(__xludf.DUMMYFUNCTION("""COMPUTED_VALUE"""),1003540.0)</f>
        <v>1003540</v>
      </c>
      <c r="C1767" s="9">
        <f>IFERROR(__xludf.DUMMYFUNCTION("""COMPUTED_VALUE"""),99399.0)</f>
        <v>99399</v>
      </c>
      <c r="D1767" s="9"/>
      <c r="E1767" s="10" t="str">
        <f>IFERROR(__xludf.DUMMYFUNCTION("""COMPUTED_VALUE"""),"GREENRELAIS")</f>
        <v>GREENRELAIS</v>
      </c>
      <c r="F1767" s="10">
        <f>IFERROR(__xludf.DUMMYFUNCTION("""COMPUTED_VALUE"""),2.22)</f>
        <v>2.22</v>
      </c>
      <c r="G1767" s="9">
        <f>IFERROR(__xludf.DUMMYFUNCTION("""COMPUTED_VALUE"""),2.22)</f>
        <v>2.22</v>
      </c>
      <c r="H1767" s="9">
        <f>IFERROR(__xludf.DUMMYFUNCTION("""COMPUTED_VALUE"""),1.0)</f>
        <v>1</v>
      </c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</row>
    <row r="1768" ht="15.75" customHeight="1">
      <c r="A1768" s="11">
        <f>IFERROR(__xludf.DUMMYFUNCTION("""COMPUTED_VALUE"""),44471.0)</f>
        <v>44471</v>
      </c>
      <c r="B1768" s="9">
        <f>IFERROR(__xludf.DUMMYFUNCTION("""COMPUTED_VALUE"""),1003540.0)</f>
        <v>1003540</v>
      </c>
      <c r="C1768" s="9">
        <f>IFERROR(__xludf.DUMMYFUNCTION("""COMPUTED_VALUE"""),99392.0)</f>
        <v>99392</v>
      </c>
      <c r="D1768" s="9"/>
      <c r="E1768" s="10" t="str">
        <f>IFERROR(__xludf.DUMMYFUNCTION("""COMPUTED_VALUE"""),"GREENRELAIS")</f>
        <v>GREENRELAIS</v>
      </c>
      <c r="F1768" s="10">
        <f>IFERROR(__xludf.DUMMYFUNCTION("""COMPUTED_VALUE"""),2.22)</f>
        <v>2.22</v>
      </c>
      <c r="G1768" s="9">
        <f>IFERROR(__xludf.DUMMYFUNCTION("""COMPUTED_VALUE"""),2.22)</f>
        <v>2.22</v>
      </c>
      <c r="H1768" s="9">
        <f>IFERROR(__xludf.DUMMYFUNCTION("""COMPUTED_VALUE"""),1.0)</f>
        <v>1</v>
      </c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</row>
    <row r="1769" ht="15.75" customHeight="1">
      <c r="A1769" s="11">
        <f>IFERROR(__xludf.DUMMYFUNCTION("""COMPUTED_VALUE"""),44471.0)</f>
        <v>44471</v>
      </c>
      <c r="B1769" s="9">
        <f>IFERROR(__xludf.DUMMYFUNCTION("""COMPUTED_VALUE"""),1003540.0)</f>
        <v>1003540</v>
      </c>
      <c r="C1769" s="9">
        <f>IFERROR(__xludf.DUMMYFUNCTION("""COMPUTED_VALUE"""),77454.0)</f>
        <v>77454</v>
      </c>
      <c r="D1769" s="10" t="str">
        <f>IFERROR(__xludf.DUMMYFUNCTION("""COMPUTED_VALUE"""),"Vive le bio")</f>
        <v>Vive le bio</v>
      </c>
      <c r="E1769" s="10" t="str">
        <f>IFERROR(__xludf.DUMMYFUNCTION("""COMPUTED_VALUE"""),"GREENRELAIS")</f>
        <v>GREENRELAIS</v>
      </c>
      <c r="F1769" s="10">
        <f>IFERROR(__xludf.DUMMYFUNCTION("""COMPUTED_VALUE"""),2.31111111111111)</f>
        <v>2.311111111</v>
      </c>
      <c r="G1769" s="9">
        <f>IFERROR(__xludf.DUMMYFUNCTION("""COMPUTED_VALUE"""),2.08)</f>
        <v>2.08</v>
      </c>
      <c r="H1769" s="9">
        <f>IFERROR(__xludf.DUMMYFUNCTION("""COMPUTED_VALUE"""),1.0)</f>
        <v>1</v>
      </c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</row>
    <row r="1770" ht="15.75" customHeight="1">
      <c r="A1770" s="11">
        <f>IFERROR(__xludf.DUMMYFUNCTION("""COMPUTED_VALUE"""),44471.0)</f>
        <v>44471</v>
      </c>
      <c r="B1770" s="9">
        <f>IFERROR(__xludf.DUMMYFUNCTION("""COMPUTED_VALUE"""),1003540.0)</f>
        <v>1003540</v>
      </c>
      <c r="C1770" s="9">
        <f>IFERROR(__xludf.DUMMYFUNCTION("""COMPUTED_VALUE"""),109308.0)</f>
        <v>109308</v>
      </c>
      <c r="D1770" s="9"/>
      <c r="E1770" s="10" t="str">
        <f>IFERROR(__xludf.DUMMYFUNCTION("""COMPUTED_VALUE"""),"GREENRELAIS")</f>
        <v>GREENRELAIS</v>
      </c>
      <c r="F1770" s="10">
        <f>IFERROR(__xludf.DUMMYFUNCTION("""COMPUTED_VALUE"""),8.17)</f>
        <v>8.17</v>
      </c>
      <c r="G1770" s="9">
        <f>IFERROR(__xludf.DUMMYFUNCTION("""COMPUTED_VALUE"""),8.17)</f>
        <v>8.17</v>
      </c>
      <c r="H1770" s="9">
        <f>IFERROR(__xludf.DUMMYFUNCTION("""COMPUTED_VALUE"""),1.0)</f>
        <v>1</v>
      </c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</row>
    <row r="1771" ht="15.75" customHeight="1">
      <c r="A1771" s="11">
        <f>IFERROR(__xludf.DUMMYFUNCTION("""COMPUTED_VALUE"""),44471.0)</f>
        <v>44471</v>
      </c>
      <c r="B1771" s="9">
        <f>IFERROR(__xludf.DUMMYFUNCTION("""COMPUTED_VALUE"""),1003540.0)</f>
        <v>1003540</v>
      </c>
      <c r="C1771" s="9">
        <f>IFERROR(__xludf.DUMMYFUNCTION("""COMPUTED_VALUE"""),110577.0)</f>
        <v>110577</v>
      </c>
      <c r="D1771" s="9"/>
      <c r="E1771" s="10" t="str">
        <f>IFERROR(__xludf.DUMMYFUNCTION("""COMPUTED_VALUE"""),"GREENRELAIS")</f>
        <v>GREENRELAIS</v>
      </c>
      <c r="F1771" s="10">
        <f>IFERROR(__xludf.DUMMYFUNCTION("""COMPUTED_VALUE"""),2.42)</f>
        <v>2.42</v>
      </c>
      <c r="G1771" s="9">
        <f>IFERROR(__xludf.DUMMYFUNCTION("""COMPUTED_VALUE"""),2.42)</f>
        <v>2.42</v>
      </c>
      <c r="H1771" s="9">
        <f>IFERROR(__xludf.DUMMYFUNCTION("""COMPUTED_VALUE"""),2.0)</f>
        <v>2</v>
      </c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</row>
    <row r="1772" ht="15.75" customHeight="1">
      <c r="A1772" s="11">
        <f>IFERROR(__xludf.DUMMYFUNCTION("""COMPUTED_VALUE"""),44471.0)</f>
        <v>44471</v>
      </c>
      <c r="B1772" s="9">
        <f>IFERROR(__xludf.DUMMYFUNCTION("""COMPUTED_VALUE"""),1003540.0)</f>
        <v>1003540</v>
      </c>
      <c r="C1772" s="9">
        <f>IFERROR(__xludf.DUMMYFUNCTION("""COMPUTED_VALUE"""),80299.0)</f>
        <v>80299</v>
      </c>
      <c r="D1772" s="10" t="str">
        <f>IFERROR(__xludf.DUMMYFUNCTION("""COMPUTED_VALUE"""),"DLC courtes")</f>
        <v>DLC courtes</v>
      </c>
      <c r="E1772" s="10" t="str">
        <f>IFERROR(__xludf.DUMMYFUNCTION("""COMPUTED_VALUE"""),"GREENRELAIS")</f>
        <v>GREENRELAIS</v>
      </c>
      <c r="F1772" s="10">
        <f>IFERROR(__xludf.DUMMYFUNCTION("""COMPUTED_VALUE"""),13.34)</f>
        <v>13.34</v>
      </c>
      <c r="G1772" s="9">
        <f>IFERROR(__xludf.DUMMYFUNCTION("""COMPUTED_VALUE"""),6.67)</f>
        <v>6.67</v>
      </c>
      <c r="H1772" s="9">
        <f>IFERROR(__xludf.DUMMYFUNCTION("""COMPUTED_VALUE"""),2.0)</f>
        <v>2</v>
      </c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</row>
    <row r="1773" ht="15.75" customHeight="1">
      <c r="A1773" s="11">
        <f>IFERROR(__xludf.DUMMYFUNCTION("""COMPUTED_VALUE"""),44471.0)</f>
        <v>44471</v>
      </c>
      <c r="B1773" s="9">
        <f>IFERROR(__xludf.DUMMYFUNCTION("""COMPUTED_VALUE"""),1003540.0)</f>
        <v>1003540</v>
      </c>
      <c r="C1773" s="9">
        <f>IFERROR(__xludf.DUMMYFUNCTION("""COMPUTED_VALUE"""),112194.0)</f>
        <v>112194</v>
      </c>
      <c r="D1773" s="9"/>
      <c r="E1773" s="10" t="str">
        <f>IFERROR(__xludf.DUMMYFUNCTION("""COMPUTED_VALUE"""),"GREENRELAIS")</f>
        <v>GREENRELAIS</v>
      </c>
      <c r="F1773" s="10">
        <f>IFERROR(__xludf.DUMMYFUNCTION("""COMPUTED_VALUE"""),4.23)</f>
        <v>4.23</v>
      </c>
      <c r="G1773" s="9">
        <f>IFERROR(__xludf.DUMMYFUNCTION("""COMPUTED_VALUE"""),4.23)</f>
        <v>4.23</v>
      </c>
      <c r="H1773" s="9">
        <f>IFERROR(__xludf.DUMMYFUNCTION("""COMPUTED_VALUE"""),2.0)</f>
        <v>2</v>
      </c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</row>
    <row r="1774" ht="15.75" customHeight="1">
      <c r="A1774" s="11">
        <f>IFERROR(__xludf.DUMMYFUNCTION("""COMPUTED_VALUE"""),44471.0)</f>
        <v>44471</v>
      </c>
      <c r="B1774" s="9">
        <f>IFERROR(__xludf.DUMMYFUNCTION("""COMPUTED_VALUE"""),1003540.0)</f>
        <v>1003540</v>
      </c>
      <c r="C1774" s="9">
        <f>IFERROR(__xludf.DUMMYFUNCTION("""COMPUTED_VALUE"""),10572.0)</f>
        <v>10572</v>
      </c>
      <c r="D1774" s="9"/>
      <c r="E1774" s="10" t="str">
        <f>IFERROR(__xludf.DUMMYFUNCTION("""COMPUTED_VALUE"""),"GREENRELAIS")</f>
        <v>GREENRELAIS</v>
      </c>
      <c r="F1774" s="10">
        <f>IFERROR(__xludf.DUMMYFUNCTION("""COMPUTED_VALUE"""),19.15)</f>
        <v>19.15</v>
      </c>
      <c r="G1774" s="9">
        <f>IFERROR(__xludf.DUMMYFUNCTION("""COMPUTED_VALUE"""),19.15)</f>
        <v>19.15</v>
      </c>
      <c r="H1774" s="9">
        <f>IFERROR(__xludf.DUMMYFUNCTION("""COMPUTED_VALUE"""),6.0)</f>
        <v>6</v>
      </c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</row>
    <row r="1775" ht="15.75" customHeight="1">
      <c r="A1775" s="11">
        <f>IFERROR(__xludf.DUMMYFUNCTION("""COMPUTED_VALUE"""),44471.0)</f>
        <v>44471</v>
      </c>
      <c r="B1775" s="9">
        <f>IFERROR(__xludf.DUMMYFUNCTION("""COMPUTED_VALUE"""),1003541.0)</f>
        <v>1003541</v>
      </c>
      <c r="C1775" s="9">
        <f>IFERROR(__xludf.DUMMYFUNCTION("""COMPUTED_VALUE"""),78338.0)</f>
        <v>78338</v>
      </c>
      <c r="D1775" s="9"/>
      <c r="E1775" s="9"/>
      <c r="F1775" s="9">
        <f>IFERROR(__xludf.DUMMYFUNCTION("""COMPUTED_VALUE"""),19.0)</f>
        <v>19</v>
      </c>
      <c r="G1775" s="9">
        <f>IFERROR(__xludf.DUMMYFUNCTION("""COMPUTED_VALUE"""),19.0)</f>
        <v>19</v>
      </c>
      <c r="H1775" s="9">
        <f>IFERROR(__xludf.DUMMYFUNCTION("""COMPUTED_VALUE"""),1.0)</f>
        <v>1</v>
      </c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</row>
    <row r="1776" ht="15.75" customHeight="1">
      <c r="A1776" s="11">
        <f>IFERROR(__xludf.DUMMYFUNCTION("""COMPUTED_VALUE"""),44471.0)</f>
        <v>44471</v>
      </c>
      <c r="B1776" s="9">
        <f>IFERROR(__xludf.DUMMYFUNCTION("""COMPUTED_VALUE"""),1003541.0)</f>
        <v>1003541</v>
      </c>
      <c r="C1776" s="9">
        <f>IFERROR(__xludf.DUMMYFUNCTION("""COMPUTED_VALUE"""),9469.0)</f>
        <v>9469</v>
      </c>
      <c r="D1776" s="10" t="str">
        <f>IFERROR(__xludf.DUMMYFUNCTION("""COMPUTED_VALUE"""),"Offre speciale")</f>
        <v>Offre speciale</v>
      </c>
      <c r="E1776" s="10"/>
      <c r="F1776" s="9">
        <f>IFERROR(__xludf.DUMMYFUNCTION("""COMPUTED_VALUE"""),2.77647058823529)</f>
        <v>2.776470588</v>
      </c>
      <c r="G1776" s="9">
        <f>IFERROR(__xludf.DUMMYFUNCTION("""COMPUTED_VALUE"""),2.36)</f>
        <v>2.36</v>
      </c>
      <c r="H1776" s="9">
        <f>IFERROR(__xludf.DUMMYFUNCTION("""COMPUTED_VALUE"""),1.0)</f>
        <v>1</v>
      </c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</row>
    <row r="1777" ht="15.75" customHeight="1">
      <c r="A1777" s="11">
        <f>IFERROR(__xludf.DUMMYFUNCTION("""COMPUTED_VALUE"""),44471.0)</f>
        <v>44471</v>
      </c>
      <c r="B1777" s="9">
        <f>IFERROR(__xludf.DUMMYFUNCTION("""COMPUTED_VALUE"""),1003541.0)</f>
        <v>1003541</v>
      </c>
      <c r="C1777" s="9">
        <f>IFERROR(__xludf.DUMMYFUNCTION("""COMPUTED_VALUE"""),1587.0)</f>
        <v>1587</v>
      </c>
      <c r="D1777" s="9"/>
      <c r="E1777" s="9"/>
      <c r="F1777" s="9">
        <f>IFERROR(__xludf.DUMMYFUNCTION("""COMPUTED_VALUE"""),2.32)</f>
        <v>2.32</v>
      </c>
      <c r="G1777" s="9">
        <f>IFERROR(__xludf.DUMMYFUNCTION("""COMPUTED_VALUE"""),2.32)</f>
        <v>2.32</v>
      </c>
      <c r="H1777" s="9">
        <f>IFERROR(__xludf.DUMMYFUNCTION("""COMPUTED_VALUE"""),1.0)</f>
        <v>1</v>
      </c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</row>
    <row r="1778" ht="15.75" customHeight="1">
      <c r="A1778" s="11">
        <f>IFERROR(__xludf.DUMMYFUNCTION("""COMPUTED_VALUE"""),44471.0)</f>
        <v>44471</v>
      </c>
      <c r="B1778" s="9">
        <f>IFERROR(__xludf.DUMMYFUNCTION("""COMPUTED_VALUE"""),1003541.0)</f>
        <v>1003541</v>
      </c>
      <c r="C1778" s="9">
        <f>IFERROR(__xludf.DUMMYFUNCTION("""COMPUTED_VALUE"""),73260.0)</f>
        <v>73260</v>
      </c>
      <c r="D1778" s="9"/>
      <c r="E1778" s="9"/>
      <c r="F1778" s="9">
        <f>IFERROR(__xludf.DUMMYFUNCTION("""COMPUTED_VALUE"""),5.52)</f>
        <v>5.52</v>
      </c>
      <c r="G1778" s="9">
        <f>IFERROR(__xludf.DUMMYFUNCTION("""COMPUTED_VALUE"""),5.52)</f>
        <v>5.52</v>
      </c>
      <c r="H1778" s="9">
        <f>IFERROR(__xludf.DUMMYFUNCTION("""COMPUTED_VALUE"""),3.0)</f>
        <v>3</v>
      </c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</row>
    <row r="1779" ht="15.75" customHeight="1">
      <c r="A1779" s="11">
        <f>IFERROR(__xludf.DUMMYFUNCTION("""COMPUTED_VALUE"""),44471.0)</f>
        <v>44471</v>
      </c>
      <c r="B1779" s="9">
        <f>IFERROR(__xludf.DUMMYFUNCTION("""COMPUTED_VALUE"""),1003541.0)</f>
        <v>1003541</v>
      </c>
      <c r="C1779" s="9">
        <f>IFERROR(__xludf.DUMMYFUNCTION("""COMPUTED_VALUE"""),113094.0)</f>
        <v>113094</v>
      </c>
      <c r="D1779" s="9"/>
      <c r="E1779" s="9"/>
      <c r="F1779" s="9">
        <f>IFERROR(__xludf.DUMMYFUNCTION("""COMPUTED_VALUE"""),10.44)</f>
        <v>10.44</v>
      </c>
      <c r="G1779" s="9">
        <f>IFERROR(__xludf.DUMMYFUNCTION("""COMPUTED_VALUE"""),10.44)</f>
        <v>10.44</v>
      </c>
      <c r="H1779" s="9">
        <f>IFERROR(__xludf.DUMMYFUNCTION("""COMPUTED_VALUE"""),6.0)</f>
        <v>6</v>
      </c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</row>
    <row r="1780" ht="15.75" customHeight="1">
      <c r="A1780" s="11">
        <f>IFERROR(__xludf.DUMMYFUNCTION("""COMPUTED_VALUE"""),44471.0)</f>
        <v>44471</v>
      </c>
      <c r="B1780" s="9">
        <f>IFERROR(__xludf.DUMMYFUNCTION("""COMPUTED_VALUE"""),1003542.0)</f>
        <v>1003542</v>
      </c>
      <c r="C1780" s="9">
        <f>IFERROR(__xludf.DUMMYFUNCTION("""COMPUTED_VALUE"""),19776.0)</f>
        <v>19776</v>
      </c>
      <c r="D1780" s="9"/>
      <c r="E1780" s="10" t="str">
        <f>IFERROR(__xludf.DUMMYFUNCTION("""COMPUTED_VALUE"""),"GREENRELAIS")</f>
        <v>GREENRELAIS</v>
      </c>
      <c r="F1780" s="10">
        <f>IFERROR(__xludf.DUMMYFUNCTION("""COMPUTED_VALUE"""),2.25)</f>
        <v>2.25</v>
      </c>
      <c r="G1780" s="9">
        <f>IFERROR(__xludf.DUMMYFUNCTION("""COMPUTED_VALUE"""),2.25)</f>
        <v>2.25</v>
      </c>
      <c r="H1780" s="9">
        <f>IFERROR(__xludf.DUMMYFUNCTION("""COMPUTED_VALUE"""),1.0)</f>
        <v>1</v>
      </c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</row>
    <row r="1781" ht="15.75" customHeight="1">
      <c r="A1781" s="11">
        <f>IFERROR(__xludf.DUMMYFUNCTION("""COMPUTED_VALUE"""),44471.0)</f>
        <v>44471</v>
      </c>
      <c r="B1781" s="9">
        <f>IFERROR(__xludf.DUMMYFUNCTION("""COMPUTED_VALUE"""),1003542.0)</f>
        <v>1003542</v>
      </c>
      <c r="C1781" s="9">
        <f>IFERROR(__xludf.DUMMYFUNCTION("""COMPUTED_VALUE"""),76589.0)</f>
        <v>76589</v>
      </c>
      <c r="D1781" s="10" t="str">
        <f>IFERROR(__xludf.DUMMYFUNCTION("""COMPUTED_VALUE"""),"Offre speciale")</f>
        <v>Offre speciale</v>
      </c>
      <c r="E1781" s="10" t="str">
        <f>IFERROR(__xludf.DUMMYFUNCTION("""COMPUTED_VALUE"""),"GREENRELAIS")</f>
        <v>GREENRELAIS</v>
      </c>
      <c r="F1781" s="10">
        <f>IFERROR(__xludf.DUMMYFUNCTION("""COMPUTED_VALUE"""),3.0)</f>
        <v>3</v>
      </c>
      <c r="G1781" s="9">
        <f>IFERROR(__xludf.DUMMYFUNCTION("""COMPUTED_VALUE"""),2.55)</f>
        <v>2.55</v>
      </c>
      <c r="H1781" s="9">
        <f>IFERROR(__xludf.DUMMYFUNCTION("""COMPUTED_VALUE"""),1.0)</f>
        <v>1</v>
      </c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</row>
    <row r="1782" ht="15.75" customHeight="1">
      <c r="A1782" s="11">
        <f>IFERROR(__xludf.DUMMYFUNCTION("""COMPUTED_VALUE"""),44471.0)</f>
        <v>44471</v>
      </c>
      <c r="B1782" s="9">
        <f>IFERROR(__xludf.DUMMYFUNCTION("""COMPUTED_VALUE"""),1003542.0)</f>
        <v>1003542</v>
      </c>
      <c r="C1782" s="9">
        <f>IFERROR(__xludf.DUMMYFUNCTION("""COMPUTED_VALUE"""),79919.0)</f>
        <v>79919</v>
      </c>
      <c r="D1782" s="9"/>
      <c r="E1782" s="10" t="str">
        <f>IFERROR(__xludf.DUMMYFUNCTION("""COMPUTED_VALUE"""),"GREENRELAIS")</f>
        <v>GREENRELAIS</v>
      </c>
      <c r="F1782" s="10">
        <f>IFERROR(__xludf.DUMMYFUNCTION("""COMPUTED_VALUE"""),6.26)</f>
        <v>6.26</v>
      </c>
      <c r="G1782" s="9">
        <f>IFERROR(__xludf.DUMMYFUNCTION("""COMPUTED_VALUE"""),6.26)</f>
        <v>6.26</v>
      </c>
      <c r="H1782" s="9">
        <f>IFERROR(__xludf.DUMMYFUNCTION("""COMPUTED_VALUE"""),1.0)</f>
        <v>1</v>
      </c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</row>
    <row r="1783" ht="15.75" customHeight="1">
      <c r="A1783" s="11">
        <f>IFERROR(__xludf.DUMMYFUNCTION("""COMPUTED_VALUE"""),44471.0)</f>
        <v>44471</v>
      </c>
      <c r="B1783" s="9">
        <f>IFERROR(__xludf.DUMMYFUNCTION("""COMPUTED_VALUE"""),1003542.0)</f>
        <v>1003542</v>
      </c>
      <c r="C1783" s="9">
        <f>IFERROR(__xludf.DUMMYFUNCTION("""COMPUTED_VALUE"""),86655.0)</f>
        <v>86655</v>
      </c>
      <c r="D1783" s="9"/>
      <c r="E1783" s="10" t="str">
        <f>IFERROR(__xludf.DUMMYFUNCTION("""COMPUTED_VALUE"""),"GREENRELAIS")</f>
        <v>GREENRELAIS</v>
      </c>
      <c r="F1783" s="10">
        <f>IFERROR(__xludf.DUMMYFUNCTION("""COMPUTED_VALUE"""),13.27)</f>
        <v>13.27</v>
      </c>
      <c r="G1783" s="9">
        <f>IFERROR(__xludf.DUMMYFUNCTION("""COMPUTED_VALUE"""),13.27)</f>
        <v>13.27</v>
      </c>
      <c r="H1783" s="9">
        <f>IFERROR(__xludf.DUMMYFUNCTION("""COMPUTED_VALUE"""),1.0)</f>
        <v>1</v>
      </c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</row>
    <row r="1784" ht="15.75" customHeight="1">
      <c r="A1784" s="11">
        <f>IFERROR(__xludf.DUMMYFUNCTION("""COMPUTED_VALUE"""),44471.0)</f>
        <v>44471</v>
      </c>
      <c r="B1784" s="9">
        <f>IFERROR(__xludf.DUMMYFUNCTION("""COMPUTED_VALUE"""),1003542.0)</f>
        <v>1003542</v>
      </c>
      <c r="C1784" s="9">
        <f>IFERROR(__xludf.DUMMYFUNCTION("""COMPUTED_VALUE"""),9516.0)</f>
        <v>9516</v>
      </c>
      <c r="D1784" s="9"/>
      <c r="E1784" s="10" t="str">
        <f>IFERROR(__xludf.DUMMYFUNCTION("""COMPUTED_VALUE"""),"GREENRELAIS")</f>
        <v>GREENRELAIS</v>
      </c>
      <c r="F1784" s="10">
        <f>IFERROR(__xludf.DUMMYFUNCTION("""COMPUTED_VALUE"""),2.39)</f>
        <v>2.39</v>
      </c>
      <c r="G1784" s="9">
        <f>IFERROR(__xludf.DUMMYFUNCTION("""COMPUTED_VALUE"""),2.39)</f>
        <v>2.39</v>
      </c>
      <c r="H1784" s="9">
        <f>IFERROR(__xludf.DUMMYFUNCTION("""COMPUTED_VALUE"""),1.0)</f>
        <v>1</v>
      </c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</row>
    <row r="1785" ht="15.75" customHeight="1">
      <c r="A1785" s="11">
        <f>IFERROR(__xludf.DUMMYFUNCTION("""COMPUTED_VALUE"""),44471.0)</f>
        <v>44471</v>
      </c>
      <c r="B1785" s="9">
        <f>IFERROR(__xludf.DUMMYFUNCTION("""COMPUTED_VALUE"""),1003542.0)</f>
        <v>1003542</v>
      </c>
      <c r="C1785" s="9">
        <f>IFERROR(__xludf.DUMMYFUNCTION("""COMPUTED_VALUE"""),109985.0)</f>
        <v>109985</v>
      </c>
      <c r="D1785" s="10" t="str">
        <f>IFERROR(__xludf.DUMMYFUNCTION("""COMPUTED_VALUE"""),"Carryboo soin bebe 2021")</f>
        <v>Carryboo soin bebe 2021</v>
      </c>
      <c r="E1785" s="10" t="str">
        <f>IFERROR(__xludf.DUMMYFUNCTION("""COMPUTED_VALUE"""),"GREENRELAIS")</f>
        <v>GREENRELAIS</v>
      </c>
      <c r="F1785" s="10">
        <f>IFERROR(__xludf.DUMMYFUNCTION("""COMPUTED_VALUE"""),2.4)</f>
        <v>2.4</v>
      </c>
      <c r="G1785" s="9">
        <f>IFERROR(__xludf.DUMMYFUNCTION("""COMPUTED_VALUE"""),1.8)</f>
        <v>1.8</v>
      </c>
      <c r="H1785" s="9">
        <f>IFERROR(__xludf.DUMMYFUNCTION("""COMPUTED_VALUE"""),1.0)</f>
        <v>1</v>
      </c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</row>
    <row r="1786" ht="15.75" customHeight="1">
      <c r="A1786" s="11">
        <f>IFERROR(__xludf.DUMMYFUNCTION("""COMPUTED_VALUE"""),44471.0)</f>
        <v>44471</v>
      </c>
      <c r="B1786" s="9">
        <f>IFERROR(__xludf.DUMMYFUNCTION("""COMPUTED_VALUE"""),1003542.0)</f>
        <v>1003542</v>
      </c>
      <c r="C1786" s="9">
        <f>IFERROR(__xludf.DUMMYFUNCTION("""COMPUTED_VALUE"""),86454.0)</f>
        <v>86454</v>
      </c>
      <c r="D1786" s="9"/>
      <c r="E1786" s="10" t="str">
        <f>IFERROR(__xludf.DUMMYFUNCTION("""COMPUTED_VALUE"""),"GREENRELAIS")</f>
        <v>GREENRELAIS</v>
      </c>
      <c r="F1786" s="10">
        <f>IFERROR(__xludf.DUMMYFUNCTION("""COMPUTED_VALUE"""),4.06)</f>
        <v>4.06</v>
      </c>
      <c r="G1786" s="9">
        <f>IFERROR(__xludf.DUMMYFUNCTION("""COMPUTED_VALUE"""),4.06)</f>
        <v>4.06</v>
      </c>
      <c r="H1786" s="9">
        <f>IFERROR(__xludf.DUMMYFUNCTION("""COMPUTED_VALUE"""),1.0)</f>
        <v>1</v>
      </c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</row>
    <row r="1787" ht="15.75" customHeight="1">
      <c r="A1787" s="11">
        <f>IFERROR(__xludf.DUMMYFUNCTION("""COMPUTED_VALUE"""),44471.0)</f>
        <v>44471</v>
      </c>
      <c r="B1787" s="9">
        <f>IFERROR(__xludf.DUMMYFUNCTION("""COMPUTED_VALUE"""),1003542.0)</f>
        <v>1003542</v>
      </c>
      <c r="C1787" s="9">
        <f>IFERROR(__xludf.DUMMYFUNCTION("""COMPUTED_VALUE"""),88594.0)</f>
        <v>88594</v>
      </c>
      <c r="D1787" s="10" t="str">
        <f>IFERROR(__xludf.DUMMYFUNCTION("""COMPUTED_VALUE"""),"Vive le bio")</f>
        <v>Vive le bio</v>
      </c>
      <c r="E1787" s="10" t="str">
        <f>IFERROR(__xludf.DUMMYFUNCTION("""COMPUTED_VALUE"""),"GREENRELAIS")</f>
        <v>GREENRELAIS</v>
      </c>
      <c r="F1787" s="10">
        <f>IFERROR(__xludf.DUMMYFUNCTION("""COMPUTED_VALUE"""),2.74444444444444)</f>
        <v>2.744444444</v>
      </c>
      <c r="G1787" s="9">
        <f>IFERROR(__xludf.DUMMYFUNCTION("""COMPUTED_VALUE"""),2.47)</f>
        <v>2.47</v>
      </c>
      <c r="H1787" s="9">
        <f>IFERROR(__xludf.DUMMYFUNCTION("""COMPUTED_VALUE"""),1.0)</f>
        <v>1</v>
      </c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</row>
    <row r="1788" ht="15.75" customHeight="1">
      <c r="A1788" s="11">
        <f>IFERROR(__xludf.DUMMYFUNCTION("""COMPUTED_VALUE"""),44471.0)</f>
        <v>44471</v>
      </c>
      <c r="B1788" s="9">
        <f>IFERROR(__xludf.DUMMYFUNCTION("""COMPUTED_VALUE"""),1003542.0)</f>
        <v>1003542</v>
      </c>
      <c r="C1788" s="9">
        <f>IFERROR(__xludf.DUMMYFUNCTION("""COMPUTED_VALUE"""),44730.0)</f>
        <v>44730</v>
      </c>
      <c r="D1788" s="9"/>
      <c r="E1788" s="10" t="str">
        <f>IFERROR(__xludf.DUMMYFUNCTION("""COMPUTED_VALUE"""),"GREENRELAIS")</f>
        <v>GREENRELAIS</v>
      </c>
      <c r="F1788" s="10">
        <f>IFERROR(__xludf.DUMMYFUNCTION("""COMPUTED_VALUE"""),4.59)</f>
        <v>4.59</v>
      </c>
      <c r="G1788" s="9">
        <f>IFERROR(__xludf.DUMMYFUNCTION("""COMPUTED_VALUE"""),4.59)</f>
        <v>4.59</v>
      </c>
      <c r="H1788" s="9">
        <f>IFERROR(__xludf.DUMMYFUNCTION("""COMPUTED_VALUE"""),1.0)</f>
        <v>1</v>
      </c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</row>
    <row r="1789" ht="15.75" customHeight="1">
      <c r="A1789" s="11">
        <f>IFERROR(__xludf.DUMMYFUNCTION("""COMPUTED_VALUE"""),44471.0)</f>
        <v>44471</v>
      </c>
      <c r="B1789" s="9">
        <f>IFERROR(__xludf.DUMMYFUNCTION("""COMPUTED_VALUE"""),1003542.0)</f>
        <v>1003542</v>
      </c>
      <c r="C1789" s="9">
        <f>IFERROR(__xludf.DUMMYFUNCTION("""COMPUTED_VALUE"""),121576.0)</f>
        <v>121576</v>
      </c>
      <c r="D1789" s="9"/>
      <c r="E1789" s="10" t="str">
        <f>IFERROR(__xludf.DUMMYFUNCTION("""COMPUTED_VALUE"""),"GREENRELAIS")</f>
        <v>GREENRELAIS</v>
      </c>
      <c r="F1789" s="10">
        <f>IFERROR(__xludf.DUMMYFUNCTION("""COMPUTED_VALUE"""),7.34)</f>
        <v>7.34</v>
      </c>
      <c r="G1789" s="9">
        <f>IFERROR(__xludf.DUMMYFUNCTION("""COMPUTED_VALUE"""),7.34)</f>
        <v>7.34</v>
      </c>
      <c r="H1789" s="9">
        <f>IFERROR(__xludf.DUMMYFUNCTION("""COMPUTED_VALUE"""),1.0)</f>
        <v>1</v>
      </c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</row>
    <row r="1790" ht="15.75" customHeight="1">
      <c r="A1790" s="11">
        <f>IFERROR(__xludf.DUMMYFUNCTION("""COMPUTED_VALUE"""),44471.0)</f>
        <v>44471</v>
      </c>
      <c r="B1790" s="9">
        <f>IFERROR(__xludf.DUMMYFUNCTION("""COMPUTED_VALUE"""),1003542.0)</f>
        <v>1003542</v>
      </c>
      <c r="C1790" s="9">
        <f>IFERROR(__xludf.DUMMYFUNCTION("""COMPUTED_VALUE"""),10540.0)</f>
        <v>10540</v>
      </c>
      <c r="D1790" s="10" t="str">
        <f>IFERROR(__xludf.DUMMYFUNCTION("""COMPUTED_VALUE"""),"Vive le bio")</f>
        <v>Vive le bio</v>
      </c>
      <c r="E1790" s="10" t="str">
        <f>IFERROR(__xludf.DUMMYFUNCTION("""COMPUTED_VALUE"""),"GREENRELAIS")</f>
        <v>GREENRELAIS</v>
      </c>
      <c r="F1790" s="10">
        <f>IFERROR(__xludf.DUMMYFUNCTION("""COMPUTED_VALUE"""),7.1)</f>
        <v>7.1</v>
      </c>
      <c r="G1790" s="9">
        <f>IFERROR(__xludf.DUMMYFUNCTION("""COMPUTED_VALUE"""),6.39)</f>
        <v>6.39</v>
      </c>
      <c r="H1790" s="9">
        <f>IFERROR(__xludf.DUMMYFUNCTION("""COMPUTED_VALUE"""),1.0)</f>
        <v>1</v>
      </c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</row>
    <row r="1791" ht="15.75" customHeight="1">
      <c r="A1791" s="11">
        <f>IFERROR(__xludf.DUMMYFUNCTION("""COMPUTED_VALUE"""),44471.0)</f>
        <v>44471</v>
      </c>
      <c r="B1791" s="9">
        <f>IFERROR(__xludf.DUMMYFUNCTION("""COMPUTED_VALUE"""),1003542.0)</f>
        <v>1003542</v>
      </c>
      <c r="C1791" s="9">
        <f>IFERROR(__xludf.DUMMYFUNCTION("""COMPUTED_VALUE"""),8530.0)</f>
        <v>8530</v>
      </c>
      <c r="D1791" s="9"/>
      <c r="E1791" s="10" t="str">
        <f>IFERROR(__xludf.DUMMYFUNCTION("""COMPUTED_VALUE"""),"GREENRELAIS")</f>
        <v>GREENRELAIS</v>
      </c>
      <c r="F1791" s="10">
        <f>IFERROR(__xludf.DUMMYFUNCTION("""COMPUTED_VALUE"""),38.63)</f>
        <v>38.63</v>
      </c>
      <c r="G1791" s="9">
        <f>IFERROR(__xludf.DUMMYFUNCTION("""COMPUTED_VALUE"""),38.63)</f>
        <v>38.63</v>
      </c>
      <c r="H1791" s="9">
        <f>IFERROR(__xludf.DUMMYFUNCTION("""COMPUTED_VALUE"""),1.0)</f>
        <v>1</v>
      </c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</row>
    <row r="1792" ht="15.75" customHeight="1">
      <c r="A1792" s="11">
        <f>IFERROR(__xludf.DUMMYFUNCTION("""COMPUTED_VALUE"""),44471.0)</f>
        <v>44471</v>
      </c>
      <c r="B1792" s="9">
        <f>IFERROR(__xludf.DUMMYFUNCTION("""COMPUTED_VALUE"""),1003542.0)</f>
        <v>1003542</v>
      </c>
      <c r="C1792" s="9">
        <f>IFERROR(__xludf.DUMMYFUNCTION("""COMPUTED_VALUE"""),10538.0)</f>
        <v>10538</v>
      </c>
      <c r="D1792" s="9"/>
      <c r="E1792" s="10" t="str">
        <f>IFERROR(__xludf.DUMMYFUNCTION("""COMPUTED_VALUE"""),"GREENRELAIS")</f>
        <v>GREENRELAIS</v>
      </c>
      <c r="F1792" s="10">
        <f>IFERROR(__xludf.DUMMYFUNCTION("""COMPUTED_VALUE"""),3.68)</f>
        <v>3.68</v>
      </c>
      <c r="G1792" s="9">
        <f>IFERROR(__xludf.DUMMYFUNCTION("""COMPUTED_VALUE"""),3.68)</f>
        <v>3.68</v>
      </c>
      <c r="H1792" s="9">
        <f>IFERROR(__xludf.DUMMYFUNCTION("""COMPUTED_VALUE"""),1.0)</f>
        <v>1</v>
      </c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</row>
    <row r="1793" ht="15.75" customHeight="1">
      <c r="A1793" s="11">
        <f>IFERROR(__xludf.DUMMYFUNCTION("""COMPUTED_VALUE"""),44471.0)</f>
        <v>44471</v>
      </c>
      <c r="B1793" s="9">
        <f>IFERROR(__xludf.DUMMYFUNCTION("""COMPUTED_VALUE"""),1003542.0)</f>
        <v>1003542</v>
      </c>
      <c r="C1793" s="9">
        <f>IFERROR(__xludf.DUMMYFUNCTION("""COMPUTED_VALUE"""),93899.0)</f>
        <v>93899</v>
      </c>
      <c r="D1793" s="9"/>
      <c r="E1793" s="10" t="str">
        <f>IFERROR(__xludf.DUMMYFUNCTION("""COMPUTED_VALUE"""),"GREENRELAIS")</f>
        <v>GREENRELAIS</v>
      </c>
      <c r="F1793" s="10">
        <f>IFERROR(__xludf.DUMMYFUNCTION("""COMPUTED_VALUE"""),2.31)</f>
        <v>2.31</v>
      </c>
      <c r="G1793" s="9">
        <f>IFERROR(__xludf.DUMMYFUNCTION("""COMPUTED_VALUE"""),2.31)</f>
        <v>2.31</v>
      </c>
      <c r="H1793" s="9">
        <f>IFERROR(__xludf.DUMMYFUNCTION("""COMPUTED_VALUE"""),1.0)</f>
        <v>1</v>
      </c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</row>
    <row r="1794" ht="15.75" customHeight="1">
      <c r="A1794" s="11">
        <f>IFERROR(__xludf.DUMMYFUNCTION("""COMPUTED_VALUE"""),44471.0)</f>
        <v>44471</v>
      </c>
      <c r="B1794" s="9">
        <f>IFERROR(__xludf.DUMMYFUNCTION("""COMPUTED_VALUE"""),1003542.0)</f>
        <v>1003542</v>
      </c>
      <c r="C1794" s="9">
        <f>IFERROR(__xludf.DUMMYFUNCTION("""COMPUTED_VALUE"""),79917.0)</f>
        <v>79917</v>
      </c>
      <c r="D1794" s="9"/>
      <c r="E1794" s="10" t="str">
        <f>IFERROR(__xludf.DUMMYFUNCTION("""COMPUTED_VALUE"""),"GREENRELAIS")</f>
        <v>GREENRELAIS</v>
      </c>
      <c r="F1794" s="10">
        <f>IFERROR(__xludf.DUMMYFUNCTION("""COMPUTED_VALUE"""),5.13)</f>
        <v>5.13</v>
      </c>
      <c r="G1794" s="9">
        <f>IFERROR(__xludf.DUMMYFUNCTION("""COMPUTED_VALUE"""),5.13)</f>
        <v>5.13</v>
      </c>
      <c r="H1794" s="9">
        <f>IFERROR(__xludf.DUMMYFUNCTION("""COMPUTED_VALUE"""),1.0)</f>
        <v>1</v>
      </c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</row>
    <row r="1795" ht="15.75" customHeight="1">
      <c r="A1795" s="11">
        <f>IFERROR(__xludf.DUMMYFUNCTION("""COMPUTED_VALUE"""),44471.0)</f>
        <v>44471</v>
      </c>
      <c r="B1795" s="9">
        <f>IFERROR(__xludf.DUMMYFUNCTION("""COMPUTED_VALUE"""),1003542.0)</f>
        <v>1003542</v>
      </c>
      <c r="C1795" s="9">
        <f>IFERROR(__xludf.DUMMYFUNCTION("""COMPUTED_VALUE"""),139289.0)</f>
        <v>139289</v>
      </c>
      <c r="D1795" s="9"/>
      <c r="E1795" s="10" t="str">
        <f>IFERROR(__xludf.DUMMYFUNCTION("""COMPUTED_VALUE"""),"GREENRELAIS")</f>
        <v>GREENRELAIS</v>
      </c>
      <c r="F1795" s="10">
        <f>IFERROR(__xludf.DUMMYFUNCTION("""COMPUTED_VALUE"""),2.32)</f>
        <v>2.32</v>
      </c>
      <c r="G1795" s="9">
        <f>IFERROR(__xludf.DUMMYFUNCTION("""COMPUTED_VALUE"""),2.32)</f>
        <v>2.32</v>
      </c>
      <c r="H1795" s="9">
        <f>IFERROR(__xludf.DUMMYFUNCTION("""COMPUTED_VALUE"""),1.0)</f>
        <v>1</v>
      </c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</row>
    <row r="1796" ht="15.75" customHeight="1">
      <c r="A1796" s="11">
        <f>IFERROR(__xludf.DUMMYFUNCTION("""COMPUTED_VALUE"""),44471.0)</f>
        <v>44471</v>
      </c>
      <c r="B1796" s="9">
        <f>IFERROR(__xludf.DUMMYFUNCTION("""COMPUTED_VALUE"""),1003542.0)</f>
        <v>1003542</v>
      </c>
      <c r="C1796" s="9">
        <f>IFERROR(__xludf.DUMMYFUNCTION("""COMPUTED_VALUE"""),47175.0)</f>
        <v>47175</v>
      </c>
      <c r="D1796" s="9"/>
      <c r="E1796" s="10" t="str">
        <f>IFERROR(__xludf.DUMMYFUNCTION("""COMPUTED_VALUE"""),"GREENRELAIS")</f>
        <v>GREENRELAIS</v>
      </c>
      <c r="F1796" s="10">
        <f>IFERROR(__xludf.DUMMYFUNCTION("""COMPUTED_VALUE"""),13.3)</f>
        <v>13.3</v>
      </c>
      <c r="G1796" s="9">
        <f>IFERROR(__xludf.DUMMYFUNCTION("""COMPUTED_VALUE"""),13.3)</f>
        <v>13.3</v>
      </c>
      <c r="H1796" s="9">
        <f>IFERROR(__xludf.DUMMYFUNCTION("""COMPUTED_VALUE"""),1.0)</f>
        <v>1</v>
      </c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</row>
    <row r="1797" ht="15.75" customHeight="1">
      <c r="A1797" s="11">
        <f>IFERROR(__xludf.DUMMYFUNCTION("""COMPUTED_VALUE"""),44471.0)</f>
        <v>44471</v>
      </c>
      <c r="B1797" s="9">
        <f>IFERROR(__xludf.DUMMYFUNCTION("""COMPUTED_VALUE"""),1003542.0)</f>
        <v>1003542</v>
      </c>
      <c r="C1797" s="9">
        <f>IFERROR(__xludf.DUMMYFUNCTION("""COMPUTED_VALUE"""),122347.0)</f>
        <v>122347</v>
      </c>
      <c r="D1797" s="9"/>
      <c r="E1797" s="10" t="str">
        <f>IFERROR(__xludf.DUMMYFUNCTION("""COMPUTED_VALUE"""),"GREENRELAIS")</f>
        <v>GREENRELAIS</v>
      </c>
      <c r="F1797" s="10">
        <f>IFERROR(__xludf.DUMMYFUNCTION("""COMPUTED_VALUE"""),1.35)</f>
        <v>1.35</v>
      </c>
      <c r="G1797" s="9">
        <f>IFERROR(__xludf.DUMMYFUNCTION("""COMPUTED_VALUE"""),1.35)</f>
        <v>1.35</v>
      </c>
      <c r="H1797" s="9">
        <f>IFERROR(__xludf.DUMMYFUNCTION("""COMPUTED_VALUE"""),1.0)</f>
        <v>1</v>
      </c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</row>
    <row r="1798" ht="15.75" customHeight="1">
      <c r="A1798" s="11">
        <f>IFERROR(__xludf.DUMMYFUNCTION("""COMPUTED_VALUE"""),44471.0)</f>
        <v>44471</v>
      </c>
      <c r="B1798" s="9">
        <f>IFERROR(__xludf.DUMMYFUNCTION("""COMPUTED_VALUE"""),1003542.0)</f>
        <v>1003542</v>
      </c>
      <c r="C1798" s="9">
        <f>IFERROR(__xludf.DUMMYFUNCTION("""COMPUTED_VALUE"""),122348.0)</f>
        <v>122348</v>
      </c>
      <c r="D1798" s="9"/>
      <c r="E1798" s="10" t="str">
        <f>IFERROR(__xludf.DUMMYFUNCTION("""COMPUTED_VALUE"""),"GREENRELAIS")</f>
        <v>GREENRELAIS</v>
      </c>
      <c r="F1798" s="10">
        <f>IFERROR(__xludf.DUMMYFUNCTION("""COMPUTED_VALUE"""),1.35)</f>
        <v>1.35</v>
      </c>
      <c r="G1798" s="9">
        <f>IFERROR(__xludf.DUMMYFUNCTION("""COMPUTED_VALUE"""),1.35)</f>
        <v>1.35</v>
      </c>
      <c r="H1798" s="9">
        <f>IFERROR(__xludf.DUMMYFUNCTION("""COMPUTED_VALUE"""),1.0)</f>
        <v>1</v>
      </c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</row>
    <row r="1799" ht="15.75" customHeight="1">
      <c r="A1799" s="11">
        <f>IFERROR(__xludf.DUMMYFUNCTION("""COMPUTED_VALUE"""),44471.0)</f>
        <v>44471</v>
      </c>
      <c r="B1799" s="9">
        <f>IFERROR(__xludf.DUMMYFUNCTION("""COMPUTED_VALUE"""),1003542.0)</f>
        <v>1003542</v>
      </c>
      <c r="C1799" s="9">
        <f>IFERROR(__xludf.DUMMYFUNCTION("""COMPUTED_VALUE"""),17644.0)</f>
        <v>17644</v>
      </c>
      <c r="D1799" s="9"/>
      <c r="E1799" s="10" t="str">
        <f>IFERROR(__xludf.DUMMYFUNCTION("""COMPUTED_VALUE"""),"GREENRELAIS")</f>
        <v>GREENRELAIS</v>
      </c>
      <c r="F1799" s="10">
        <f>IFERROR(__xludf.DUMMYFUNCTION("""COMPUTED_VALUE"""),4.16)</f>
        <v>4.16</v>
      </c>
      <c r="G1799" s="9">
        <f>IFERROR(__xludf.DUMMYFUNCTION("""COMPUTED_VALUE"""),4.16)</f>
        <v>4.16</v>
      </c>
      <c r="H1799" s="9">
        <f>IFERROR(__xludf.DUMMYFUNCTION("""COMPUTED_VALUE"""),1.0)</f>
        <v>1</v>
      </c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</row>
    <row r="1800" ht="15.75" customHeight="1">
      <c r="A1800" s="11">
        <f>IFERROR(__xludf.DUMMYFUNCTION("""COMPUTED_VALUE"""),44471.0)</f>
        <v>44471</v>
      </c>
      <c r="B1800" s="9">
        <f>IFERROR(__xludf.DUMMYFUNCTION("""COMPUTED_VALUE"""),1003542.0)</f>
        <v>1003542</v>
      </c>
      <c r="C1800" s="9">
        <f>IFERROR(__xludf.DUMMYFUNCTION("""COMPUTED_VALUE"""),23668.0)</f>
        <v>23668</v>
      </c>
      <c r="D1800" s="9"/>
      <c r="E1800" s="10" t="str">
        <f>IFERROR(__xludf.DUMMYFUNCTION("""COMPUTED_VALUE"""),"GREENRELAIS")</f>
        <v>GREENRELAIS</v>
      </c>
      <c r="F1800" s="10">
        <f>IFERROR(__xludf.DUMMYFUNCTION("""COMPUTED_VALUE"""),0.77)</f>
        <v>0.77</v>
      </c>
      <c r="G1800" s="9">
        <f>IFERROR(__xludf.DUMMYFUNCTION("""COMPUTED_VALUE"""),0.77)</f>
        <v>0.77</v>
      </c>
      <c r="H1800" s="9">
        <f>IFERROR(__xludf.DUMMYFUNCTION("""COMPUTED_VALUE"""),1.0)</f>
        <v>1</v>
      </c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</row>
    <row r="1801" ht="15.75" customHeight="1">
      <c r="A1801" s="11">
        <f>IFERROR(__xludf.DUMMYFUNCTION("""COMPUTED_VALUE"""),44471.0)</f>
        <v>44471</v>
      </c>
      <c r="B1801" s="9">
        <f>IFERROR(__xludf.DUMMYFUNCTION("""COMPUTED_VALUE"""),1003542.0)</f>
        <v>1003542</v>
      </c>
      <c r="C1801" s="9">
        <f>IFERROR(__xludf.DUMMYFUNCTION("""COMPUTED_VALUE"""),79299.0)</f>
        <v>79299</v>
      </c>
      <c r="D1801" s="10" t="str">
        <f>IFERROR(__xludf.DUMMYFUNCTION("""COMPUTED_VALUE"""),"Offre speciale")</f>
        <v>Offre speciale</v>
      </c>
      <c r="E1801" s="10" t="str">
        <f>IFERROR(__xludf.DUMMYFUNCTION("""COMPUTED_VALUE"""),"GREENRELAIS")</f>
        <v>GREENRELAIS</v>
      </c>
      <c r="F1801" s="10">
        <f>IFERROR(__xludf.DUMMYFUNCTION("""COMPUTED_VALUE"""),3.70588235294117)</f>
        <v>3.705882353</v>
      </c>
      <c r="G1801" s="9">
        <f>IFERROR(__xludf.DUMMYFUNCTION("""COMPUTED_VALUE"""),3.15)</f>
        <v>3.15</v>
      </c>
      <c r="H1801" s="9">
        <f>IFERROR(__xludf.DUMMYFUNCTION("""COMPUTED_VALUE"""),1.0)</f>
        <v>1</v>
      </c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</row>
    <row r="1802" ht="15.75" customHeight="1">
      <c r="A1802" s="11">
        <f>IFERROR(__xludf.DUMMYFUNCTION("""COMPUTED_VALUE"""),44471.0)</f>
        <v>44471</v>
      </c>
      <c r="B1802" s="9">
        <f>IFERROR(__xludf.DUMMYFUNCTION("""COMPUTED_VALUE"""),1003542.0)</f>
        <v>1003542</v>
      </c>
      <c r="C1802" s="9">
        <f>IFERROR(__xludf.DUMMYFUNCTION("""COMPUTED_VALUE"""),7253.0)</f>
        <v>7253</v>
      </c>
      <c r="D1802" s="9"/>
      <c r="E1802" s="10" t="str">
        <f>IFERROR(__xludf.DUMMYFUNCTION("""COMPUTED_VALUE"""),"GREENRELAIS")</f>
        <v>GREENRELAIS</v>
      </c>
      <c r="F1802" s="10">
        <f>IFERROR(__xludf.DUMMYFUNCTION("""COMPUTED_VALUE"""),1.98)</f>
        <v>1.98</v>
      </c>
      <c r="G1802" s="9">
        <f>IFERROR(__xludf.DUMMYFUNCTION("""COMPUTED_VALUE"""),1.98)</f>
        <v>1.98</v>
      </c>
      <c r="H1802" s="9">
        <f>IFERROR(__xludf.DUMMYFUNCTION("""COMPUTED_VALUE"""),1.0)</f>
        <v>1</v>
      </c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</row>
    <row r="1803" ht="15.75" customHeight="1">
      <c r="A1803" s="11">
        <f>IFERROR(__xludf.DUMMYFUNCTION("""COMPUTED_VALUE"""),44471.0)</f>
        <v>44471</v>
      </c>
      <c r="B1803" s="9">
        <f>IFERROR(__xludf.DUMMYFUNCTION("""COMPUTED_VALUE"""),1003542.0)</f>
        <v>1003542</v>
      </c>
      <c r="C1803" s="9">
        <f>IFERROR(__xludf.DUMMYFUNCTION("""COMPUTED_VALUE"""),180843.0)</f>
        <v>180843</v>
      </c>
      <c r="D1803" s="9"/>
      <c r="E1803" s="10" t="str">
        <f>IFERROR(__xludf.DUMMYFUNCTION("""COMPUTED_VALUE"""),"GREENRELAIS")</f>
        <v>GREENRELAIS</v>
      </c>
      <c r="F1803" s="10">
        <f>IFERROR(__xludf.DUMMYFUNCTION("""COMPUTED_VALUE"""),3.34)</f>
        <v>3.34</v>
      </c>
      <c r="G1803" s="9">
        <f>IFERROR(__xludf.DUMMYFUNCTION("""COMPUTED_VALUE"""),3.34)</f>
        <v>3.34</v>
      </c>
      <c r="H1803" s="9">
        <f>IFERROR(__xludf.DUMMYFUNCTION("""COMPUTED_VALUE"""),1.0)</f>
        <v>1</v>
      </c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</row>
    <row r="1804" ht="15.75" customHeight="1">
      <c r="A1804" s="11">
        <f>IFERROR(__xludf.DUMMYFUNCTION("""COMPUTED_VALUE"""),44471.0)</f>
        <v>44471</v>
      </c>
      <c r="B1804" s="9">
        <f>IFERROR(__xludf.DUMMYFUNCTION("""COMPUTED_VALUE"""),1003542.0)</f>
        <v>1003542</v>
      </c>
      <c r="C1804" s="9">
        <f>IFERROR(__xludf.DUMMYFUNCTION("""COMPUTED_VALUE"""),107160.0)</f>
        <v>107160</v>
      </c>
      <c r="D1804" s="9"/>
      <c r="E1804" s="10" t="str">
        <f>IFERROR(__xludf.DUMMYFUNCTION("""COMPUTED_VALUE"""),"GREENRELAIS")</f>
        <v>GREENRELAIS</v>
      </c>
      <c r="F1804" s="10">
        <f>IFERROR(__xludf.DUMMYFUNCTION("""COMPUTED_VALUE"""),1.92)</f>
        <v>1.92</v>
      </c>
      <c r="G1804" s="9">
        <f>IFERROR(__xludf.DUMMYFUNCTION("""COMPUTED_VALUE"""),1.92)</f>
        <v>1.92</v>
      </c>
      <c r="H1804" s="9">
        <f>IFERROR(__xludf.DUMMYFUNCTION("""COMPUTED_VALUE"""),1.0)</f>
        <v>1</v>
      </c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</row>
    <row r="1805" ht="15.75" customHeight="1">
      <c r="A1805" s="11">
        <f>IFERROR(__xludf.DUMMYFUNCTION("""COMPUTED_VALUE"""),44471.0)</f>
        <v>44471</v>
      </c>
      <c r="B1805" s="9">
        <f>IFERROR(__xludf.DUMMYFUNCTION("""COMPUTED_VALUE"""),1003542.0)</f>
        <v>1003542</v>
      </c>
      <c r="C1805" s="9">
        <f>IFERROR(__xludf.DUMMYFUNCTION("""COMPUTED_VALUE"""),106541.0)</f>
        <v>106541</v>
      </c>
      <c r="D1805" s="9"/>
      <c r="E1805" s="10" t="str">
        <f>IFERROR(__xludf.DUMMYFUNCTION("""COMPUTED_VALUE"""),"GREENRELAIS")</f>
        <v>GREENRELAIS</v>
      </c>
      <c r="F1805" s="10">
        <f>IFERROR(__xludf.DUMMYFUNCTION("""COMPUTED_VALUE"""),3.72)</f>
        <v>3.72</v>
      </c>
      <c r="G1805" s="9">
        <f>IFERROR(__xludf.DUMMYFUNCTION("""COMPUTED_VALUE"""),3.72)</f>
        <v>3.72</v>
      </c>
      <c r="H1805" s="9">
        <f>IFERROR(__xludf.DUMMYFUNCTION("""COMPUTED_VALUE"""),1.0)</f>
        <v>1</v>
      </c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</row>
    <row r="1806" ht="15.75" customHeight="1">
      <c r="A1806" s="11">
        <f>IFERROR(__xludf.DUMMYFUNCTION("""COMPUTED_VALUE"""),44471.0)</f>
        <v>44471</v>
      </c>
      <c r="B1806" s="9">
        <f>IFERROR(__xludf.DUMMYFUNCTION("""COMPUTED_VALUE"""),1003542.0)</f>
        <v>1003542</v>
      </c>
      <c r="C1806" s="9">
        <f>IFERROR(__xludf.DUMMYFUNCTION("""COMPUTED_VALUE"""),110576.0)</f>
        <v>110576</v>
      </c>
      <c r="D1806" s="9"/>
      <c r="E1806" s="10" t="str">
        <f>IFERROR(__xludf.DUMMYFUNCTION("""COMPUTED_VALUE"""),"GREENRELAIS")</f>
        <v>GREENRELAIS</v>
      </c>
      <c r="F1806" s="10">
        <f>IFERROR(__xludf.DUMMYFUNCTION("""COMPUTED_VALUE"""),2.85)</f>
        <v>2.85</v>
      </c>
      <c r="G1806" s="9">
        <f>IFERROR(__xludf.DUMMYFUNCTION("""COMPUTED_VALUE"""),2.85)</f>
        <v>2.85</v>
      </c>
      <c r="H1806" s="9">
        <f>IFERROR(__xludf.DUMMYFUNCTION("""COMPUTED_VALUE"""),1.0)</f>
        <v>1</v>
      </c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</row>
    <row r="1807" ht="15.75" customHeight="1">
      <c r="A1807" s="11">
        <f>IFERROR(__xludf.DUMMYFUNCTION("""COMPUTED_VALUE"""),44471.0)</f>
        <v>44471</v>
      </c>
      <c r="B1807" s="9">
        <f>IFERROR(__xludf.DUMMYFUNCTION("""COMPUTED_VALUE"""),1003542.0)</f>
        <v>1003542</v>
      </c>
      <c r="C1807" s="9">
        <f>IFERROR(__xludf.DUMMYFUNCTION("""COMPUTED_VALUE"""),7360.0)</f>
        <v>7360</v>
      </c>
      <c r="D1807" s="9"/>
      <c r="E1807" s="10" t="str">
        <f>IFERROR(__xludf.DUMMYFUNCTION("""COMPUTED_VALUE"""),"GREENRELAIS")</f>
        <v>GREENRELAIS</v>
      </c>
      <c r="F1807" s="10">
        <f>IFERROR(__xludf.DUMMYFUNCTION("""COMPUTED_VALUE"""),1.74)</f>
        <v>1.74</v>
      </c>
      <c r="G1807" s="9">
        <f>IFERROR(__xludf.DUMMYFUNCTION("""COMPUTED_VALUE"""),1.74)</f>
        <v>1.74</v>
      </c>
      <c r="H1807" s="9">
        <f>IFERROR(__xludf.DUMMYFUNCTION("""COMPUTED_VALUE"""),1.0)</f>
        <v>1</v>
      </c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</row>
    <row r="1808" ht="15.75" customHeight="1">
      <c r="A1808" s="11">
        <f>IFERROR(__xludf.DUMMYFUNCTION("""COMPUTED_VALUE"""),44471.0)</f>
        <v>44471</v>
      </c>
      <c r="B1808" s="9">
        <f>IFERROR(__xludf.DUMMYFUNCTION("""COMPUTED_VALUE"""),1003542.0)</f>
        <v>1003542</v>
      </c>
      <c r="C1808" s="9">
        <f>IFERROR(__xludf.DUMMYFUNCTION("""COMPUTED_VALUE"""),10522.0)</f>
        <v>10522</v>
      </c>
      <c r="D1808" s="10" t="str">
        <f>IFERROR(__xludf.DUMMYFUNCTION("""COMPUTED_VALUE"""),"Vive le bio")</f>
        <v>Vive le bio</v>
      </c>
      <c r="E1808" s="10" t="str">
        <f>IFERROR(__xludf.DUMMYFUNCTION("""COMPUTED_VALUE"""),"GREENRELAIS")</f>
        <v>GREENRELAIS</v>
      </c>
      <c r="F1808" s="10">
        <f>IFERROR(__xludf.DUMMYFUNCTION("""COMPUTED_VALUE"""),6.96666666666666)</f>
        <v>6.966666667</v>
      </c>
      <c r="G1808" s="9">
        <f>IFERROR(__xludf.DUMMYFUNCTION("""COMPUTED_VALUE"""),6.27)</f>
        <v>6.27</v>
      </c>
      <c r="H1808" s="9">
        <f>IFERROR(__xludf.DUMMYFUNCTION("""COMPUTED_VALUE"""),1.0)</f>
        <v>1</v>
      </c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</row>
    <row r="1809" ht="15.75" customHeight="1">
      <c r="A1809" s="11">
        <f>IFERROR(__xludf.DUMMYFUNCTION("""COMPUTED_VALUE"""),44471.0)</f>
        <v>44471</v>
      </c>
      <c r="B1809" s="9">
        <f>IFERROR(__xludf.DUMMYFUNCTION("""COMPUTED_VALUE"""),1003542.0)</f>
        <v>1003542</v>
      </c>
      <c r="C1809" s="9">
        <f>IFERROR(__xludf.DUMMYFUNCTION("""COMPUTED_VALUE"""),103236.0)</f>
        <v>103236</v>
      </c>
      <c r="D1809" s="9"/>
      <c r="E1809" s="10" t="str">
        <f>IFERROR(__xludf.DUMMYFUNCTION("""COMPUTED_VALUE"""),"GREENRELAIS")</f>
        <v>GREENRELAIS</v>
      </c>
      <c r="F1809" s="10">
        <f>IFERROR(__xludf.DUMMYFUNCTION("""COMPUTED_VALUE"""),8.21)</f>
        <v>8.21</v>
      </c>
      <c r="G1809" s="9">
        <f>IFERROR(__xludf.DUMMYFUNCTION("""COMPUTED_VALUE"""),8.21)</f>
        <v>8.21</v>
      </c>
      <c r="H1809" s="9">
        <f>IFERROR(__xludf.DUMMYFUNCTION("""COMPUTED_VALUE"""),1.0)</f>
        <v>1</v>
      </c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</row>
    <row r="1810" ht="15.75" customHeight="1">
      <c r="A1810" s="11">
        <f>IFERROR(__xludf.DUMMYFUNCTION("""COMPUTED_VALUE"""),44471.0)</f>
        <v>44471</v>
      </c>
      <c r="B1810" s="9">
        <f>IFERROR(__xludf.DUMMYFUNCTION("""COMPUTED_VALUE"""),1003542.0)</f>
        <v>1003542</v>
      </c>
      <c r="C1810" s="9">
        <f>IFERROR(__xludf.DUMMYFUNCTION("""COMPUTED_VALUE"""),79948.0)</f>
        <v>79948</v>
      </c>
      <c r="D1810" s="9"/>
      <c r="E1810" s="10" t="str">
        <f>IFERROR(__xludf.DUMMYFUNCTION("""COMPUTED_VALUE"""),"GREENRELAIS")</f>
        <v>GREENRELAIS</v>
      </c>
      <c r="F1810" s="10">
        <f>IFERROR(__xludf.DUMMYFUNCTION("""COMPUTED_VALUE"""),3.12)</f>
        <v>3.12</v>
      </c>
      <c r="G1810" s="9">
        <f>IFERROR(__xludf.DUMMYFUNCTION("""COMPUTED_VALUE"""),3.12)</f>
        <v>3.12</v>
      </c>
      <c r="H1810" s="9">
        <f>IFERROR(__xludf.DUMMYFUNCTION("""COMPUTED_VALUE"""),1.0)</f>
        <v>1</v>
      </c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</row>
    <row r="1811" ht="15.75" customHeight="1">
      <c r="A1811" s="11">
        <f>IFERROR(__xludf.DUMMYFUNCTION("""COMPUTED_VALUE"""),44471.0)</f>
        <v>44471</v>
      </c>
      <c r="B1811" s="9">
        <f>IFERROR(__xludf.DUMMYFUNCTION("""COMPUTED_VALUE"""),1003542.0)</f>
        <v>1003542</v>
      </c>
      <c r="C1811" s="9">
        <f>IFERROR(__xludf.DUMMYFUNCTION("""COMPUTED_VALUE"""),103230.0)</f>
        <v>103230</v>
      </c>
      <c r="D1811" s="10" t="str">
        <f>IFERROR(__xludf.DUMMYFUNCTION("""COMPUTED_VALUE"""),"Vive le bio")</f>
        <v>Vive le bio</v>
      </c>
      <c r="E1811" s="10" t="str">
        <f>IFERROR(__xludf.DUMMYFUNCTION("""COMPUTED_VALUE"""),"GREENRELAIS")</f>
        <v>GREENRELAIS</v>
      </c>
      <c r="F1811" s="10">
        <f>IFERROR(__xludf.DUMMYFUNCTION("""COMPUTED_VALUE"""),8.96842105263157)</f>
        <v>8.968421053</v>
      </c>
      <c r="G1811" s="9">
        <f>IFERROR(__xludf.DUMMYFUNCTION("""COMPUTED_VALUE"""),8.52)</f>
        <v>8.52</v>
      </c>
      <c r="H1811" s="9">
        <f>IFERROR(__xludf.DUMMYFUNCTION("""COMPUTED_VALUE"""),1.0)</f>
        <v>1</v>
      </c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</row>
    <row r="1812" ht="15.75" customHeight="1">
      <c r="A1812" s="11">
        <f>IFERROR(__xludf.DUMMYFUNCTION("""COMPUTED_VALUE"""),44471.0)</f>
        <v>44471</v>
      </c>
      <c r="B1812" s="9">
        <f>IFERROR(__xludf.DUMMYFUNCTION("""COMPUTED_VALUE"""),1003542.0)</f>
        <v>1003542</v>
      </c>
      <c r="C1812" s="9">
        <f>IFERROR(__xludf.DUMMYFUNCTION("""COMPUTED_VALUE"""),109999.0)</f>
        <v>109999</v>
      </c>
      <c r="D1812" s="9"/>
      <c r="E1812" s="10" t="str">
        <f>IFERROR(__xludf.DUMMYFUNCTION("""COMPUTED_VALUE"""),"GREENRELAIS")</f>
        <v>GREENRELAIS</v>
      </c>
      <c r="F1812" s="10">
        <f>IFERROR(__xludf.DUMMYFUNCTION("""COMPUTED_VALUE"""),5.33)</f>
        <v>5.33</v>
      </c>
      <c r="G1812" s="9">
        <f>IFERROR(__xludf.DUMMYFUNCTION("""COMPUTED_VALUE"""),5.33)</f>
        <v>5.33</v>
      </c>
      <c r="H1812" s="9">
        <f>IFERROR(__xludf.DUMMYFUNCTION("""COMPUTED_VALUE"""),2.0)</f>
        <v>2</v>
      </c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</row>
    <row r="1813" ht="15.75" customHeight="1">
      <c r="A1813" s="11">
        <f>IFERROR(__xludf.DUMMYFUNCTION("""COMPUTED_VALUE"""),44471.0)</f>
        <v>44471</v>
      </c>
      <c r="B1813" s="9">
        <f>IFERROR(__xludf.DUMMYFUNCTION("""COMPUTED_VALUE"""),1003542.0)</f>
        <v>1003542</v>
      </c>
      <c r="C1813" s="9">
        <f>IFERROR(__xludf.DUMMYFUNCTION("""COMPUTED_VALUE"""),83853.0)</f>
        <v>83853</v>
      </c>
      <c r="D1813" s="10" t="str">
        <f>IFERROR(__xludf.DUMMYFUNCTION("""COMPUTED_VALUE"""),"Vive le bio")</f>
        <v>Vive le bio</v>
      </c>
      <c r="E1813" s="10" t="str">
        <f>IFERROR(__xludf.DUMMYFUNCTION("""COMPUTED_VALUE"""),"GREENRELAIS")</f>
        <v>GREENRELAIS</v>
      </c>
      <c r="F1813" s="10">
        <f>IFERROR(__xludf.DUMMYFUNCTION("""COMPUTED_VALUE"""),4.1)</f>
        <v>4.1</v>
      </c>
      <c r="G1813" s="9">
        <f>IFERROR(__xludf.DUMMYFUNCTION("""COMPUTED_VALUE"""),3.69)</f>
        <v>3.69</v>
      </c>
      <c r="H1813" s="9">
        <f>IFERROR(__xludf.DUMMYFUNCTION("""COMPUTED_VALUE"""),2.0)</f>
        <v>2</v>
      </c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</row>
    <row r="1814" ht="15.75" customHeight="1">
      <c r="A1814" s="11">
        <f>IFERROR(__xludf.DUMMYFUNCTION("""COMPUTED_VALUE"""),44471.0)</f>
        <v>44471</v>
      </c>
      <c r="B1814" s="9">
        <f>IFERROR(__xludf.DUMMYFUNCTION("""COMPUTED_VALUE"""),1003542.0)</f>
        <v>1003542</v>
      </c>
      <c r="C1814" s="9">
        <f>IFERROR(__xludf.DUMMYFUNCTION("""COMPUTED_VALUE"""),47508.0)</f>
        <v>47508</v>
      </c>
      <c r="D1814" s="9"/>
      <c r="E1814" s="10" t="str">
        <f>IFERROR(__xludf.DUMMYFUNCTION("""COMPUTED_VALUE"""),"GREENRELAIS")</f>
        <v>GREENRELAIS</v>
      </c>
      <c r="F1814" s="10">
        <f>IFERROR(__xludf.DUMMYFUNCTION("""COMPUTED_VALUE"""),8.01)</f>
        <v>8.01</v>
      </c>
      <c r="G1814" s="9">
        <f>IFERROR(__xludf.DUMMYFUNCTION("""COMPUTED_VALUE"""),8.01)</f>
        <v>8.01</v>
      </c>
      <c r="H1814" s="9">
        <f>IFERROR(__xludf.DUMMYFUNCTION("""COMPUTED_VALUE"""),2.0)</f>
        <v>2</v>
      </c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</row>
    <row r="1815" ht="15.75" customHeight="1">
      <c r="A1815" s="11">
        <f>IFERROR(__xludf.DUMMYFUNCTION("""COMPUTED_VALUE"""),44471.0)</f>
        <v>44471</v>
      </c>
      <c r="B1815" s="9">
        <f>IFERROR(__xludf.DUMMYFUNCTION("""COMPUTED_VALUE"""),1003543.0)</f>
        <v>1003543</v>
      </c>
      <c r="C1815" s="9">
        <f>IFERROR(__xludf.DUMMYFUNCTION("""COMPUTED_VALUE"""),111876.0)</f>
        <v>111876</v>
      </c>
      <c r="D1815" s="9"/>
      <c r="E1815" s="9"/>
      <c r="F1815" s="9">
        <f>IFERROR(__xludf.DUMMYFUNCTION("""COMPUTED_VALUE"""),32.37)</f>
        <v>32.37</v>
      </c>
      <c r="G1815" s="9">
        <f>IFERROR(__xludf.DUMMYFUNCTION("""COMPUTED_VALUE"""),32.37)</f>
        <v>32.37</v>
      </c>
      <c r="H1815" s="9">
        <f>IFERROR(__xludf.DUMMYFUNCTION("""COMPUTED_VALUE"""),1.0)</f>
        <v>1</v>
      </c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</row>
    <row r="1816" ht="15.75" customHeight="1">
      <c r="A1816" s="11">
        <f>IFERROR(__xludf.DUMMYFUNCTION("""COMPUTED_VALUE"""),44471.0)</f>
        <v>44471</v>
      </c>
      <c r="B1816" s="9">
        <f>IFERROR(__xludf.DUMMYFUNCTION("""COMPUTED_VALUE"""),1003544.0)</f>
        <v>1003544</v>
      </c>
      <c r="C1816" s="9">
        <f>IFERROR(__xludf.DUMMYFUNCTION("""COMPUTED_VALUE"""),82393.0)</f>
        <v>82393</v>
      </c>
      <c r="D1816" s="10" t="str">
        <f>IFERROR(__xludf.DUMMYFUNCTION("""COMPUTED_VALUE"""),"Offre speciale")</f>
        <v>Offre speciale</v>
      </c>
      <c r="E1816" s="10"/>
      <c r="F1816" s="9">
        <f>IFERROR(__xludf.DUMMYFUNCTION("""COMPUTED_VALUE"""),3.92222222222222)</f>
        <v>3.922222222</v>
      </c>
      <c r="G1816" s="9">
        <f>IFERROR(__xludf.DUMMYFUNCTION("""COMPUTED_VALUE"""),3.53)</f>
        <v>3.53</v>
      </c>
      <c r="H1816" s="9">
        <f>IFERROR(__xludf.DUMMYFUNCTION("""COMPUTED_VALUE"""),1.0)</f>
        <v>1</v>
      </c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</row>
    <row r="1817" ht="15.75" customHeight="1">
      <c r="A1817" s="11">
        <f>IFERROR(__xludf.DUMMYFUNCTION("""COMPUTED_VALUE"""),44471.0)</f>
        <v>44471</v>
      </c>
      <c r="B1817" s="9">
        <f>IFERROR(__xludf.DUMMYFUNCTION("""COMPUTED_VALUE"""),1003544.0)</f>
        <v>1003544</v>
      </c>
      <c r="C1817" s="9">
        <f>IFERROR(__xludf.DUMMYFUNCTION("""COMPUTED_VALUE"""),76363.0)</f>
        <v>76363</v>
      </c>
      <c r="D1817" s="9"/>
      <c r="E1817" s="9"/>
      <c r="F1817" s="9">
        <f>IFERROR(__xludf.DUMMYFUNCTION("""COMPUTED_VALUE"""),2.52)</f>
        <v>2.52</v>
      </c>
      <c r="G1817" s="9">
        <f>IFERROR(__xludf.DUMMYFUNCTION("""COMPUTED_VALUE"""),2.52)</f>
        <v>2.52</v>
      </c>
      <c r="H1817" s="9">
        <f>IFERROR(__xludf.DUMMYFUNCTION("""COMPUTED_VALUE"""),1.0)</f>
        <v>1</v>
      </c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</row>
    <row r="1818" ht="15.75" customHeight="1">
      <c r="A1818" s="11">
        <f>IFERROR(__xludf.DUMMYFUNCTION("""COMPUTED_VALUE"""),44471.0)</f>
        <v>44471</v>
      </c>
      <c r="B1818" s="9">
        <f>IFERROR(__xludf.DUMMYFUNCTION("""COMPUTED_VALUE"""),1003544.0)</f>
        <v>1003544</v>
      </c>
      <c r="C1818" s="9">
        <f>IFERROR(__xludf.DUMMYFUNCTION("""COMPUTED_VALUE"""),87128.0)</f>
        <v>87128</v>
      </c>
      <c r="D1818" s="10" t="str">
        <f>IFERROR(__xludf.DUMMYFUNCTION("""COMPUTED_VALUE"""),"Vive le bio")</f>
        <v>Vive le bio</v>
      </c>
      <c r="E1818" s="10"/>
      <c r="F1818" s="9">
        <f>IFERROR(__xludf.DUMMYFUNCTION("""COMPUTED_VALUE"""),2.61111111111111)</f>
        <v>2.611111111</v>
      </c>
      <c r="G1818" s="9">
        <f>IFERROR(__xludf.DUMMYFUNCTION("""COMPUTED_VALUE"""),2.35)</f>
        <v>2.35</v>
      </c>
      <c r="H1818" s="9">
        <f>IFERROR(__xludf.DUMMYFUNCTION("""COMPUTED_VALUE"""),1.0)</f>
        <v>1</v>
      </c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</row>
    <row r="1819" ht="15.75" customHeight="1">
      <c r="A1819" s="11">
        <f>IFERROR(__xludf.DUMMYFUNCTION("""COMPUTED_VALUE"""),44471.0)</f>
        <v>44471</v>
      </c>
      <c r="B1819" s="9">
        <f>IFERROR(__xludf.DUMMYFUNCTION("""COMPUTED_VALUE"""),1003544.0)</f>
        <v>1003544</v>
      </c>
      <c r="C1819" s="9">
        <f>IFERROR(__xludf.DUMMYFUNCTION("""COMPUTED_VALUE"""),73946.0)</f>
        <v>73946</v>
      </c>
      <c r="D1819" s="9"/>
      <c r="E1819" s="9"/>
      <c r="F1819" s="9">
        <f>IFERROR(__xludf.DUMMYFUNCTION("""COMPUTED_VALUE"""),6.09)</f>
        <v>6.09</v>
      </c>
      <c r="G1819" s="9">
        <f>IFERROR(__xludf.DUMMYFUNCTION("""COMPUTED_VALUE"""),6.09)</f>
        <v>6.09</v>
      </c>
      <c r="H1819" s="9">
        <f>IFERROR(__xludf.DUMMYFUNCTION("""COMPUTED_VALUE"""),1.0)</f>
        <v>1</v>
      </c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</row>
    <row r="1820" ht="15.75" customHeight="1">
      <c r="A1820" s="11">
        <f>IFERROR(__xludf.DUMMYFUNCTION("""COMPUTED_VALUE"""),44471.0)</f>
        <v>44471</v>
      </c>
      <c r="B1820" s="9">
        <f>IFERROR(__xludf.DUMMYFUNCTION("""COMPUTED_VALUE"""),1003544.0)</f>
        <v>1003544</v>
      </c>
      <c r="C1820" s="9">
        <f>IFERROR(__xludf.DUMMYFUNCTION("""COMPUTED_VALUE"""),202592.0)</f>
        <v>202592</v>
      </c>
      <c r="D1820" s="9"/>
      <c r="E1820" s="9"/>
      <c r="F1820" s="9">
        <f>IFERROR(__xludf.DUMMYFUNCTION("""COMPUTED_VALUE"""),6.38)</f>
        <v>6.38</v>
      </c>
      <c r="G1820" s="9">
        <f>IFERROR(__xludf.DUMMYFUNCTION("""COMPUTED_VALUE"""),6.38)</f>
        <v>6.38</v>
      </c>
      <c r="H1820" s="9">
        <f>IFERROR(__xludf.DUMMYFUNCTION("""COMPUTED_VALUE"""),1.0)</f>
        <v>1</v>
      </c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</row>
    <row r="1821" ht="15.75" customHeight="1">
      <c r="A1821" s="11">
        <f>IFERROR(__xludf.DUMMYFUNCTION("""COMPUTED_VALUE"""),44471.0)</f>
        <v>44471</v>
      </c>
      <c r="B1821" s="9">
        <f>IFERROR(__xludf.DUMMYFUNCTION("""COMPUTED_VALUE"""),1003544.0)</f>
        <v>1003544</v>
      </c>
      <c r="C1821" s="9">
        <f>IFERROR(__xludf.DUMMYFUNCTION("""COMPUTED_VALUE"""),9205.0)</f>
        <v>9205</v>
      </c>
      <c r="D1821" s="9"/>
      <c r="E1821" s="9"/>
      <c r="F1821" s="9">
        <f>IFERROR(__xludf.DUMMYFUNCTION("""COMPUTED_VALUE"""),2.22)</f>
        <v>2.22</v>
      </c>
      <c r="G1821" s="9">
        <f>IFERROR(__xludf.DUMMYFUNCTION("""COMPUTED_VALUE"""),2.22)</f>
        <v>2.22</v>
      </c>
      <c r="H1821" s="9">
        <f>IFERROR(__xludf.DUMMYFUNCTION("""COMPUTED_VALUE"""),1.0)</f>
        <v>1</v>
      </c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</row>
    <row r="1822" ht="15.75" customHeight="1">
      <c r="A1822" s="11">
        <f>IFERROR(__xludf.DUMMYFUNCTION("""COMPUTED_VALUE"""),44471.0)</f>
        <v>44471</v>
      </c>
      <c r="B1822" s="9">
        <f>IFERROR(__xludf.DUMMYFUNCTION("""COMPUTED_VALUE"""),1003544.0)</f>
        <v>1003544</v>
      </c>
      <c r="C1822" s="9">
        <f>IFERROR(__xludf.DUMMYFUNCTION("""COMPUTED_VALUE"""),68305.0)</f>
        <v>68305</v>
      </c>
      <c r="D1822" s="9"/>
      <c r="E1822" s="9"/>
      <c r="F1822" s="9">
        <f>IFERROR(__xludf.DUMMYFUNCTION("""COMPUTED_VALUE"""),4.57)</f>
        <v>4.57</v>
      </c>
      <c r="G1822" s="9">
        <f>IFERROR(__xludf.DUMMYFUNCTION("""COMPUTED_VALUE"""),4.57)</f>
        <v>4.57</v>
      </c>
      <c r="H1822" s="9">
        <f>IFERROR(__xludf.DUMMYFUNCTION("""COMPUTED_VALUE"""),2.0)</f>
        <v>2</v>
      </c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</row>
    <row r="1823" ht="15.75" customHeight="1">
      <c r="A1823" s="11">
        <f>IFERROR(__xludf.DUMMYFUNCTION("""COMPUTED_VALUE"""),44471.0)</f>
        <v>44471</v>
      </c>
      <c r="B1823" s="9">
        <f>IFERROR(__xludf.DUMMYFUNCTION("""COMPUTED_VALUE"""),1003544.0)</f>
        <v>1003544</v>
      </c>
      <c r="C1823" s="9">
        <f>IFERROR(__xludf.DUMMYFUNCTION("""COMPUTED_VALUE"""),113096.0)</f>
        <v>113096</v>
      </c>
      <c r="D1823" s="9"/>
      <c r="E1823" s="9"/>
      <c r="F1823" s="9">
        <f>IFERROR(__xludf.DUMMYFUNCTION("""COMPUTED_VALUE"""),6.57)</f>
        <v>6.57</v>
      </c>
      <c r="G1823" s="9">
        <f>IFERROR(__xludf.DUMMYFUNCTION("""COMPUTED_VALUE"""),6.57)</f>
        <v>6.57</v>
      </c>
      <c r="H1823" s="9">
        <f>IFERROR(__xludf.DUMMYFUNCTION("""COMPUTED_VALUE"""),2.0)</f>
        <v>2</v>
      </c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</row>
    <row r="1824" ht="15.75" customHeight="1">
      <c r="A1824" s="11">
        <f>IFERROR(__xludf.DUMMYFUNCTION("""COMPUTED_VALUE"""),44471.0)</f>
        <v>44471</v>
      </c>
      <c r="B1824" s="9">
        <f>IFERROR(__xludf.DUMMYFUNCTION("""COMPUTED_VALUE"""),1003544.0)</f>
        <v>1003544</v>
      </c>
      <c r="C1824" s="9">
        <f>IFERROR(__xludf.DUMMYFUNCTION("""COMPUTED_VALUE"""),76364.0)</f>
        <v>76364</v>
      </c>
      <c r="D1824" s="9"/>
      <c r="E1824" s="9"/>
      <c r="F1824" s="9">
        <f>IFERROR(__xludf.DUMMYFUNCTION("""COMPUTED_VALUE"""),2.06)</f>
        <v>2.06</v>
      </c>
      <c r="G1824" s="9">
        <f>IFERROR(__xludf.DUMMYFUNCTION("""COMPUTED_VALUE"""),2.06)</f>
        <v>2.06</v>
      </c>
      <c r="H1824" s="9">
        <f>IFERROR(__xludf.DUMMYFUNCTION("""COMPUTED_VALUE"""),2.0)</f>
        <v>2</v>
      </c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</row>
    <row r="1825" ht="15.75" customHeight="1">
      <c r="A1825" s="11">
        <f>IFERROR(__xludf.DUMMYFUNCTION("""COMPUTED_VALUE"""),44471.0)</f>
        <v>44471</v>
      </c>
      <c r="B1825" s="9">
        <f>IFERROR(__xludf.DUMMYFUNCTION("""COMPUTED_VALUE"""),1003544.0)</f>
        <v>1003544</v>
      </c>
      <c r="C1825" s="9">
        <f>IFERROR(__xludf.DUMMYFUNCTION("""COMPUTED_VALUE"""),79152.0)</f>
        <v>79152</v>
      </c>
      <c r="D1825" s="10" t="str">
        <f>IFERROR(__xludf.DUMMYFUNCTION("""COMPUTED_VALUE"""),"Vive le bio")</f>
        <v>Vive le bio</v>
      </c>
      <c r="E1825" s="10"/>
      <c r="F1825" s="9">
        <f>IFERROR(__xludf.DUMMYFUNCTION("""COMPUTED_VALUE"""),19.3333333333333)</f>
        <v>19.33333333</v>
      </c>
      <c r="G1825" s="9">
        <f>IFERROR(__xludf.DUMMYFUNCTION("""COMPUTED_VALUE"""),17.4)</f>
        <v>17.4</v>
      </c>
      <c r="H1825" s="9">
        <f>IFERROR(__xludf.DUMMYFUNCTION("""COMPUTED_VALUE"""),4.0)</f>
        <v>4</v>
      </c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</row>
    <row r="1826" ht="15.75" customHeight="1">
      <c r="A1826" s="11">
        <f>IFERROR(__xludf.DUMMYFUNCTION("""COMPUTED_VALUE"""),44471.0)</f>
        <v>44471</v>
      </c>
      <c r="B1826" s="9">
        <f>IFERROR(__xludf.DUMMYFUNCTION("""COMPUTED_VALUE"""),1003545.0)</f>
        <v>1003545</v>
      </c>
      <c r="C1826" s="9">
        <f>IFERROR(__xludf.DUMMYFUNCTION("""COMPUTED_VALUE"""),77602.0)</f>
        <v>77602</v>
      </c>
      <c r="D1826" s="9"/>
      <c r="E1826" s="10" t="str">
        <f>IFERROR(__xludf.DUMMYFUNCTION("""COMPUTED_VALUE"""),"GREENRELAIS")</f>
        <v>GREENRELAIS</v>
      </c>
      <c r="F1826" s="10">
        <f>IFERROR(__xludf.DUMMYFUNCTION("""COMPUTED_VALUE"""),1.63)</f>
        <v>1.63</v>
      </c>
      <c r="G1826" s="9">
        <f>IFERROR(__xludf.DUMMYFUNCTION("""COMPUTED_VALUE"""),1.63)</f>
        <v>1.63</v>
      </c>
      <c r="H1826" s="9">
        <f>IFERROR(__xludf.DUMMYFUNCTION("""COMPUTED_VALUE"""),1.0)</f>
        <v>1</v>
      </c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</row>
    <row r="1827" ht="15.75" customHeight="1">
      <c r="A1827" s="11">
        <f>IFERROR(__xludf.DUMMYFUNCTION("""COMPUTED_VALUE"""),44471.0)</f>
        <v>44471</v>
      </c>
      <c r="B1827" s="9">
        <f>IFERROR(__xludf.DUMMYFUNCTION("""COMPUTED_VALUE"""),1003545.0)</f>
        <v>1003545</v>
      </c>
      <c r="C1827" s="9">
        <f>IFERROR(__xludf.DUMMYFUNCTION("""COMPUTED_VALUE"""),118884.0)</f>
        <v>118884</v>
      </c>
      <c r="D1827" s="9"/>
      <c r="E1827" s="10" t="str">
        <f>IFERROR(__xludf.DUMMYFUNCTION("""COMPUTED_VALUE"""),"GREENRELAIS")</f>
        <v>GREENRELAIS</v>
      </c>
      <c r="F1827" s="10">
        <f>IFERROR(__xludf.DUMMYFUNCTION("""COMPUTED_VALUE"""),3.39)</f>
        <v>3.39</v>
      </c>
      <c r="G1827" s="9">
        <f>IFERROR(__xludf.DUMMYFUNCTION("""COMPUTED_VALUE"""),3.39)</f>
        <v>3.39</v>
      </c>
      <c r="H1827" s="9">
        <f>IFERROR(__xludf.DUMMYFUNCTION("""COMPUTED_VALUE"""),1.0)</f>
        <v>1</v>
      </c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</row>
    <row r="1828" ht="15.75" customHeight="1">
      <c r="A1828" s="11">
        <f>IFERROR(__xludf.DUMMYFUNCTION("""COMPUTED_VALUE"""),44471.0)</f>
        <v>44471</v>
      </c>
      <c r="B1828" s="9">
        <f>IFERROR(__xludf.DUMMYFUNCTION("""COMPUTED_VALUE"""),1003545.0)</f>
        <v>1003545</v>
      </c>
      <c r="C1828" s="9">
        <f>IFERROR(__xludf.DUMMYFUNCTION("""COMPUTED_VALUE"""),76363.0)</f>
        <v>76363</v>
      </c>
      <c r="D1828" s="9"/>
      <c r="E1828" s="10" t="str">
        <f>IFERROR(__xludf.DUMMYFUNCTION("""COMPUTED_VALUE"""),"GREENRELAIS")</f>
        <v>GREENRELAIS</v>
      </c>
      <c r="F1828" s="10">
        <f>IFERROR(__xludf.DUMMYFUNCTION("""COMPUTED_VALUE"""),2.52)</f>
        <v>2.52</v>
      </c>
      <c r="G1828" s="9">
        <f>IFERROR(__xludf.DUMMYFUNCTION("""COMPUTED_VALUE"""),2.52)</f>
        <v>2.52</v>
      </c>
      <c r="H1828" s="9">
        <f>IFERROR(__xludf.DUMMYFUNCTION("""COMPUTED_VALUE"""),1.0)</f>
        <v>1</v>
      </c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</row>
    <row r="1829" ht="15.75" customHeight="1">
      <c r="A1829" s="11">
        <f>IFERROR(__xludf.DUMMYFUNCTION("""COMPUTED_VALUE"""),44471.0)</f>
        <v>44471</v>
      </c>
      <c r="B1829" s="9">
        <f>IFERROR(__xludf.DUMMYFUNCTION("""COMPUTED_VALUE"""),1003545.0)</f>
        <v>1003545</v>
      </c>
      <c r="C1829" s="9">
        <f>IFERROR(__xludf.DUMMYFUNCTION("""COMPUTED_VALUE"""),76297.0)</f>
        <v>76297</v>
      </c>
      <c r="D1829" s="10" t="str">
        <f>IFERROR(__xludf.DUMMYFUNCTION("""COMPUTED_VALUE"""),"Vive le bio")</f>
        <v>Vive le bio</v>
      </c>
      <c r="E1829" s="10" t="str">
        <f>IFERROR(__xludf.DUMMYFUNCTION("""COMPUTED_VALUE"""),"GREENRELAIS")</f>
        <v>GREENRELAIS</v>
      </c>
      <c r="F1829" s="10">
        <f>IFERROR(__xludf.DUMMYFUNCTION("""COMPUTED_VALUE"""),3.4)</f>
        <v>3.4</v>
      </c>
      <c r="G1829" s="9">
        <f>IFERROR(__xludf.DUMMYFUNCTION("""COMPUTED_VALUE"""),3.06)</f>
        <v>3.06</v>
      </c>
      <c r="H1829" s="9">
        <f>IFERROR(__xludf.DUMMYFUNCTION("""COMPUTED_VALUE"""),1.0)</f>
        <v>1</v>
      </c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</row>
    <row r="1830" ht="15.75" customHeight="1">
      <c r="A1830" s="11">
        <f>IFERROR(__xludf.DUMMYFUNCTION("""COMPUTED_VALUE"""),44471.0)</f>
        <v>44471</v>
      </c>
      <c r="B1830" s="9">
        <f>IFERROR(__xludf.DUMMYFUNCTION("""COMPUTED_VALUE"""),1003545.0)</f>
        <v>1003545</v>
      </c>
      <c r="C1830" s="9">
        <f>IFERROR(__xludf.DUMMYFUNCTION("""COMPUTED_VALUE"""),18115.0)</f>
        <v>18115</v>
      </c>
      <c r="D1830" s="9"/>
      <c r="E1830" s="10" t="str">
        <f>IFERROR(__xludf.DUMMYFUNCTION("""COMPUTED_VALUE"""),"GREENRELAIS")</f>
        <v>GREENRELAIS</v>
      </c>
      <c r="F1830" s="10">
        <f>IFERROR(__xludf.DUMMYFUNCTION("""COMPUTED_VALUE"""),3.79)</f>
        <v>3.79</v>
      </c>
      <c r="G1830" s="9">
        <f>IFERROR(__xludf.DUMMYFUNCTION("""COMPUTED_VALUE"""),3.79)</f>
        <v>3.79</v>
      </c>
      <c r="H1830" s="9">
        <f>IFERROR(__xludf.DUMMYFUNCTION("""COMPUTED_VALUE"""),1.0)</f>
        <v>1</v>
      </c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</row>
    <row r="1831" ht="15.75" customHeight="1">
      <c r="A1831" s="11">
        <f>IFERROR(__xludf.DUMMYFUNCTION("""COMPUTED_VALUE"""),44471.0)</f>
        <v>44471</v>
      </c>
      <c r="B1831" s="9">
        <f>IFERROR(__xludf.DUMMYFUNCTION("""COMPUTED_VALUE"""),1003545.0)</f>
        <v>1003545</v>
      </c>
      <c r="C1831" s="9">
        <f>IFERROR(__xludf.DUMMYFUNCTION("""COMPUTED_VALUE"""),29117.0)</f>
        <v>29117</v>
      </c>
      <c r="D1831" s="9"/>
      <c r="E1831" s="10" t="str">
        <f>IFERROR(__xludf.DUMMYFUNCTION("""COMPUTED_VALUE"""),"GREENRELAIS")</f>
        <v>GREENRELAIS</v>
      </c>
      <c r="F1831" s="10">
        <f>IFERROR(__xludf.DUMMYFUNCTION("""COMPUTED_VALUE"""),2.42)</f>
        <v>2.42</v>
      </c>
      <c r="G1831" s="9">
        <f>IFERROR(__xludf.DUMMYFUNCTION("""COMPUTED_VALUE"""),2.42)</f>
        <v>2.42</v>
      </c>
      <c r="H1831" s="9">
        <f>IFERROR(__xludf.DUMMYFUNCTION("""COMPUTED_VALUE"""),1.0)</f>
        <v>1</v>
      </c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</row>
    <row r="1832" ht="15.75" customHeight="1">
      <c r="A1832" s="11">
        <f>IFERROR(__xludf.DUMMYFUNCTION("""COMPUTED_VALUE"""),44471.0)</f>
        <v>44471</v>
      </c>
      <c r="B1832" s="9">
        <f>IFERROR(__xludf.DUMMYFUNCTION("""COMPUTED_VALUE"""),1003545.0)</f>
        <v>1003545</v>
      </c>
      <c r="C1832" s="9">
        <f>IFERROR(__xludf.DUMMYFUNCTION("""COMPUTED_VALUE"""),73946.0)</f>
        <v>73946</v>
      </c>
      <c r="D1832" s="9"/>
      <c r="E1832" s="10" t="str">
        <f>IFERROR(__xludf.DUMMYFUNCTION("""COMPUTED_VALUE"""),"GREENRELAIS")</f>
        <v>GREENRELAIS</v>
      </c>
      <c r="F1832" s="10">
        <f>IFERROR(__xludf.DUMMYFUNCTION("""COMPUTED_VALUE"""),6.09)</f>
        <v>6.09</v>
      </c>
      <c r="G1832" s="9">
        <f>IFERROR(__xludf.DUMMYFUNCTION("""COMPUTED_VALUE"""),6.09)</f>
        <v>6.09</v>
      </c>
      <c r="H1832" s="9">
        <f>IFERROR(__xludf.DUMMYFUNCTION("""COMPUTED_VALUE"""),1.0)</f>
        <v>1</v>
      </c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</row>
    <row r="1833" ht="15.75" customHeight="1">
      <c r="A1833" s="11">
        <f>IFERROR(__xludf.DUMMYFUNCTION("""COMPUTED_VALUE"""),44471.0)</f>
        <v>44471</v>
      </c>
      <c r="B1833" s="9">
        <f>IFERROR(__xludf.DUMMYFUNCTION("""COMPUTED_VALUE"""),1003545.0)</f>
        <v>1003545</v>
      </c>
      <c r="C1833" s="9">
        <f>IFERROR(__xludf.DUMMYFUNCTION("""COMPUTED_VALUE"""),73951.0)</f>
        <v>73951</v>
      </c>
      <c r="D1833" s="9"/>
      <c r="E1833" s="10" t="str">
        <f>IFERROR(__xludf.DUMMYFUNCTION("""COMPUTED_VALUE"""),"GREENRELAIS")</f>
        <v>GREENRELAIS</v>
      </c>
      <c r="F1833" s="10">
        <f>IFERROR(__xludf.DUMMYFUNCTION("""COMPUTED_VALUE"""),1.84)</f>
        <v>1.84</v>
      </c>
      <c r="G1833" s="9">
        <f>IFERROR(__xludf.DUMMYFUNCTION("""COMPUTED_VALUE"""),1.84)</f>
        <v>1.84</v>
      </c>
      <c r="H1833" s="9">
        <f>IFERROR(__xludf.DUMMYFUNCTION("""COMPUTED_VALUE"""),1.0)</f>
        <v>1</v>
      </c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</row>
    <row r="1834" ht="15.75" customHeight="1">
      <c r="A1834" s="11">
        <f>IFERROR(__xludf.DUMMYFUNCTION("""COMPUTED_VALUE"""),44471.0)</f>
        <v>44471</v>
      </c>
      <c r="B1834" s="9">
        <f>IFERROR(__xludf.DUMMYFUNCTION("""COMPUTED_VALUE"""),1003545.0)</f>
        <v>1003545</v>
      </c>
      <c r="C1834" s="9">
        <f>IFERROR(__xludf.DUMMYFUNCTION("""COMPUTED_VALUE"""),12005.0)</f>
        <v>12005</v>
      </c>
      <c r="D1834" s="9"/>
      <c r="E1834" s="10" t="str">
        <f>IFERROR(__xludf.DUMMYFUNCTION("""COMPUTED_VALUE"""),"GREENRELAIS")</f>
        <v>GREENRELAIS</v>
      </c>
      <c r="F1834" s="10">
        <f>IFERROR(__xludf.DUMMYFUNCTION("""COMPUTED_VALUE"""),2.45)</f>
        <v>2.45</v>
      </c>
      <c r="G1834" s="9">
        <f>IFERROR(__xludf.DUMMYFUNCTION("""COMPUTED_VALUE"""),2.45)</f>
        <v>2.45</v>
      </c>
      <c r="H1834" s="9">
        <f>IFERROR(__xludf.DUMMYFUNCTION("""COMPUTED_VALUE"""),1.0)</f>
        <v>1</v>
      </c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</row>
    <row r="1835" ht="15.75" customHeight="1">
      <c r="A1835" s="11">
        <f>IFERROR(__xludf.DUMMYFUNCTION("""COMPUTED_VALUE"""),44471.0)</f>
        <v>44471</v>
      </c>
      <c r="B1835" s="9">
        <f>IFERROR(__xludf.DUMMYFUNCTION("""COMPUTED_VALUE"""),1003545.0)</f>
        <v>1003545</v>
      </c>
      <c r="C1835" s="9">
        <f>IFERROR(__xludf.DUMMYFUNCTION("""COMPUTED_VALUE"""),76360.0)</f>
        <v>76360</v>
      </c>
      <c r="D1835" s="10" t="str">
        <f>IFERROR(__xludf.DUMMYFUNCTION("""COMPUTED_VALUE"""),"Vive le bio")</f>
        <v>Vive le bio</v>
      </c>
      <c r="E1835" s="10" t="str">
        <f>IFERROR(__xludf.DUMMYFUNCTION("""COMPUTED_VALUE"""),"GREENRELAIS")</f>
        <v>GREENRELAIS</v>
      </c>
      <c r="F1835" s="10">
        <f>IFERROR(__xludf.DUMMYFUNCTION("""COMPUTED_VALUE"""),2.17777777777777)</f>
        <v>2.177777778</v>
      </c>
      <c r="G1835" s="9">
        <f>IFERROR(__xludf.DUMMYFUNCTION("""COMPUTED_VALUE"""),1.96)</f>
        <v>1.96</v>
      </c>
      <c r="H1835" s="9">
        <f>IFERROR(__xludf.DUMMYFUNCTION("""COMPUTED_VALUE"""),1.0)</f>
        <v>1</v>
      </c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</row>
    <row r="1836" ht="15.75" customHeight="1">
      <c r="A1836" s="11">
        <f>IFERROR(__xludf.DUMMYFUNCTION("""COMPUTED_VALUE"""),44471.0)</f>
        <v>44471</v>
      </c>
      <c r="B1836" s="9">
        <f>IFERROR(__xludf.DUMMYFUNCTION("""COMPUTED_VALUE"""),1003545.0)</f>
        <v>1003545</v>
      </c>
      <c r="C1836" s="9">
        <f>IFERROR(__xludf.DUMMYFUNCTION("""COMPUTED_VALUE"""),122139.0)</f>
        <v>122139</v>
      </c>
      <c r="D1836" s="9"/>
      <c r="E1836" s="10" t="str">
        <f>IFERROR(__xludf.DUMMYFUNCTION("""COMPUTED_VALUE"""),"GREENRELAIS")</f>
        <v>GREENRELAIS</v>
      </c>
      <c r="F1836" s="10">
        <f>IFERROR(__xludf.DUMMYFUNCTION("""COMPUTED_VALUE"""),8.41)</f>
        <v>8.41</v>
      </c>
      <c r="G1836" s="9">
        <f>IFERROR(__xludf.DUMMYFUNCTION("""COMPUTED_VALUE"""),8.41)</f>
        <v>8.41</v>
      </c>
      <c r="H1836" s="9">
        <f>IFERROR(__xludf.DUMMYFUNCTION("""COMPUTED_VALUE"""),2.0)</f>
        <v>2</v>
      </c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</row>
    <row r="1837" ht="15.75" customHeight="1">
      <c r="A1837" s="11">
        <f>IFERROR(__xludf.DUMMYFUNCTION("""COMPUTED_VALUE"""),44471.0)</f>
        <v>44471</v>
      </c>
      <c r="B1837" s="9">
        <f>IFERROR(__xludf.DUMMYFUNCTION("""COMPUTED_VALUE"""),1003545.0)</f>
        <v>1003545</v>
      </c>
      <c r="C1837" s="9">
        <f>IFERROR(__xludf.DUMMYFUNCTION("""COMPUTED_VALUE"""),90792.0)</f>
        <v>90792</v>
      </c>
      <c r="D1837" s="9"/>
      <c r="E1837" s="10" t="str">
        <f>IFERROR(__xludf.DUMMYFUNCTION("""COMPUTED_VALUE"""),"GREENRELAIS")</f>
        <v>GREENRELAIS</v>
      </c>
      <c r="F1837" s="10">
        <f>IFERROR(__xludf.DUMMYFUNCTION("""COMPUTED_VALUE"""),5.94)</f>
        <v>5.94</v>
      </c>
      <c r="G1837" s="9">
        <f>IFERROR(__xludf.DUMMYFUNCTION("""COMPUTED_VALUE"""),5.94)</f>
        <v>5.94</v>
      </c>
      <c r="H1837" s="9">
        <f>IFERROR(__xludf.DUMMYFUNCTION("""COMPUTED_VALUE"""),2.0)</f>
        <v>2</v>
      </c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</row>
    <row r="1838" ht="15.75" customHeight="1">
      <c r="A1838" s="11">
        <f>IFERROR(__xludf.DUMMYFUNCTION("""COMPUTED_VALUE"""),44471.0)</f>
        <v>44471</v>
      </c>
      <c r="B1838" s="9">
        <f>IFERROR(__xludf.DUMMYFUNCTION("""COMPUTED_VALUE"""),1003545.0)</f>
        <v>1003545</v>
      </c>
      <c r="C1838" s="9">
        <f>IFERROR(__xludf.DUMMYFUNCTION("""COMPUTED_VALUE"""),77444.0)</f>
        <v>77444</v>
      </c>
      <c r="D1838" s="9"/>
      <c r="E1838" s="10" t="str">
        <f>IFERROR(__xludf.DUMMYFUNCTION("""COMPUTED_VALUE"""),"GREENRELAIS")</f>
        <v>GREENRELAIS</v>
      </c>
      <c r="F1838" s="10">
        <f>IFERROR(__xludf.DUMMYFUNCTION("""COMPUTED_VALUE"""),3.85)</f>
        <v>3.85</v>
      </c>
      <c r="G1838" s="9">
        <f>IFERROR(__xludf.DUMMYFUNCTION("""COMPUTED_VALUE"""),3.85)</f>
        <v>3.85</v>
      </c>
      <c r="H1838" s="9">
        <f>IFERROR(__xludf.DUMMYFUNCTION("""COMPUTED_VALUE"""),2.0)</f>
        <v>2</v>
      </c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</row>
    <row r="1839" ht="15.75" customHeight="1">
      <c r="A1839" s="11">
        <f>IFERROR(__xludf.DUMMYFUNCTION("""COMPUTED_VALUE"""),44471.0)</f>
        <v>44471</v>
      </c>
      <c r="B1839" s="9">
        <f>IFERROR(__xludf.DUMMYFUNCTION("""COMPUTED_VALUE"""),1003545.0)</f>
        <v>1003545</v>
      </c>
      <c r="C1839" s="9">
        <f>IFERROR(__xludf.DUMMYFUNCTION("""COMPUTED_VALUE"""),110573.0)</f>
        <v>110573</v>
      </c>
      <c r="D1839" s="9"/>
      <c r="E1839" s="10" t="str">
        <f>IFERROR(__xludf.DUMMYFUNCTION("""COMPUTED_VALUE"""),"GREENRELAIS")</f>
        <v>GREENRELAIS</v>
      </c>
      <c r="F1839" s="10">
        <f>IFERROR(__xludf.DUMMYFUNCTION("""COMPUTED_VALUE"""),3.85)</f>
        <v>3.85</v>
      </c>
      <c r="G1839" s="9">
        <f>IFERROR(__xludf.DUMMYFUNCTION("""COMPUTED_VALUE"""),3.85)</f>
        <v>3.85</v>
      </c>
      <c r="H1839" s="9">
        <f>IFERROR(__xludf.DUMMYFUNCTION("""COMPUTED_VALUE"""),2.0)</f>
        <v>2</v>
      </c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</row>
    <row r="1840" ht="15.75" customHeight="1">
      <c r="A1840" s="11">
        <f>IFERROR(__xludf.DUMMYFUNCTION("""COMPUTED_VALUE"""),44471.0)</f>
        <v>44471</v>
      </c>
      <c r="B1840" s="9">
        <f>IFERROR(__xludf.DUMMYFUNCTION("""COMPUTED_VALUE"""),1003545.0)</f>
        <v>1003545</v>
      </c>
      <c r="C1840" s="9">
        <f>IFERROR(__xludf.DUMMYFUNCTION("""COMPUTED_VALUE"""),82368.0)</f>
        <v>82368</v>
      </c>
      <c r="D1840" s="10" t="str">
        <f>IFERROR(__xludf.DUMMYFUNCTION("""COMPUTED_VALUE"""),"DLC courtes")</f>
        <v>DLC courtes</v>
      </c>
      <c r="E1840" s="10" t="str">
        <f>IFERROR(__xludf.DUMMYFUNCTION("""COMPUTED_VALUE"""),"GREENRELAIS")</f>
        <v>GREENRELAIS</v>
      </c>
      <c r="F1840" s="10">
        <f>IFERROR(__xludf.DUMMYFUNCTION("""COMPUTED_VALUE"""),4.96)</f>
        <v>4.96</v>
      </c>
      <c r="G1840" s="9">
        <f>IFERROR(__xludf.DUMMYFUNCTION("""COMPUTED_VALUE"""),2.48)</f>
        <v>2.48</v>
      </c>
      <c r="H1840" s="9">
        <f>IFERROR(__xludf.DUMMYFUNCTION("""COMPUTED_VALUE"""),2.0)</f>
        <v>2</v>
      </c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</row>
    <row r="1841" ht="15.75" customHeight="1">
      <c r="A1841" s="11">
        <f>IFERROR(__xludf.DUMMYFUNCTION("""COMPUTED_VALUE"""),44471.0)</f>
        <v>44471</v>
      </c>
      <c r="B1841" s="9">
        <f>IFERROR(__xludf.DUMMYFUNCTION("""COMPUTED_VALUE"""),1003545.0)</f>
        <v>1003545</v>
      </c>
      <c r="C1841" s="9">
        <f>IFERROR(__xludf.DUMMYFUNCTION("""COMPUTED_VALUE"""),88268.0)</f>
        <v>88268</v>
      </c>
      <c r="D1841" s="9"/>
      <c r="E1841" s="10" t="str">
        <f>IFERROR(__xludf.DUMMYFUNCTION("""COMPUTED_VALUE"""),"GREENRELAIS")</f>
        <v>GREENRELAIS</v>
      </c>
      <c r="F1841" s="10">
        <f>IFERROR(__xludf.DUMMYFUNCTION("""COMPUTED_VALUE"""),3.18)</f>
        <v>3.18</v>
      </c>
      <c r="G1841" s="9">
        <f>IFERROR(__xludf.DUMMYFUNCTION("""COMPUTED_VALUE"""),3.18)</f>
        <v>3.18</v>
      </c>
      <c r="H1841" s="9">
        <f>IFERROR(__xludf.DUMMYFUNCTION("""COMPUTED_VALUE"""),3.0)</f>
        <v>3</v>
      </c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</row>
    <row r="1842" ht="15.75" customHeight="1">
      <c r="A1842" s="11">
        <f>IFERROR(__xludf.DUMMYFUNCTION("""COMPUTED_VALUE"""),44471.0)</f>
        <v>44471</v>
      </c>
      <c r="B1842" s="9">
        <f>IFERROR(__xludf.DUMMYFUNCTION("""COMPUTED_VALUE"""),1003546.0)</f>
        <v>1003546</v>
      </c>
      <c r="C1842" s="9">
        <f>IFERROR(__xludf.DUMMYFUNCTION("""COMPUTED_VALUE"""),70611.0)</f>
        <v>70611</v>
      </c>
      <c r="D1842" s="9"/>
      <c r="E1842" s="9"/>
      <c r="F1842" s="9">
        <f>IFERROR(__xludf.DUMMYFUNCTION("""COMPUTED_VALUE"""),21.15)</f>
        <v>21.15</v>
      </c>
      <c r="G1842" s="9">
        <f>IFERROR(__xludf.DUMMYFUNCTION("""COMPUTED_VALUE"""),21.15)</f>
        <v>21.15</v>
      </c>
      <c r="H1842" s="9">
        <f>IFERROR(__xludf.DUMMYFUNCTION("""COMPUTED_VALUE"""),2.0)</f>
        <v>2</v>
      </c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</row>
    <row r="1843" ht="15.75" customHeight="1">
      <c r="A1843" s="11">
        <f>IFERROR(__xludf.DUMMYFUNCTION("""COMPUTED_VALUE"""),44471.0)</f>
        <v>44471</v>
      </c>
      <c r="B1843" s="9">
        <f>IFERROR(__xludf.DUMMYFUNCTION("""COMPUTED_VALUE"""),1003547.0)</f>
        <v>1003547</v>
      </c>
      <c r="C1843" s="9">
        <f>IFERROR(__xludf.DUMMYFUNCTION("""COMPUTED_VALUE"""),91236.0)</f>
        <v>91236</v>
      </c>
      <c r="D1843" s="10" t="str">
        <f>IFERROR(__xludf.DUMMYFUNCTION("""COMPUTED_VALUE"""),"Vive le bio")</f>
        <v>Vive le bio</v>
      </c>
      <c r="E1843" s="10"/>
      <c r="F1843" s="9">
        <f>IFERROR(__xludf.DUMMYFUNCTION("""COMPUTED_VALUE"""),33.0111111111111)</f>
        <v>33.01111111</v>
      </c>
      <c r="G1843" s="9">
        <f>IFERROR(__xludf.DUMMYFUNCTION("""COMPUTED_VALUE"""),29.71)</f>
        <v>29.71</v>
      </c>
      <c r="H1843" s="9">
        <f>IFERROR(__xludf.DUMMYFUNCTION("""COMPUTED_VALUE"""),1.0)</f>
        <v>1</v>
      </c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</row>
    <row r="1844" ht="15.75" customHeight="1">
      <c r="A1844" s="11">
        <f>IFERROR(__xludf.DUMMYFUNCTION("""COMPUTED_VALUE"""),44471.0)</f>
        <v>44471</v>
      </c>
      <c r="B1844" s="9">
        <f>IFERROR(__xludf.DUMMYFUNCTION("""COMPUTED_VALUE"""),1003547.0)</f>
        <v>1003547</v>
      </c>
      <c r="C1844" s="9">
        <f>IFERROR(__xludf.DUMMYFUNCTION("""COMPUTED_VALUE"""),69112.0)</f>
        <v>69112</v>
      </c>
      <c r="D1844" s="9"/>
      <c r="E1844" s="9"/>
      <c r="F1844" s="9">
        <f>IFERROR(__xludf.DUMMYFUNCTION("""COMPUTED_VALUE"""),4.99)</f>
        <v>4.99</v>
      </c>
      <c r="G1844" s="9">
        <f>IFERROR(__xludf.DUMMYFUNCTION("""COMPUTED_VALUE"""),4.99)</f>
        <v>4.99</v>
      </c>
      <c r="H1844" s="9">
        <f>IFERROR(__xludf.DUMMYFUNCTION("""COMPUTED_VALUE"""),2.0)</f>
        <v>2</v>
      </c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</row>
    <row r="1845" ht="15.75" customHeight="1">
      <c r="A1845" s="11">
        <f>IFERROR(__xludf.DUMMYFUNCTION("""COMPUTED_VALUE"""),44471.0)</f>
        <v>44471</v>
      </c>
      <c r="B1845" s="9">
        <f>IFERROR(__xludf.DUMMYFUNCTION("""COMPUTED_VALUE"""),1003548.0)</f>
        <v>1003548</v>
      </c>
      <c r="C1845" s="9">
        <f>IFERROR(__xludf.DUMMYFUNCTION("""COMPUTED_VALUE"""),106779.0)</f>
        <v>106779</v>
      </c>
      <c r="D1845" s="9"/>
      <c r="E1845" s="9"/>
      <c r="F1845" s="9">
        <f>IFERROR(__xludf.DUMMYFUNCTION("""COMPUTED_VALUE"""),1.14)</f>
        <v>1.14</v>
      </c>
      <c r="G1845" s="9">
        <f>IFERROR(__xludf.DUMMYFUNCTION("""COMPUTED_VALUE"""),1.14)</f>
        <v>1.14</v>
      </c>
      <c r="H1845" s="9">
        <f>IFERROR(__xludf.DUMMYFUNCTION("""COMPUTED_VALUE"""),1.0)</f>
        <v>1</v>
      </c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</row>
    <row r="1846" ht="15.75" customHeight="1">
      <c r="A1846" s="11">
        <f>IFERROR(__xludf.DUMMYFUNCTION("""COMPUTED_VALUE"""),44471.0)</f>
        <v>44471</v>
      </c>
      <c r="B1846" s="9">
        <f>IFERROR(__xludf.DUMMYFUNCTION("""COMPUTED_VALUE"""),1003548.0)</f>
        <v>1003548</v>
      </c>
      <c r="C1846" s="9">
        <f>IFERROR(__xludf.DUMMYFUNCTION("""COMPUTED_VALUE"""),109178.0)</f>
        <v>109178</v>
      </c>
      <c r="D1846" s="9"/>
      <c r="E1846" s="9"/>
      <c r="F1846" s="9">
        <f>IFERROR(__xludf.DUMMYFUNCTION("""COMPUTED_VALUE"""),26.13)</f>
        <v>26.13</v>
      </c>
      <c r="G1846" s="9">
        <f>IFERROR(__xludf.DUMMYFUNCTION("""COMPUTED_VALUE"""),26.13)</f>
        <v>26.13</v>
      </c>
      <c r="H1846" s="9">
        <f>IFERROR(__xludf.DUMMYFUNCTION("""COMPUTED_VALUE"""),1.0)</f>
        <v>1</v>
      </c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</row>
    <row r="1847" ht="15.75" customHeight="1">
      <c r="A1847" s="11">
        <f>IFERROR(__xludf.DUMMYFUNCTION("""COMPUTED_VALUE"""),44471.0)</f>
        <v>44471</v>
      </c>
      <c r="B1847" s="9">
        <f>IFERROR(__xludf.DUMMYFUNCTION("""COMPUTED_VALUE"""),1003548.0)</f>
        <v>1003548</v>
      </c>
      <c r="C1847" s="9">
        <f>IFERROR(__xludf.DUMMYFUNCTION("""COMPUTED_VALUE"""),80809.0)</f>
        <v>80809</v>
      </c>
      <c r="D1847" s="9"/>
      <c r="E1847" s="9"/>
      <c r="F1847" s="9">
        <f>IFERROR(__xludf.DUMMYFUNCTION("""COMPUTED_VALUE"""),3.07)</f>
        <v>3.07</v>
      </c>
      <c r="G1847" s="9">
        <f>IFERROR(__xludf.DUMMYFUNCTION("""COMPUTED_VALUE"""),3.07)</f>
        <v>3.07</v>
      </c>
      <c r="H1847" s="9">
        <f>IFERROR(__xludf.DUMMYFUNCTION("""COMPUTED_VALUE"""),2.0)</f>
        <v>2</v>
      </c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</row>
    <row r="1848" ht="15.75" customHeight="1">
      <c r="A1848" s="11">
        <f>IFERROR(__xludf.DUMMYFUNCTION("""COMPUTED_VALUE"""),44471.0)</f>
        <v>44471</v>
      </c>
      <c r="B1848" s="9">
        <f>IFERROR(__xludf.DUMMYFUNCTION("""COMPUTED_VALUE"""),1003548.0)</f>
        <v>1003548</v>
      </c>
      <c r="C1848" s="9">
        <f>IFERROR(__xludf.DUMMYFUNCTION("""COMPUTED_VALUE"""),106785.0)</f>
        <v>106785</v>
      </c>
      <c r="D1848" s="9"/>
      <c r="E1848" s="9"/>
      <c r="F1848" s="9">
        <f>IFERROR(__xludf.DUMMYFUNCTION("""COMPUTED_VALUE"""),4.11)</f>
        <v>4.11</v>
      </c>
      <c r="G1848" s="9">
        <f>IFERROR(__xludf.DUMMYFUNCTION("""COMPUTED_VALUE"""),4.11)</f>
        <v>4.11</v>
      </c>
      <c r="H1848" s="9">
        <f>IFERROR(__xludf.DUMMYFUNCTION("""COMPUTED_VALUE"""),4.0)</f>
        <v>4</v>
      </c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</row>
    <row r="1849" ht="15.75" customHeight="1">
      <c r="A1849" s="11">
        <f>IFERROR(__xludf.DUMMYFUNCTION("""COMPUTED_VALUE"""),44471.0)</f>
        <v>44471</v>
      </c>
      <c r="B1849" s="9">
        <f>IFERROR(__xludf.DUMMYFUNCTION("""COMPUTED_VALUE"""),1003549.0)</f>
        <v>1003549</v>
      </c>
      <c r="C1849" s="9">
        <f>IFERROR(__xludf.DUMMYFUNCTION("""COMPUTED_VALUE"""),109307.0)</f>
        <v>109307</v>
      </c>
      <c r="D1849" s="9"/>
      <c r="E1849" s="9"/>
      <c r="F1849" s="9">
        <f>IFERROR(__xludf.DUMMYFUNCTION("""COMPUTED_VALUE"""),18.49)</f>
        <v>18.49</v>
      </c>
      <c r="G1849" s="9">
        <f>IFERROR(__xludf.DUMMYFUNCTION("""COMPUTED_VALUE"""),18.49)</f>
        <v>18.49</v>
      </c>
      <c r="H1849" s="9">
        <f>IFERROR(__xludf.DUMMYFUNCTION("""COMPUTED_VALUE"""),2.0)</f>
        <v>2</v>
      </c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</row>
    <row r="1850" ht="15.75" customHeight="1">
      <c r="A1850" s="11">
        <f>IFERROR(__xludf.DUMMYFUNCTION("""COMPUTED_VALUE"""),44471.0)</f>
        <v>44471</v>
      </c>
      <c r="B1850" s="9">
        <f>IFERROR(__xludf.DUMMYFUNCTION("""COMPUTED_VALUE"""),1003549.0)</f>
        <v>1003549</v>
      </c>
      <c r="C1850" s="9">
        <f>IFERROR(__xludf.DUMMYFUNCTION("""COMPUTED_VALUE"""),80305.0)</f>
        <v>80305</v>
      </c>
      <c r="D1850" s="9"/>
      <c r="E1850" s="9"/>
      <c r="F1850" s="9">
        <f>IFERROR(__xludf.DUMMYFUNCTION("""COMPUTED_VALUE"""),62.72)</f>
        <v>62.72</v>
      </c>
      <c r="G1850" s="9">
        <f>IFERROR(__xludf.DUMMYFUNCTION("""COMPUTED_VALUE"""),62.72)</f>
        <v>62.72</v>
      </c>
      <c r="H1850" s="9">
        <f>IFERROR(__xludf.DUMMYFUNCTION("""COMPUTED_VALUE"""),10.0)</f>
        <v>10</v>
      </c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</row>
    <row r="1851" ht="15.75" customHeight="1">
      <c r="A1851" s="11">
        <f>IFERROR(__xludf.DUMMYFUNCTION("""COMPUTED_VALUE"""),44471.0)</f>
        <v>44471</v>
      </c>
      <c r="B1851" s="9">
        <f>IFERROR(__xludf.DUMMYFUNCTION("""COMPUTED_VALUE"""),1003550.0)</f>
        <v>1003550</v>
      </c>
      <c r="C1851" s="9">
        <f>IFERROR(__xludf.DUMMYFUNCTION("""COMPUTED_VALUE"""),5554.0)</f>
        <v>5554</v>
      </c>
      <c r="D1851" s="10" t="str">
        <f>IFERROR(__xludf.DUMMYFUNCTION("""COMPUTED_VALUE"""),"Vive le bio")</f>
        <v>Vive le bio</v>
      </c>
      <c r="E1851" s="10" t="str">
        <f>IFERROR(__xludf.DUMMYFUNCTION("""COMPUTED_VALUE"""),"GREENRELAIS")</f>
        <v>GREENRELAIS</v>
      </c>
      <c r="F1851" s="10">
        <f>IFERROR(__xludf.DUMMYFUNCTION("""COMPUTED_VALUE"""),4.0)</f>
        <v>4</v>
      </c>
      <c r="G1851" s="9">
        <f>IFERROR(__xludf.DUMMYFUNCTION("""COMPUTED_VALUE"""),3.6)</f>
        <v>3.6</v>
      </c>
      <c r="H1851" s="9">
        <f>IFERROR(__xludf.DUMMYFUNCTION("""COMPUTED_VALUE"""),1.0)</f>
        <v>1</v>
      </c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</row>
    <row r="1852" ht="15.75" customHeight="1">
      <c r="A1852" s="11">
        <f>IFERROR(__xludf.DUMMYFUNCTION("""COMPUTED_VALUE"""),44471.0)</f>
        <v>44471</v>
      </c>
      <c r="B1852" s="9">
        <f>IFERROR(__xludf.DUMMYFUNCTION("""COMPUTED_VALUE"""),1003550.0)</f>
        <v>1003550</v>
      </c>
      <c r="C1852" s="9">
        <f>IFERROR(__xludf.DUMMYFUNCTION("""COMPUTED_VALUE"""),102698.0)</f>
        <v>102698</v>
      </c>
      <c r="D1852" s="10" t="str">
        <f>IFERROR(__xludf.DUMMYFUNCTION("""COMPUTED_VALUE"""),"Vive le bio")</f>
        <v>Vive le bio</v>
      </c>
      <c r="E1852" s="10" t="str">
        <f>IFERROR(__xludf.DUMMYFUNCTION("""COMPUTED_VALUE"""),"GREENRELAIS")</f>
        <v>GREENRELAIS</v>
      </c>
      <c r="F1852" s="10">
        <f>IFERROR(__xludf.DUMMYFUNCTION("""COMPUTED_VALUE"""),3.87777777777777)</f>
        <v>3.877777778</v>
      </c>
      <c r="G1852" s="9">
        <f>IFERROR(__xludf.DUMMYFUNCTION("""COMPUTED_VALUE"""),3.49)</f>
        <v>3.49</v>
      </c>
      <c r="H1852" s="9">
        <f>IFERROR(__xludf.DUMMYFUNCTION("""COMPUTED_VALUE"""),1.0)</f>
        <v>1</v>
      </c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</row>
    <row r="1853" ht="15.75" customHeight="1">
      <c r="A1853" s="11">
        <f>IFERROR(__xludf.DUMMYFUNCTION("""COMPUTED_VALUE"""),44471.0)</f>
        <v>44471</v>
      </c>
      <c r="B1853" s="9">
        <f>IFERROR(__xludf.DUMMYFUNCTION("""COMPUTED_VALUE"""),1003550.0)</f>
        <v>1003550</v>
      </c>
      <c r="C1853" s="9">
        <f>IFERROR(__xludf.DUMMYFUNCTION("""COMPUTED_VALUE"""),73946.0)</f>
        <v>73946</v>
      </c>
      <c r="D1853" s="9"/>
      <c r="E1853" s="10" t="str">
        <f>IFERROR(__xludf.DUMMYFUNCTION("""COMPUTED_VALUE"""),"GREENRELAIS")</f>
        <v>GREENRELAIS</v>
      </c>
      <c r="F1853" s="10">
        <f>IFERROR(__xludf.DUMMYFUNCTION("""COMPUTED_VALUE"""),6.09)</f>
        <v>6.09</v>
      </c>
      <c r="G1853" s="9">
        <f>IFERROR(__xludf.DUMMYFUNCTION("""COMPUTED_VALUE"""),6.09)</f>
        <v>6.09</v>
      </c>
      <c r="H1853" s="9">
        <f>IFERROR(__xludf.DUMMYFUNCTION("""COMPUTED_VALUE"""),1.0)</f>
        <v>1</v>
      </c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</row>
    <row r="1854" ht="15.75" customHeight="1">
      <c r="A1854" s="11">
        <f>IFERROR(__xludf.DUMMYFUNCTION("""COMPUTED_VALUE"""),44471.0)</f>
        <v>44471</v>
      </c>
      <c r="B1854" s="9">
        <f>IFERROR(__xludf.DUMMYFUNCTION("""COMPUTED_VALUE"""),1003550.0)</f>
        <v>1003550</v>
      </c>
      <c r="C1854" s="9">
        <f>IFERROR(__xludf.DUMMYFUNCTION("""COMPUTED_VALUE"""),87964.0)</f>
        <v>87964</v>
      </c>
      <c r="D1854" s="9"/>
      <c r="E1854" s="10" t="str">
        <f>IFERROR(__xludf.DUMMYFUNCTION("""COMPUTED_VALUE"""),"GREENRELAIS")</f>
        <v>GREENRELAIS</v>
      </c>
      <c r="F1854" s="10">
        <f>IFERROR(__xludf.DUMMYFUNCTION("""COMPUTED_VALUE"""),16.73)</f>
        <v>16.73</v>
      </c>
      <c r="G1854" s="9">
        <f>IFERROR(__xludf.DUMMYFUNCTION("""COMPUTED_VALUE"""),16.73)</f>
        <v>16.73</v>
      </c>
      <c r="H1854" s="9">
        <f>IFERROR(__xludf.DUMMYFUNCTION("""COMPUTED_VALUE"""),1.0)</f>
        <v>1</v>
      </c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</row>
    <row r="1855" ht="15.75" customHeight="1">
      <c r="A1855" s="11">
        <f>IFERROR(__xludf.DUMMYFUNCTION("""COMPUTED_VALUE"""),44471.0)</f>
        <v>44471</v>
      </c>
      <c r="B1855" s="9">
        <f>IFERROR(__xludf.DUMMYFUNCTION("""COMPUTED_VALUE"""),1003550.0)</f>
        <v>1003550</v>
      </c>
      <c r="C1855" s="9">
        <f>IFERROR(__xludf.DUMMYFUNCTION("""COMPUTED_VALUE"""),92791.0)</f>
        <v>92791</v>
      </c>
      <c r="D1855" s="9"/>
      <c r="E1855" s="10" t="str">
        <f>IFERROR(__xludf.DUMMYFUNCTION("""COMPUTED_VALUE"""),"GREENRELAIS")</f>
        <v>GREENRELAIS</v>
      </c>
      <c r="F1855" s="10">
        <f>IFERROR(__xludf.DUMMYFUNCTION("""COMPUTED_VALUE"""),2.45)</f>
        <v>2.45</v>
      </c>
      <c r="G1855" s="9">
        <f>IFERROR(__xludf.DUMMYFUNCTION("""COMPUTED_VALUE"""),2.45)</f>
        <v>2.45</v>
      </c>
      <c r="H1855" s="9">
        <f>IFERROR(__xludf.DUMMYFUNCTION("""COMPUTED_VALUE"""),1.0)</f>
        <v>1</v>
      </c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</row>
    <row r="1856" ht="15.75" customHeight="1">
      <c r="A1856" s="11">
        <f>IFERROR(__xludf.DUMMYFUNCTION("""COMPUTED_VALUE"""),44471.0)</f>
        <v>44471</v>
      </c>
      <c r="B1856" s="9">
        <f>IFERROR(__xludf.DUMMYFUNCTION("""COMPUTED_VALUE"""),1003550.0)</f>
        <v>1003550</v>
      </c>
      <c r="C1856" s="9">
        <f>IFERROR(__xludf.DUMMYFUNCTION("""COMPUTED_VALUE"""),113739.0)</f>
        <v>113739</v>
      </c>
      <c r="D1856" s="9"/>
      <c r="E1856" s="10" t="str">
        <f>IFERROR(__xludf.DUMMYFUNCTION("""COMPUTED_VALUE"""),"GREENRELAIS")</f>
        <v>GREENRELAIS</v>
      </c>
      <c r="F1856" s="10">
        <f>IFERROR(__xludf.DUMMYFUNCTION("""COMPUTED_VALUE"""),3.48)</f>
        <v>3.48</v>
      </c>
      <c r="G1856" s="9">
        <f>IFERROR(__xludf.DUMMYFUNCTION("""COMPUTED_VALUE"""),3.48)</f>
        <v>3.48</v>
      </c>
      <c r="H1856" s="9">
        <f>IFERROR(__xludf.DUMMYFUNCTION("""COMPUTED_VALUE"""),1.0)</f>
        <v>1</v>
      </c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</row>
    <row r="1857" ht="15.75" customHeight="1">
      <c r="A1857" s="11">
        <f>IFERROR(__xludf.DUMMYFUNCTION("""COMPUTED_VALUE"""),44471.0)</f>
        <v>44471</v>
      </c>
      <c r="B1857" s="9">
        <f>IFERROR(__xludf.DUMMYFUNCTION("""COMPUTED_VALUE"""),1003550.0)</f>
        <v>1003550</v>
      </c>
      <c r="C1857" s="9">
        <f>IFERROR(__xludf.DUMMYFUNCTION("""COMPUTED_VALUE"""),99270.0)</f>
        <v>99270</v>
      </c>
      <c r="D1857" s="9"/>
      <c r="E1857" s="10" t="str">
        <f>IFERROR(__xludf.DUMMYFUNCTION("""COMPUTED_VALUE"""),"GREENRELAIS")</f>
        <v>GREENRELAIS</v>
      </c>
      <c r="F1857" s="10">
        <f>IFERROR(__xludf.DUMMYFUNCTION("""COMPUTED_VALUE"""),11.55)</f>
        <v>11.55</v>
      </c>
      <c r="G1857" s="9">
        <f>IFERROR(__xludf.DUMMYFUNCTION("""COMPUTED_VALUE"""),11.55)</f>
        <v>11.55</v>
      </c>
      <c r="H1857" s="9">
        <f>IFERROR(__xludf.DUMMYFUNCTION("""COMPUTED_VALUE"""),2.0)</f>
        <v>2</v>
      </c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</row>
    <row r="1858" ht="15.75" customHeight="1">
      <c r="A1858" s="11">
        <f>IFERROR(__xludf.DUMMYFUNCTION("""COMPUTED_VALUE"""),44471.0)</f>
        <v>44471</v>
      </c>
      <c r="B1858" s="9">
        <f>IFERROR(__xludf.DUMMYFUNCTION("""COMPUTED_VALUE"""),1003550.0)</f>
        <v>1003550</v>
      </c>
      <c r="C1858" s="9">
        <f>IFERROR(__xludf.DUMMYFUNCTION("""COMPUTED_VALUE"""),110689.0)</f>
        <v>110689</v>
      </c>
      <c r="D1858" s="9"/>
      <c r="E1858" s="10" t="str">
        <f>IFERROR(__xludf.DUMMYFUNCTION("""COMPUTED_VALUE"""),"GREENRELAIS")</f>
        <v>GREENRELAIS</v>
      </c>
      <c r="F1858" s="10">
        <f>IFERROR(__xludf.DUMMYFUNCTION("""COMPUTED_VALUE"""),5.59)</f>
        <v>5.59</v>
      </c>
      <c r="G1858" s="9">
        <f>IFERROR(__xludf.DUMMYFUNCTION("""COMPUTED_VALUE"""),5.59)</f>
        <v>5.59</v>
      </c>
      <c r="H1858" s="9">
        <f>IFERROR(__xludf.DUMMYFUNCTION("""COMPUTED_VALUE"""),3.0)</f>
        <v>3</v>
      </c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</row>
    <row r="1859" ht="15.75" customHeight="1">
      <c r="A1859" s="11">
        <f>IFERROR(__xludf.DUMMYFUNCTION("""COMPUTED_VALUE"""),44471.0)</f>
        <v>44471</v>
      </c>
      <c r="B1859" s="9">
        <f>IFERROR(__xludf.DUMMYFUNCTION("""COMPUTED_VALUE"""),1003551.0)</f>
        <v>1003551</v>
      </c>
      <c r="C1859" s="9">
        <f>IFERROR(__xludf.DUMMYFUNCTION("""COMPUTED_VALUE"""),46896.0)</f>
        <v>46896</v>
      </c>
      <c r="D1859" s="9"/>
      <c r="E1859" s="9"/>
      <c r="F1859" s="9">
        <f>IFERROR(__xludf.DUMMYFUNCTION("""COMPUTED_VALUE"""),4.87)</f>
        <v>4.87</v>
      </c>
      <c r="G1859" s="9">
        <f>IFERROR(__xludf.DUMMYFUNCTION("""COMPUTED_VALUE"""),4.87)</f>
        <v>4.87</v>
      </c>
      <c r="H1859" s="9">
        <f>IFERROR(__xludf.DUMMYFUNCTION("""COMPUTED_VALUE"""),1.0)</f>
        <v>1</v>
      </c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</row>
    <row r="1860" ht="15.75" customHeight="1">
      <c r="A1860" s="11">
        <f>IFERROR(__xludf.DUMMYFUNCTION("""COMPUTED_VALUE"""),44471.0)</f>
        <v>44471</v>
      </c>
      <c r="B1860" s="9">
        <f>IFERROR(__xludf.DUMMYFUNCTION("""COMPUTED_VALUE"""),1003551.0)</f>
        <v>1003551</v>
      </c>
      <c r="C1860" s="9">
        <f>IFERROR(__xludf.DUMMYFUNCTION("""COMPUTED_VALUE"""),118242.0)</f>
        <v>118242</v>
      </c>
      <c r="D1860" s="10" t="str">
        <f>IFERROR(__xludf.DUMMYFUNCTION("""COMPUTED_VALUE"""),"Natur'vox Carryboo couches Sept 21")</f>
        <v>Natur'vox Carryboo couches Sept 21</v>
      </c>
      <c r="E1860" s="10"/>
      <c r="F1860" s="9">
        <f>IFERROR(__xludf.DUMMYFUNCTION("""COMPUTED_VALUE"""),16.5333333333333)</f>
        <v>16.53333333</v>
      </c>
      <c r="G1860" s="9">
        <f>IFERROR(__xludf.DUMMYFUNCTION("""COMPUTED_VALUE"""),12.4)</f>
        <v>12.4</v>
      </c>
      <c r="H1860" s="9">
        <f>IFERROR(__xludf.DUMMYFUNCTION("""COMPUTED_VALUE"""),1.0)</f>
        <v>1</v>
      </c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</row>
    <row r="1861" ht="15.75" customHeight="1">
      <c r="A1861" s="11">
        <f>IFERROR(__xludf.DUMMYFUNCTION("""COMPUTED_VALUE"""),44471.0)</f>
        <v>44471</v>
      </c>
      <c r="B1861" s="9">
        <f>IFERROR(__xludf.DUMMYFUNCTION("""COMPUTED_VALUE"""),1003551.0)</f>
        <v>1003551</v>
      </c>
      <c r="C1861" s="9">
        <f>IFERROR(__xludf.DUMMYFUNCTION("""COMPUTED_VALUE"""),101299.0)</f>
        <v>101299</v>
      </c>
      <c r="D1861" s="10" t="str">
        <f>IFERROR(__xludf.DUMMYFUNCTION("""COMPUTED_VALUE"""),"Natur'vox Carryboo couches Sept 21")</f>
        <v>Natur'vox Carryboo couches Sept 21</v>
      </c>
      <c r="E1861" s="10"/>
      <c r="F1861" s="9">
        <f>IFERROR(__xludf.DUMMYFUNCTION("""COMPUTED_VALUE"""),16.5333333333333)</f>
        <v>16.53333333</v>
      </c>
      <c r="G1861" s="9">
        <f>IFERROR(__xludf.DUMMYFUNCTION("""COMPUTED_VALUE"""),12.4)</f>
        <v>12.4</v>
      </c>
      <c r="H1861" s="9">
        <f>IFERROR(__xludf.DUMMYFUNCTION("""COMPUTED_VALUE"""),1.0)</f>
        <v>1</v>
      </c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</row>
    <row r="1862" ht="15.75" customHeight="1">
      <c r="A1862" s="11">
        <f>IFERROR(__xludf.DUMMYFUNCTION("""COMPUTED_VALUE"""),44471.0)</f>
        <v>44471</v>
      </c>
      <c r="B1862" s="9">
        <f>IFERROR(__xludf.DUMMYFUNCTION("""COMPUTED_VALUE"""),1003551.0)</f>
        <v>1003551</v>
      </c>
      <c r="C1862" s="9">
        <f>IFERROR(__xludf.DUMMYFUNCTION("""COMPUTED_VALUE"""),109966.0)</f>
        <v>109966</v>
      </c>
      <c r="D1862" s="10" t="str">
        <f>IFERROR(__xludf.DUMMYFUNCTION("""COMPUTED_VALUE"""),"Carryboo soin bebe 2021")</f>
        <v>Carryboo soin bebe 2021</v>
      </c>
      <c r="E1862" s="10"/>
      <c r="F1862" s="9">
        <f>IFERROR(__xludf.DUMMYFUNCTION("""COMPUTED_VALUE"""),6.90666666666666)</f>
        <v>6.906666667</v>
      </c>
      <c r="G1862" s="9">
        <f>IFERROR(__xludf.DUMMYFUNCTION("""COMPUTED_VALUE"""),5.18)</f>
        <v>5.18</v>
      </c>
      <c r="H1862" s="9">
        <f>IFERROR(__xludf.DUMMYFUNCTION("""COMPUTED_VALUE"""),1.0)</f>
        <v>1</v>
      </c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</row>
    <row r="1863" ht="15.75" customHeight="1">
      <c r="A1863" s="11">
        <f>IFERROR(__xludf.DUMMYFUNCTION("""COMPUTED_VALUE"""),44471.0)</f>
        <v>44471</v>
      </c>
      <c r="B1863" s="9">
        <f>IFERROR(__xludf.DUMMYFUNCTION("""COMPUTED_VALUE"""),1003551.0)</f>
        <v>1003551</v>
      </c>
      <c r="C1863" s="9">
        <f>IFERROR(__xludf.DUMMYFUNCTION("""COMPUTED_VALUE"""),110334.0)</f>
        <v>110334</v>
      </c>
      <c r="D1863" s="10" t="str">
        <f>IFERROR(__xludf.DUMMYFUNCTION("""COMPUTED_VALUE"""),"Love &amp; Green Couches et Culottes sept 2021")</f>
        <v>Love &amp; Green Couches et Culottes sept 2021</v>
      </c>
      <c r="E1863" s="10"/>
      <c r="F1863" s="9">
        <f>IFERROR(__xludf.DUMMYFUNCTION("""COMPUTED_VALUE"""),10.4571428571428)</f>
        <v>10.45714286</v>
      </c>
      <c r="G1863" s="9">
        <f>IFERROR(__xludf.DUMMYFUNCTION("""COMPUTED_VALUE"""),7.32)</f>
        <v>7.32</v>
      </c>
      <c r="H1863" s="9">
        <f>IFERROR(__xludf.DUMMYFUNCTION("""COMPUTED_VALUE"""),1.0)</f>
        <v>1</v>
      </c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</row>
    <row r="1864" ht="15.75" customHeight="1">
      <c r="A1864" s="11">
        <f>IFERROR(__xludf.DUMMYFUNCTION("""COMPUTED_VALUE"""),44471.0)</f>
        <v>44471</v>
      </c>
      <c r="B1864" s="9">
        <f>IFERROR(__xludf.DUMMYFUNCTION("""COMPUTED_VALUE"""),1003551.0)</f>
        <v>1003551</v>
      </c>
      <c r="C1864" s="9">
        <f>IFERROR(__xludf.DUMMYFUNCTION("""COMPUTED_VALUE"""),122248.0)</f>
        <v>122248</v>
      </c>
      <c r="D1864" s="9"/>
      <c r="E1864" s="9"/>
      <c r="F1864" s="9">
        <f>IFERROR(__xludf.DUMMYFUNCTION("""COMPUTED_VALUE"""),9.87)</f>
        <v>9.87</v>
      </c>
      <c r="G1864" s="9">
        <f>IFERROR(__xludf.DUMMYFUNCTION("""COMPUTED_VALUE"""),9.87)</f>
        <v>9.87</v>
      </c>
      <c r="H1864" s="9">
        <f>IFERROR(__xludf.DUMMYFUNCTION("""COMPUTED_VALUE"""),2.0)</f>
        <v>2</v>
      </c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</row>
    <row r="1865" ht="15.75" customHeight="1">
      <c r="A1865" s="11">
        <f>IFERROR(__xludf.DUMMYFUNCTION("""COMPUTED_VALUE"""),44471.0)</f>
        <v>44471</v>
      </c>
      <c r="B1865" s="9">
        <f>IFERROR(__xludf.DUMMYFUNCTION("""COMPUTED_VALUE"""),1003551.0)</f>
        <v>1003551</v>
      </c>
      <c r="C1865" s="9">
        <f>IFERROR(__xludf.DUMMYFUNCTION("""COMPUTED_VALUE"""),110394.0)</f>
        <v>110394</v>
      </c>
      <c r="D1865" s="9"/>
      <c r="E1865" s="9"/>
      <c r="F1865" s="9">
        <f>IFERROR(__xludf.DUMMYFUNCTION("""COMPUTED_VALUE"""),6.42)</f>
        <v>6.42</v>
      </c>
      <c r="G1865" s="9">
        <f>IFERROR(__xludf.DUMMYFUNCTION("""COMPUTED_VALUE"""),6.42)</f>
        <v>6.42</v>
      </c>
      <c r="H1865" s="9">
        <f>IFERROR(__xludf.DUMMYFUNCTION("""COMPUTED_VALUE"""),3.0)</f>
        <v>3</v>
      </c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</row>
    <row r="1866" ht="15.75" customHeight="1">
      <c r="A1866" s="11">
        <f>IFERROR(__xludf.DUMMYFUNCTION("""COMPUTED_VALUE"""),44471.0)</f>
        <v>44471</v>
      </c>
      <c r="B1866" s="9">
        <f>IFERROR(__xludf.DUMMYFUNCTION("""COMPUTED_VALUE"""),1003551.0)</f>
        <v>1003551</v>
      </c>
      <c r="C1866" s="9">
        <f>IFERROR(__xludf.DUMMYFUNCTION("""COMPUTED_VALUE"""),127016.0)</f>
        <v>127016</v>
      </c>
      <c r="D1866" s="10" t="str">
        <f>IFERROR(__xludf.DUMMYFUNCTION("""COMPUTED_VALUE"""),"Carryboo coton 2021")</f>
        <v>Carryboo coton 2021</v>
      </c>
      <c r="E1866" s="10"/>
      <c r="F1866" s="9">
        <f>IFERROR(__xludf.DUMMYFUNCTION("""COMPUTED_VALUE"""),12.8666666666666)</f>
        <v>12.86666667</v>
      </c>
      <c r="G1866" s="9">
        <f>IFERROR(__xludf.DUMMYFUNCTION("""COMPUTED_VALUE"""),9.65)</f>
        <v>9.65</v>
      </c>
      <c r="H1866" s="9">
        <f>IFERROR(__xludf.DUMMYFUNCTION("""COMPUTED_VALUE"""),3.0)</f>
        <v>3</v>
      </c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</row>
    <row r="1867" ht="15.75" customHeight="1">
      <c r="A1867" s="11">
        <f>IFERROR(__xludf.DUMMYFUNCTION("""COMPUTED_VALUE"""),44471.0)</f>
        <v>44471</v>
      </c>
      <c r="B1867" s="9">
        <f>IFERROR(__xludf.DUMMYFUNCTION("""COMPUTED_VALUE"""),1003551.0)</f>
        <v>1003551</v>
      </c>
      <c r="C1867" s="9">
        <f>IFERROR(__xludf.DUMMYFUNCTION("""COMPUTED_VALUE"""),109984.0)</f>
        <v>109984</v>
      </c>
      <c r="D1867" s="10" t="str">
        <f>IFERROR(__xludf.DUMMYFUNCTION("""COMPUTED_VALUE"""),"Carryboo soin bebe 2021")</f>
        <v>Carryboo soin bebe 2021</v>
      </c>
      <c r="E1867" s="10"/>
      <c r="F1867" s="9">
        <f>IFERROR(__xludf.DUMMYFUNCTION("""COMPUTED_VALUE"""),7.21333333333333)</f>
        <v>7.213333333</v>
      </c>
      <c r="G1867" s="9">
        <f>IFERROR(__xludf.DUMMYFUNCTION("""COMPUTED_VALUE"""),5.41)</f>
        <v>5.41</v>
      </c>
      <c r="H1867" s="9">
        <f>IFERROR(__xludf.DUMMYFUNCTION("""COMPUTED_VALUE"""),3.0)</f>
        <v>3</v>
      </c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</row>
    <row r="1868" ht="15.75" customHeight="1">
      <c r="A1868" s="11">
        <f>IFERROR(__xludf.DUMMYFUNCTION("""COMPUTED_VALUE"""),44471.0)</f>
        <v>44471</v>
      </c>
      <c r="B1868" s="9">
        <f>IFERROR(__xludf.DUMMYFUNCTION("""COMPUTED_VALUE"""),1003552.0)</f>
        <v>1003552</v>
      </c>
      <c r="C1868" s="9">
        <f>IFERROR(__xludf.DUMMYFUNCTION("""COMPUTED_VALUE"""),80696.0)</f>
        <v>80696</v>
      </c>
      <c r="D1868" s="9"/>
      <c r="E1868" s="9"/>
      <c r="F1868" s="9">
        <f>IFERROR(__xludf.DUMMYFUNCTION("""COMPUTED_VALUE"""),12.08)</f>
        <v>12.08</v>
      </c>
      <c r="G1868" s="9">
        <f>IFERROR(__xludf.DUMMYFUNCTION("""COMPUTED_VALUE"""),12.08)</f>
        <v>12.08</v>
      </c>
      <c r="H1868" s="9">
        <f>IFERROR(__xludf.DUMMYFUNCTION("""COMPUTED_VALUE"""),1.0)</f>
        <v>1</v>
      </c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</row>
    <row r="1869" ht="15.75" customHeight="1">
      <c r="A1869" s="11">
        <f>IFERROR(__xludf.DUMMYFUNCTION("""COMPUTED_VALUE"""),44471.0)</f>
        <v>44471</v>
      </c>
      <c r="B1869" s="9">
        <f>IFERROR(__xludf.DUMMYFUNCTION("""COMPUTED_VALUE"""),1003552.0)</f>
        <v>1003552</v>
      </c>
      <c r="C1869" s="9">
        <f>IFERROR(__xludf.DUMMYFUNCTION("""COMPUTED_VALUE"""),103626.0)</f>
        <v>103626</v>
      </c>
      <c r="D1869" s="9"/>
      <c r="E1869" s="9"/>
      <c r="F1869" s="9">
        <f>IFERROR(__xludf.DUMMYFUNCTION("""COMPUTED_VALUE"""),3.28)</f>
        <v>3.28</v>
      </c>
      <c r="G1869" s="9">
        <f>IFERROR(__xludf.DUMMYFUNCTION("""COMPUTED_VALUE"""),3.28)</f>
        <v>3.28</v>
      </c>
      <c r="H1869" s="9">
        <f>IFERROR(__xludf.DUMMYFUNCTION("""COMPUTED_VALUE"""),1.0)</f>
        <v>1</v>
      </c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</row>
    <row r="1870" ht="15.75" customHeight="1">
      <c r="A1870" s="11">
        <f>IFERROR(__xludf.DUMMYFUNCTION("""COMPUTED_VALUE"""),44471.0)</f>
        <v>44471</v>
      </c>
      <c r="B1870" s="9">
        <f>IFERROR(__xludf.DUMMYFUNCTION("""COMPUTED_VALUE"""),1003552.0)</f>
        <v>1003552</v>
      </c>
      <c r="C1870" s="9">
        <f>IFERROR(__xludf.DUMMYFUNCTION("""COMPUTED_VALUE"""),11720.0)</f>
        <v>11720</v>
      </c>
      <c r="D1870" s="9"/>
      <c r="E1870" s="9"/>
      <c r="F1870" s="9">
        <f>IFERROR(__xludf.DUMMYFUNCTION("""COMPUTED_VALUE"""),12.41)</f>
        <v>12.41</v>
      </c>
      <c r="G1870" s="9">
        <f>IFERROR(__xludf.DUMMYFUNCTION("""COMPUTED_VALUE"""),12.41)</f>
        <v>12.41</v>
      </c>
      <c r="H1870" s="9">
        <f>IFERROR(__xludf.DUMMYFUNCTION("""COMPUTED_VALUE"""),1.0)</f>
        <v>1</v>
      </c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</row>
    <row r="1871" ht="15.75" customHeight="1">
      <c r="A1871" s="11">
        <f>IFERROR(__xludf.DUMMYFUNCTION("""COMPUTED_VALUE"""),44471.0)</f>
        <v>44471</v>
      </c>
      <c r="B1871" s="9">
        <f>IFERROR(__xludf.DUMMYFUNCTION("""COMPUTED_VALUE"""),1003552.0)</f>
        <v>1003552</v>
      </c>
      <c r="C1871" s="9">
        <f>IFERROR(__xludf.DUMMYFUNCTION("""COMPUTED_VALUE"""),11721.0)</f>
        <v>11721</v>
      </c>
      <c r="D1871" s="9"/>
      <c r="E1871" s="9"/>
      <c r="F1871" s="9">
        <f>IFERROR(__xludf.DUMMYFUNCTION("""COMPUTED_VALUE"""),10.43)</f>
        <v>10.43</v>
      </c>
      <c r="G1871" s="9">
        <f>IFERROR(__xludf.DUMMYFUNCTION("""COMPUTED_VALUE"""),10.43)</f>
        <v>10.43</v>
      </c>
      <c r="H1871" s="9">
        <f>IFERROR(__xludf.DUMMYFUNCTION("""COMPUTED_VALUE"""),1.0)</f>
        <v>1</v>
      </c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</row>
    <row r="1872" ht="15.75" customHeight="1">
      <c r="A1872" s="11">
        <f>IFERROR(__xludf.DUMMYFUNCTION("""COMPUTED_VALUE"""),44471.0)</f>
        <v>44471</v>
      </c>
      <c r="B1872" s="9">
        <f>IFERROR(__xludf.DUMMYFUNCTION("""COMPUTED_VALUE"""),1003552.0)</f>
        <v>1003552</v>
      </c>
      <c r="C1872" s="9">
        <f>IFERROR(__xludf.DUMMYFUNCTION("""COMPUTED_VALUE"""),70589.0)</f>
        <v>70589</v>
      </c>
      <c r="D1872" s="9"/>
      <c r="E1872" s="9"/>
      <c r="F1872" s="9">
        <f>IFERROR(__xludf.DUMMYFUNCTION("""COMPUTED_VALUE"""),7.36)</f>
        <v>7.36</v>
      </c>
      <c r="G1872" s="9">
        <f>IFERROR(__xludf.DUMMYFUNCTION("""COMPUTED_VALUE"""),7.36)</f>
        <v>7.36</v>
      </c>
      <c r="H1872" s="9">
        <f>IFERROR(__xludf.DUMMYFUNCTION("""COMPUTED_VALUE"""),1.0)</f>
        <v>1</v>
      </c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</row>
    <row r="1873" ht="15.75" customHeight="1">
      <c r="A1873" s="11">
        <f>IFERROR(__xludf.DUMMYFUNCTION("""COMPUTED_VALUE"""),44471.0)</f>
        <v>44471</v>
      </c>
      <c r="B1873" s="9">
        <f>IFERROR(__xludf.DUMMYFUNCTION("""COMPUTED_VALUE"""),1003552.0)</f>
        <v>1003552</v>
      </c>
      <c r="C1873" s="9">
        <f>IFERROR(__xludf.DUMMYFUNCTION("""COMPUTED_VALUE"""),46896.0)</f>
        <v>46896</v>
      </c>
      <c r="D1873" s="9"/>
      <c r="E1873" s="9"/>
      <c r="F1873" s="9">
        <f>IFERROR(__xludf.DUMMYFUNCTION("""COMPUTED_VALUE"""),4.87)</f>
        <v>4.87</v>
      </c>
      <c r="G1873" s="9">
        <f>IFERROR(__xludf.DUMMYFUNCTION("""COMPUTED_VALUE"""),4.87)</f>
        <v>4.87</v>
      </c>
      <c r="H1873" s="9">
        <f>IFERROR(__xludf.DUMMYFUNCTION("""COMPUTED_VALUE"""),1.0)</f>
        <v>1</v>
      </c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</row>
    <row r="1874" ht="15.75" customHeight="1">
      <c r="A1874" s="11">
        <f>IFERROR(__xludf.DUMMYFUNCTION("""COMPUTED_VALUE"""),44471.0)</f>
        <v>44471</v>
      </c>
      <c r="B1874" s="9">
        <f>IFERROR(__xludf.DUMMYFUNCTION("""COMPUTED_VALUE"""),1003552.0)</f>
        <v>1003552</v>
      </c>
      <c r="C1874" s="9">
        <f>IFERROR(__xludf.DUMMYFUNCTION("""COMPUTED_VALUE"""),79921.0)</f>
        <v>79921</v>
      </c>
      <c r="D1874" s="9"/>
      <c r="E1874" s="9"/>
      <c r="F1874" s="9">
        <f>IFERROR(__xludf.DUMMYFUNCTION("""COMPUTED_VALUE"""),8.78)</f>
        <v>8.78</v>
      </c>
      <c r="G1874" s="9">
        <f>IFERROR(__xludf.DUMMYFUNCTION("""COMPUTED_VALUE"""),8.78)</f>
        <v>8.78</v>
      </c>
      <c r="H1874" s="9">
        <f>IFERROR(__xludf.DUMMYFUNCTION("""COMPUTED_VALUE"""),1.0)</f>
        <v>1</v>
      </c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</row>
    <row r="1875" ht="15.75" customHeight="1">
      <c r="A1875" s="11">
        <f>IFERROR(__xludf.DUMMYFUNCTION("""COMPUTED_VALUE"""),44471.0)</f>
        <v>44471</v>
      </c>
      <c r="B1875" s="9">
        <f>IFERROR(__xludf.DUMMYFUNCTION("""COMPUTED_VALUE"""),1003552.0)</f>
        <v>1003552</v>
      </c>
      <c r="C1875" s="9">
        <f>IFERROR(__xludf.DUMMYFUNCTION("""COMPUTED_VALUE"""),82196.0)</f>
        <v>82196</v>
      </c>
      <c r="D1875" s="9"/>
      <c r="E1875" s="9"/>
      <c r="F1875" s="9">
        <f>IFERROR(__xludf.DUMMYFUNCTION("""COMPUTED_VALUE"""),9.59)</f>
        <v>9.59</v>
      </c>
      <c r="G1875" s="9">
        <f>IFERROR(__xludf.DUMMYFUNCTION("""COMPUTED_VALUE"""),9.59)</f>
        <v>9.59</v>
      </c>
      <c r="H1875" s="9">
        <f>IFERROR(__xludf.DUMMYFUNCTION("""COMPUTED_VALUE"""),1.0)</f>
        <v>1</v>
      </c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</row>
    <row r="1876" ht="15.75" customHeight="1">
      <c r="A1876" s="11">
        <f>IFERROR(__xludf.DUMMYFUNCTION("""COMPUTED_VALUE"""),44471.0)</f>
        <v>44471</v>
      </c>
      <c r="B1876" s="9">
        <f>IFERROR(__xludf.DUMMYFUNCTION("""COMPUTED_VALUE"""),1003552.0)</f>
        <v>1003552</v>
      </c>
      <c r="C1876" s="9">
        <f>IFERROR(__xludf.DUMMYFUNCTION("""COMPUTED_VALUE"""),101489.0)</f>
        <v>101489</v>
      </c>
      <c r="D1876" s="9"/>
      <c r="E1876" s="9"/>
      <c r="F1876" s="9">
        <f>IFERROR(__xludf.DUMMYFUNCTION("""COMPUTED_VALUE"""),4.33)</f>
        <v>4.33</v>
      </c>
      <c r="G1876" s="9">
        <f>IFERROR(__xludf.DUMMYFUNCTION("""COMPUTED_VALUE"""),4.33)</f>
        <v>4.33</v>
      </c>
      <c r="H1876" s="9">
        <f>IFERROR(__xludf.DUMMYFUNCTION("""COMPUTED_VALUE"""),2.0)</f>
        <v>2</v>
      </c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</row>
    <row r="1877" ht="15.75" customHeight="1">
      <c r="A1877" s="11">
        <f>IFERROR(__xludf.DUMMYFUNCTION("""COMPUTED_VALUE"""),44471.0)</f>
        <v>44471</v>
      </c>
      <c r="B1877" s="9">
        <f>IFERROR(__xludf.DUMMYFUNCTION("""COMPUTED_VALUE"""),1003552.0)</f>
        <v>1003552</v>
      </c>
      <c r="C1877" s="9">
        <f>IFERROR(__xludf.DUMMYFUNCTION("""COMPUTED_VALUE"""),28595.0)</f>
        <v>28595</v>
      </c>
      <c r="D1877" s="9"/>
      <c r="E1877" s="9"/>
      <c r="F1877" s="9">
        <f>IFERROR(__xludf.DUMMYFUNCTION("""COMPUTED_VALUE"""),6.21)</f>
        <v>6.21</v>
      </c>
      <c r="G1877" s="9">
        <f>IFERROR(__xludf.DUMMYFUNCTION("""COMPUTED_VALUE"""),6.21)</f>
        <v>6.21</v>
      </c>
      <c r="H1877" s="9">
        <f>IFERROR(__xludf.DUMMYFUNCTION("""COMPUTED_VALUE"""),2.0)</f>
        <v>2</v>
      </c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</row>
    <row r="1878" ht="15.75" customHeight="1">
      <c r="A1878" s="11">
        <f>IFERROR(__xludf.DUMMYFUNCTION("""COMPUTED_VALUE"""),44471.0)</f>
        <v>44471</v>
      </c>
      <c r="B1878" s="9">
        <f>IFERROR(__xludf.DUMMYFUNCTION("""COMPUTED_VALUE"""),1003552.0)</f>
        <v>1003552</v>
      </c>
      <c r="C1878" s="9">
        <f>IFERROR(__xludf.DUMMYFUNCTION("""COMPUTED_VALUE"""),79669.0)</f>
        <v>79669</v>
      </c>
      <c r="D1878" s="9"/>
      <c r="E1878" s="9"/>
      <c r="F1878" s="9">
        <f>IFERROR(__xludf.DUMMYFUNCTION("""COMPUTED_VALUE"""),6.23)</f>
        <v>6.23</v>
      </c>
      <c r="G1878" s="9">
        <f>IFERROR(__xludf.DUMMYFUNCTION("""COMPUTED_VALUE"""),6.23)</f>
        <v>6.23</v>
      </c>
      <c r="H1878" s="9">
        <f>IFERROR(__xludf.DUMMYFUNCTION("""COMPUTED_VALUE"""),2.0)</f>
        <v>2</v>
      </c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</row>
    <row r="1879" ht="15.75" customHeight="1">
      <c r="A1879" s="11">
        <f>IFERROR(__xludf.DUMMYFUNCTION("""COMPUTED_VALUE"""),44471.0)</f>
        <v>44471</v>
      </c>
      <c r="B1879" s="9">
        <f>IFERROR(__xludf.DUMMYFUNCTION("""COMPUTED_VALUE"""),1003552.0)</f>
        <v>1003552</v>
      </c>
      <c r="C1879" s="9">
        <f>IFERROR(__xludf.DUMMYFUNCTION("""COMPUTED_VALUE"""),87800.0)</f>
        <v>87800</v>
      </c>
      <c r="D1879" s="9"/>
      <c r="E1879" s="9"/>
      <c r="F1879" s="9">
        <f>IFERROR(__xludf.DUMMYFUNCTION("""COMPUTED_VALUE"""),9.6)</f>
        <v>9.6</v>
      </c>
      <c r="G1879" s="9">
        <f>IFERROR(__xludf.DUMMYFUNCTION("""COMPUTED_VALUE"""),9.6)</f>
        <v>9.6</v>
      </c>
      <c r="H1879" s="9">
        <f>IFERROR(__xludf.DUMMYFUNCTION("""COMPUTED_VALUE"""),3.0)</f>
        <v>3</v>
      </c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</row>
    <row r="1880" ht="15.75" customHeight="1">
      <c r="A1880" s="11">
        <f>IFERROR(__xludf.DUMMYFUNCTION("""COMPUTED_VALUE"""),44471.0)</f>
        <v>44471</v>
      </c>
      <c r="B1880" s="9">
        <f>IFERROR(__xludf.DUMMYFUNCTION("""COMPUTED_VALUE"""),1003552.0)</f>
        <v>1003552</v>
      </c>
      <c r="C1880" s="9">
        <f>IFERROR(__xludf.DUMMYFUNCTION("""COMPUTED_VALUE"""),101534.0)</f>
        <v>101534</v>
      </c>
      <c r="D1880" s="9"/>
      <c r="E1880" s="9"/>
      <c r="F1880" s="9">
        <f>IFERROR(__xludf.DUMMYFUNCTION("""COMPUTED_VALUE"""),7.16)</f>
        <v>7.16</v>
      </c>
      <c r="G1880" s="9">
        <f>IFERROR(__xludf.DUMMYFUNCTION("""COMPUTED_VALUE"""),7.16)</f>
        <v>7.16</v>
      </c>
      <c r="H1880" s="9">
        <f>IFERROR(__xludf.DUMMYFUNCTION("""COMPUTED_VALUE"""),3.0)</f>
        <v>3</v>
      </c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</row>
    <row r="1881" ht="15.75" customHeight="1">
      <c r="A1881" s="11">
        <f>IFERROR(__xludf.DUMMYFUNCTION("""COMPUTED_VALUE"""),44471.0)</f>
        <v>44471</v>
      </c>
      <c r="B1881" s="9">
        <f>IFERROR(__xludf.DUMMYFUNCTION("""COMPUTED_VALUE"""),1003552.0)</f>
        <v>1003552</v>
      </c>
      <c r="C1881" s="9">
        <f>IFERROR(__xludf.DUMMYFUNCTION("""COMPUTED_VALUE"""),79810.0)</f>
        <v>79810</v>
      </c>
      <c r="D1881" s="9"/>
      <c r="E1881" s="9"/>
      <c r="F1881" s="9">
        <f>IFERROR(__xludf.DUMMYFUNCTION("""COMPUTED_VALUE"""),11.06)</f>
        <v>11.06</v>
      </c>
      <c r="G1881" s="9">
        <f>IFERROR(__xludf.DUMMYFUNCTION("""COMPUTED_VALUE"""),11.06)</f>
        <v>11.06</v>
      </c>
      <c r="H1881" s="9">
        <f>IFERROR(__xludf.DUMMYFUNCTION("""COMPUTED_VALUE"""),5.0)</f>
        <v>5</v>
      </c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</row>
    <row r="1882" ht="15.75" customHeight="1">
      <c r="A1882" s="11">
        <f>IFERROR(__xludf.DUMMYFUNCTION("""COMPUTED_VALUE"""),44471.0)</f>
        <v>44471</v>
      </c>
      <c r="B1882" s="9">
        <f>IFERROR(__xludf.DUMMYFUNCTION("""COMPUTED_VALUE"""),1003553.0)</f>
        <v>1003553</v>
      </c>
      <c r="C1882" s="9">
        <f>IFERROR(__xludf.DUMMYFUNCTION("""COMPUTED_VALUE"""),13349.0)</f>
        <v>13349</v>
      </c>
      <c r="D1882" s="9"/>
      <c r="E1882" s="10" t="str">
        <f>IFERROR(__xludf.DUMMYFUNCTION("""COMPUTED_VALUE"""),"PREMIERE")</f>
        <v>PREMIERE</v>
      </c>
      <c r="F1882" s="10">
        <f>IFERROR(__xludf.DUMMYFUNCTION("""COMPUTED_VALUE"""),2.25)</f>
        <v>2.25</v>
      </c>
      <c r="G1882" s="9">
        <f>IFERROR(__xludf.DUMMYFUNCTION("""COMPUTED_VALUE"""),2.25)</f>
        <v>2.25</v>
      </c>
      <c r="H1882" s="9">
        <f>IFERROR(__xludf.DUMMYFUNCTION("""COMPUTED_VALUE"""),1.0)</f>
        <v>1</v>
      </c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</row>
    <row r="1883" ht="15.75" customHeight="1">
      <c r="A1883" s="11">
        <f>IFERROR(__xludf.DUMMYFUNCTION("""COMPUTED_VALUE"""),44471.0)</f>
        <v>44471</v>
      </c>
      <c r="B1883" s="9">
        <f>IFERROR(__xludf.DUMMYFUNCTION("""COMPUTED_VALUE"""),1003553.0)</f>
        <v>1003553</v>
      </c>
      <c r="C1883" s="9">
        <f>IFERROR(__xludf.DUMMYFUNCTION("""COMPUTED_VALUE"""),122774.0)</f>
        <v>122774</v>
      </c>
      <c r="D1883" s="9"/>
      <c r="E1883" s="10" t="str">
        <f>IFERROR(__xludf.DUMMYFUNCTION("""COMPUTED_VALUE"""),"PREMIERE")</f>
        <v>PREMIERE</v>
      </c>
      <c r="F1883" s="10">
        <f>IFERROR(__xludf.DUMMYFUNCTION("""COMPUTED_VALUE"""),4.77)</f>
        <v>4.77</v>
      </c>
      <c r="G1883" s="9">
        <f>IFERROR(__xludf.DUMMYFUNCTION("""COMPUTED_VALUE"""),4.77)</f>
        <v>4.77</v>
      </c>
      <c r="H1883" s="9">
        <f>IFERROR(__xludf.DUMMYFUNCTION("""COMPUTED_VALUE"""),1.0)</f>
        <v>1</v>
      </c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</row>
    <row r="1884" ht="15.75" customHeight="1">
      <c r="A1884" s="11">
        <f>IFERROR(__xludf.DUMMYFUNCTION("""COMPUTED_VALUE"""),44471.0)</f>
        <v>44471</v>
      </c>
      <c r="B1884" s="9">
        <f>IFERROR(__xludf.DUMMYFUNCTION("""COMPUTED_VALUE"""),1003553.0)</f>
        <v>1003553</v>
      </c>
      <c r="C1884" s="9">
        <f>IFERROR(__xludf.DUMMYFUNCTION("""COMPUTED_VALUE"""),122760.0)</f>
        <v>122760</v>
      </c>
      <c r="D1884" s="9"/>
      <c r="E1884" s="10" t="str">
        <f>IFERROR(__xludf.DUMMYFUNCTION("""COMPUTED_VALUE"""),"PREMIERE")</f>
        <v>PREMIERE</v>
      </c>
      <c r="F1884" s="10">
        <f>IFERROR(__xludf.DUMMYFUNCTION("""COMPUTED_VALUE"""),4.77)</f>
        <v>4.77</v>
      </c>
      <c r="G1884" s="9">
        <f>IFERROR(__xludf.DUMMYFUNCTION("""COMPUTED_VALUE"""),4.77)</f>
        <v>4.77</v>
      </c>
      <c r="H1884" s="9">
        <f>IFERROR(__xludf.DUMMYFUNCTION("""COMPUTED_VALUE"""),1.0)</f>
        <v>1</v>
      </c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</row>
    <row r="1885" ht="15.75" customHeight="1">
      <c r="A1885" s="11">
        <f>IFERROR(__xludf.DUMMYFUNCTION("""COMPUTED_VALUE"""),44471.0)</f>
        <v>44471</v>
      </c>
      <c r="B1885" s="9">
        <f>IFERROR(__xludf.DUMMYFUNCTION("""COMPUTED_VALUE"""),1003553.0)</f>
        <v>1003553</v>
      </c>
      <c r="C1885" s="9">
        <f>IFERROR(__xludf.DUMMYFUNCTION("""COMPUTED_VALUE"""),121068.0)</f>
        <v>121068</v>
      </c>
      <c r="D1885" s="10" t="str">
        <f>IFERROR(__xludf.DUMMYFUNCTION("""COMPUTED_VALUE"""),"Zero Dechet")</f>
        <v>Zero Dechet</v>
      </c>
      <c r="E1885" s="10" t="str">
        <f>IFERROR(__xludf.DUMMYFUNCTION("""COMPUTED_VALUE"""),"PREMIERE")</f>
        <v>PREMIERE</v>
      </c>
      <c r="F1885" s="10">
        <f>IFERROR(__xludf.DUMMYFUNCTION("""COMPUTED_VALUE"""),12.6705882352941)</f>
        <v>12.67058824</v>
      </c>
      <c r="G1885" s="9">
        <f>IFERROR(__xludf.DUMMYFUNCTION("""COMPUTED_VALUE"""),10.77)</f>
        <v>10.77</v>
      </c>
      <c r="H1885" s="9">
        <f>IFERROR(__xludf.DUMMYFUNCTION("""COMPUTED_VALUE"""),1.0)</f>
        <v>1</v>
      </c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</row>
    <row r="1886" ht="15.75" customHeight="1">
      <c r="A1886" s="11">
        <f>IFERROR(__xludf.DUMMYFUNCTION("""COMPUTED_VALUE"""),44471.0)</f>
        <v>44471</v>
      </c>
      <c r="B1886" s="9">
        <f>IFERROR(__xludf.DUMMYFUNCTION("""COMPUTED_VALUE"""),1003553.0)</f>
        <v>1003553</v>
      </c>
      <c r="C1886" s="9">
        <f>IFERROR(__xludf.DUMMYFUNCTION("""COMPUTED_VALUE"""),86808.0)</f>
        <v>86808</v>
      </c>
      <c r="D1886" s="9"/>
      <c r="E1886" s="10" t="str">
        <f>IFERROR(__xludf.DUMMYFUNCTION("""COMPUTED_VALUE"""),"PREMIERE")</f>
        <v>PREMIERE</v>
      </c>
      <c r="F1886" s="10">
        <f>IFERROR(__xludf.DUMMYFUNCTION("""COMPUTED_VALUE"""),6.35)</f>
        <v>6.35</v>
      </c>
      <c r="G1886" s="9">
        <f>IFERROR(__xludf.DUMMYFUNCTION("""COMPUTED_VALUE"""),6.35)</f>
        <v>6.35</v>
      </c>
      <c r="H1886" s="9">
        <f>IFERROR(__xludf.DUMMYFUNCTION("""COMPUTED_VALUE"""),1.0)</f>
        <v>1</v>
      </c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</row>
    <row r="1887" ht="15.75" customHeight="1">
      <c r="A1887" s="11">
        <f>IFERROR(__xludf.DUMMYFUNCTION("""COMPUTED_VALUE"""),44471.0)</f>
        <v>44471</v>
      </c>
      <c r="B1887" s="9">
        <f>IFERROR(__xludf.DUMMYFUNCTION("""COMPUTED_VALUE"""),1003553.0)</f>
        <v>1003553</v>
      </c>
      <c r="C1887" s="9">
        <f>IFERROR(__xludf.DUMMYFUNCTION("""COMPUTED_VALUE"""),120781.0)</f>
        <v>120781</v>
      </c>
      <c r="D1887" s="9"/>
      <c r="E1887" s="10" t="str">
        <f>IFERROR(__xludf.DUMMYFUNCTION("""COMPUTED_VALUE"""),"PREMIERE")</f>
        <v>PREMIERE</v>
      </c>
      <c r="F1887" s="10">
        <f>IFERROR(__xludf.DUMMYFUNCTION("""COMPUTED_VALUE"""),4.61)</f>
        <v>4.61</v>
      </c>
      <c r="G1887" s="9">
        <f>IFERROR(__xludf.DUMMYFUNCTION("""COMPUTED_VALUE"""),4.61)</f>
        <v>4.61</v>
      </c>
      <c r="H1887" s="9">
        <f>IFERROR(__xludf.DUMMYFUNCTION("""COMPUTED_VALUE"""),1.0)</f>
        <v>1</v>
      </c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</row>
    <row r="1888" ht="15.75" customHeight="1">
      <c r="A1888" s="11">
        <f>IFERROR(__xludf.DUMMYFUNCTION("""COMPUTED_VALUE"""),44471.0)</f>
        <v>44471</v>
      </c>
      <c r="B1888" s="9">
        <f>IFERROR(__xludf.DUMMYFUNCTION("""COMPUTED_VALUE"""),1003553.0)</f>
        <v>1003553</v>
      </c>
      <c r="C1888" s="9">
        <f>IFERROR(__xludf.DUMMYFUNCTION("""COMPUTED_VALUE"""),86523.0)</f>
        <v>86523</v>
      </c>
      <c r="D1888" s="9"/>
      <c r="E1888" s="10" t="str">
        <f>IFERROR(__xludf.DUMMYFUNCTION("""COMPUTED_VALUE"""),"PREMIERE")</f>
        <v>PREMIERE</v>
      </c>
      <c r="F1888" s="10">
        <f>IFERROR(__xludf.DUMMYFUNCTION("""COMPUTED_VALUE"""),1.59)</f>
        <v>1.59</v>
      </c>
      <c r="G1888" s="9">
        <f>IFERROR(__xludf.DUMMYFUNCTION("""COMPUTED_VALUE"""),1.59)</f>
        <v>1.59</v>
      </c>
      <c r="H1888" s="9">
        <f>IFERROR(__xludf.DUMMYFUNCTION("""COMPUTED_VALUE"""),1.0)</f>
        <v>1</v>
      </c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</row>
    <row r="1889" ht="15.75" customHeight="1">
      <c r="A1889" s="11">
        <f>IFERROR(__xludf.DUMMYFUNCTION("""COMPUTED_VALUE"""),44471.0)</f>
        <v>44471</v>
      </c>
      <c r="B1889" s="9">
        <f>IFERROR(__xludf.DUMMYFUNCTION("""COMPUTED_VALUE"""),1003553.0)</f>
        <v>1003553</v>
      </c>
      <c r="C1889" s="9">
        <f>IFERROR(__xludf.DUMMYFUNCTION("""COMPUTED_VALUE"""),28897.0)</f>
        <v>28897</v>
      </c>
      <c r="D1889" s="9"/>
      <c r="E1889" s="10" t="str">
        <f>IFERROR(__xludf.DUMMYFUNCTION("""COMPUTED_VALUE"""),"PREMIERE")</f>
        <v>PREMIERE</v>
      </c>
      <c r="F1889" s="10">
        <f>IFERROR(__xludf.DUMMYFUNCTION("""COMPUTED_VALUE"""),1.98)</f>
        <v>1.98</v>
      </c>
      <c r="G1889" s="9">
        <f>IFERROR(__xludf.DUMMYFUNCTION("""COMPUTED_VALUE"""),1.98)</f>
        <v>1.98</v>
      </c>
      <c r="H1889" s="9">
        <f>IFERROR(__xludf.DUMMYFUNCTION("""COMPUTED_VALUE"""),1.0)</f>
        <v>1</v>
      </c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</row>
    <row r="1890" ht="15.75" customHeight="1">
      <c r="A1890" s="11">
        <f>IFERROR(__xludf.DUMMYFUNCTION("""COMPUTED_VALUE"""),44471.0)</f>
        <v>44471</v>
      </c>
      <c r="B1890" s="9">
        <f>IFERROR(__xludf.DUMMYFUNCTION("""COMPUTED_VALUE"""),1003553.0)</f>
        <v>1003553</v>
      </c>
      <c r="C1890" s="9">
        <f>IFERROR(__xludf.DUMMYFUNCTION("""COMPUTED_VALUE"""),11296.0)</f>
        <v>11296</v>
      </c>
      <c r="D1890" s="9"/>
      <c r="E1890" s="10" t="str">
        <f>IFERROR(__xludf.DUMMYFUNCTION("""COMPUTED_VALUE"""),"PREMIERE")</f>
        <v>PREMIERE</v>
      </c>
      <c r="F1890" s="10">
        <f>IFERROR(__xludf.DUMMYFUNCTION("""COMPUTED_VALUE"""),7.19)</f>
        <v>7.19</v>
      </c>
      <c r="G1890" s="9">
        <f>IFERROR(__xludf.DUMMYFUNCTION("""COMPUTED_VALUE"""),7.19)</f>
        <v>7.19</v>
      </c>
      <c r="H1890" s="9">
        <f>IFERROR(__xludf.DUMMYFUNCTION("""COMPUTED_VALUE"""),1.0)</f>
        <v>1</v>
      </c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</row>
    <row r="1891" ht="15.75" customHeight="1">
      <c r="A1891" s="11">
        <f>IFERROR(__xludf.DUMMYFUNCTION("""COMPUTED_VALUE"""),44471.0)</f>
        <v>44471</v>
      </c>
      <c r="B1891" s="9">
        <f>IFERROR(__xludf.DUMMYFUNCTION("""COMPUTED_VALUE"""),1003553.0)</f>
        <v>1003553</v>
      </c>
      <c r="C1891" s="9">
        <f>IFERROR(__xludf.DUMMYFUNCTION("""COMPUTED_VALUE"""),86524.0)</f>
        <v>86524</v>
      </c>
      <c r="D1891" s="9"/>
      <c r="E1891" s="10" t="str">
        <f>IFERROR(__xludf.DUMMYFUNCTION("""COMPUTED_VALUE"""),"PREMIERE")</f>
        <v>PREMIERE</v>
      </c>
      <c r="F1891" s="10">
        <f>IFERROR(__xludf.DUMMYFUNCTION("""COMPUTED_VALUE"""),1.06)</f>
        <v>1.06</v>
      </c>
      <c r="G1891" s="9">
        <f>IFERROR(__xludf.DUMMYFUNCTION("""COMPUTED_VALUE"""),1.06)</f>
        <v>1.06</v>
      </c>
      <c r="H1891" s="9">
        <f>IFERROR(__xludf.DUMMYFUNCTION("""COMPUTED_VALUE"""),1.0)</f>
        <v>1</v>
      </c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</row>
    <row r="1892" ht="15.75" customHeight="1">
      <c r="A1892" s="11">
        <f>IFERROR(__xludf.DUMMYFUNCTION("""COMPUTED_VALUE"""),44471.0)</f>
        <v>44471</v>
      </c>
      <c r="B1892" s="9">
        <f>IFERROR(__xludf.DUMMYFUNCTION("""COMPUTED_VALUE"""),1003553.0)</f>
        <v>1003553</v>
      </c>
      <c r="C1892" s="9">
        <f>IFERROR(__xludf.DUMMYFUNCTION("""COMPUTED_VALUE"""),5905.0)</f>
        <v>5905</v>
      </c>
      <c r="D1892" s="9"/>
      <c r="E1892" s="10" t="str">
        <f>IFERROR(__xludf.DUMMYFUNCTION("""COMPUTED_VALUE"""),"PREMIERE")</f>
        <v>PREMIERE</v>
      </c>
      <c r="F1892" s="10">
        <f>IFERROR(__xludf.DUMMYFUNCTION("""COMPUTED_VALUE"""),6.17)</f>
        <v>6.17</v>
      </c>
      <c r="G1892" s="9">
        <f>IFERROR(__xludf.DUMMYFUNCTION("""COMPUTED_VALUE"""),6.17)</f>
        <v>6.17</v>
      </c>
      <c r="H1892" s="9">
        <f>IFERROR(__xludf.DUMMYFUNCTION("""COMPUTED_VALUE"""),2.0)</f>
        <v>2</v>
      </c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</row>
    <row r="1893" ht="15.75" customHeight="1">
      <c r="A1893" s="11">
        <f>IFERROR(__xludf.DUMMYFUNCTION("""COMPUTED_VALUE"""),44471.0)</f>
        <v>44471</v>
      </c>
      <c r="B1893" s="9">
        <f>IFERROR(__xludf.DUMMYFUNCTION("""COMPUTED_VALUE"""),1003554.0)</f>
        <v>1003554</v>
      </c>
      <c r="C1893" s="9">
        <f>IFERROR(__xludf.DUMMYFUNCTION("""COMPUTED_VALUE"""),76363.0)</f>
        <v>76363</v>
      </c>
      <c r="D1893" s="9"/>
      <c r="E1893" s="10" t="str">
        <f>IFERROR(__xludf.DUMMYFUNCTION("""COMPUTED_VALUE"""),"PREMIERE")</f>
        <v>PREMIERE</v>
      </c>
      <c r="F1893" s="10">
        <f>IFERROR(__xludf.DUMMYFUNCTION("""COMPUTED_VALUE"""),2.52)</f>
        <v>2.52</v>
      </c>
      <c r="G1893" s="9">
        <f>IFERROR(__xludf.DUMMYFUNCTION("""COMPUTED_VALUE"""),2.52)</f>
        <v>2.52</v>
      </c>
      <c r="H1893" s="9">
        <f>IFERROR(__xludf.DUMMYFUNCTION("""COMPUTED_VALUE"""),1.0)</f>
        <v>1</v>
      </c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</row>
    <row r="1894" ht="15.75" customHeight="1">
      <c r="A1894" s="11">
        <f>IFERROR(__xludf.DUMMYFUNCTION("""COMPUTED_VALUE"""),44471.0)</f>
        <v>44471</v>
      </c>
      <c r="B1894" s="9">
        <f>IFERROR(__xludf.DUMMYFUNCTION("""COMPUTED_VALUE"""),1003554.0)</f>
        <v>1003554</v>
      </c>
      <c r="C1894" s="9">
        <f>IFERROR(__xludf.DUMMYFUNCTION("""COMPUTED_VALUE"""),44115.0)</f>
        <v>44115</v>
      </c>
      <c r="D1894" s="9"/>
      <c r="E1894" s="10" t="str">
        <f>IFERROR(__xludf.DUMMYFUNCTION("""COMPUTED_VALUE"""),"PREMIERE")</f>
        <v>PREMIERE</v>
      </c>
      <c r="F1894" s="10">
        <f>IFERROR(__xludf.DUMMYFUNCTION("""COMPUTED_VALUE"""),1.2)</f>
        <v>1.2</v>
      </c>
      <c r="G1894" s="9">
        <f>IFERROR(__xludf.DUMMYFUNCTION("""COMPUTED_VALUE"""),1.2)</f>
        <v>1.2</v>
      </c>
      <c r="H1894" s="9">
        <f>IFERROR(__xludf.DUMMYFUNCTION("""COMPUTED_VALUE"""),1.0)</f>
        <v>1</v>
      </c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</row>
    <row r="1895" ht="15.75" customHeight="1">
      <c r="A1895" s="11">
        <f>IFERROR(__xludf.DUMMYFUNCTION("""COMPUTED_VALUE"""),44471.0)</f>
        <v>44471</v>
      </c>
      <c r="B1895" s="9">
        <f>IFERROR(__xludf.DUMMYFUNCTION("""COMPUTED_VALUE"""),1003554.0)</f>
        <v>1003554</v>
      </c>
      <c r="C1895" s="9">
        <f>IFERROR(__xludf.DUMMYFUNCTION("""COMPUTED_VALUE"""),119239.0)</f>
        <v>119239</v>
      </c>
      <c r="D1895" s="9"/>
      <c r="E1895" s="10" t="str">
        <f>IFERROR(__xludf.DUMMYFUNCTION("""COMPUTED_VALUE"""),"PREMIERE")</f>
        <v>PREMIERE</v>
      </c>
      <c r="F1895" s="10">
        <f>IFERROR(__xludf.DUMMYFUNCTION("""COMPUTED_VALUE"""),2.66)</f>
        <v>2.66</v>
      </c>
      <c r="G1895" s="9">
        <f>IFERROR(__xludf.DUMMYFUNCTION("""COMPUTED_VALUE"""),2.66)</f>
        <v>2.66</v>
      </c>
      <c r="H1895" s="9">
        <f>IFERROR(__xludf.DUMMYFUNCTION("""COMPUTED_VALUE"""),1.0)</f>
        <v>1</v>
      </c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</row>
    <row r="1896" ht="15.75" customHeight="1">
      <c r="A1896" s="11">
        <f>IFERROR(__xludf.DUMMYFUNCTION("""COMPUTED_VALUE"""),44471.0)</f>
        <v>44471</v>
      </c>
      <c r="B1896" s="9">
        <f>IFERROR(__xludf.DUMMYFUNCTION("""COMPUTED_VALUE"""),1003554.0)</f>
        <v>1003554</v>
      </c>
      <c r="C1896" s="9">
        <f>IFERROR(__xludf.DUMMYFUNCTION("""COMPUTED_VALUE"""),79152.0)</f>
        <v>79152</v>
      </c>
      <c r="D1896" s="10" t="str">
        <f>IFERROR(__xludf.DUMMYFUNCTION("""COMPUTED_VALUE"""),"Vive le bio")</f>
        <v>Vive le bio</v>
      </c>
      <c r="E1896" s="10" t="str">
        <f>IFERROR(__xludf.DUMMYFUNCTION("""COMPUTED_VALUE"""),"PREMIERE")</f>
        <v>PREMIERE</v>
      </c>
      <c r="F1896" s="10">
        <f>IFERROR(__xludf.DUMMYFUNCTION("""COMPUTED_VALUE"""),4.83333333333333)</f>
        <v>4.833333333</v>
      </c>
      <c r="G1896" s="9">
        <f>IFERROR(__xludf.DUMMYFUNCTION("""COMPUTED_VALUE"""),4.35)</f>
        <v>4.35</v>
      </c>
      <c r="H1896" s="9">
        <f>IFERROR(__xludf.DUMMYFUNCTION("""COMPUTED_VALUE"""),1.0)</f>
        <v>1</v>
      </c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</row>
    <row r="1897" ht="15.75" customHeight="1">
      <c r="A1897" s="11">
        <f>IFERROR(__xludf.DUMMYFUNCTION("""COMPUTED_VALUE"""),44471.0)</f>
        <v>44471</v>
      </c>
      <c r="B1897" s="9">
        <f>IFERROR(__xludf.DUMMYFUNCTION("""COMPUTED_VALUE"""),1003554.0)</f>
        <v>1003554</v>
      </c>
      <c r="C1897" s="9">
        <f>IFERROR(__xludf.DUMMYFUNCTION("""COMPUTED_VALUE"""),102344.0)</f>
        <v>102344</v>
      </c>
      <c r="D1897" s="9"/>
      <c r="E1897" s="10" t="str">
        <f>IFERROR(__xludf.DUMMYFUNCTION("""COMPUTED_VALUE"""),"PREMIERE")</f>
        <v>PREMIERE</v>
      </c>
      <c r="F1897" s="10">
        <f>IFERROR(__xludf.DUMMYFUNCTION("""COMPUTED_VALUE"""),2.67)</f>
        <v>2.67</v>
      </c>
      <c r="G1897" s="9">
        <f>IFERROR(__xludf.DUMMYFUNCTION("""COMPUTED_VALUE"""),2.67)</f>
        <v>2.67</v>
      </c>
      <c r="H1897" s="9">
        <f>IFERROR(__xludf.DUMMYFUNCTION("""COMPUTED_VALUE"""),1.0)</f>
        <v>1</v>
      </c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</row>
    <row r="1898" ht="15.75" customHeight="1">
      <c r="A1898" s="11">
        <f>IFERROR(__xludf.DUMMYFUNCTION("""COMPUTED_VALUE"""),44471.0)</f>
        <v>44471</v>
      </c>
      <c r="B1898" s="9">
        <f>IFERROR(__xludf.DUMMYFUNCTION("""COMPUTED_VALUE"""),1003554.0)</f>
        <v>1003554</v>
      </c>
      <c r="C1898" s="9">
        <f>IFERROR(__xludf.DUMMYFUNCTION("""COMPUTED_VALUE"""),44037.0)</f>
        <v>44037</v>
      </c>
      <c r="D1898" s="9"/>
      <c r="E1898" s="10" t="str">
        <f>IFERROR(__xludf.DUMMYFUNCTION("""COMPUTED_VALUE"""),"PREMIERE")</f>
        <v>PREMIERE</v>
      </c>
      <c r="F1898" s="10">
        <f>IFERROR(__xludf.DUMMYFUNCTION("""COMPUTED_VALUE"""),1.15)</f>
        <v>1.15</v>
      </c>
      <c r="G1898" s="9">
        <f>IFERROR(__xludf.DUMMYFUNCTION("""COMPUTED_VALUE"""),1.15)</f>
        <v>1.15</v>
      </c>
      <c r="H1898" s="9">
        <f>IFERROR(__xludf.DUMMYFUNCTION("""COMPUTED_VALUE"""),1.0)</f>
        <v>1</v>
      </c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</row>
    <row r="1899" ht="15.75" customHeight="1">
      <c r="A1899" s="11">
        <f>IFERROR(__xludf.DUMMYFUNCTION("""COMPUTED_VALUE"""),44471.0)</f>
        <v>44471</v>
      </c>
      <c r="B1899" s="9">
        <f>IFERROR(__xludf.DUMMYFUNCTION("""COMPUTED_VALUE"""),1003554.0)</f>
        <v>1003554</v>
      </c>
      <c r="C1899" s="9">
        <f>IFERROR(__xludf.DUMMYFUNCTION("""COMPUTED_VALUE"""),80199.0)</f>
        <v>80199</v>
      </c>
      <c r="D1899" s="9"/>
      <c r="E1899" s="10" t="str">
        <f>IFERROR(__xludf.DUMMYFUNCTION("""COMPUTED_VALUE"""),"PREMIERE")</f>
        <v>PREMIERE</v>
      </c>
      <c r="F1899" s="10">
        <f>IFERROR(__xludf.DUMMYFUNCTION("""COMPUTED_VALUE"""),1.66)</f>
        <v>1.66</v>
      </c>
      <c r="G1899" s="9">
        <f>IFERROR(__xludf.DUMMYFUNCTION("""COMPUTED_VALUE"""),1.66)</f>
        <v>1.66</v>
      </c>
      <c r="H1899" s="9">
        <f>IFERROR(__xludf.DUMMYFUNCTION("""COMPUTED_VALUE"""),1.0)</f>
        <v>1</v>
      </c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</row>
    <row r="1900" ht="15.75" customHeight="1">
      <c r="A1900" s="11">
        <f>IFERROR(__xludf.DUMMYFUNCTION("""COMPUTED_VALUE"""),44471.0)</f>
        <v>44471</v>
      </c>
      <c r="B1900" s="9">
        <f>IFERROR(__xludf.DUMMYFUNCTION("""COMPUTED_VALUE"""),1003554.0)</f>
        <v>1003554</v>
      </c>
      <c r="C1900" s="9">
        <f>IFERROR(__xludf.DUMMYFUNCTION("""COMPUTED_VALUE"""),76365.0)</f>
        <v>76365</v>
      </c>
      <c r="D1900" s="9"/>
      <c r="E1900" s="10" t="str">
        <f>IFERROR(__xludf.DUMMYFUNCTION("""COMPUTED_VALUE"""),"PREMIERE")</f>
        <v>PREMIERE</v>
      </c>
      <c r="F1900" s="10">
        <f>IFERROR(__xludf.DUMMYFUNCTION("""COMPUTED_VALUE"""),2.08)</f>
        <v>2.08</v>
      </c>
      <c r="G1900" s="9">
        <f>IFERROR(__xludf.DUMMYFUNCTION("""COMPUTED_VALUE"""),2.08)</f>
        <v>2.08</v>
      </c>
      <c r="H1900" s="9">
        <f>IFERROR(__xludf.DUMMYFUNCTION("""COMPUTED_VALUE"""),1.0)</f>
        <v>1</v>
      </c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</row>
    <row r="1901" ht="15.75" customHeight="1">
      <c r="A1901" s="11">
        <f>IFERROR(__xludf.DUMMYFUNCTION("""COMPUTED_VALUE"""),44471.0)</f>
        <v>44471</v>
      </c>
      <c r="B1901" s="9">
        <f>IFERROR(__xludf.DUMMYFUNCTION("""COMPUTED_VALUE"""),1003554.0)</f>
        <v>1003554</v>
      </c>
      <c r="C1901" s="9">
        <f>IFERROR(__xludf.DUMMYFUNCTION("""COMPUTED_VALUE"""),76366.0)</f>
        <v>76366</v>
      </c>
      <c r="D1901" s="10" t="str">
        <f>IFERROR(__xludf.DUMMYFUNCTION("""COMPUTED_VALUE"""),"Vive le bio")</f>
        <v>Vive le bio</v>
      </c>
      <c r="E1901" s="10" t="str">
        <f>IFERROR(__xludf.DUMMYFUNCTION("""COMPUTED_VALUE"""),"PREMIERE")</f>
        <v>PREMIERE</v>
      </c>
      <c r="F1901" s="10">
        <f>IFERROR(__xludf.DUMMYFUNCTION("""COMPUTED_VALUE"""),2.88888888888888)</f>
        <v>2.888888889</v>
      </c>
      <c r="G1901" s="9">
        <f>IFERROR(__xludf.DUMMYFUNCTION("""COMPUTED_VALUE"""),2.6)</f>
        <v>2.6</v>
      </c>
      <c r="H1901" s="9">
        <f>IFERROR(__xludf.DUMMYFUNCTION("""COMPUTED_VALUE"""),1.0)</f>
        <v>1</v>
      </c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</row>
    <row r="1902" ht="15.75" customHeight="1">
      <c r="A1902" s="11">
        <f>IFERROR(__xludf.DUMMYFUNCTION("""COMPUTED_VALUE"""),44471.0)</f>
        <v>44471</v>
      </c>
      <c r="B1902" s="9">
        <f>IFERROR(__xludf.DUMMYFUNCTION("""COMPUTED_VALUE"""),1003554.0)</f>
        <v>1003554</v>
      </c>
      <c r="C1902" s="9">
        <f>IFERROR(__xludf.DUMMYFUNCTION("""COMPUTED_VALUE"""),5710.0)</f>
        <v>5710</v>
      </c>
      <c r="D1902" s="9"/>
      <c r="E1902" s="10" t="str">
        <f>IFERROR(__xludf.DUMMYFUNCTION("""COMPUTED_VALUE"""),"PREMIERE")</f>
        <v>PREMIERE</v>
      </c>
      <c r="F1902" s="10">
        <f>IFERROR(__xludf.DUMMYFUNCTION("""COMPUTED_VALUE"""),5.94)</f>
        <v>5.94</v>
      </c>
      <c r="G1902" s="9">
        <f>IFERROR(__xludf.DUMMYFUNCTION("""COMPUTED_VALUE"""),5.94)</f>
        <v>5.94</v>
      </c>
      <c r="H1902" s="9">
        <f>IFERROR(__xludf.DUMMYFUNCTION("""COMPUTED_VALUE"""),2.0)</f>
        <v>2</v>
      </c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</row>
    <row r="1903" ht="15.75" customHeight="1">
      <c r="A1903" s="11">
        <f>IFERROR(__xludf.DUMMYFUNCTION("""COMPUTED_VALUE"""),44471.0)</f>
        <v>44471</v>
      </c>
      <c r="B1903" s="9">
        <f>IFERROR(__xludf.DUMMYFUNCTION("""COMPUTED_VALUE"""),1003554.0)</f>
        <v>1003554</v>
      </c>
      <c r="C1903" s="9">
        <f>IFERROR(__xludf.DUMMYFUNCTION("""COMPUTED_VALUE"""),44707.0)</f>
        <v>44707</v>
      </c>
      <c r="D1903" s="9"/>
      <c r="E1903" s="10" t="str">
        <f>IFERROR(__xludf.DUMMYFUNCTION("""COMPUTED_VALUE"""),"PREMIERE")</f>
        <v>PREMIERE</v>
      </c>
      <c r="F1903" s="10">
        <f>IFERROR(__xludf.DUMMYFUNCTION("""COMPUTED_VALUE"""),4.72)</f>
        <v>4.72</v>
      </c>
      <c r="G1903" s="9">
        <f>IFERROR(__xludf.DUMMYFUNCTION("""COMPUTED_VALUE"""),4.72)</f>
        <v>4.72</v>
      </c>
      <c r="H1903" s="9">
        <f>IFERROR(__xludf.DUMMYFUNCTION("""COMPUTED_VALUE"""),2.0)</f>
        <v>2</v>
      </c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</row>
    <row r="1904" ht="15.75" customHeight="1">
      <c r="A1904" s="11">
        <f>IFERROR(__xludf.DUMMYFUNCTION("""COMPUTED_VALUE"""),44471.0)</f>
        <v>44471</v>
      </c>
      <c r="B1904" s="9">
        <f>IFERROR(__xludf.DUMMYFUNCTION("""COMPUTED_VALUE"""),1003554.0)</f>
        <v>1003554</v>
      </c>
      <c r="C1904" s="9">
        <f>IFERROR(__xludf.DUMMYFUNCTION("""COMPUTED_VALUE"""),88268.0)</f>
        <v>88268</v>
      </c>
      <c r="D1904" s="9"/>
      <c r="E1904" s="10" t="str">
        <f>IFERROR(__xludf.DUMMYFUNCTION("""COMPUTED_VALUE"""),"PREMIERE")</f>
        <v>PREMIERE</v>
      </c>
      <c r="F1904" s="10">
        <f>IFERROR(__xludf.DUMMYFUNCTION("""COMPUTED_VALUE"""),2.12)</f>
        <v>2.12</v>
      </c>
      <c r="G1904" s="9">
        <f>IFERROR(__xludf.DUMMYFUNCTION("""COMPUTED_VALUE"""),2.12)</f>
        <v>2.12</v>
      </c>
      <c r="H1904" s="9">
        <f>IFERROR(__xludf.DUMMYFUNCTION("""COMPUTED_VALUE"""),2.0)</f>
        <v>2</v>
      </c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</row>
    <row r="1905" ht="15.75" customHeight="1">
      <c r="A1905" s="11">
        <f>IFERROR(__xludf.DUMMYFUNCTION("""COMPUTED_VALUE"""),44471.0)</f>
        <v>44471</v>
      </c>
      <c r="B1905" s="9">
        <f>IFERROR(__xludf.DUMMYFUNCTION("""COMPUTED_VALUE"""),1003554.0)</f>
        <v>1003554</v>
      </c>
      <c r="C1905" s="9">
        <f>IFERROR(__xludf.DUMMYFUNCTION("""COMPUTED_VALUE"""),164931.0)</f>
        <v>164931</v>
      </c>
      <c r="D1905" s="9"/>
      <c r="E1905" s="10" t="str">
        <f>IFERROR(__xludf.DUMMYFUNCTION("""COMPUTED_VALUE"""),"PREMIERE")</f>
        <v>PREMIERE</v>
      </c>
      <c r="F1905" s="10">
        <f>IFERROR(__xludf.DUMMYFUNCTION("""COMPUTED_VALUE"""),5.43)</f>
        <v>5.43</v>
      </c>
      <c r="G1905" s="9">
        <f>IFERROR(__xludf.DUMMYFUNCTION("""COMPUTED_VALUE"""),5.43)</f>
        <v>5.43</v>
      </c>
      <c r="H1905" s="9">
        <f>IFERROR(__xludf.DUMMYFUNCTION("""COMPUTED_VALUE"""),3.0)</f>
        <v>3</v>
      </c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</row>
    <row r="1906" ht="15.75" customHeight="1">
      <c r="A1906" s="11">
        <f>IFERROR(__xludf.DUMMYFUNCTION("""COMPUTED_VALUE"""),44471.0)</f>
        <v>44471</v>
      </c>
      <c r="B1906" s="9">
        <f>IFERROR(__xludf.DUMMYFUNCTION("""COMPUTED_VALUE"""),1003555.0)</f>
        <v>1003555</v>
      </c>
      <c r="C1906" s="9">
        <f>IFERROR(__xludf.DUMMYFUNCTION("""COMPUTED_VALUE"""),116816.0)</f>
        <v>116816</v>
      </c>
      <c r="D1906" s="9"/>
      <c r="E1906" s="9"/>
      <c r="F1906" s="9">
        <f>IFERROR(__xludf.DUMMYFUNCTION("""COMPUTED_VALUE"""),43.72)</f>
        <v>43.72</v>
      </c>
      <c r="G1906" s="9">
        <f>IFERROR(__xludf.DUMMYFUNCTION("""COMPUTED_VALUE"""),43.72)</f>
        <v>43.72</v>
      </c>
      <c r="H1906" s="9">
        <f>IFERROR(__xludf.DUMMYFUNCTION("""COMPUTED_VALUE"""),6.0)</f>
        <v>6</v>
      </c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</row>
    <row r="1907" ht="15.75" customHeight="1">
      <c r="A1907" s="11">
        <f>IFERROR(__xludf.DUMMYFUNCTION("""COMPUTED_VALUE"""),44471.0)</f>
        <v>44471</v>
      </c>
      <c r="B1907" s="9">
        <f>IFERROR(__xludf.DUMMYFUNCTION("""COMPUTED_VALUE"""),1003557.0)</f>
        <v>1003557</v>
      </c>
      <c r="C1907" s="9">
        <f>IFERROR(__xludf.DUMMYFUNCTION("""COMPUTED_VALUE"""),121887.0)</f>
        <v>121887</v>
      </c>
      <c r="D1907" s="9"/>
      <c r="E1907" s="9"/>
      <c r="F1907" s="9">
        <f>IFERROR(__xludf.DUMMYFUNCTION("""COMPUTED_VALUE"""),48.02)</f>
        <v>48.02</v>
      </c>
      <c r="G1907" s="9">
        <f>IFERROR(__xludf.DUMMYFUNCTION("""COMPUTED_VALUE"""),48.02)</f>
        <v>48.02</v>
      </c>
      <c r="H1907" s="9">
        <f>IFERROR(__xludf.DUMMYFUNCTION("""COMPUTED_VALUE"""),6.0)</f>
        <v>6</v>
      </c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</row>
    <row r="1908" ht="15.75" customHeight="1">
      <c r="A1908" s="11">
        <f>IFERROR(__xludf.DUMMYFUNCTION("""COMPUTED_VALUE"""),44471.0)</f>
        <v>44471</v>
      </c>
      <c r="B1908" s="9">
        <f>IFERROR(__xludf.DUMMYFUNCTION("""COMPUTED_VALUE"""),1003558.0)</f>
        <v>1003558</v>
      </c>
      <c r="C1908" s="9">
        <f>IFERROR(__xludf.DUMMYFUNCTION("""COMPUTED_VALUE"""),116454.0)</f>
        <v>116454</v>
      </c>
      <c r="D1908" s="9"/>
      <c r="E1908" s="9"/>
      <c r="F1908" s="9">
        <f>IFERROR(__xludf.DUMMYFUNCTION("""COMPUTED_VALUE"""),8.0)</f>
        <v>8</v>
      </c>
      <c r="G1908" s="9">
        <f>IFERROR(__xludf.DUMMYFUNCTION("""COMPUTED_VALUE"""),8.0)</f>
        <v>8</v>
      </c>
      <c r="H1908" s="9">
        <f>IFERROR(__xludf.DUMMYFUNCTION("""COMPUTED_VALUE"""),1.0)</f>
        <v>1</v>
      </c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</row>
    <row r="1909" ht="15.75" customHeight="1">
      <c r="A1909" s="11">
        <f>IFERROR(__xludf.DUMMYFUNCTION("""COMPUTED_VALUE"""),44471.0)</f>
        <v>44471</v>
      </c>
      <c r="B1909" s="9">
        <f>IFERROR(__xludf.DUMMYFUNCTION("""COMPUTED_VALUE"""),1003558.0)</f>
        <v>1003558</v>
      </c>
      <c r="C1909" s="9">
        <f>IFERROR(__xludf.DUMMYFUNCTION("""COMPUTED_VALUE"""),76046.0)</f>
        <v>76046</v>
      </c>
      <c r="D1909" s="10" t="str">
        <f>IFERROR(__xludf.DUMMYFUNCTION("""COMPUTED_VALUE"""),"Vive le bio")</f>
        <v>Vive le bio</v>
      </c>
      <c r="E1909" s="10"/>
      <c r="F1909" s="9">
        <f>IFERROR(__xludf.DUMMYFUNCTION("""COMPUTED_VALUE"""),8.53333333333333)</f>
        <v>8.533333333</v>
      </c>
      <c r="G1909" s="9">
        <f>IFERROR(__xludf.DUMMYFUNCTION("""COMPUTED_VALUE"""),7.68)</f>
        <v>7.68</v>
      </c>
      <c r="H1909" s="9">
        <f>IFERROR(__xludf.DUMMYFUNCTION("""COMPUTED_VALUE"""),1.0)</f>
        <v>1</v>
      </c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</row>
    <row r="1910" ht="15.75" customHeight="1">
      <c r="A1910" s="11">
        <f>IFERROR(__xludf.DUMMYFUNCTION("""COMPUTED_VALUE"""),44471.0)</f>
        <v>44471</v>
      </c>
      <c r="B1910" s="9">
        <f>IFERROR(__xludf.DUMMYFUNCTION("""COMPUTED_VALUE"""),1003558.0)</f>
        <v>1003558</v>
      </c>
      <c r="C1910" s="9">
        <f>IFERROR(__xludf.DUMMYFUNCTION("""COMPUTED_VALUE"""),113607.0)</f>
        <v>113607</v>
      </c>
      <c r="D1910" s="10" t="str">
        <f>IFERROR(__xludf.DUMMYFUNCTION("""COMPUTED_VALUE"""),"Vive le bio")</f>
        <v>Vive le bio</v>
      </c>
      <c r="E1910" s="10"/>
      <c r="F1910" s="9">
        <f>IFERROR(__xludf.DUMMYFUNCTION("""COMPUTED_VALUE"""),11.0444444444444)</f>
        <v>11.04444444</v>
      </c>
      <c r="G1910" s="9">
        <f>IFERROR(__xludf.DUMMYFUNCTION("""COMPUTED_VALUE"""),9.94)</f>
        <v>9.94</v>
      </c>
      <c r="H1910" s="9">
        <f>IFERROR(__xludf.DUMMYFUNCTION("""COMPUTED_VALUE"""),1.0)</f>
        <v>1</v>
      </c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</row>
    <row r="1911" ht="15.75" customHeight="1">
      <c r="A1911" s="11">
        <f>IFERROR(__xludf.DUMMYFUNCTION("""COMPUTED_VALUE"""),44471.0)</f>
        <v>44471</v>
      </c>
      <c r="B1911" s="9">
        <f>IFERROR(__xludf.DUMMYFUNCTION("""COMPUTED_VALUE"""),1003558.0)</f>
        <v>1003558</v>
      </c>
      <c r="C1911" s="9">
        <f>IFERROR(__xludf.DUMMYFUNCTION("""COMPUTED_VALUE"""),113605.0)</f>
        <v>113605</v>
      </c>
      <c r="D1911" s="10" t="str">
        <f>IFERROR(__xludf.DUMMYFUNCTION("""COMPUTED_VALUE"""),"Vive le bio")</f>
        <v>Vive le bio</v>
      </c>
      <c r="E1911" s="10"/>
      <c r="F1911" s="9">
        <f>IFERROR(__xludf.DUMMYFUNCTION("""COMPUTED_VALUE"""),11.0444444444444)</f>
        <v>11.04444444</v>
      </c>
      <c r="G1911" s="9">
        <f>IFERROR(__xludf.DUMMYFUNCTION("""COMPUTED_VALUE"""),9.94)</f>
        <v>9.94</v>
      </c>
      <c r="H1911" s="9">
        <f>IFERROR(__xludf.DUMMYFUNCTION("""COMPUTED_VALUE"""),1.0)</f>
        <v>1</v>
      </c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</row>
    <row r="1912" ht="15.75" customHeight="1">
      <c r="A1912" s="11">
        <f>IFERROR(__xludf.DUMMYFUNCTION("""COMPUTED_VALUE"""),44471.0)</f>
        <v>44471</v>
      </c>
      <c r="B1912" s="9">
        <f>IFERROR(__xludf.DUMMYFUNCTION("""COMPUTED_VALUE"""),1003558.0)</f>
        <v>1003558</v>
      </c>
      <c r="C1912" s="9">
        <f>IFERROR(__xludf.DUMMYFUNCTION("""COMPUTED_VALUE"""),117147.0)</f>
        <v>117147</v>
      </c>
      <c r="D1912" s="9"/>
      <c r="E1912" s="9"/>
      <c r="F1912" s="9">
        <f>IFERROR(__xludf.DUMMYFUNCTION("""COMPUTED_VALUE"""),8.07)</f>
        <v>8.07</v>
      </c>
      <c r="G1912" s="9">
        <f>IFERROR(__xludf.DUMMYFUNCTION("""COMPUTED_VALUE"""),8.07)</f>
        <v>8.07</v>
      </c>
      <c r="H1912" s="9">
        <f>IFERROR(__xludf.DUMMYFUNCTION("""COMPUTED_VALUE"""),1.0)</f>
        <v>1</v>
      </c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</row>
    <row r="1913" ht="15.75" customHeight="1">
      <c r="A1913" s="11">
        <f>IFERROR(__xludf.DUMMYFUNCTION("""COMPUTED_VALUE"""),44471.0)</f>
        <v>44471</v>
      </c>
      <c r="B1913" s="9">
        <f>IFERROR(__xludf.DUMMYFUNCTION("""COMPUTED_VALUE"""),1003558.0)</f>
        <v>1003558</v>
      </c>
      <c r="C1913" s="9">
        <f>IFERROR(__xludf.DUMMYFUNCTION("""COMPUTED_VALUE"""),77792.0)</f>
        <v>77792</v>
      </c>
      <c r="D1913" s="9"/>
      <c r="E1913" s="9"/>
      <c r="F1913" s="9">
        <f>IFERROR(__xludf.DUMMYFUNCTION("""COMPUTED_VALUE"""),13.84)</f>
        <v>13.84</v>
      </c>
      <c r="G1913" s="9">
        <f>IFERROR(__xludf.DUMMYFUNCTION("""COMPUTED_VALUE"""),13.84)</f>
        <v>13.84</v>
      </c>
      <c r="H1913" s="9">
        <f>IFERROR(__xludf.DUMMYFUNCTION("""COMPUTED_VALUE"""),1.0)</f>
        <v>1</v>
      </c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</row>
    <row r="1914" ht="15.75" customHeight="1">
      <c r="A1914" s="11">
        <f>IFERROR(__xludf.DUMMYFUNCTION("""COMPUTED_VALUE"""),44471.0)</f>
        <v>44471</v>
      </c>
      <c r="B1914" s="9">
        <f>IFERROR(__xludf.DUMMYFUNCTION("""COMPUTED_VALUE"""),1003558.0)</f>
        <v>1003558</v>
      </c>
      <c r="C1914" s="9">
        <f>IFERROR(__xludf.DUMMYFUNCTION("""COMPUTED_VALUE"""),80998.0)</f>
        <v>80998</v>
      </c>
      <c r="D1914" s="10" t="str">
        <f>IFERROR(__xludf.DUMMYFUNCTION("""COMPUTED_VALUE"""),"Offre Speciale")</f>
        <v>Offre Speciale</v>
      </c>
      <c r="E1914" s="10"/>
      <c r="F1914" s="9">
        <f>IFERROR(__xludf.DUMMYFUNCTION("""COMPUTED_VALUE"""),27.4888888888888)</f>
        <v>27.48888889</v>
      </c>
      <c r="G1914" s="9">
        <f>IFERROR(__xludf.DUMMYFUNCTION("""COMPUTED_VALUE"""),24.74)</f>
        <v>24.74</v>
      </c>
      <c r="H1914" s="9">
        <f>IFERROR(__xludf.DUMMYFUNCTION("""COMPUTED_VALUE"""),1.0)</f>
        <v>1</v>
      </c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</row>
    <row r="1915" ht="15.75" customHeight="1">
      <c r="A1915" s="11">
        <f>IFERROR(__xludf.DUMMYFUNCTION("""COMPUTED_VALUE"""),44471.0)</f>
        <v>44471</v>
      </c>
      <c r="B1915" s="9">
        <f>IFERROR(__xludf.DUMMYFUNCTION("""COMPUTED_VALUE"""),1003558.0)</f>
        <v>1003558</v>
      </c>
      <c r="C1915" s="9">
        <f>IFERROR(__xludf.DUMMYFUNCTION("""COMPUTED_VALUE"""),87193.0)</f>
        <v>87193</v>
      </c>
      <c r="D1915" s="9"/>
      <c r="E1915" s="9"/>
      <c r="F1915" s="9">
        <f>IFERROR(__xludf.DUMMYFUNCTION("""COMPUTED_VALUE"""),6.97)</f>
        <v>6.97</v>
      </c>
      <c r="G1915" s="9">
        <f>IFERROR(__xludf.DUMMYFUNCTION("""COMPUTED_VALUE"""),6.97)</f>
        <v>6.97</v>
      </c>
      <c r="H1915" s="9">
        <f>IFERROR(__xludf.DUMMYFUNCTION("""COMPUTED_VALUE"""),1.0)</f>
        <v>1</v>
      </c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</row>
    <row r="1916" ht="15.75" customHeight="1">
      <c r="A1916" s="11">
        <f>IFERROR(__xludf.DUMMYFUNCTION("""COMPUTED_VALUE"""),44471.0)</f>
        <v>44471</v>
      </c>
      <c r="B1916" s="9">
        <f>IFERROR(__xludf.DUMMYFUNCTION("""COMPUTED_VALUE"""),1003558.0)</f>
        <v>1003558</v>
      </c>
      <c r="C1916" s="9">
        <f>IFERROR(__xludf.DUMMYFUNCTION("""COMPUTED_VALUE"""),87072.0)</f>
        <v>87072</v>
      </c>
      <c r="D1916" s="10" t="str">
        <f>IFERROR(__xludf.DUMMYFUNCTION("""COMPUTED_VALUE"""),"Vive le bio")</f>
        <v>Vive le bio</v>
      </c>
      <c r="E1916" s="10"/>
      <c r="F1916" s="9">
        <f>IFERROR(__xludf.DUMMYFUNCTION("""COMPUTED_VALUE"""),14.6777777777777)</f>
        <v>14.67777778</v>
      </c>
      <c r="G1916" s="9">
        <f>IFERROR(__xludf.DUMMYFUNCTION("""COMPUTED_VALUE"""),13.21)</f>
        <v>13.21</v>
      </c>
      <c r="H1916" s="9">
        <f>IFERROR(__xludf.DUMMYFUNCTION("""COMPUTED_VALUE"""),2.0)</f>
        <v>2</v>
      </c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</row>
    <row r="1917" ht="15.75" customHeight="1">
      <c r="A1917" s="11">
        <f>IFERROR(__xludf.DUMMYFUNCTION("""COMPUTED_VALUE"""),44471.0)</f>
        <v>44471</v>
      </c>
      <c r="B1917" s="9">
        <f>IFERROR(__xludf.DUMMYFUNCTION("""COMPUTED_VALUE"""),1003558.0)</f>
        <v>1003558</v>
      </c>
      <c r="C1917" s="9">
        <f>IFERROR(__xludf.DUMMYFUNCTION("""COMPUTED_VALUE"""),109381.0)</f>
        <v>109381</v>
      </c>
      <c r="D1917" s="9"/>
      <c r="E1917" s="9"/>
      <c r="F1917" s="9">
        <f>IFERROR(__xludf.DUMMYFUNCTION("""COMPUTED_VALUE"""),8.57)</f>
        <v>8.57</v>
      </c>
      <c r="G1917" s="9">
        <f>IFERROR(__xludf.DUMMYFUNCTION("""COMPUTED_VALUE"""),8.57)</f>
        <v>8.57</v>
      </c>
      <c r="H1917" s="9">
        <f>IFERROR(__xludf.DUMMYFUNCTION("""COMPUTED_VALUE"""),4.0)</f>
        <v>4</v>
      </c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</row>
    <row r="1918" ht="15.75" customHeight="1">
      <c r="A1918" s="11">
        <f>IFERROR(__xludf.DUMMYFUNCTION("""COMPUTED_VALUE"""),44471.0)</f>
        <v>44471</v>
      </c>
      <c r="B1918" s="9">
        <f>IFERROR(__xludf.DUMMYFUNCTION("""COMPUTED_VALUE"""),1003558.0)</f>
        <v>1003558</v>
      </c>
      <c r="C1918" s="9">
        <f>IFERROR(__xludf.DUMMYFUNCTION("""COMPUTED_VALUE"""),5538.0)</f>
        <v>5538</v>
      </c>
      <c r="D1918" s="9"/>
      <c r="E1918" s="9"/>
      <c r="F1918" s="9">
        <f>IFERROR(__xludf.DUMMYFUNCTION("""COMPUTED_VALUE"""),15.54)</f>
        <v>15.54</v>
      </c>
      <c r="G1918" s="9">
        <f>IFERROR(__xludf.DUMMYFUNCTION("""COMPUTED_VALUE"""),15.54)</f>
        <v>15.54</v>
      </c>
      <c r="H1918" s="9">
        <f>IFERROR(__xludf.DUMMYFUNCTION("""COMPUTED_VALUE"""),8.0)</f>
        <v>8</v>
      </c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</row>
    <row r="1919" ht="15.75" customHeight="1">
      <c r="A1919" s="11">
        <f>IFERROR(__xludf.DUMMYFUNCTION("""COMPUTED_VALUE"""),44471.0)</f>
        <v>44471</v>
      </c>
      <c r="B1919" s="9">
        <f>IFERROR(__xludf.DUMMYFUNCTION("""COMPUTED_VALUE"""),1003559.0)</f>
        <v>1003559</v>
      </c>
      <c r="C1919" s="9">
        <f>IFERROR(__xludf.DUMMYFUNCTION("""COMPUTED_VALUE"""),84660.0)</f>
        <v>84660</v>
      </c>
      <c r="D1919" s="9"/>
      <c r="E1919" s="10" t="str">
        <f>IFERROR(__xludf.DUMMYFUNCTION("""COMPUTED_VALUE"""),"GREENRELAIS")</f>
        <v>GREENRELAIS</v>
      </c>
      <c r="F1919" s="10">
        <f>IFERROR(__xludf.DUMMYFUNCTION("""COMPUTED_VALUE"""),2.15)</f>
        <v>2.15</v>
      </c>
      <c r="G1919" s="9">
        <f>IFERROR(__xludf.DUMMYFUNCTION("""COMPUTED_VALUE"""),2.15)</f>
        <v>2.15</v>
      </c>
      <c r="H1919" s="9">
        <f>IFERROR(__xludf.DUMMYFUNCTION("""COMPUTED_VALUE"""),1.0)</f>
        <v>1</v>
      </c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</row>
    <row r="1920" ht="15.75" customHeight="1">
      <c r="A1920" s="11">
        <f>IFERROR(__xludf.DUMMYFUNCTION("""COMPUTED_VALUE"""),44471.0)</f>
        <v>44471</v>
      </c>
      <c r="B1920" s="9">
        <f>IFERROR(__xludf.DUMMYFUNCTION("""COMPUTED_VALUE"""),1003559.0)</f>
        <v>1003559</v>
      </c>
      <c r="C1920" s="9">
        <f>IFERROR(__xludf.DUMMYFUNCTION("""COMPUTED_VALUE"""),5070.0)</f>
        <v>5070</v>
      </c>
      <c r="D1920" s="9"/>
      <c r="E1920" s="10" t="str">
        <f>IFERROR(__xludf.DUMMYFUNCTION("""COMPUTED_VALUE"""),"GREENRELAIS")</f>
        <v>GREENRELAIS</v>
      </c>
      <c r="F1920" s="10">
        <f>IFERROR(__xludf.DUMMYFUNCTION("""COMPUTED_VALUE"""),2.15)</f>
        <v>2.15</v>
      </c>
      <c r="G1920" s="9">
        <f>IFERROR(__xludf.DUMMYFUNCTION("""COMPUTED_VALUE"""),2.15)</f>
        <v>2.15</v>
      </c>
      <c r="H1920" s="9">
        <f>IFERROR(__xludf.DUMMYFUNCTION("""COMPUTED_VALUE"""),1.0)</f>
        <v>1</v>
      </c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</row>
    <row r="1921" ht="15.75" customHeight="1">
      <c r="A1921" s="11">
        <f>IFERROR(__xludf.DUMMYFUNCTION("""COMPUTED_VALUE"""),44471.0)</f>
        <v>44471</v>
      </c>
      <c r="B1921" s="9">
        <f>IFERROR(__xludf.DUMMYFUNCTION("""COMPUTED_VALUE"""),1003559.0)</f>
        <v>1003559</v>
      </c>
      <c r="C1921" s="9">
        <f>IFERROR(__xludf.DUMMYFUNCTION("""COMPUTED_VALUE"""),5068.0)</f>
        <v>5068</v>
      </c>
      <c r="D1921" s="9"/>
      <c r="E1921" s="10" t="str">
        <f>IFERROR(__xludf.DUMMYFUNCTION("""COMPUTED_VALUE"""),"GREENRELAIS")</f>
        <v>GREENRELAIS</v>
      </c>
      <c r="F1921" s="10">
        <f>IFERROR(__xludf.DUMMYFUNCTION("""COMPUTED_VALUE"""),2.15)</f>
        <v>2.15</v>
      </c>
      <c r="G1921" s="9">
        <f>IFERROR(__xludf.DUMMYFUNCTION("""COMPUTED_VALUE"""),2.15)</f>
        <v>2.15</v>
      </c>
      <c r="H1921" s="9">
        <f>IFERROR(__xludf.DUMMYFUNCTION("""COMPUTED_VALUE"""),1.0)</f>
        <v>1</v>
      </c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</row>
    <row r="1922" ht="15.75" customHeight="1">
      <c r="A1922" s="11">
        <f>IFERROR(__xludf.DUMMYFUNCTION("""COMPUTED_VALUE"""),44471.0)</f>
        <v>44471</v>
      </c>
      <c r="B1922" s="9">
        <f>IFERROR(__xludf.DUMMYFUNCTION("""COMPUTED_VALUE"""),1003559.0)</f>
        <v>1003559</v>
      </c>
      <c r="C1922" s="9">
        <f>IFERROR(__xludf.DUMMYFUNCTION("""COMPUTED_VALUE"""),87231.0)</f>
        <v>87231</v>
      </c>
      <c r="D1922" s="9"/>
      <c r="E1922" s="10" t="str">
        <f>IFERROR(__xludf.DUMMYFUNCTION("""COMPUTED_VALUE"""),"GREENRELAIS")</f>
        <v>GREENRELAIS</v>
      </c>
      <c r="F1922" s="10">
        <f>IFERROR(__xludf.DUMMYFUNCTION("""COMPUTED_VALUE"""),1.64)</f>
        <v>1.64</v>
      </c>
      <c r="G1922" s="9">
        <f>IFERROR(__xludf.DUMMYFUNCTION("""COMPUTED_VALUE"""),1.64)</f>
        <v>1.64</v>
      </c>
      <c r="H1922" s="9">
        <f>IFERROR(__xludf.DUMMYFUNCTION("""COMPUTED_VALUE"""),1.0)</f>
        <v>1</v>
      </c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</row>
    <row r="1923" ht="15.75" customHeight="1">
      <c r="A1923" s="11">
        <f>IFERROR(__xludf.DUMMYFUNCTION("""COMPUTED_VALUE"""),44471.0)</f>
        <v>44471</v>
      </c>
      <c r="B1923" s="9">
        <f>IFERROR(__xludf.DUMMYFUNCTION("""COMPUTED_VALUE"""),1003559.0)</f>
        <v>1003559</v>
      </c>
      <c r="C1923" s="9">
        <f>IFERROR(__xludf.DUMMYFUNCTION("""COMPUTED_VALUE"""),68939.0)</f>
        <v>68939</v>
      </c>
      <c r="D1923" s="10" t="str">
        <f>IFERROR(__xludf.DUMMYFUNCTION("""COMPUTED_VALUE"""),"Offre speciale")</f>
        <v>Offre speciale</v>
      </c>
      <c r="E1923" s="10" t="str">
        <f>IFERROR(__xludf.DUMMYFUNCTION("""COMPUTED_VALUE"""),"GREENRELAIS")</f>
        <v>GREENRELAIS</v>
      </c>
      <c r="F1923" s="10">
        <f>IFERROR(__xludf.DUMMYFUNCTION("""COMPUTED_VALUE"""),3.12222222222222)</f>
        <v>3.122222222</v>
      </c>
      <c r="G1923" s="9">
        <f>IFERROR(__xludf.DUMMYFUNCTION("""COMPUTED_VALUE"""),2.81)</f>
        <v>2.81</v>
      </c>
      <c r="H1923" s="9">
        <f>IFERROR(__xludf.DUMMYFUNCTION("""COMPUTED_VALUE"""),1.0)</f>
        <v>1</v>
      </c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</row>
    <row r="1924" ht="15.75" customHeight="1">
      <c r="A1924" s="11">
        <f>IFERROR(__xludf.DUMMYFUNCTION("""COMPUTED_VALUE"""),44471.0)</f>
        <v>44471</v>
      </c>
      <c r="B1924" s="9">
        <f>IFERROR(__xludf.DUMMYFUNCTION("""COMPUTED_VALUE"""),1003559.0)</f>
        <v>1003559</v>
      </c>
      <c r="C1924" s="9">
        <f>IFERROR(__xludf.DUMMYFUNCTION("""COMPUTED_VALUE"""),81043.0)</f>
        <v>81043</v>
      </c>
      <c r="D1924" s="9"/>
      <c r="E1924" s="10" t="str">
        <f>IFERROR(__xludf.DUMMYFUNCTION("""COMPUTED_VALUE"""),"GREENRELAIS")</f>
        <v>GREENRELAIS</v>
      </c>
      <c r="F1924" s="10">
        <f>IFERROR(__xludf.DUMMYFUNCTION("""COMPUTED_VALUE"""),1.81)</f>
        <v>1.81</v>
      </c>
      <c r="G1924" s="9">
        <f>IFERROR(__xludf.DUMMYFUNCTION("""COMPUTED_VALUE"""),1.81)</f>
        <v>1.81</v>
      </c>
      <c r="H1924" s="9">
        <f>IFERROR(__xludf.DUMMYFUNCTION("""COMPUTED_VALUE"""),1.0)</f>
        <v>1</v>
      </c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</row>
    <row r="1925" ht="15.75" customHeight="1">
      <c r="A1925" s="11">
        <f>IFERROR(__xludf.DUMMYFUNCTION("""COMPUTED_VALUE"""),44471.0)</f>
        <v>44471</v>
      </c>
      <c r="B1925" s="9">
        <f>IFERROR(__xludf.DUMMYFUNCTION("""COMPUTED_VALUE"""),1003559.0)</f>
        <v>1003559</v>
      </c>
      <c r="C1925" s="9">
        <f>IFERROR(__xludf.DUMMYFUNCTION("""COMPUTED_VALUE"""),5599.0)</f>
        <v>5599</v>
      </c>
      <c r="D1925" s="9"/>
      <c r="E1925" s="10" t="str">
        <f>IFERROR(__xludf.DUMMYFUNCTION("""COMPUTED_VALUE"""),"GREENRELAIS")</f>
        <v>GREENRELAIS</v>
      </c>
      <c r="F1925" s="10">
        <f>IFERROR(__xludf.DUMMYFUNCTION("""COMPUTED_VALUE"""),3.75)</f>
        <v>3.75</v>
      </c>
      <c r="G1925" s="9">
        <f>IFERROR(__xludf.DUMMYFUNCTION("""COMPUTED_VALUE"""),3.75)</f>
        <v>3.75</v>
      </c>
      <c r="H1925" s="9">
        <f>IFERROR(__xludf.DUMMYFUNCTION("""COMPUTED_VALUE"""),2.0)</f>
        <v>2</v>
      </c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</row>
    <row r="1926" ht="15.75" customHeight="1">
      <c r="A1926" s="11">
        <f>IFERROR(__xludf.DUMMYFUNCTION("""COMPUTED_VALUE"""),44471.0)</f>
        <v>44471</v>
      </c>
      <c r="B1926" s="9">
        <f>IFERROR(__xludf.DUMMYFUNCTION("""COMPUTED_VALUE"""),1003559.0)</f>
        <v>1003559</v>
      </c>
      <c r="C1926" s="9">
        <f>IFERROR(__xludf.DUMMYFUNCTION("""COMPUTED_VALUE"""),103588.0)</f>
        <v>103588</v>
      </c>
      <c r="D1926" s="10" t="str">
        <f>IFERROR(__xludf.DUMMYFUNCTION("""COMPUTED_VALUE"""),"Love &amp; Green Couches et Culottes sept 2021")</f>
        <v>Love &amp; Green Couches et Culottes sept 2021</v>
      </c>
      <c r="E1926" s="10" t="str">
        <f>IFERROR(__xludf.DUMMYFUNCTION("""COMPUTED_VALUE"""),"GREENRELAIS")</f>
        <v>GREENRELAIS</v>
      </c>
      <c r="F1926" s="10">
        <f>IFERROR(__xludf.DUMMYFUNCTION("""COMPUTED_VALUE"""),62.0285714285714)</f>
        <v>62.02857143</v>
      </c>
      <c r="G1926" s="9">
        <f>IFERROR(__xludf.DUMMYFUNCTION("""COMPUTED_VALUE"""),43.42)</f>
        <v>43.42</v>
      </c>
      <c r="H1926" s="9">
        <f>IFERROR(__xludf.DUMMYFUNCTION("""COMPUTED_VALUE"""),4.0)</f>
        <v>4</v>
      </c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</row>
    <row r="1927" ht="15.75" customHeight="1">
      <c r="A1927" s="11">
        <f>IFERROR(__xludf.DUMMYFUNCTION("""COMPUTED_VALUE"""),44471.0)</f>
        <v>44471</v>
      </c>
      <c r="B1927" s="9">
        <f>IFERROR(__xludf.DUMMYFUNCTION("""COMPUTED_VALUE"""),1003560.0)</f>
        <v>1003560</v>
      </c>
      <c r="C1927" s="9">
        <f>IFERROR(__xludf.DUMMYFUNCTION("""COMPUTED_VALUE"""),104510.0)</f>
        <v>104510</v>
      </c>
      <c r="D1927" s="9"/>
      <c r="E1927" s="9"/>
      <c r="F1927" s="9">
        <f>IFERROR(__xludf.DUMMYFUNCTION("""COMPUTED_VALUE"""),8.7)</f>
        <v>8.7</v>
      </c>
      <c r="G1927" s="9">
        <f>IFERROR(__xludf.DUMMYFUNCTION("""COMPUTED_VALUE"""),8.7)</f>
        <v>8.7</v>
      </c>
      <c r="H1927" s="9">
        <f>IFERROR(__xludf.DUMMYFUNCTION("""COMPUTED_VALUE"""),1.0)</f>
        <v>1</v>
      </c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</row>
    <row r="1928" ht="15.75" customHeight="1">
      <c r="A1928" s="11">
        <f>IFERROR(__xludf.DUMMYFUNCTION("""COMPUTED_VALUE"""),44471.0)</f>
        <v>44471</v>
      </c>
      <c r="B1928" s="9">
        <f>IFERROR(__xludf.DUMMYFUNCTION("""COMPUTED_VALUE"""),1003560.0)</f>
        <v>1003560</v>
      </c>
      <c r="C1928" s="9">
        <f>IFERROR(__xludf.DUMMYFUNCTION("""COMPUTED_VALUE"""),99360.0)</f>
        <v>99360</v>
      </c>
      <c r="D1928" s="9"/>
      <c r="E1928" s="9"/>
      <c r="F1928" s="9">
        <f>IFERROR(__xludf.DUMMYFUNCTION("""COMPUTED_VALUE"""),4.45)</f>
        <v>4.45</v>
      </c>
      <c r="G1928" s="9">
        <f>IFERROR(__xludf.DUMMYFUNCTION("""COMPUTED_VALUE"""),4.45)</f>
        <v>4.45</v>
      </c>
      <c r="H1928" s="9">
        <f>IFERROR(__xludf.DUMMYFUNCTION("""COMPUTED_VALUE"""),1.0)</f>
        <v>1</v>
      </c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</row>
    <row r="1929" ht="15.75" customHeight="1">
      <c r="A1929" s="11">
        <f>IFERROR(__xludf.DUMMYFUNCTION("""COMPUTED_VALUE"""),44471.0)</f>
        <v>44471</v>
      </c>
      <c r="B1929" s="9">
        <f>IFERROR(__xludf.DUMMYFUNCTION("""COMPUTED_VALUE"""),1003561.0)</f>
        <v>1003561</v>
      </c>
      <c r="C1929" s="9">
        <f>IFERROR(__xludf.DUMMYFUNCTION("""COMPUTED_VALUE"""),103588.0)</f>
        <v>103588</v>
      </c>
      <c r="D1929" s="10" t="str">
        <f>IFERROR(__xludf.DUMMYFUNCTION("""COMPUTED_VALUE"""),"Love &amp; Green Couches et Culottes sept 2021")</f>
        <v>Love &amp; Green Couches et Culottes sept 2021</v>
      </c>
      <c r="E1929" s="10"/>
      <c r="F1929" s="9">
        <f>IFERROR(__xludf.DUMMYFUNCTION("""COMPUTED_VALUE"""),62.0285714285714)</f>
        <v>62.02857143</v>
      </c>
      <c r="G1929" s="9">
        <f>IFERROR(__xludf.DUMMYFUNCTION("""COMPUTED_VALUE"""),43.42)</f>
        <v>43.42</v>
      </c>
      <c r="H1929" s="9">
        <f>IFERROR(__xludf.DUMMYFUNCTION("""COMPUTED_VALUE"""),4.0)</f>
        <v>4</v>
      </c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</row>
    <row r="1930" ht="15.75" customHeight="1">
      <c r="A1930" s="11">
        <f>IFERROR(__xludf.DUMMYFUNCTION("""COMPUTED_VALUE"""),44471.0)</f>
        <v>44471</v>
      </c>
      <c r="B1930" s="9">
        <f>IFERROR(__xludf.DUMMYFUNCTION("""COMPUTED_VALUE"""),1003562.0)</f>
        <v>1003562</v>
      </c>
      <c r="C1930" s="9">
        <f>IFERROR(__xludf.DUMMYFUNCTION("""COMPUTED_VALUE"""),70585.0)</f>
        <v>70585</v>
      </c>
      <c r="D1930" s="10" t="str">
        <f>IFERROR(__xludf.DUMMYFUNCTION("""COMPUTED_VALUE"""),"dlc courte")</f>
        <v>dlc courte</v>
      </c>
      <c r="E1930" s="10"/>
      <c r="F1930" s="9">
        <f>IFERROR(__xludf.DUMMYFUNCTION("""COMPUTED_VALUE"""),2.56)</f>
        <v>2.56</v>
      </c>
      <c r="G1930" s="9">
        <f>IFERROR(__xludf.DUMMYFUNCTION("""COMPUTED_VALUE"""),1.28)</f>
        <v>1.28</v>
      </c>
      <c r="H1930" s="9">
        <f>IFERROR(__xludf.DUMMYFUNCTION("""COMPUTED_VALUE"""),1.0)</f>
        <v>1</v>
      </c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</row>
    <row r="1931" ht="15.75" customHeight="1">
      <c r="A1931" s="11">
        <f>IFERROR(__xludf.DUMMYFUNCTION("""COMPUTED_VALUE"""),44471.0)</f>
        <v>44471</v>
      </c>
      <c r="B1931" s="9">
        <f>IFERROR(__xludf.DUMMYFUNCTION("""COMPUTED_VALUE"""),1003562.0)</f>
        <v>1003562</v>
      </c>
      <c r="C1931" s="9">
        <f>IFERROR(__xludf.DUMMYFUNCTION("""COMPUTED_VALUE"""),4301.0)</f>
        <v>4301</v>
      </c>
      <c r="D1931" s="9"/>
      <c r="E1931" s="9"/>
      <c r="F1931" s="9">
        <f>IFERROR(__xludf.DUMMYFUNCTION("""COMPUTED_VALUE"""),4.3)</f>
        <v>4.3</v>
      </c>
      <c r="G1931" s="9">
        <f>IFERROR(__xludf.DUMMYFUNCTION("""COMPUTED_VALUE"""),4.3)</f>
        <v>4.3</v>
      </c>
      <c r="H1931" s="9">
        <f>IFERROR(__xludf.DUMMYFUNCTION("""COMPUTED_VALUE"""),2.0)</f>
        <v>2</v>
      </c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</row>
    <row r="1932" ht="15.75" customHeight="1">
      <c r="A1932" s="11">
        <f>IFERROR(__xludf.DUMMYFUNCTION("""COMPUTED_VALUE"""),44471.0)</f>
        <v>44471</v>
      </c>
      <c r="B1932" s="9">
        <f>IFERROR(__xludf.DUMMYFUNCTION("""COMPUTED_VALUE"""),1003562.0)</f>
        <v>1003562</v>
      </c>
      <c r="C1932" s="9">
        <f>IFERROR(__xludf.DUMMYFUNCTION("""COMPUTED_VALUE"""),4298.0)</f>
        <v>4298</v>
      </c>
      <c r="D1932" s="9"/>
      <c r="E1932" s="9"/>
      <c r="F1932" s="9">
        <f>IFERROR(__xludf.DUMMYFUNCTION("""COMPUTED_VALUE"""),4.56)</f>
        <v>4.56</v>
      </c>
      <c r="G1932" s="9">
        <f>IFERROR(__xludf.DUMMYFUNCTION("""COMPUTED_VALUE"""),4.56)</f>
        <v>4.56</v>
      </c>
      <c r="H1932" s="9">
        <f>IFERROR(__xludf.DUMMYFUNCTION("""COMPUTED_VALUE"""),2.0)</f>
        <v>2</v>
      </c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</row>
    <row r="1933" ht="15.75" customHeight="1">
      <c r="A1933" s="11">
        <f>IFERROR(__xludf.DUMMYFUNCTION("""COMPUTED_VALUE"""),44471.0)</f>
        <v>44471</v>
      </c>
      <c r="B1933" s="9">
        <f>IFERROR(__xludf.DUMMYFUNCTION("""COMPUTED_VALUE"""),1003562.0)</f>
        <v>1003562</v>
      </c>
      <c r="C1933" s="9">
        <f>IFERROR(__xludf.DUMMYFUNCTION("""COMPUTED_VALUE"""),127016.0)</f>
        <v>127016</v>
      </c>
      <c r="D1933" s="10" t="str">
        <f>IFERROR(__xludf.DUMMYFUNCTION("""COMPUTED_VALUE"""),"Carryboo coton 2021")</f>
        <v>Carryboo coton 2021</v>
      </c>
      <c r="E1933" s="10"/>
      <c r="F1933" s="9">
        <f>IFERROR(__xludf.DUMMYFUNCTION("""COMPUTED_VALUE"""),17.1466666666666)</f>
        <v>17.14666667</v>
      </c>
      <c r="G1933" s="9">
        <f>IFERROR(__xludf.DUMMYFUNCTION("""COMPUTED_VALUE"""),12.86)</f>
        <v>12.86</v>
      </c>
      <c r="H1933" s="9">
        <f>IFERROR(__xludf.DUMMYFUNCTION("""COMPUTED_VALUE"""),4.0)</f>
        <v>4</v>
      </c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</row>
    <row r="1934" ht="15.75" customHeight="1">
      <c r="A1934" s="11">
        <f>IFERROR(__xludf.DUMMYFUNCTION("""COMPUTED_VALUE"""),44471.0)</f>
        <v>44471</v>
      </c>
      <c r="B1934" s="9">
        <f>IFERROR(__xludf.DUMMYFUNCTION("""COMPUTED_VALUE"""),1003562.0)</f>
        <v>1003562</v>
      </c>
      <c r="C1934" s="9">
        <f>IFERROR(__xludf.DUMMYFUNCTION("""COMPUTED_VALUE"""),101299.0)</f>
        <v>101299</v>
      </c>
      <c r="D1934" s="10" t="str">
        <f>IFERROR(__xludf.DUMMYFUNCTION("""COMPUTED_VALUE"""),"Natur'vox Carryboo couches Sept 21")</f>
        <v>Natur'vox Carryboo couches Sept 21</v>
      </c>
      <c r="E1934" s="10"/>
      <c r="F1934" s="9">
        <f>IFERROR(__xludf.DUMMYFUNCTION("""COMPUTED_VALUE"""),98.2266666666666)</f>
        <v>98.22666667</v>
      </c>
      <c r="G1934" s="9">
        <f>IFERROR(__xludf.DUMMYFUNCTION("""COMPUTED_VALUE"""),73.67)</f>
        <v>73.67</v>
      </c>
      <c r="H1934" s="9">
        <f>IFERROR(__xludf.DUMMYFUNCTION("""COMPUTED_VALUE"""),6.0)</f>
        <v>6</v>
      </c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</row>
    <row r="1935" ht="15.75" customHeight="1">
      <c r="A1935" s="11">
        <f>IFERROR(__xludf.DUMMYFUNCTION("""COMPUTED_VALUE"""),44471.0)</f>
        <v>44471</v>
      </c>
      <c r="B1935" s="9">
        <f>IFERROR(__xludf.DUMMYFUNCTION("""COMPUTED_VALUE"""),1003563.0)</f>
        <v>1003563</v>
      </c>
      <c r="C1935" s="9">
        <f>IFERROR(__xludf.DUMMYFUNCTION("""COMPUTED_VALUE"""),105475.0)</f>
        <v>105475</v>
      </c>
      <c r="D1935" s="9"/>
      <c r="E1935" s="9"/>
      <c r="F1935" s="9">
        <f>IFERROR(__xludf.DUMMYFUNCTION("""COMPUTED_VALUE"""),10.02)</f>
        <v>10.02</v>
      </c>
      <c r="G1935" s="9">
        <f>IFERROR(__xludf.DUMMYFUNCTION("""COMPUTED_VALUE"""),10.02)</f>
        <v>10.02</v>
      </c>
      <c r="H1935" s="9">
        <f>IFERROR(__xludf.DUMMYFUNCTION("""COMPUTED_VALUE"""),1.0)</f>
        <v>1</v>
      </c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</row>
    <row r="1936" ht="15.75" customHeight="1">
      <c r="A1936" s="11">
        <f>IFERROR(__xludf.DUMMYFUNCTION("""COMPUTED_VALUE"""),44471.0)</f>
        <v>44471</v>
      </c>
      <c r="B1936" s="9">
        <f>IFERROR(__xludf.DUMMYFUNCTION("""COMPUTED_VALUE"""),1003563.0)</f>
        <v>1003563</v>
      </c>
      <c r="C1936" s="9">
        <f>IFERROR(__xludf.DUMMYFUNCTION("""COMPUTED_VALUE"""),6521.0)</f>
        <v>6521</v>
      </c>
      <c r="D1936" s="9"/>
      <c r="E1936" s="9"/>
      <c r="F1936" s="9">
        <f>IFERROR(__xludf.DUMMYFUNCTION("""COMPUTED_VALUE"""),8.81)</f>
        <v>8.81</v>
      </c>
      <c r="G1936" s="9">
        <f>IFERROR(__xludf.DUMMYFUNCTION("""COMPUTED_VALUE"""),8.81)</f>
        <v>8.81</v>
      </c>
      <c r="H1936" s="9">
        <f>IFERROR(__xludf.DUMMYFUNCTION("""COMPUTED_VALUE"""),1.0)</f>
        <v>1</v>
      </c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</row>
    <row r="1937" ht="15.75" customHeight="1">
      <c r="A1937" s="11">
        <f>IFERROR(__xludf.DUMMYFUNCTION("""COMPUTED_VALUE"""),44471.0)</f>
        <v>44471</v>
      </c>
      <c r="B1937" s="9">
        <f>IFERROR(__xludf.DUMMYFUNCTION("""COMPUTED_VALUE"""),1003563.0)</f>
        <v>1003563</v>
      </c>
      <c r="C1937" s="9">
        <f>IFERROR(__xludf.DUMMYFUNCTION("""COMPUTED_VALUE"""),201751.0)</f>
        <v>201751</v>
      </c>
      <c r="D1937" s="9"/>
      <c r="E1937" s="9"/>
      <c r="F1937" s="9">
        <f>IFERROR(__xludf.DUMMYFUNCTION("""COMPUTED_VALUE"""),9.1)</f>
        <v>9.1</v>
      </c>
      <c r="G1937" s="9">
        <f>IFERROR(__xludf.DUMMYFUNCTION("""COMPUTED_VALUE"""),9.1)</f>
        <v>9.1</v>
      </c>
      <c r="H1937" s="9">
        <f>IFERROR(__xludf.DUMMYFUNCTION("""COMPUTED_VALUE"""),1.0)</f>
        <v>1</v>
      </c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</row>
    <row r="1938" ht="15.75" customHeight="1">
      <c r="A1938" s="11">
        <f>IFERROR(__xludf.DUMMYFUNCTION("""COMPUTED_VALUE"""),44471.0)</f>
        <v>44471</v>
      </c>
      <c r="B1938" s="9">
        <f>IFERROR(__xludf.DUMMYFUNCTION("""COMPUTED_VALUE"""),1003563.0)</f>
        <v>1003563</v>
      </c>
      <c r="C1938" s="9">
        <f>IFERROR(__xludf.DUMMYFUNCTION("""COMPUTED_VALUE"""),73442.0)</f>
        <v>73442</v>
      </c>
      <c r="D1938" s="9"/>
      <c r="E1938" s="9"/>
      <c r="F1938" s="9">
        <f>IFERROR(__xludf.DUMMYFUNCTION("""COMPUTED_VALUE"""),2.69)</f>
        <v>2.69</v>
      </c>
      <c r="G1938" s="9">
        <f>IFERROR(__xludf.DUMMYFUNCTION("""COMPUTED_VALUE"""),2.69)</f>
        <v>2.69</v>
      </c>
      <c r="H1938" s="9">
        <f>IFERROR(__xludf.DUMMYFUNCTION("""COMPUTED_VALUE"""),1.0)</f>
        <v>1</v>
      </c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</row>
    <row r="1939" ht="15.75" customHeight="1">
      <c r="A1939" s="11">
        <f>IFERROR(__xludf.DUMMYFUNCTION("""COMPUTED_VALUE"""),44471.0)</f>
        <v>44471</v>
      </c>
      <c r="B1939" s="9">
        <f>IFERROR(__xludf.DUMMYFUNCTION("""COMPUTED_VALUE"""),1003563.0)</f>
        <v>1003563</v>
      </c>
      <c r="C1939" s="9">
        <f>IFERROR(__xludf.DUMMYFUNCTION("""COMPUTED_VALUE"""),72319.0)</f>
        <v>72319</v>
      </c>
      <c r="D1939" s="9"/>
      <c r="E1939" s="9"/>
      <c r="F1939" s="9">
        <f>IFERROR(__xludf.DUMMYFUNCTION("""COMPUTED_VALUE"""),8.65)</f>
        <v>8.65</v>
      </c>
      <c r="G1939" s="9">
        <f>IFERROR(__xludf.DUMMYFUNCTION("""COMPUTED_VALUE"""),8.65)</f>
        <v>8.65</v>
      </c>
      <c r="H1939" s="9">
        <f>IFERROR(__xludf.DUMMYFUNCTION("""COMPUTED_VALUE"""),1.0)</f>
        <v>1</v>
      </c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</row>
    <row r="1940" ht="15.75" customHeight="1">
      <c r="A1940" s="11">
        <f>IFERROR(__xludf.DUMMYFUNCTION("""COMPUTED_VALUE"""),44471.0)</f>
        <v>44471</v>
      </c>
      <c r="B1940" s="9">
        <f>IFERROR(__xludf.DUMMYFUNCTION("""COMPUTED_VALUE"""),1003563.0)</f>
        <v>1003563</v>
      </c>
      <c r="C1940" s="9">
        <f>IFERROR(__xludf.DUMMYFUNCTION("""COMPUTED_VALUE"""),117613.0)</f>
        <v>117613</v>
      </c>
      <c r="D1940" s="10" t="str">
        <f>IFERROR(__xludf.DUMMYFUNCTION("""COMPUTED_VALUE"""),"Vive le bio")</f>
        <v>Vive le bio</v>
      </c>
      <c r="E1940" s="10"/>
      <c r="F1940" s="9">
        <f>IFERROR(__xludf.DUMMYFUNCTION("""COMPUTED_VALUE"""),8.27777777777777)</f>
        <v>8.277777778</v>
      </c>
      <c r="G1940" s="9">
        <f>IFERROR(__xludf.DUMMYFUNCTION("""COMPUTED_VALUE"""),7.45)</f>
        <v>7.45</v>
      </c>
      <c r="H1940" s="9">
        <f>IFERROR(__xludf.DUMMYFUNCTION("""COMPUTED_VALUE"""),1.0)</f>
        <v>1</v>
      </c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</row>
    <row r="1941" ht="15.75" customHeight="1">
      <c r="A1941" s="11">
        <f>IFERROR(__xludf.DUMMYFUNCTION("""COMPUTED_VALUE"""),44471.0)</f>
        <v>44471</v>
      </c>
      <c r="B1941" s="9">
        <f>IFERROR(__xludf.DUMMYFUNCTION("""COMPUTED_VALUE"""),1003563.0)</f>
        <v>1003563</v>
      </c>
      <c r="C1941" s="9">
        <f>IFERROR(__xludf.DUMMYFUNCTION("""COMPUTED_VALUE"""),108895.0)</f>
        <v>108895</v>
      </c>
      <c r="D1941" s="9"/>
      <c r="E1941" s="9"/>
      <c r="F1941" s="9">
        <f>IFERROR(__xludf.DUMMYFUNCTION("""COMPUTED_VALUE"""),5.1)</f>
        <v>5.1</v>
      </c>
      <c r="G1941" s="9">
        <f>IFERROR(__xludf.DUMMYFUNCTION("""COMPUTED_VALUE"""),5.1)</f>
        <v>5.1</v>
      </c>
      <c r="H1941" s="9">
        <f>IFERROR(__xludf.DUMMYFUNCTION("""COMPUTED_VALUE"""),2.0)</f>
        <v>2</v>
      </c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</row>
    <row r="1942" ht="15.75" customHeight="1">
      <c r="A1942" s="11">
        <f>IFERROR(__xludf.DUMMYFUNCTION("""COMPUTED_VALUE"""),44471.0)</f>
        <v>44471</v>
      </c>
      <c r="B1942" s="9">
        <f>IFERROR(__xludf.DUMMYFUNCTION("""COMPUTED_VALUE"""),1003563.0)</f>
        <v>1003563</v>
      </c>
      <c r="C1942" s="9">
        <f>IFERROR(__xludf.DUMMYFUNCTION("""COMPUTED_VALUE"""),108840.0)</f>
        <v>108840</v>
      </c>
      <c r="D1942" s="10" t="str">
        <f>IFERROR(__xludf.DUMMYFUNCTION("""COMPUTED_VALUE"""),"Offre Speciale")</f>
        <v>Offre Speciale</v>
      </c>
      <c r="E1942" s="10"/>
      <c r="F1942" s="9">
        <f>IFERROR(__xludf.DUMMYFUNCTION("""COMPUTED_VALUE"""),9.74390243902439)</f>
        <v>9.743902439</v>
      </c>
      <c r="G1942" s="9">
        <f>IFERROR(__xludf.DUMMYFUNCTION("""COMPUTED_VALUE"""),7.99)</f>
        <v>7.99</v>
      </c>
      <c r="H1942" s="9">
        <f>IFERROR(__xludf.DUMMYFUNCTION("""COMPUTED_VALUE"""),2.0)</f>
        <v>2</v>
      </c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</row>
    <row r="1943" ht="15.75" customHeight="1">
      <c r="A1943" s="11">
        <f>IFERROR(__xludf.DUMMYFUNCTION("""COMPUTED_VALUE"""),44471.0)</f>
        <v>44471</v>
      </c>
      <c r="B1943" s="9">
        <f>IFERROR(__xludf.DUMMYFUNCTION("""COMPUTED_VALUE"""),1003564.0)</f>
        <v>1003564</v>
      </c>
      <c r="C1943" s="9">
        <f>IFERROR(__xludf.DUMMYFUNCTION("""COMPUTED_VALUE"""),12914.0)</f>
        <v>12914</v>
      </c>
      <c r="D1943" s="9"/>
      <c r="E1943" s="10" t="str">
        <f>IFERROR(__xludf.DUMMYFUNCTION("""COMPUTED_VALUE"""),"GREENRELAIS")</f>
        <v>GREENRELAIS</v>
      </c>
      <c r="F1943" s="10">
        <f>IFERROR(__xludf.DUMMYFUNCTION("""COMPUTED_VALUE"""),3.25)</f>
        <v>3.25</v>
      </c>
      <c r="G1943" s="9">
        <f>IFERROR(__xludf.DUMMYFUNCTION("""COMPUTED_VALUE"""),3.25)</f>
        <v>3.25</v>
      </c>
      <c r="H1943" s="9">
        <f>IFERROR(__xludf.DUMMYFUNCTION("""COMPUTED_VALUE"""),1.0)</f>
        <v>1</v>
      </c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</row>
    <row r="1944" ht="15.75" customHeight="1">
      <c r="A1944" s="11">
        <f>IFERROR(__xludf.DUMMYFUNCTION("""COMPUTED_VALUE"""),44471.0)</f>
        <v>44471</v>
      </c>
      <c r="B1944" s="9">
        <f>IFERROR(__xludf.DUMMYFUNCTION("""COMPUTED_VALUE"""),1003564.0)</f>
        <v>1003564</v>
      </c>
      <c r="C1944" s="9">
        <f>IFERROR(__xludf.DUMMYFUNCTION("""COMPUTED_VALUE"""),81235.0)</f>
        <v>81235</v>
      </c>
      <c r="D1944" s="9"/>
      <c r="E1944" s="10" t="str">
        <f>IFERROR(__xludf.DUMMYFUNCTION("""COMPUTED_VALUE"""),"GREENRELAIS")</f>
        <v>GREENRELAIS</v>
      </c>
      <c r="F1944" s="10">
        <f>IFERROR(__xludf.DUMMYFUNCTION("""COMPUTED_VALUE"""),6.5)</f>
        <v>6.5</v>
      </c>
      <c r="G1944" s="9">
        <f>IFERROR(__xludf.DUMMYFUNCTION("""COMPUTED_VALUE"""),6.5)</f>
        <v>6.5</v>
      </c>
      <c r="H1944" s="9">
        <f>IFERROR(__xludf.DUMMYFUNCTION("""COMPUTED_VALUE"""),1.0)</f>
        <v>1</v>
      </c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</row>
    <row r="1945" ht="15.75" customHeight="1">
      <c r="A1945" s="11">
        <f>IFERROR(__xludf.DUMMYFUNCTION("""COMPUTED_VALUE"""),44471.0)</f>
        <v>44471</v>
      </c>
      <c r="B1945" s="9">
        <f>IFERROR(__xludf.DUMMYFUNCTION("""COMPUTED_VALUE"""),1003564.0)</f>
        <v>1003564</v>
      </c>
      <c r="C1945" s="9">
        <f>IFERROR(__xludf.DUMMYFUNCTION("""COMPUTED_VALUE"""),83948.0)</f>
        <v>83948</v>
      </c>
      <c r="D1945" s="9"/>
      <c r="E1945" s="10" t="str">
        <f>IFERROR(__xludf.DUMMYFUNCTION("""COMPUTED_VALUE"""),"GREENRELAIS")</f>
        <v>GREENRELAIS</v>
      </c>
      <c r="F1945" s="10">
        <f>IFERROR(__xludf.DUMMYFUNCTION("""COMPUTED_VALUE"""),1.5)</f>
        <v>1.5</v>
      </c>
      <c r="G1945" s="9">
        <f>IFERROR(__xludf.DUMMYFUNCTION("""COMPUTED_VALUE"""),1.5)</f>
        <v>1.5</v>
      </c>
      <c r="H1945" s="9">
        <f>IFERROR(__xludf.DUMMYFUNCTION("""COMPUTED_VALUE"""),1.0)</f>
        <v>1</v>
      </c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</row>
    <row r="1946" ht="15.75" customHeight="1">
      <c r="A1946" s="11">
        <f>IFERROR(__xludf.DUMMYFUNCTION("""COMPUTED_VALUE"""),44471.0)</f>
        <v>44471</v>
      </c>
      <c r="B1946" s="9">
        <f>IFERROR(__xludf.DUMMYFUNCTION("""COMPUTED_VALUE"""),1003564.0)</f>
        <v>1003564</v>
      </c>
      <c r="C1946" s="9">
        <f>IFERROR(__xludf.DUMMYFUNCTION("""COMPUTED_VALUE"""),113960.0)</f>
        <v>113960</v>
      </c>
      <c r="D1946" s="9"/>
      <c r="E1946" s="10" t="str">
        <f>IFERROR(__xludf.DUMMYFUNCTION("""COMPUTED_VALUE"""),"GREENRELAIS")</f>
        <v>GREENRELAIS</v>
      </c>
      <c r="F1946" s="10">
        <f>IFERROR(__xludf.DUMMYFUNCTION("""COMPUTED_VALUE"""),2.13)</f>
        <v>2.13</v>
      </c>
      <c r="G1946" s="9">
        <f>IFERROR(__xludf.DUMMYFUNCTION("""COMPUTED_VALUE"""),2.13)</f>
        <v>2.13</v>
      </c>
      <c r="H1946" s="9">
        <f>IFERROR(__xludf.DUMMYFUNCTION("""COMPUTED_VALUE"""),1.0)</f>
        <v>1</v>
      </c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</row>
    <row r="1947" ht="15.75" customHeight="1">
      <c r="A1947" s="11">
        <f>IFERROR(__xludf.DUMMYFUNCTION("""COMPUTED_VALUE"""),44471.0)</f>
        <v>44471</v>
      </c>
      <c r="B1947" s="9">
        <f>IFERROR(__xludf.DUMMYFUNCTION("""COMPUTED_VALUE"""),1003564.0)</f>
        <v>1003564</v>
      </c>
      <c r="C1947" s="9">
        <f>IFERROR(__xludf.DUMMYFUNCTION("""COMPUTED_VALUE"""),10561.0)</f>
        <v>10561</v>
      </c>
      <c r="D1947" s="9"/>
      <c r="E1947" s="10" t="str">
        <f>IFERROR(__xludf.DUMMYFUNCTION("""COMPUTED_VALUE"""),"GREENRELAIS")</f>
        <v>GREENRELAIS</v>
      </c>
      <c r="F1947" s="10">
        <f>IFERROR(__xludf.DUMMYFUNCTION("""COMPUTED_VALUE"""),7.07)</f>
        <v>7.07</v>
      </c>
      <c r="G1947" s="9">
        <f>IFERROR(__xludf.DUMMYFUNCTION("""COMPUTED_VALUE"""),7.07)</f>
        <v>7.07</v>
      </c>
      <c r="H1947" s="9">
        <f>IFERROR(__xludf.DUMMYFUNCTION("""COMPUTED_VALUE"""),1.0)</f>
        <v>1</v>
      </c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</row>
    <row r="1948" ht="15.75" customHeight="1">
      <c r="A1948" s="11">
        <f>IFERROR(__xludf.DUMMYFUNCTION("""COMPUTED_VALUE"""),44471.0)</f>
        <v>44471</v>
      </c>
      <c r="B1948" s="9">
        <f>IFERROR(__xludf.DUMMYFUNCTION("""COMPUTED_VALUE"""),1003564.0)</f>
        <v>1003564</v>
      </c>
      <c r="C1948" s="9">
        <f>IFERROR(__xludf.DUMMYFUNCTION("""COMPUTED_VALUE"""),24055.0)</f>
        <v>24055</v>
      </c>
      <c r="D1948" s="9"/>
      <c r="E1948" s="10" t="str">
        <f>IFERROR(__xludf.DUMMYFUNCTION("""COMPUTED_VALUE"""),"GREENRELAIS")</f>
        <v>GREENRELAIS</v>
      </c>
      <c r="F1948" s="10">
        <f>IFERROR(__xludf.DUMMYFUNCTION("""COMPUTED_VALUE"""),17.28)</f>
        <v>17.28</v>
      </c>
      <c r="G1948" s="9">
        <f>IFERROR(__xludf.DUMMYFUNCTION("""COMPUTED_VALUE"""),17.28)</f>
        <v>17.28</v>
      </c>
      <c r="H1948" s="9">
        <f>IFERROR(__xludf.DUMMYFUNCTION("""COMPUTED_VALUE"""),1.0)</f>
        <v>1</v>
      </c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</row>
    <row r="1949" ht="15.75" customHeight="1">
      <c r="A1949" s="11">
        <f>IFERROR(__xludf.DUMMYFUNCTION("""COMPUTED_VALUE"""),44471.0)</f>
        <v>44471</v>
      </c>
      <c r="B1949" s="9">
        <f>IFERROR(__xludf.DUMMYFUNCTION("""COMPUTED_VALUE"""),1003564.0)</f>
        <v>1003564</v>
      </c>
      <c r="C1949" s="9">
        <f>IFERROR(__xludf.DUMMYFUNCTION("""COMPUTED_VALUE"""),12917.0)</f>
        <v>12917</v>
      </c>
      <c r="D1949" s="9"/>
      <c r="E1949" s="10" t="str">
        <f>IFERROR(__xludf.DUMMYFUNCTION("""COMPUTED_VALUE"""),"GREENRELAIS")</f>
        <v>GREENRELAIS</v>
      </c>
      <c r="F1949" s="10">
        <f>IFERROR(__xludf.DUMMYFUNCTION("""COMPUTED_VALUE"""),2.79)</f>
        <v>2.79</v>
      </c>
      <c r="G1949" s="9">
        <f>IFERROR(__xludf.DUMMYFUNCTION("""COMPUTED_VALUE"""),2.79)</f>
        <v>2.79</v>
      </c>
      <c r="H1949" s="9">
        <f>IFERROR(__xludf.DUMMYFUNCTION("""COMPUTED_VALUE"""),1.0)</f>
        <v>1</v>
      </c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</row>
    <row r="1950" ht="15.75" customHeight="1">
      <c r="A1950" s="11">
        <f>IFERROR(__xludf.DUMMYFUNCTION("""COMPUTED_VALUE"""),44471.0)</f>
        <v>44471</v>
      </c>
      <c r="B1950" s="9">
        <f>IFERROR(__xludf.DUMMYFUNCTION("""COMPUTED_VALUE"""),1003564.0)</f>
        <v>1003564</v>
      </c>
      <c r="C1950" s="9">
        <f>IFERROR(__xludf.DUMMYFUNCTION("""COMPUTED_VALUE"""),12918.0)</f>
        <v>12918</v>
      </c>
      <c r="D1950" s="10" t="str">
        <f>IFERROR(__xludf.DUMMYFUNCTION("""COMPUTED_VALUE"""),"Vive le bio")</f>
        <v>Vive le bio</v>
      </c>
      <c r="E1950" s="10" t="str">
        <f>IFERROR(__xludf.DUMMYFUNCTION("""COMPUTED_VALUE"""),"GREENRELAIS")</f>
        <v>GREENRELAIS</v>
      </c>
      <c r="F1950" s="10">
        <f>IFERROR(__xludf.DUMMYFUNCTION("""COMPUTED_VALUE"""),3.43333333333333)</f>
        <v>3.433333333</v>
      </c>
      <c r="G1950" s="9">
        <f>IFERROR(__xludf.DUMMYFUNCTION("""COMPUTED_VALUE"""),3.09)</f>
        <v>3.09</v>
      </c>
      <c r="H1950" s="9">
        <f>IFERROR(__xludf.DUMMYFUNCTION("""COMPUTED_VALUE"""),1.0)</f>
        <v>1</v>
      </c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</row>
    <row r="1951" ht="15.75" customHeight="1">
      <c r="A1951" s="11">
        <f>IFERROR(__xludf.DUMMYFUNCTION("""COMPUTED_VALUE"""),44471.0)</f>
        <v>44471</v>
      </c>
      <c r="B1951" s="9">
        <f>IFERROR(__xludf.DUMMYFUNCTION("""COMPUTED_VALUE"""),1003564.0)</f>
        <v>1003564</v>
      </c>
      <c r="C1951" s="9">
        <f>IFERROR(__xludf.DUMMYFUNCTION("""COMPUTED_VALUE"""),129493.0)</f>
        <v>129493</v>
      </c>
      <c r="D1951" s="9"/>
      <c r="E1951" s="10" t="str">
        <f>IFERROR(__xludf.DUMMYFUNCTION("""COMPUTED_VALUE"""),"GREENRELAIS")</f>
        <v>GREENRELAIS</v>
      </c>
      <c r="F1951" s="10">
        <f>IFERROR(__xludf.DUMMYFUNCTION("""COMPUTED_VALUE"""),4.39)</f>
        <v>4.39</v>
      </c>
      <c r="G1951" s="9">
        <f>IFERROR(__xludf.DUMMYFUNCTION("""COMPUTED_VALUE"""),4.39)</f>
        <v>4.39</v>
      </c>
      <c r="H1951" s="9">
        <f>IFERROR(__xludf.DUMMYFUNCTION("""COMPUTED_VALUE"""),1.0)</f>
        <v>1</v>
      </c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</row>
    <row r="1952" ht="15.75" customHeight="1">
      <c r="A1952" s="11">
        <f>IFERROR(__xludf.DUMMYFUNCTION("""COMPUTED_VALUE"""),44471.0)</f>
        <v>44471</v>
      </c>
      <c r="B1952" s="9">
        <f>IFERROR(__xludf.DUMMYFUNCTION("""COMPUTED_VALUE"""),1003564.0)</f>
        <v>1003564</v>
      </c>
      <c r="C1952" s="9">
        <f>IFERROR(__xludf.DUMMYFUNCTION("""COMPUTED_VALUE"""),81194.0)</f>
        <v>81194</v>
      </c>
      <c r="D1952" s="9"/>
      <c r="E1952" s="10" t="str">
        <f>IFERROR(__xludf.DUMMYFUNCTION("""COMPUTED_VALUE"""),"GREENRELAIS")</f>
        <v>GREENRELAIS</v>
      </c>
      <c r="F1952" s="10">
        <f>IFERROR(__xludf.DUMMYFUNCTION("""COMPUTED_VALUE"""),3.11)</f>
        <v>3.11</v>
      </c>
      <c r="G1952" s="9">
        <f>IFERROR(__xludf.DUMMYFUNCTION("""COMPUTED_VALUE"""),3.11)</f>
        <v>3.11</v>
      </c>
      <c r="H1952" s="9">
        <f>IFERROR(__xludf.DUMMYFUNCTION("""COMPUTED_VALUE"""),1.0)</f>
        <v>1</v>
      </c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</row>
    <row r="1953" ht="15.75" customHeight="1">
      <c r="A1953" s="11">
        <f>IFERROR(__xludf.DUMMYFUNCTION("""COMPUTED_VALUE"""),44471.0)</f>
        <v>44471</v>
      </c>
      <c r="B1953" s="9">
        <f>IFERROR(__xludf.DUMMYFUNCTION("""COMPUTED_VALUE"""),1003564.0)</f>
        <v>1003564</v>
      </c>
      <c r="C1953" s="9">
        <f>IFERROR(__xludf.DUMMYFUNCTION("""COMPUTED_VALUE"""),90294.0)</f>
        <v>90294</v>
      </c>
      <c r="D1953" s="9"/>
      <c r="E1953" s="10" t="str">
        <f>IFERROR(__xludf.DUMMYFUNCTION("""COMPUTED_VALUE"""),"GREENRELAIS")</f>
        <v>GREENRELAIS</v>
      </c>
      <c r="F1953" s="10">
        <f>IFERROR(__xludf.DUMMYFUNCTION("""COMPUTED_VALUE"""),38.59)</f>
        <v>38.59</v>
      </c>
      <c r="G1953" s="9">
        <f>IFERROR(__xludf.DUMMYFUNCTION("""COMPUTED_VALUE"""),38.59)</f>
        <v>38.59</v>
      </c>
      <c r="H1953" s="9">
        <f>IFERROR(__xludf.DUMMYFUNCTION("""COMPUTED_VALUE"""),6.0)</f>
        <v>6</v>
      </c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</row>
    <row r="1954" ht="15.75" customHeight="1">
      <c r="A1954" s="11">
        <f>IFERROR(__xludf.DUMMYFUNCTION("""COMPUTED_VALUE"""),44471.0)</f>
        <v>44471</v>
      </c>
      <c r="B1954" s="9">
        <f>IFERROR(__xludf.DUMMYFUNCTION("""COMPUTED_VALUE"""),1003565.0)</f>
        <v>1003565</v>
      </c>
      <c r="C1954" s="9">
        <f>IFERROR(__xludf.DUMMYFUNCTION("""COMPUTED_VALUE"""),14401.0)</f>
        <v>14401</v>
      </c>
      <c r="D1954" s="9"/>
      <c r="E1954" s="9"/>
      <c r="F1954" s="9">
        <f>IFERROR(__xludf.DUMMYFUNCTION("""COMPUTED_VALUE"""),6.25)</f>
        <v>6.25</v>
      </c>
      <c r="G1954" s="9">
        <f>IFERROR(__xludf.DUMMYFUNCTION("""COMPUTED_VALUE"""),6.25)</f>
        <v>6.25</v>
      </c>
      <c r="H1954" s="9">
        <f>IFERROR(__xludf.DUMMYFUNCTION("""COMPUTED_VALUE"""),1.0)</f>
        <v>1</v>
      </c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</row>
    <row r="1955" ht="15.75" customHeight="1">
      <c r="A1955" s="11">
        <f>IFERROR(__xludf.DUMMYFUNCTION("""COMPUTED_VALUE"""),44471.0)</f>
        <v>44471</v>
      </c>
      <c r="B1955" s="9">
        <f>IFERROR(__xludf.DUMMYFUNCTION("""COMPUTED_VALUE"""),1003565.0)</f>
        <v>1003565</v>
      </c>
      <c r="C1955" s="9">
        <f>IFERROR(__xludf.DUMMYFUNCTION("""COMPUTED_VALUE"""),80091.0)</f>
        <v>80091</v>
      </c>
      <c r="D1955" s="9"/>
      <c r="E1955" s="9"/>
      <c r="F1955" s="9">
        <f>IFERROR(__xludf.DUMMYFUNCTION("""COMPUTED_VALUE"""),1.94)</f>
        <v>1.94</v>
      </c>
      <c r="G1955" s="9">
        <f>IFERROR(__xludf.DUMMYFUNCTION("""COMPUTED_VALUE"""),1.94)</f>
        <v>1.94</v>
      </c>
      <c r="H1955" s="9">
        <f>IFERROR(__xludf.DUMMYFUNCTION("""COMPUTED_VALUE"""),1.0)</f>
        <v>1</v>
      </c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</row>
    <row r="1956" ht="15.75" customHeight="1">
      <c r="A1956" s="11">
        <f>IFERROR(__xludf.DUMMYFUNCTION("""COMPUTED_VALUE"""),44471.0)</f>
        <v>44471</v>
      </c>
      <c r="B1956" s="9">
        <f>IFERROR(__xludf.DUMMYFUNCTION("""COMPUTED_VALUE"""),1003565.0)</f>
        <v>1003565</v>
      </c>
      <c r="C1956" s="9">
        <f>IFERROR(__xludf.DUMMYFUNCTION("""COMPUTED_VALUE"""),115763.0)</f>
        <v>115763</v>
      </c>
      <c r="D1956" s="10" t="str">
        <f>IFERROR(__xludf.DUMMYFUNCTION("""COMPUTED_VALUE"""),"Vive le bio")</f>
        <v>Vive le bio</v>
      </c>
      <c r="E1956" s="10"/>
      <c r="F1956" s="9">
        <f>IFERROR(__xludf.DUMMYFUNCTION("""COMPUTED_VALUE"""),2.13333333333333)</f>
        <v>2.133333333</v>
      </c>
      <c r="G1956" s="9">
        <f>IFERROR(__xludf.DUMMYFUNCTION("""COMPUTED_VALUE"""),1.92)</f>
        <v>1.92</v>
      </c>
      <c r="H1956" s="9">
        <f>IFERROR(__xludf.DUMMYFUNCTION("""COMPUTED_VALUE"""),1.0)</f>
        <v>1</v>
      </c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</row>
    <row r="1957" ht="15.75" customHeight="1">
      <c r="A1957" s="11">
        <f>IFERROR(__xludf.DUMMYFUNCTION("""COMPUTED_VALUE"""),44471.0)</f>
        <v>44471</v>
      </c>
      <c r="B1957" s="9">
        <f>IFERROR(__xludf.DUMMYFUNCTION("""COMPUTED_VALUE"""),1003565.0)</f>
        <v>1003565</v>
      </c>
      <c r="C1957" s="9">
        <f>IFERROR(__xludf.DUMMYFUNCTION("""COMPUTED_VALUE"""),118166.0)</f>
        <v>118166</v>
      </c>
      <c r="D1957" s="9"/>
      <c r="E1957" s="9"/>
      <c r="F1957" s="9">
        <f>IFERROR(__xludf.DUMMYFUNCTION("""COMPUTED_VALUE"""),3.64)</f>
        <v>3.64</v>
      </c>
      <c r="G1957" s="9">
        <f>IFERROR(__xludf.DUMMYFUNCTION("""COMPUTED_VALUE"""),3.64)</f>
        <v>3.64</v>
      </c>
      <c r="H1957" s="9">
        <f>IFERROR(__xludf.DUMMYFUNCTION("""COMPUTED_VALUE"""),1.0)</f>
        <v>1</v>
      </c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</row>
    <row r="1958" ht="15.75" customHeight="1">
      <c r="A1958" s="11">
        <f>IFERROR(__xludf.DUMMYFUNCTION("""COMPUTED_VALUE"""),44471.0)</f>
        <v>44471</v>
      </c>
      <c r="B1958" s="9">
        <f>IFERROR(__xludf.DUMMYFUNCTION("""COMPUTED_VALUE"""),1003565.0)</f>
        <v>1003565</v>
      </c>
      <c r="C1958" s="9">
        <f>IFERROR(__xludf.DUMMYFUNCTION("""COMPUTED_VALUE"""),9650.0)</f>
        <v>9650</v>
      </c>
      <c r="D1958" s="9"/>
      <c r="E1958" s="9"/>
      <c r="F1958" s="9">
        <f>IFERROR(__xludf.DUMMYFUNCTION("""COMPUTED_VALUE"""),2.52)</f>
        <v>2.52</v>
      </c>
      <c r="G1958" s="9">
        <f>IFERROR(__xludf.DUMMYFUNCTION("""COMPUTED_VALUE"""),2.52)</f>
        <v>2.52</v>
      </c>
      <c r="H1958" s="9">
        <f>IFERROR(__xludf.DUMMYFUNCTION("""COMPUTED_VALUE"""),1.0)</f>
        <v>1</v>
      </c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</row>
    <row r="1959" ht="15.75" customHeight="1">
      <c r="A1959" s="11">
        <f>IFERROR(__xludf.DUMMYFUNCTION("""COMPUTED_VALUE"""),44471.0)</f>
        <v>44471</v>
      </c>
      <c r="B1959" s="9">
        <f>IFERROR(__xludf.DUMMYFUNCTION("""COMPUTED_VALUE"""),1003565.0)</f>
        <v>1003565</v>
      </c>
      <c r="C1959" s="9">
        <f>IFERROR(__xludf.DUMMYFUNCTION("""COMPUTED_VALUE"""),80411.0)</f>
        <v>80411</v>
      </c>
      <c r="D1959" s="9"/>
      <c r="E1959" s="9"/>
      <c r="F1959" s="9">
        <f>IFERROR(__xludf.DUMMYFUNCTION("""COMPUTED_VALUE"""),1.51)</f>
        <v>1.51</v>
      </c>
      <c r="G1959" s="9">
        <f>IFERROR(__xludf.DUMMYFUNCTION("""COMPUTED_VALUE"""),1.51)</f>
        <v>1.51</v>
      </c>
      <c r="H1959" s="9">
        <f>IFERROR(__xludf.DUMMYFUNCTION("""COMPUTED_VALUE"""),1.0)</f>
        <v>1</v>
      </c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</row>
    <row r="1960" ht="15.75" customHeight="1">
      <c r="A1960" s="11">
        <f>IFERROR(__xludf.DUMMYFUNCTION("""COMPUTED_VALUE"""),44471.0)</f>
        <v>44471</v>
      </c>
      <c r="B1960" s="9">
        <f>IFERROR(__xludf.DUMMYFUNCTION("""COMPUTED_VALUE"""),1003565.0)</f>
        <v>1003565</v>
      </c>
      <c r="C1960" s="9">
        <f>IFERROR(__xludf.DUMMYFUNCTION("""COMPUTED_VALUE"""),118305.0)</f>
        <v>118305</v>
      </c>
      <c r="D1960" s="9"/>
      <c r="E1960" s="9"/>
      <c r="F1960" s="9">
        <f>IFERROR(__xludf.DUMMYFUNCTION("""COMPUTED_VALUE"""),3.15)</f>
        <v>3.15</v>
      </c>
      <c r="G1960" s="9">
        <f>IFERROR(__xludf.DUMMYFUNCTION("""COMPUTED_VALUE"""),3.15)</f>
        <v>3.15</v>
      </c>
      <c r="H1960" s="9">
        <f>IFERROR(__xludf.DUMMYFUNCTION("""COMPUTED_VALUE"""),1.0)</f>
        <v>1</v>
      </c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</row>
    <row r="1961" ht="15.75" customHeight="1">
      <c r="A1961" s="11">
        <f>IFERROR(__xludf.DUMMYFUNCTION("""COMPUTED_VALUE"""),44471.0)</f>
        <v>44471</v>
      </c>
      <c r="B1961" s="9">
        <f>IFERROR(__xludf.DUMMYFUNCTION("""COMPUTED_VALUE"""),1003565.0)</f>
        <v>1003565</v>
      </c>
      <c r="C1961" s="9">
        <f>IFERROR(__xludf.DUMMYFUNCTION("""COMPUTED_VALUE"""),100395.0)</f>
        <v>100395</v>
      </c>
      <c r="D1961" s="10" t="str">
        <f>IFERROR(__xludf.DUMMYFUNCTION("""COMPUTED_VALUE"""),"Vive le bio")</f>
        <v>Vive le bio</v>
      </c>
      <c r="E1961" s="10"/>
      <c r="F1961" s="9">
        <f>IFERROR(__xludf.DUMMYFUNCTION("""COMPUTED_VALUE"""),2.32222222222222)</f>
        <v>2.322222222</v>
      </c>
      <c r="G1961" s="9">
        <f>IFERROR(__xludf.DUMMYFUNCTION("""COMPUTED_VALUE"""),2.09)</f>
        <v>2.09</v>
      </c>
      <c r="H1961" s="9">
        <f>IFERROR(__xludf.DUMMYFUNCTION("""COMPUTED_VALUE"""),1.0)</f>
        <v>1</v>
      </c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</row>
    <row r="1962" ht="15.75" customHeight="1">
      <c r="A1962" s="11">
        <f>IFERROR(__xludf.DUMMYFUNCTION("""COMPUTED_VALUE"""),44471.0)</f>
        <v>44471</v>
      </c>
      <c r="B1962" s="9">
        <f>IFERROR(__xludf.DUMMYFUNCTION("""COMPUTED_VALUE"""),1003565.0)</f>
        <v>1003565</v>
      </c>
      <c r="C1962" s="9">
        <f>IFERROR(__xludf.DUMMYFUNCTION("""COMPUTED_VALUE"""),81724.0)</f>
        <v>81724</v>
      </c>
      <c r="D1962" s="9"/>
      <c r="E1962" s="9"/>
      <c r="F1962" s="9">
        <f>IFERROR(__xludf.DUMMYFUNCTION("""COMPUTED_VALUE"""),4.1)</f>
        <v>4.1</v>
      </c>
      <c r="G1962" s="9">
        <f>IFERROR(__xludf.DUMMYFUNCTION("""COMPUTED_VALUE"""),4.1)</f>
        <v>4.1</v>
      </c>
      <c r="H1962" s="9">
        <f>IFERROR(__xludf.DUMMYFUNCTION("""COMPUTED_VALUE"""),1.0)</f>
        <v>1</v>
      </c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</row>
    <row r="1963" ht="15.75" customHeight="1">
      <c r="A1963" s="11">
        <f>IFERROR(__xludf.DUMMYFUNCTION("""COMPUTED_VALUE"""),44471.0)</f>
        <v>44471</v>
      </c>
      <c r="B1963" s="9">
        <f>IFERROR(__xludf.DUMMYFUNCTION("""COMPUTED_VALUE"""),1003565.0)</f>
        <v>1003565</v>
      </c>
      <c r="C1963" s="9">
        <f>IFERROR(__xludf.DUMMYFUNCTION("""COMPUTED_VALUE"""),47380.0)</f>
        <v>47380</v>
      </c>
      <c r="D1963" s="9"/>
      <c r="E1963" s="9"/>
      <c r="F1963" s="9">
        <f>IFERROR(__xludf.DUMMYFUNCTION("""COMPUTED_VALUE"""),2.2)</f>
        <v>2.2</v>
      </c>
      <c r="G1963" s="9">
        <f>IFERROR(__xludf.DUMMYFUNCTION("""COMPUTED_VALUE"""),2.2)</f>
        <v>2.2</v>
      </c>
      <c r="H1963" s="9">
        <f>IFERROR(__xludf.DUMMYFUNCTION("""COMPUTED_VALUE"""),1.0)</f>
        <v>1</v>
      </c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</row>
    <row r="1964" ht="15.75" customHeight="1">
      <c r="A1964" s="11">
        <f>IFERROR(__xludf.DUMMYFUNCTION("""COMPUTED_VALUE"""),44471.0)</f>
        <v>44471</v>
      </c>
      <c r="B1964" s="9">
        <f>IFERROR(__xludf.DUMMYFUNCTION("""COMPUTED_VALUE"""),1003565.0)</f>
        <v>1003565</v>
      </c>
      <c r="C1964" s="9">
        <f>IFERROR(__xludf.DUMMYFUNCTION("""COMPUTED_VALUE"""),117681.0)</f>
        <v>117681</v>
      </c>
      <c r="D1964" s="9"/>
      <c r="E1964" s="9"/>
      <c r="F1964" s="9">
        <f>IFERROR(__xludf.DUMMYFUNCTION("""COMPUTED_VALUE"""),12.57)</f>
        <v>12.57</v>
      </c>
      <c r="G1964" s="9">
        <f>IFERROR(__xludf.DUMMYFUNCTION("""COMPUTED_VALUE"""),12.57)</f>
        <v>12.57</v>
      </c>
      <c r="H1964" s="9">
        <f>IFERROR(__xludf.DUMMYFUNCTION("""COMPUTED_VALUE"""),1.0)</f>
        <v>1</v>
      </c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</row>
    <row r="1965" ht="15.75" customHeight="1">
      <c r="A1965" s="11">
        <f>IFERROR(__xludf.DUMMYFUNCTION("""COMPUTED_VALUE"""),44471.0)</f>
        <v>44471</v>
      </c>
      <c r="B1965" s="9">
        <f>IFERROR(__xludf.DUMMYFUNCTION("""COMPUTED_VALUE"""),1003565.0)</f>
        <v>1003565</v>
      </c>
      <c r="C1965" s="9">
        <f>IFERROR(__xludf.DUMMYFUNCTION("""COMPUTED_VALUE"""),89588.0)</f>
        <v>89588</v>
      </c>
      <c r="D1965" s="9"/>
      <c r="E1965" s="9"/>
      <c r="F1965" s="9">
        <f>IFERROR(__xludf.DUMMYFUNCTION("""COMPUTED_VALUE"""),3.09)</f>
        <v>3.09</v>
      </c>
      <c r="G1965" s="9">
        <f>IFERROR(__xludf.DUMMYFUNCTION("""COMPUTED_VALUE"""),3.09)</f>
        <v>3.09</v>
      </c>
      <c r="H1965" s="9">
        <f>IFERROR(__xludf.DUMMYFUNCTION("""COMPUTED_VALUE"""),1.0)</f>
        <v>1</v>
      </c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</row>
    <row r="1966" ht="15.75" customHeight="1">
      <c r="A1966" s="11">
        <f>IFERROR(__xludf.DUMMYFUNCTION("""COMPUTED_VALUE"""),44471.0)</f>
        <v>44471</v>
      </c>
      <c r="B1966" s="9">
        <f>IFERROR(__xludf.DUMMYFUNCTION("""COMPUTED_VALUE"""),1003565.0)</f>
        <v>1003565</v>
      </c>
      <c r="C1966" s="9">
        <f>IFERROR(__xludf.DUMMYFUNCTION("""COMPUTED_VALUE"""),60380.0)</f>
        <v>60380</v>
      </c>
      <c r="D1966" s="10" t="str">
        <f>IFERROR(__xludf.DUMMYFUNCTION("""COMPUTED_VALUE"""),"Vive le bio")</f>
        <v>Vive le bio</v>
      </c>
      <c r="E1966" s="10"/>
      <c r="F1966" s="9">
        <f>IFERROR(__xludf.DUMMYFUNCTION("""COMPUTED_VALUE"""),2.17777777777777)</f>
        <v>2.177777778</v>
      </c>
      <c r="G1966" s="9">
        <f>IFERROR(__xludf.DUMMYFUNCTION("""COMPUTED_VALUE"""),1.96)</f>
        <v>1.96</v>
      </c>
      <c r="H1966" s="9">
        <f>IFERROR(__xludf.DUMMYFUNCTION("""COMPUTED_VALUE"""),1.0)</f>
        <v>1</v>
      </c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</row>
    <row r="1967" ht="15.75" customHeight="1">
      <c r="A1967" s="11">
        <f>IFERROR(__xludf.DUMMYFUNCTION("""COMPUTED_VALUE"""),44471.0)</f>
        <v>44471</v>
      </c>
      <c r="B1967" s="9">
        <f>IFERROR(__xludf.DUMMYFUNCTION("""COMPUTED_VALUE"""),1003565.0)</f>
        <v>1003565</v>
      </c>
      <c r="C1967" s="9">
        <f>IFERROR(__xludf.DUMMYFUNCTION("""COMPUTED_VALUE"""),84211.0)</f>
        <v>84211</v>
      </c>
      <c r="D1967" s="9"/>
      <c r="E1967" s="9"/>
      <c r="F1967" s="9">
        <f>IFERROR(__xludf.DUMMYFUNCTION("""COMPUTED_VALUE"""),4.24)</f>
        <v>4.24</v>
      </c>
      <c r="G1967" s="9">
        <f>IFERROR(__xludf.DUMMYFUNCTION("""COMPUTED_VALUE"""),4.24)</f>
        <v>4.24</v>
      </c>
      <c r="H1967" s="9">
        <f>IFERROR(__xludf.DUMMYFUNCTION("""COMPUTED_VALUE"""),1.0)</f>
        <v>1</v>
      </c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</row>
    <row r="1968" ht="15.75" customHeight="1">
      <c r="A1968" s="11">
        <f>IFERROR(__xludf.DUMMYFUNCTION("""COMPUTED_VALUE"""),44471.0)</f>
        <v>44471</v>
      </c>
      <c r="B1968" s="9">
        <f>IFERROR(__xludf.DUMMYFUNCTION("""COMPUTED_VALUE"""),1003565.0)</f>
        <v>1003565</v>
      </c>
      <c r="C1968" s="9">
        <f>IFERROR(__xludf.DUMMYFUNCTION("""COMPUTED_VALUE"""),121475.0)</f>
        <v>121475</v>
      </c>
      <c r="D1968" s="9"/>
      <c r="E1968" s="9"/>
      <c r="F1968" s="9">
        <f>IFERROR(__xludf.DUMMYFUNCTION("""COMPUTED_VALUE"""),1.65)</f>
        <v>1.65</v>
      </c>
      <c r="G1968" s="9">
        <f>IFERROR(__xludf.DUMMYFUNCTION("""COMPUTED_VALUE"""),1.65)</f>
        <v>1.65</v>
      </c>
      <c r="H1968" s="9">
        <f>IFERROR(__xludf.DUMMYFUNCTION("""COMPUTED_VALUE"""),2.0)</f>
        <v>2</v>
      </c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</row>
    <row r="1969" ht="15.75" customHeight="1">
      <c r="A1969" s="11">
        <f>IFERROR(__xludf.DUMMYFUNCTION("""COMPUTED_VALUE"""),44471.0)</f>
        <v>44471</v>
      </c>
      <c r="B1969" s="9">
        <f>IFERROR(__xludf.DUMMYFUNCTION("""COMPUTED_VALUE"""),1003565.0)</f>
        <v>1003565</v>
      </c>
      <c r="C1969" s="9">
        <f>IFERROR(__xludf.DUMMYFUNCTION("""COMPUTED_VALUE"""),43944.0)</f>
        <v>43944</v>
      </c>
      <c r="D1969" s="9"/>
      <c r="E1969" s="9"/>
      <c r="F1969" s="9">
        <f>IFERROR(__xludf.DUMMYFUNCTION("""COMPUTED_VALUE"""),49.12)</f>
        <v>49.12</v>
      </c>
      <c r="G1969" s="9">
        <f>IFERROR(__xludf.DUMMYFUNCTION("""COMPUTED_VALUE"""),49.12)</f>
        <v>49.12</v>
      </c>
      <c r="H1969" s="9">
        <f>IFERROR(__xludf.DUMMYFUNCTION("""COMPUTED_VALUE"""),3.0)</f>
        <v>3</v>
      </c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</row>
    <row r="1970" ht="15.75" customHeight="1">
      <c r="A1970" s="11">
        <f>IFERROR(__xludf.DUMMYFUNCTION("""COMPUTED_VALUE"""),44471.0)</f>
        <v>44471</v>
      </c>
      <c r="B1970" s="9">
        <f>IFERROR(__xludf.DUMMYFUNCTION("""COMPUTED_VALUE"""),1003565.0)</f>
        <v>1003565</v>
      </c>
      <c r="C1970" s="9">
        <f>IFERROR(__xludf.DUMMYFUNCTION("""COMPUTED_VALUE"""),84202.0)</f>
        <v>84202</v>
      </c>
      <c r="D1970" s="9"/>
      <c r="E1970" s="9"/>
      <c r="F1970" s="9">
        <f>IFERROR(__xludf.DUMMYFUNCTION("""COMPUTED_VALUE"""),10.62)</f>
        <v>10.62</v>
      </c>
      <c r="G1970" s="9">
        <f>IFERROR(__xludf.DUMMYFUNCTION("""COMPUTED_VALUE"""),10.62)</f>
        <v>10.62</v>
      </c>
      <c r="H1970" s="9">
        <f>IFERROR(__xludf.DUMMYFUNCTION("""COMPUTED_VALUE"""),4.0)</f>
        <v>4</v>
      </c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</row>
    <row r="1971" ht="15.75" customHeight="1">
      <c r="A1971" s="11">
        <f>IFERROR(__xludf.DUMMYFUNCTION("""COMPUTED_VALUE"""),44471.0)</f>
        <v>44471</v>
      </c>
      <c r="B1971" s="9">
        <f>IFERROR(__xludf.DUMMYFUNCTION("""COMPUTED_VALUE"""),1003565.0)</f>
        <v>1003565</v>
      </c>
      <c r="C1971" s="9">
        <f>IFERROR(__xludf.DUMMYFUNCTION("""COMPUTED_VALUE"""),45879.0)</f>
        <v>45879</v>
      </c>
      <c r="D1971" s="9"/>
      <c r="E1971" s="9"/>
      <c r="F1971" s="9">
        <f>IFERROR(__xludf.DUMMYFUNCTION("""COMPUTED_VALUE"""),11.55)</f>
        <v>11.55</v>
      </c>
      <c r="G1971" s="9">
        <f>IFERROR(__xludf.DUMMYFUNCTION("""COMPUTED_VALUE"""),11.55)</f>
        <v>11.55</v>
      </c>
      <c r="H1971" s="9">
        <f>IFERROR(__xludf.DUMMYFUNCTION("""COMPUTED_VALUE"""),4.0)</f>
        <v>4</v>
      </c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</row>
    <row r="1972" ht="15.75" customHeight="1">
      <c r="A1972" s="11">
        <f>IFERROR(__xludf.DUMMYFUNCTION("""COMPUTED_VALUE"""),44471.0)</f>
        <v>44471</v>
      </c>
      <c r="B1972" s="9">
        <f>IFERROR(__xludf.DUMMYFUNCTION("""COMPUTED_VALUE"""),1003566.0)</f>
        <v>1003566</v>
      </c>
      <c r="C1972" s="9">
        <f>IFERROR(__xludf.DUMMYFUNCTION("""COMPUTED_VALUE"""),199951.0)</f>
        <v>199951</v>
      </c>
      <c r="D1972" s="9"/>
      <c r="E1972" s="9"/>
      <c r="F1972" s="9">
        <f>IFERROR(__xludf.DUMMYFUNCTION("""COMPUTED_VALUE"""),26.16)</f>
        <v>26.16</v>
      </c>
      <c r="G1972" s="9">
        <f>IFERROR(__xludf.DUMMYFUNCTION("""COMPUTED_VALUE"""),26.16)</f>
        <v>26.16</v>
      </c>
      <c r="H1972" s="9">
        <f>IFERROR(__xludf.DUMMYFUNCTION("""COMPUTED_VALUE"""),2.0)</f>
        <v>2</v>
      </c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</row>
    <row r="1973" ht="15.75" customHeight="1">
      <c r="A1973" s="11">
        <f>IFERROR(__xludf.DUMMYFUNCTION("""COMPUTED_VALUE"""),44471.0)</f>
        <v>44471</v>
      </c>
      <c r="B1973" s="9">
        <f>IFERROR(__xludf.DUMMYFUNCTION("""COMPUTED_VALUE"""),1003566.0)</f>
        <v>1003566</v>
      </c>
      <c r="C1973" s="9">
        <f>IFERROR(__xludf.DUMMYFUNCTION("""COMPUTED_VALUE"""),199950.0)</f>
        <v>199950</v>
      </c>
      <c r="D1973" s="9"/>
      <c r="E1973" s="9"/>
      <c r="F1973" s="9">
        <f>IFERROR(__xludf.DUMMYFUNCTION("""COMPUTED_VALUE"""),157.33)</f>
        <v>157.33</v>
      </c>
      <c r="G1973" s="9">
        <f>IFERROR(__xludf.DUMMYFUNCTION("""COMPUTED_VALUE"""),157.33)</f>
        <v>157.33</v>
      </c>
      <c r="H1973" s="9">
        <f>IFERROR(__xludf.DUMMYFUNCTION("""COMPUTED_VALUE"""),2.0)</f>
        <v>2</v>
      </c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</row>
    <row r="1974" ht="15.75" customHeight="1">
      <c r="A1974" s="11">
        <f>IFERROR(__xludf.DUMMYFUNCTION("""COMPUTED_VALUE"""),44471.0)</f>
        <v>44471</v>
      </c>
      <c r="B1974" s="9">
        <f>IFERROR(__xludf.DUMMYFUNCTION("""COMPUTED_VALUE"""),1003567.0)</f>
        <v>1003567</v>
      </c>
      <c r="C1974" s="9">
        <f>IFERROR(__xludf.DUMMYFUNCTION("""COMPUTED_VALUE"""),77611.0)</f>
        <v>77611</v>
      </c>
      <c r="D1974" s="9"/>
      <c r="E1974" s="9"/>
      <c r="F1974" s="9">
        <f>IFERROR(__xludf.DUMMYFUNCTION("""COMPUTED_VALUE"""),3.25)</f>
        <v>3.25</v>
      </c>
      <c r="G1974" s="9">
        <f>IFERROR(__xludf.DUMMYFUNCTION("""COMPUTED_VALUE"""),3.25)</f>
        <v>3.25</v>
      </c>
      <c r="H1974" s="9">
        <f>IFERROR(__xludf.DUMMYFUNCTION("""COMPUTED_VALUE"""),1.0)</f>
        <v>1</v>
      </c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</row>
    <row r="1975" ht="15.75" customHeight="1">
      <c r="A1975" s="11">
        <f>IFERROR(__xludf.DUMMYFUNCTION("""COMPUTED_VALUE"""),44471.0)</f>
        <v>44471</v>
      </c>
      <c r="B1975" s="9">
        <f>IFERROR(__xludf.DUMMYFUNCTION("""COMPUTED_VALUE"""),1003567.0)</f>
        <v>1003567</v>
      </c>
      <c r="C1975" s="9">
        <f>IFERROR(__xludf.DUMMYFUNCTION("""COMPUTED_VALUE"""),103647.0)</f>
        <v>103647</v>
      </c>
      <c r="D1975" s="9"/>
      <c r="E1975" s="9"/>
      <c r="F1975" s="9">
        <f>IFERROR(__xludf.DUMMYFUNCTION("""COMPUTED_VALUE"""),1.25)</f>
        <v>1.25</v>
      </c>
      <c r="G1975" s="9">
        <f>IFERROR(__xludf.DUMMYFUNCTION("""COMPUTED_VALUE"""),1.25)</f>
        <v>1.25</v>
      </c>
      <c r="H1975" s="9">
        <f>IFERROR(__xludf.DUMMYFUNCTION("""COMPUTED_VALUE"""),1.0)</f>
        <v>1</v>
      </c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</row>
    <row r="1976" ht="15.75" customHeight="1">
      <c r="A1976" s="11">
        <f>IFERROR(__xludf.DUMMYFUNCTION("""COMPUTED_VALUE"""),44471.0)</f>
        <v>44471</v>
      </c>
      <c r="B1976" s="9">
        <f>IFERROR(__xludf.DUMMYFUNCTION("""COMPUTED_VALUE"""),1003567.0)</f>
        <v>1003567</v>
      </c>
      <c r="C1976" s="9">
        <f>IFERROR(__xludf.DUMMYFUNCTION("""COMPUTED_VALUE"""),118150.0)</f>
        <v>118150</v>
      </c>
      <c r="D1976" s="9"/>
      <c r="E1976" s="9"/>
      <c r="F1976" s="9">
        <f>IFERROR(__xludf.DUMMYFUNCTION("""COMPUTED_VALUE"""),1.69)</f>
        <v>1.69</v>
      </c>
      <c r="G1976" s="9">
        <f>IFERROR(__xludf.DUMMYFUNCTION("""COMPUTED_VALUE"""),1.69)</f>
        <v>1.69</v>
      </c>
      <c r="H1976" s="9">
        <f>IFERROR(__xludf.DUMMYFUNCTION("""COMPUTED_VALUE"""),1.0)</f>
        <v>1</v>
      </c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</row>
    <row r="1977" ht="15.75" customHeight="1">
      <c r="A1977" s="11">
        <f>IFERROR(__xludf.DUMMYFUNCTION("""COMPUTED_VALUE"""),44471.0)</f>
        <v>44471</v>
      </c>
      <c r="B1977" s="9">
        <f>IFERROR(__xludf.DUMMYFUNCTION("""COMPUTED_VALUE"""),1003567.0)</f>
        <v>1003567</v>
      </c>
      <c r="C1977" s="9">
        <f>IFERROR(__xludf.DUMMYFUNCTION("""COMPUTED_VALUE"""),80185.0)</f>
        <v>80185</v>
      </c>
      <c r="D1977" s="10" t="str">
        <f>IFERROR(__xludf.DUMMYFUNCTION("""COMPUTED_VALUE"""),"Vive le bio")</f>
        <v>Vive le bio</v>
      </c>
      <c r="E1977" s="10"/>
      <c r="F1977" s="9">
        <f>IFERROR(__xludf.DUMMYFUNCTION("""COMPUTED_VALUE"""),2.54736842105263)</f>
        <v>2.547368421</v>
      </c>
      <c r="G1977" s="9">
        <f>IFERROR(__xludf.DUMMYFUNCTION("""COMPUTED_VALUE"""),2.42)</f>
        <v>2.42</v>
      </c>
      <c r="H1977" s="9">
        <f>IFERROR(__xludf.DUMMYFUNCTION("""COMPUTED_VALUE"""),1.0)</f>
        <v>1</v>
      </c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</row>
    <row r="1978" ht="15.75" customHeight="1">
      <c r="A1978" s="11">
        <f>IFERROR(__xludf.DUMMYFUNCTION("""COMPUTED_VALUE"""),44471.0)</f>
        <v>44471</v>
      </c>
      <c r="B1978" s="9">
        <f>IFERROR(__xludf.DUMMYFUNCTION("""COMPUTED_VALUE"""),1003567.0)</f>
        <v>1003567</v>
      </c>
      <c r="C1978" s="9">
        <f>IFERROR(__xludf.DUMMYFUNCTION("""COMPUTED_VALUE"""),81485.0)</f>
        <v>81485</v>
      </c>
      <c r="D1978" s="10" t="str">
        <f>IFERROR(__xludf.DUMMYFUNCTION("""COMPUTED_VALUE"""),"Offre speciale")</f>
        <v>Offre speciale</v>
      </c>
      <c r="E1978" s="10"/>
      <c r="F1978" s="9">
        <f>IFERROR(__xludf.DUMMYFUNCTION("""COMPUTED_VALUE"""),2.25882352941176)</f>
        <v>2.258823529</v>
      </c>
      <c r="G1978" s="9">
        <f>IFERROR(__xludf.DUMMYFUNCTION("""COMPUTED_VALUE"""),1.92)</f>
        <v>1.92</v>
      </c>
      <c r="H1978" s="9">
        <f>IFERROR(__xludf.DUMMYFUNCTION("""COMPUTED_VALUE"""),1.0)</f>
        <v>1</v>
      </c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</row>
    <row r="1979" ht="15.75" customHeight="1">
      <c r="A1979" s="11">
        <f>IFERROR(__xludf.DUMMYFUNCTION("""COMPUTED_VALUE"""),44471.0)</f>
        <v>44471</v>
      </c>
      <c r="B1979" s="9">
        <f>IFERROR(__xludf.DUMMYFUNCTION("""COMPUTED_VALUE"""),1003567.0)</f>
        <v>1003567</v>
      </c>
      <c r="C1979" s="9">
        <f>IFERROR(__xludf.DUMMYFUNCTION("""COMPUTED_VALUE"""),79819.0)</f>
        <v>79819</v>
      </c>
      <c r="D1979" s="9"/>
      <c r="E1979" s="9"/>
      <c r="F1979" s="9">
        <f>IFERROR(__xludf.DUMMYFUNCTION("""COMPUTED_VALUE"""),5.77)</f>
        <v>5.77</v>
      </c>
      <c r="G1979" s="9">
        <f>IFERROR(__xludf.DUMMYFUNCTION("""COMPUTED_VALUE"""),5.77)</f>
        <v>5.77</v>
      </c>
      <c r="H1979" s="9">
        <f>IFERROR(__xludf.DUMMYFUNCTION("""COMPUTED_VALUE"""),1.0)</f>
        <v>1</v>
      </c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</row>
    <row r="1980" ht="15.75" customHeight="1">
      <c r="A1980" s="11">
        <f>IFERROR(__xludf.DUMMYFUNCTION("""COMPUTED_VALUE"""),44471.0)</f>
        <v>44471</v>
      </c>
      <c r="B1980" s="9">
        <f>IFERROR(__xludf.DUMMYFUNCTION("""COMPUTED_VALUE"""),1003567.0)</f>
        <v>1003567</v>
      </c>
      <c r="C1980" s="9">
        <f>IFERROR(__xludf.DUMMYFUNCTION("""COMPUTED_VALUE"""),119288.0)</f>
        <v>119288</v>
      </c>
      <c r="D1980" s="10" t="str">
        <f>IFERROR(__xludf.DUMMYFUNCTION("""COMPUTED_VALUE"""),"dlc courte")</f>
        <v>dlc courte</v>
      </c>
      <c r="E1980" s="10"/>
      <c r="F1980" s="9">
        <f>IFERROR(__xludf.DUMMYFUNCTION("""COMPUTED_VALUE"""),3.14)</f>
        <v>3.14</v>
      </c>
      <c r="G1980" s="9">
        <f>IFERROR(__xludf.DUMMYFUNCTION("""COMPUTED_VALUE"""),1.57)</f>
        <v>1.57</v>
      </c>
      <c r="H1980" s="9">
        <f>IFERROR(__xludf.DUMMYFUNCTION("""COMPUTED_VALUE"""),1.0)</f>
        <v>1</v>
      </c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</row>
    <row r="1981" ht="15.75" customHeight="1">
      <c r="A1981" s="11">
        <f>IFERROR(__xludf.DUMMYFUNCTION("""COMPUTED_VALUE"""),44471.0)</f>
        <v>44471</v>
      </c>
      <c r="B1981" s="9">
        <f>IFERROR(__xludf.DUMMYFUNCTION("""COMPUTED_VALUE"""),1003567.0)</f>
        <v>1003567</v>
      </c>
      <c r="C1981" s="9">
        <f>IFERROR(__xludf.DUMMYFUNCTION("""COMPUTED_VALUE"""),164928.0)</f>
        <v>164928</v>
      </c>
      <c r="D1981" s="9"/>
      <c r="E1981" s="9"/>
      <c r="F1981" s="9">
        <f>IFERROR(__xludf.DUMMYFUNCTION("""COMPUTED_VALUE"""),1.57)</f>
        <v>1.57</v>
      </c>
      <c r="G1981" s="9">
        <f>IFERROR(__xludf.DUMMYFUNCTION("""COMPUTED_VALUE"""),1.57)</f>
        <v>1.57</v>
      </c>
      <c r="H1981" s="9">
        <f>IFERROR(__xludf.DUMMYFUNCTION("""COMPUTED_VALUE"""),1.0)</f>
        <v>1</v>
      </c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</row>
    <row r="1982" ht="15.75" customHeight="1">
      <c r="A1982" s="11">
        <f>IFERROR(__xludf.DUMMYFUNCTION("""COMPUTED_VALUE"""),44471.0)</f>
        <v>44471</v>
      </c>
      <c r="B1982" s="9">
        <f>IFERROR(__xludf.DUMMYFUNCTION("""COMPUTED_VALUE"""),1003567.0)</f>
        <v>1003567</v>
      </c>
      <c r="C1982" s="9">
        <f>IFERROR(__xludf.DUMMYFUNCTION("""COMPUTED_VALUE"""),158482.0)</f>
        <v>158482</v>
      </c>
      <c r="D1982" s="9"/>
      <c r="E1982" s="9"/>
      <c r="F1982" s="9">
        <f>IFERROR(__xludf.DUMMYFUNCTION("""COMPUTED_VALUE"""),3.02)</f>
        <v>3.02</v>
      </c>
      <c r="G1982" s="9">
        <f>IFERROR(__xludf.DUMMYFUNCTION("""COMPUTED_VALUE"""),3.02)</f>
        <v>3.02</v>
      </c>
      <c r="H1982" s="9">
        <f>IFERROR(__xludf.DUMMYFUNCTION("""COMPUTED_VALUE"""),1.0)</f>
        <v>1</v>
      </c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</row>
    <row r="1983" ht="15.75" customHeight="1">
      <c r="A1983" s="11">
        <f>IFERROR(__xludf.DUMMYFUNCTION("""COMPUTED_VALUE"""),44471.0)</f>
        <v>44471</v>
      </c>
      <c r="B1983" s="9">
        <f>IFERROR(__xludf.DUMMYFUNCTION("""COMPUTED_VALUE"""),1003567.0)</f>
        <v>1003567</v>
      </c>
      <c r="C1983" s="9">
        <f>IFERROR(__xludf.DUMMYFUNCTION("""COMPUTED_VALUE"""),101323.0)</f>
        <v>101323</v>
      </c>
      <c r="D1983" s="10" t="str">
        <f>IFERROR(__xludf.DUMMYFUNCTION("""COMPUTED_VALUE"""),"Carryboo soin bebe 2021")</f>
        <v>Carryboo soin bebe 2021</v>
      </c>
      <c r="E1983" s="10"/>
      <c r="F1983" s="9">
        <f>IFERROR(__xludf.DUMMYFUNCTION("""COMPUTED_VALUE"""),1.01333333333333)</f>
        <v>1.013333333</v>
      </c>
      <c r="G1983" s="9">
        <f>IFERROR(__xludf.DUMMYFUNCTION("""COMPUTED_VALUE"""),0.76)</f>
        <v>0.76</v>
      </c>
      <c r="H1983" s="9">
        <f>IFERROR(__xludf.DUMMYFUNCTION("""COMPUTED_VALUE"""),1.0)</f>
        <v>1</v>
      </c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</row>
    <row r="1984" ht="15.75" customHeight="1">
      <c r="A1984" s="11">
        <f>IFERROR(__xludf.DUMMYFUNCTION("""COMPUTED_VALUE"""),44471.0)</f>
        <v>44471</v>
      </c>
      <c r="B1984" s="9">
        <f>IFERROR(__xludf.DUMMYFUNCTION("""COMPUTED_VALUE"""),1003567.0)</f>
        <v>1003567</v>
      </c>
      <c r="C1984" s="9">
        <f>IFERROR(__xludf.DUMMYFUNCTION("""COMPUTED_VALUE"""),121495.0)</f>
        <v>121495</v>
      </c>
      <c r="D1984" s="9"/>
      <c r="E1984" s="9"/>
      <c r="F1984" s="9">
        <f>IFERROR(__xludf.DUMMYFUNCTION("""COMPUTED_VALUE"""),2.42)</f>
        <v>2.42</v>
      </c>
      <c r="G1984" s="9">
        <f>IFERROR(__xludf.DUMMYFUNCTION("""COMPUTED_VALUE"""),2.42)</f>
        <v>2.42</v>
      </c>
      <c r="H1984" s="9">
        <f>IFERROR(__xludf.DUMMYFUNCTION("""COMPUTED_VALUE"""),1.0)</f>
        <v>1</v>
      </c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</row>
    <row r="1985" ht="15.75" customHeight="1">
      <c r="A1985" s="11">
        <f>IFERROR(__xludf.DUMMYFUNCTION("""COMPUTED_VALUE"""),44471.0)</f>
        <v>44471</v>
      </c>
      <c r="B1985" s="9">
        <f>IFERROR(__xludf.DUMMYFUNCTION("""COMPUTED_VALUE"""),1003567.0)</f>
        <v>1003567</v>
      </c>
      <c r="C1985" s="9">
        <f>IFERROR(__xludf.DUMMYFUNCTION("""COMPUTED_VALUE"""),120946.0)</f>
        <v>120946</v>
      </c>
      <c r="D1985" s="9"/>
      <c r="E1985" s="9"/>
      <c r="F1985" s="9">
        <f>IFERROR(__xludf.DUMMYFUNCTION("""COMPUTED_VALUE"""),1.46)</f>
        <v>1.46</v>
      </c>
      <c r="G1985" s="9">
        <f>IFERROR(__xludf.DUMMYFUNCTION("""COMPUTED_VALUE"""),1.46)</f>
        <v>1.46</v>
      </c>
      <c r="H1985" s="9">
        <f>IFERROR(__xludf.DUMMYFUNCTION("""COMPUTED_VALUE"""),1.0)</f>
        <v>1</v>
      </c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</row>
    <row r="1986" ht="15.75" customHeight="1">
      <c r="A1986" s="11">
        <f>IFERROR(__xludf.DUMMYFUNCTION("""COMPUTED_VALUE"""),44471.0)</f>
        <v>44471</v>
      </c>
      <c r="B1986" s="9">
        <f>IFERROR(__xludf.DUMMYFUNCTION("""COMPUTED_VALUE"""),1003567.0)</f>
        <v>1003567</v>
      </c>
      <c r="C1986" s="9">
        <f>IFERROR(__xludf.DUMMYFUNCTION("""COMPUTED_VALUE"""),71228.0)</f>
        <v>71228</v>
      </c>
      <c r="D1986" s="9"/>
      <c r="E1986" s="9"/>
      <c r="F1986" s="9">
        <f>IFERROR(__xludf.DUMMYFUNCTION("""COMPUTED_VALUE"""),1.46)</f>
        <v>1.46</v>
      </c>
      <c r="G1986" s="9">
        <f>IFERROR(__xludf.DUMMYFUNCTION("""COMPUTED_VALUE"""),1.46)</f>
        <v>1.46</v>
      </c>
      <c r="H1986" s="9">
        <f>IFERROR(__xludf.DUMMYFUNCTION("""COMPUTED_VALUE"""),1.0)</f>
        <v>1</v>
      </c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</row>
    <row r="1987" ht="15.75" customHeight="1">
      <c r="A1987" s="11">
        <f>IFERROR(__xludf.DUMMYFUNCTION("""COMPUTED_VALUE"""),44471.0)</f>
        <v>44471</v>
      </c>
      <c r="B1987" s="9">
        <f>IFERROR(__xludf.DUMMYFUNCTION("""COMPUTED_VALUE"""),1003567.0)</f>
        <v>1003567</v>
      </c>
      <c r="C1987" s="9">
        <f>IFERROR(__xludf.DUMMYFUNCTION("""COMPUTED_VALUE"""),539.0)</f>
        <v>539</v>
      </c>
      <c r="D1987" s="9"/>
      <c r="E1987" s="9"/>
      <c r="F1987" s="9">
        <f>IFERROR(__xludf.DUMMYFUNCTION("""COMPUTED_VALUE"""),1.46)</f>
        <v>1.46</v>
      </c>
      <c r="G1987" s="9">
        <f>IFERROR(__xludf.DUMMYFUNCTION("""COMPUTED_VALUE"""),1.46)</f>
        <v>1.46</v>
      </c>
      <c r="H1987" s="9">
        <f>IFERROR(__xludf.DUMMYFUNCTION("""COMPUTED_VALUE"""),1.0)</f>
        <v>1</v>
      </c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</row>
    <row r="1988" ht="15.75" customHeight="1">
      <c r="A1988" s="11">
        <f>IFERROR(__xludf.DUMMYFUNCTION("""COMPUTED_VALUE"""),44471.0)</f>
        <v>44471</v>
      </c>
      <c r="B1988" s="9">
        <f>IFERROR(__xludf.DUMMYFUNCTION("""COMPUTED_VALUE"""),1003567.0)</f>
        <v>1003567</v>
      </c>
      <c r="C1988" s="9">
        <f>IFERROR(__xludf.DUMMYFUNCTION("""COMPUTED_VALUE"""),120875.0)</f>
        <v>120875</v>
      </c>
      <c r="D1988" s="10" t="str">
        <f>IFERROR(__xludf.DUMMYFUNCTION("""COMPUTED_VALUE"""),"Vive le bio")</f>
        <v>Vive le bio</v>
      </c>
      <c r="E1988" s="10"/>
      <c r="F1988" s="9">
        <f>IFERROR(__xludf.DUMMYFUNCTION("""COMPUTED_VALUE"""),3.08888888888888)</f>
        <v>3.088888889</v>
      </c>
      <c r="G1988" s="9">
        <f>IFERROR(__xludf.DUMMYFUNCTION("""COMPUTED_VALUE"""),2.78)</f>
        <v>2.78</v>
      </c>
      <c r="H1988" s="9">
        <f>IFERROR(__xludf.DUMMYFUNCTION("""COMPUTED_VALUE"""),1.0)</f>
        <v>1</v>
      </c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</row>
    <row r="1989" ht="15.75" customHeight="1">
      <c r="A1989" s="11">
        <f>IFERROR(__xludf.DUMMYFUNCTION("""COMPUTED_VALUE"""),44471.0)</f>
        <v>44471</v>
      </c>
      <c r="B1989" s="9">
        <f>IFERROR(__xludf.DUMMYFUNCTION("""COMPUTED_VALUE"""),1003567.0)</f>
        <v>1003567</v>
      </c>
      <c r="C1989" s="9">
        <f>IFERROR(__xludf.DUMMYFUNCTION("""COMPUTED_VALUE"""),80184.0)</f>
        <v>80184</v>
      </c>
      <c r="D1989" s="9"/>
      <c r="E1989" s="9"/>
      <c r="F1989" s="9">
        <f>IFERROR(__xludf.DUMMYFUNCTION("""COMPUTED_VALUE"""),2.55)</f>
        <v>2.55</v>
      </c>
      <c r="G1989" s="9">
        <f>IFERROR(__xludf.DUMMYFUNCTION("""COMPUTED_VALUE"""),2.55)</f>
        <v>2.55</v>
      </c>
      <c r="H1989" s="9">
        <f>IFERROR(__xludf.DUMMYFUNCTION("""COMPUTED_VALUE"""),1.0)</f>
        <v>1</v>
      </c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</row>
    <row r="1990" ht="15.75" customHeight="1">
      <c r="A1990" s="11">
        <f>IFERROR(__xludf.DUMMYFUNCTION("""COMPUTED_VALUE"""),44471.0)</f>
        <v>44471</v>
      </c>
      <c r="B1990" s="9">
        <f>IFERROR(__xludf.DUMMYFUNCTION("""COMPUTED_VALUE"""),1003567.0)</f>
        <v>1003567</v>
      </c>
      <c r="C1990" s="9">
        <f>IFERROR(__xludf.DUMMYFUNCTION("""COMPUTED_VALUE"""),80109.0)</f>
        <v>80109</v>
      </c>
      <c r="D1990" s="10" t="str">
        <f>IFERROR(__xludf.DUMMYFUNCTION("""COMPUTED_VALUE"""),"DLC courtes")</f>
        <v>DLC courtes</v>
      </c>
      <c r="E1990" s="10"/>
      <c r="F1990" s="9">
        <f>IFERROR(__xludf.DUMMYFUNCTION("""COMPUTED_VALUE"""),4.4125)</f>
        <v>4.4125</v>
      </c>
      <c r="G1990" s="9">
        <f>IFERROR(__xludf.DUMMYFUNCTION("""COMPUTED_VALUE"""),3.53)</f>
        <v>3.53</v>
      </c>
      <c r="H1990" s="9">
        <f>IFERROR(__xludf.DUMMYFUNCTION("""COMPUTED_VALUE"""),1.0)</f>
        <v>1</v>
      </c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</row>
    <row r="1991" ht="15.75" customHeight="1">
      <c r="A1991" s="11">
        <f>IFERROR(__xludf.DUMMYFUNCTION("""COMPUTED_VALUE"""),44471.0)</f>
        <v>44471</v>
      </c>
      <c r="B1991" s="9">
        <f>IFERROR(__xludf.DUMMYFUNCTION("""COMPUTED_VALUE"""),1003567.0)</f>
        <v>1003567</v>
      </c>
      <c r="C1991" s="9">
        <f>IFERROR(__xludf.DUMMYFUNCTION("""COMPUTED_VALUE"""),120733.0)</f>
        <v>120733</v>
      </c>
      <c r="D1991" s="9"/>
      <c r="E1991" s="9"/>
      <c r="F1991" s="9">
        <f>IFERROR(__xludf.DUMMYFUNCTION("""COMPUTED_VALUE"""),5.13)</f>
        <v>5.13</v>
      </c>
      <c r="G1991" s="9">
        <f>IFERROR(__xludf.DUMMYFUNCTION("""COMPUTED_VALUE"""),5.13)</f>
        <v>5.13</v>
      </c>
      <c r="H1991" s="9">
        <f>IFERROR(__xludf.DUMMYFUNCTION("""COMPUTED_VALUE"""),1.0)</f>
        <v>1</v>
      </c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</row>
    <row r="1992" ht="15.75" customHeight="1">
      <c r="A1992" s="11">
        <f>IFERROR(__xludf.DUMMYFUNCTION("""COMPUTED_VALUE"""),44471.0)</f>
        <v>44471</v>
      </c>
      <c r="B1992" s="9">
        <f>IFERROR(__xludf.DUMMYFUNCTION("""COMPUTED_VALUE"""),1003567.0)</f>
        <v>1003567</v>
      </c>
      <c r="C1992" s="9">
        <f>IFERROR(__xludf.DUMMYFUNCTION("""COMPUTED_VALUE"""),47381.0)</f>
        <v>47381</v>
      </c>
      <c r="D1992" s="9"/>
      <c r="E1992" s="9"/>
      <c r="F1992" s="9">
        <f>IFERROR(__xludf.DUMMYFUNCTION("""COMPUTED_VALUE"""),2.2)</f>
        <v>2.2</v>
      </c>
      <c r="G1992" s="9">
        <f>IFERROR(__xludf.DUMMYFUNCTION("""COMPUTED_VALUE"""),2.2)</f>
        <v>2.2</v>
      </c>
      <c r="H1992" s="9">
        <f>IFERROR(__xludf.DUMMYFUNCTION("""COMPUTED_VALUE"""),1.0)</f>
        <v>1</v>
      </c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</row>
    <row r="1993" ht="15.75" customHeight="1">
      <c r="A1993" s="11">
        <f>IFERROR(__xludf.DUMMYFUNCTION("""COMPUTED_VALUE"""),44471.0)</f>
        <v>44471</v>
      </c>
      <c r="B1993" s="9">
        <f>IFERROR(__xludf.DUMMYFUNCTION("""COMPUTED_VALUE"""),1003567.0)</f>
        <v>1003567</v>
      </c>
      <c r="C1993" s="9">
        <f>IFERROR(__xludf.DUMMYFUNCTION("""COMPUTED_VALUE"""),112082.0)</f>
        <v>112082</v>
      </c>
      <c r="D1993" s="10" t="str">
        <f>IFERROR(__xludf.DUMMYFUNCTION("""COMPUTED_VALUE"""),"Offre speciale")</f>
        <v>Offre speciale</v>
      </c>
      <c r="E1993" s="10"/>
      <c r="F1993" s="9">
        <f>IFERROR(__xludf.DUMMYFUNCTION("""COMPUTED_VALUE"""),0.977777777777777)</f>
        <v>0.9777777778</v>
      </c>
      <c r="G1993" s="9">
        <f>IFERROR(__xludf.DUMMYFUNCTION("""COMPUTED_VALUE"""),0.88)</f>
        <v>0.88</v>
      </c>
      <c r="H1993" s="9">
        <f>IFERROR(__xludf.DUMMYFUNCTION("""COMPUTED_VALUE"""),1.0)</f>
        <v>1</v>
      </c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</row>
    <row r="1994" ht="15.75" customHeight="1">
      <c r="A1994" s="11">
        <f>IFERROR(__xludf.DUMMYFUNCTION("""COMPUTED_VALUE"""),44471.0)</f>
        <v>44471</v>
      </c>
      <c r="B1994" s="9">
        <f>IFERROR(__xludf.DUMMYFUNCTION("""COMPUTED_VALUE"""),1003567.0)</f>
        <v>1003567</v>
      </c>
      <c r="C1994" s="9">
        <f>IFERROR(__xludf.DUMMYFUNCTION("""COMPUTED_VALUE"""),126579.0)</f>
        <v>126579</v>
      </c>
      <c r="D1994" s="9"/>
      <c r="E1994" s="9"/>
      <c r="F1994" s="9">
        <f>IFERROR(__xludf.DUMMYFUNCTION("""COMPUTED_VALUE"""),1.73)</f>
        <v>1.73</v>
      </c>
      <c r="G1994" s="9">
        <f>IFERROR(__xludf.DUMMYFUNCTION("""COMPUTED_VALUE"""),1.73)</f>
        <v>1.73</v>
      </c>
      <c r="H1994" s="9">
        <f>IFERROR(__xludf.DUMMYFUNCTION("""COMPUTED_VALUE"""),1.0)</f>
        <v>1</v>
      </c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</row>
    <row r="1995" ht="15.75" customHeight="1">
      <c r="A1995" s="11">
        <f>IFERROR(__xludf.DUMMYFUNCTION("""COMPUTED_VALUE"""),44471.0)</f>
        <v>44471</v>
      </c>
      <c r="B1995" s="9">
        <f>IFERROR(__xludf.DUMMYFUNCTION("""COMPUTED_VALUE"""),1003567.0)</f>
        <v>1003567</v>
      </c>
      <c r="C1995" s="9">
        <f>IFERROR(__xludf.DUMMYFUNCTION("""COMPUTED_VALUE"""),86469.0)</f>
        <v>86469</v>
      </c>
      <c r="D1995" s="10" t="str">
        <f>IFERROR(__xludf.DUMMYFUNCTION("""COMPUTED_VALUE"""),"Vive le bio")</f>
        <v>Vive le bio</v>
      </c>
      <c r="E1995" s="10"/>
      <c r="F1995" s="9">
        <f>IFERROR(__xludf.DUMMYFUNCTION("""COMPUTED_VALUE"""),2.04444444444444)</f>
        <v>2.044444444</v>
      </c>
      <c r="G1995" s="9">
        <f>IFERROR(__xludf.DUMMYFUNCTION("""COMPUTED_VALUE"""),1.84)</f>
        <v>1.84</v>
      </c>
      <c r="H1995" s="9">
        <f>IFERROR(__xludf.DUMMYFUNCTION("""COMPUTED_VALUE"""),1.0)</f>
        <v>1</v>
      </c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</row>
    <row r="1996" ht="15.75" customHeight="1">
      <c r="A1996" s="11">
        <f>IFERROR(__xludf.DUMMYFUNCTION("""COMPUTED_VALUE"""),44471.0)</f>
        <v>44471</v>
      </c>
      <c r="B1996" s="9">
        <f>IFERROR(__xludf.DUMMYFUNCTION("""COMPUTED_VALUE"""),1003567.0)</f>
        <v>1003567</v>
      </c>
      <c r="C1996" s="9">
        <f>IFERROR(__xludf.DUMMYFUNCTION("""COMPUTED_VALUE"""),86479.0)</f>
        <v>86479</v>
      </c>
      <c r="D1996" s="9"/>
      <c r="E1996" s="9"/>
      <c r="F1996" s="9">
        <f>IFERROR(__xludf.DUMMYFUNCTION("""COMPUTED_VALUE"""),1.67)</f>
        <v>1.67</v>
      </c>
      <c r="G1996" s="9">
        <f>IFERROR(__xludf.DUMMYFUNCTION("""COMPUTED_VALUE"""),1.67)</f>
        <v>1.67</v>
      </c>
      <c r="H1996" s="9">
        <f>IFERROR(__xludf.DUMMYFUNCTION("""COMPUTED_VALUE"""),1.0)</f>
        <v>1</v>
      </c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</row>
    <row r="1997" ht="15.75" customHeight="1">
      <c r="A1997" s="11">
        <f>IFERROR(__xludf.DUMMYFUNCTION("""COMPUTED_VALUE"""),44471.0)</f>
        <v>44471</v>
      </c>
      <c r="B1997" s="9">
        <f>IFERROR(__xludf.DUMMYFUNCTION("""COMPUTED_VALUE"""),1003567.0)</f>
        <v>1003567</v>
      </c>
      <c r="C1997" s="9">
        <f>IFERROR(__xludf.DUMMYFUNCTION("""COMPUTED_VALUE"""),73259.0)</f>
        <v>73259</v>
      </c>
      <c r="D1997" s="9"/>
      <c r="E1997" s="9"/>
      <c r="F1997" s="9">
        <f>IFERROR(__xludf.DUMMYFUNCTION("""COMPUTED_VALUE"""),2.22)</f>
        <v>2.22</v>
      </c>
      <c r="G1997" s="9">
        <f>IFERROR(__xludf.DUMMYFUNCTION("""COMPUTED_VALUE"""),2.22)</f>
        <v>2.22</v>
      </c>
      <c r="H1997" s="9">
        <f>IFERROR(__xludf.DUMMYFUNCTION("""COMPUTED_VALUE"""),1.0)</f>
        <v>1</v>
      </c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</row>
    <row r="1998" ht="15.75" customHeight="1">
      <c r="A1998" s="11">
        <f>IFERROR(__xludf.DUMMYFUNCTION("""COMPUTED_VALUE"""),44471.0)</f>
        <v>44471</v>
      </c>
      <c r="B1998" s="9">
        <f>IFERROR(__xludf.DUMMYFUNCTION("""COMPUTED_VALUE"""),1003567.0)</f>
        <v>1003567</v>
      </c>
      <c r="C1998" s="9">
        <f>IFERROR(__xludf.DUMMYFUNCTION("""COMPUTED_VALUE"""),110000.0)</f>
        <v>110000</v>
      </c>
      <c r="D1998" s="9"/>
      <c r="E1998" s="9"/>
      <c r="F1998" s="9">
        <f>IFERROR(__xludf.DUMMYFUNCTION("""COMPUTED_VALUE"""),2.72)</f>
        <v>2.72</v>
      </c>
      <c r="G1998" s="9">
        <f>IFERROR(__xludf.DUMMYFUNCTION("""COMPUTED_VALUE"""),2.72)</f>
        <v>2.72</v>
      </c>
      <c r="H1998" s="9">
        <f>IFERROR(__xludf.DUMMYFUNCTION("""COMPUTED_VALUE"""),1.0)</f>
        <v>1</v>
      </c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</row>
    <row r="1999" ht="15.75" customHeight="1">
      <c r="A1999" s="11">
        <f>IFERROR(__xludf.DUMMYFUNCTION("""COMPUTED_VALUE"""),44471.0)</f>
        <v>44471</v>
      </c>
      <c r="B1999" s="9">
        <f>IFERROR(__xludf.DUMMYFUNCTION("""COMPUTED_VALUE"""),1003567.0)</f>
        <v>1003567</v>
      </c>
      <c r="C1999" s="9">
        <f>IFERROR(__xludf.DUMMYFUNCTION("""COMPUTED_VALUE"""),80186.0)</f>
        <v>80186</v>
      </c>
      <c r="D1999" s="9"/>
      <c r="E1999" s="9"/>
      <c r="F1999" s="9">
        <f>IFERROR(__xludf.DUMMYFUNCTION("""COMPUTED_VALUE"""),2.72)</f>
        <v>2.72</v>
      </c>
      <c r="G1999" s="9">
        <f>IFERROR(__xludf.DUMMYFUNCTION("""COMPUTED_VALUE"""),2.72)</f>
        <v>2.72</v>
      </c>
      <c r="H1999" s="9">
        <f>IFERROR(__xludf.DUMMYFUNCTION("""COMPUTED_VALUE"""),1.0)</f>
        <v>1</v>
      </c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</row>
    <row r="2000" ht="15.75" customHeight="1">
      <c r="A2000" s="11">
        <f>IFERROR(__xludf.DUMMYFUNCTION("""COMPUTED_VALUE"""),44471.0)</f>
        <v>44471</v>
      </c>
      <c r="B2000" s="9">
        <f>IFERROR(__xludf.DUMMYFUNCTION("""COMPUTED_VALUE"""),1003567.0)</f>
        <v>1003567</v>
      </c>
      <c r="C2000" s="9">
        <f>IFERROR(__xludf.DUMMYFUNCTION("""COMPUTED_VALUE"""),2795.0)</f>
        <v>2795</v>
      </c>
      <c r="D2000" s="9"/>
      <c r="E2000" s="9"/>
      <c r="F2000" s="9">
        <f>IFERROR(__xludf.DUMMYFUNCTION("""COMPUTED_VALUE"""),3.97)</f>
        <v>3.97</v>
      </c>
      <c r="G2000" s="9">
        <f>IFERROR(__xludf.DUMMYFUNCTION("""COMPUTED_VALUE"""),3.97)</f>
        <v>3.97</v>
      </c>
      <c r="H2000" s="9">
        <f>IFERROR(__xludf.DUMMYFUNCTION("""COMPUTED_VALUE"""),1.0)</f>
        <v>1</v>
      </c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</row>
    <row r="2001" ht="15.75" customHeight="1">
      <c r="A2001" s="11">
        <f>IFERROR(__xludf.DUMMYFUNCTION("""COMPUTED_VALUE"""),44471.0)</f>
        <v>44471</v>
      </c>
      <c r="B2001" s="9">
        <f>IFERROR(__xludf.DUMMYFUNCTION("""COMPUTED_VALUE"""),1003567.0)</f>
        <v>1003567</v>
      </c>
      <c r="C2001" s="9">
        <f>IFERROR(__xludf.DUMMYFUNCTION("""COMPUTED_VALUE"""),121686.0)</f>
        <v>121686</v>
      </c>
      <c r="D2001" s="9"/>
      <c r="E2001" s="9"/>
      <c r="F2001" s="9">
        <f>IFERROR(__xludf.DUMMYFUNCTION("""COMPUTED_VALUE"""),2.1)</f>
        <v>2.1</v>
      </c>
      <c r="G2001" s="9">
        <f>IFERROR(__xludf.DUMMYFUNCTION("""COMPUTED_VALUE"""),2.1)</f>
        <v>2.1</v>
      </c>
      <c r="H2001" s="9">
        <f>IFERROR(__xludf.DUMMYFUNCTION("""COMPUTED_VALUE"""),1.0)</f>
        <v>1</v>
      </c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</row>
    <row r="2002" ht="15.75" customHeight="1">
      <c r="A2002" s="11">
        <f>IFERROR(__xludf.DUMMYFUNCTION("""COMPUTED_VALUE"""),44471.0)</f>
        <v>44471</v>
      </c>
      <c r="B2002" s="9">
        <f>IFERROR(__xludf.DUMMYFUNCTION("""COMPUTED_VALUE"""),1003567.0)</f>
        <v>1003567</v>
      </c>
      <c r="C2002" s="9">
        <f>IFERROR(__xludf.DUMMYFUNCTION("""COMPUTED_VALUE"""),113932.0)</f>
        <v>113932</v>
      </c>
      <c r="D2002" s="9"/>
      <c r="E2002" s="9"/>
      <c r="F2002" s="9">
        <f>IFERROR(__xludf.DUMMYFUNCTION("""COMPUTED_VALUE"""),2.6)</f>
        <v>2.6</v>
      </c>
      <c r="G2002" s="9">
        <f>IFERROR(__xludf.DUMMYFUNCTION("""COMPUTED_VALUE"""),2.6)</f>
        <v>2.6</v>
      </c>
      <c r="H2002" s="9">
        <f>IFERROR(__xludf.DUMMYFUNCTION("""COMPUTED_VALUE"""),1.0)</f>
        <v>1</v>
      </c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</row>
    <row r="2003" ht="15.75" customHeight="1">
      <c r="A2003" s="11">
        <f>IFERROR(__xludf.DUMMYFUNCTION("""COMPUTED_VALUE"""),44471.0)</f>
        <v>44471</v>
      </c>
      <c r="B2003" s="9">
        <f>IFERROR(__xludf.DUMMYFUNCTION("""COMPUTED_VALUE"""),1003567.0)</f>
        <v>1003567</v>
      </c>
      <c r="C2003" s="9">
        <f>IFERROR(__xludf.DUMMYFUNCTION("""COMPUTED_VALUE"""),122230.0)</f>
        <v>122230</v>
      </c>
      <c r="D2003" s="9"/>
      <c r="E2003" s="9"/>
      <c r="F2003" s="9">
        <f>IFERROR(__xludf.DUMMYFUNCTION("""COMPUTED_VALUE"""),2.6)</f>
        <v>2.6</v>
      </c>
      <c r="G2003" s="9">
        <f>IFERROR(__xludf.DUMMYFUNCTION("""COMPUTED_VALUE"""),2.6)</f>
        <v>2.6</v>
      </c>
      <c r="H2003" s="9">
        <f>IFERROR(__xludf.DUMMYFUNCTION("""COMPUTED_VALUE"""),1.0)</f>
        <v>1</v>
      </c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</row>
    <row r="2004" ht="15.75" customHeight="1">
      <c r="A2004" s="11">
        <f>IFERROR(__xludf.DUMMYFUNCTION("""COMPUTED_VALUE"""),44471.0)</f>
        <v>44471</v>
      </c>
      <c r="B2004" s="9">
        <f>IFERROR(__xludf.DUMMYFUNCTION("""COMPUTED_VALUE"""),1003567.0)</f>
        <v>1003567</v>
      </c>
      <c r="C2004" s="9">
        <f>IFERROR(__xludf.DUMMYFUNCTION("""COMPUTED_VALUE"""),197150.0)</f>
        <v>197150</v>
      </c>
      <c r="D2004" s="9"/>
      <c r="E2004" s="9"/>
      <c r="F2004" s="9">
        <f>IFERROR(__xludf.DUMMYFUNCTION("""COMPUTED_VALUE"""),1.55)</f>
        <v>1.55</v>
      </c>
      <c r="G2004" s="9">
        <f>IFERROR(__xludf.DUMMYFUNCTION("""COMPUTED_VALUE"""),1.55)</f>
        <v>1.55</v>
      </c>
      <c r="H2004" s="9">
        <f>IFERROR(__xludf.DUMMYFUNCTION("""COMPUTED_VALUE"""),1.0)</f>
        <v>1</v>
      </c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</row>
    <row r="2005" ht="15.75" customHeight="1">
      <c r="A2005" s="11">
        <f>IFERROR(__xludf.DUMMYFUNCTION("""COMPUTED_VALUE"""),44471.0)</f>
        <v>44471</v>
      </c>
      <c r="B2005" s="9">
        <f>IFERROR(__xludf.DUMMYFUNCTION("""COMPUTED_VALUE"""),1003567.0)</f>
        <v>1003567</v>
      </c>
      <c r="C2005" s="9">
        <f>IFERROR(__xludf.DUMMYFUNCTION("""COMPUTED_VALUE"""),76824.0)</f>
        <v>76824</v>
      </c>
      <c r="D2005" s="9"/>
      <c r="E2005" s="9"/>
      <c r="F2005" s="9">
        <f>IFERROR(__xludf.DUMMYFUNCTION("""COMPUTED_VALUE"""),1.8)</f>
        <v>1.8</v>
      </c>
      <c r="G2005" s="9">
        <f>IFERROR(__xludf.DUMMYFUNCTION("""COMPUTED_VALUE"""),1.8)</f>
        <v>1.8</v>
      </c>
      <c r="H2005" s="9">
        <f>IFERROR(__xludf.DUMMYFUNCTION("""COMPUTED_VALUE"""),1.0)</f>
        <v>1</v>
      </c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</row>
    <row r="2006" ht="15.75" customHeight="1">
      <c r="A2006" s="11">
        <f>IFERROR(__xludf.DUMMYFUNCTION("""COMPUTED_VALUE"""),44471.0)</f>
        <v>44471</v>
      </c>
      <c r="B2006" s="9">
        <f>IFERROR(__xludf.DUMMYFUNCTION("""COMPUTED_VALUE"""),1003567.0)</f>
        <v>1003567</v>
      </c>
      <c r="C2006" s="9">
        <f>IFERROR(__xludf.DUMMYFUNCTION("""COMPUTED_VALUE"""),86478.0)</f>
        <v>86478</v>
      </c>
      <c r="D2006" s="10" t="str">
        <f>IFERROR(__xludf.DUMMYFUNCTION("""COMPUTED_VALUE"""),"Offre speciale")</f>
        <v>Offre speciale</v>
      </c>
      <c r="E2006" s="10"/>
      <c r="F2006" s="9">
        <f>IFERROR(__xludf.DUMMYFUNCTION("""COMPUTED_VALUE"""),1.92941176470588)</f>
        <v>1.929411765</v>
      </c>
      <c r="G2006" s="9">
        <f>IFERROR(__xludf.DUMMYFUNCTION("""COMPUTED_VALUE"""),1.64)</f>
        <v>1.64</v>
      </c>
      <c r="H2006" s="9">
        <f>IFERROR(__xludf.DUMMYFUNCTION("""COMPUTED_VALUE"""),1.0)</f>
        <v>1</v>
      </c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</row>
    <row r="2007" ht="15.75" customHeight="1">
      <c r="A2007" s="11">
        <f>IFERROR(__xludf.DUMMYFUNCTION("""COMPUTED_VALUE"""),44471.0)</f>
        <v>44471</v>
      </c>
      <c r="B2007" s="9">
        <f>IFERROR(__xludf.DUMMYFUNCTION("""COMPUTED_VALUE"""),1003567.0)</f>
        <v>1003567</v>
      </c>
      <c r="C2007" s="9">
        <f>IFERROR(__xludf.DUMMYFUNCTION("""COMPUTED_VALUE"""),108897.0)</f>
        <v>108897</v>
      </c>
      <c r="D2007" s="9"/>
      <c r="E2007" s="9"/>
      <c r="F2007" s="9">
        <f>IFERROR(__xludf.DUMMYFUNCTION("""COMPUTED_VALUE"""),1.93)</f>
        <v>1.93</v>
      </c>
      <c r="G2007" s="9">
        <f>IFERROR(__xludf.DUMMYFUNCTION("""COMPUTED_VALUE"""),1.93)</f>
        <v>1.93</v>
      </c>
      <c r="H2007" s="9">
        <f>IFERROR(__xludf.DUMMYFUNCTION("""COMPUTED_VALUE"""),1.0)</f>
        <v>1</v>
      </c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</row>
    <row r="2008" ht="15.75" customHeight="1">
      <c r="A2008" s="11">
        <f>IFERROR(__xludf.DUMMYFUNCTION("""COMPUTED_VALUE"""),44471.0)</f>
        <v>44471</v>
      </c>
      <c r="B2008" s="9">
        <f>IFERROR(__xludf.DUMMYFUNCTION("""COMPUTED_VALUE"""),1003567.0)</f>
        <v>1003567</v>
      </c>
      <c r="C2008" s="9">
        <f>IFERROR(__xludf.DUMMYFUNCTION("""COMPUTED_VALUE"""),77481.0)</f>
        <v>77481</v>
      </c>
      <c r="D2008" s="9"/>
      <c r="E2008" s="9"/>
      <c r="F2008" s="9">
        <f>IFERROR(__xludf.DUMMYFUNCTION("""COMPUTED_VALUE"""),3.24)</f>
        <v>3.24</v>
      </c>
      <c r="G2008" s="9">
        <f>IFERROR(__xludf.DUMMYFUNCTION("""COMPUTED_VALUE"""),3.24)</f>
        <v>3.24</v>
      </c>
      <c r="H2008" s="9">
        <f>IFERROR(__xludf.DUMMYFUNCTION("""COMPUTED_VALUE"""),1.0)</f>
        <v>1</v>
      </c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</row>
    <row r="2009" ht="15.75" customHeight="1">
      <c r="A2009" s="11">
        <f>IFERROR(__xludf.DUMMYFUNCTION("""COMPUTED_VALUE"""),44471.0)</f>
        <v>44471</v>
      </c>
      <c r="B2009" s="9">
        <f>IFERROR(__xludf.DUMMYFUNCTION("""COMPUTED_VALUE"""),1003567.0)</f>
        <v>1003567</v>
      </c>
      <c r="C2009" s="9">
        <f>IFERROR(__xludf.DUMMYFUNCTION("""COMPUTED_VALUE"""),79011.0)</f>
        <v>79011</v>
      </c>
      <c r="D2009" s="9"/>
      <c r="E2009" s="9"/>
      <c r="F2009" s="9">
        <f>IFERROR(__xludf.DUMMYFUNCTION("""COMPUTED_VALUE"""),3.14)</f>
        <v>3.14</v>
      </c>
      <c r="G2009" s="9">
        <f>IFERROR(__xludf.DUMMYFUNCTION("""COMPUTED_VALUE"""),3.14)</f>
        <v>3.14</v>
      </c>
      <c r="H2009" s="9">
        <f>IFERROR(__xludf.DUMMYFUNCTION("""COMPUTED_VALUE"""),2.0)</f>
        <v>2</v>
      </c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</row>
    <row r="2010" ht="15.75" customHeight="1">
      <c r="A2010" s="11">
        <f>IFERROR(__xludf.DUMMYFUNCTION("""COMPUTED_VALUE"""),44471.0)</f>
        <v>44471</v>
      </c>
      <c r="B2010" s="9">
        <f>IFERROR(__xludf.DUMMYFUNCTION("""COMPUTED_VALUE"""),1003567.0)</f>
        <v>1003567</v>
      </c>
      <c r="C2010" s="9">
        <f>IFERROR(__xludf.DUMMYFUNCTION("""COMPUTED_VALUE"""),108802.0)</f>
        <v>108802</v>
      </c>
      <c r="D2010" s="9"/>
      <c r="E2010" s="9"/>
      <c r="F2010" s="9">
        <f>IFERROR(__xludf.DUMMYFUNCTION("""COMPUTED_VALUE"""),3.4)</f>
        <v>3.4</v>
      </c>
      <c r="G2010" s="9">
        <f>IFERROR(__xludf.DUMMYFUNCTION("""COMPUTED_VALUE"""),3.4)</f>
        <v>3.4</v>
      </c>
      <c r="H2010" s="9">
        <f>IFERROR(__xludf.DUMMYFUNCTION("""COMPUTED_VALUE"""),2.0)</f>
        <v>2</v>
      </c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</row>
    <row r="2011" ht="15.75" customHeight="1">
      <c r="A2011" s="11">
        <f>IFERROR(__xludf.DUMMYFUNCTION("""COMPUTED_VALUE"""),44471.0)</f>
        <v>44471</v>
      </c>
      <c r="B2011" s="9">
        <f>IFERROR(__xludf.DUMMYFUNCTION("""COMPUTED_VALUE"""),1003567.0)</f>
        <v>1003567</v>
      </c>
      <c r="C2011" s="9">
        <f>IFERROR(__xludf.DUMMYFUNCTION("""COMPUTED_VALUE"""),73925.0)</f>
        <v>73925</v>
      </c>
      <c r="D2011" s="10" t="str">
        <f>IFERROR(__xludf.DUMMYFUNCTION("""COMPUTED_VALUE"""),"Vive le bio")</f>
        <v>Vive le bio</v>
      </c>
      <c r="E2011" s="10"/>
      <c r="F2011" s="9">
        <f>IFERROR(__xludf.DUMMYFUNCTION("""COMPUTED_VALUE"""),5.41111111111111)</f>
        <v>5.411111111</v>
      </c>
      <c r="G2011" s="9">
        <f>IFERROR(__xludf.DUMMYFUNCTION("""COMPUTED_VALUE"""),4.87)</f>
        <v>4.87</v>
      </c>
      <c r="H2011" s="9">
        <f>IFERROR(__xludf.DUMMYFUNCTION("""COMPUTED_VALUE"""),2.0)</f>
        <v>2</v>
      </c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</row>
    <row r="2012" ht="15.75" customHeight="1">
      <c r="A2012" s="11">
        <f>IFERROR(__xludf.DUMMYFUNCTION("""COMPUTED_VALUE"""),44471.0)</f>
        <v>44471</v>
      </c>
      <c r="B2012" s="9">
        <f>IFERROR(__xludf.DUMMYFUNCTION("""COMPUTED_VALUE"""),1003567.0)</f>
        <v>1003567</v>
      </c>
      <c r="C2012" s="9">
        <f>IFERROR(__xludf.DUMMYFUNCTION("""COMPUTED_VALUE"""),106707.0)</f>
        <v>106707</v>
      </c>
      <c r="D2012" s="10" t="str">
        <f>IFERROR(__xludf.DUMMYFUNCTION("""COMPUTED_VALUE"""),"Vive le bio")</f>
        <v>Vive le bio</v>
      </c>
      <c r="E2012" s="10"/>
      <c r="F2012" s="9">
        <f>IFERROR(__xludf.DUMMYFUNCTION("""COMPUTED_VALUE"""),5.08421052631579)</f>
        <v>5.084210526</v>
      </c>
      <c r="G2012" s="9">
        <f>IFERROR(__xludf.DUMMYFUNCTION("""COMPUTED_VALUE"""),4.83)</f>
        <v>4.83</v>
      </c>
      <c r="H2012" s="9">
        <f>IFERROR(__xludf.DUMMYFUNCTION("""COMPUTED_VALUE"""),2.0)</f>
        <v>2</v>
      </c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</row>
    <row r="2013" ht="15.75" customHeight="1">
      <c r="A2013" s="11">
        <f>IFERROR(__xludf.DUMMYFUNCTION("""COMPUTED_VALUE"""),44471.0)</f>
        <v>44471</v>
      </c>
      <c r="B2013" s="9">
        <f>IFERROR(__xludf.DUMMYFUNCTION("""COMPUTED_VALUE"""),1003567.0)</f>
        <v>1003567</v>
      </c>
      <c r="C2013" s="9">
        <f>IFERROR(__xludf.DUMMYFUNCTION("""COMPUTED_VALUE"""),20053.0)</f>
        <v>20053</v>
      </c>
      <c r="D2013" s="9"/>
      <c r="E2013" s="9"/>
      <c r="F2013" s="9">
        <f>IFERROR(__xludf.DUMMYFUNCTION("""COMPUTED_VALUE"""),5.94)</f>
        <v>5.94</v>
      </c>
      <c r="G2013" s="9">
        <f>IFERROR(__xludf.DUMMYFUNCTION("""COMPUTED_VALUE"""),5.94)</f>
        <v>5.94</v>
      </c>
      <c r="H2013" s="9">
        <f>IFERROR(__xludf.DUMMYFUNCTION("""COMPUTED_VALUE"""),2.0)</f>
        <v>2</v>
      </c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</row>
    <row r="2014" ht="15.75" customHeight="1">
      <c r="A2014" s="11">
        <f>IFERROR(__xludf.DUMMYFUNCTION("""COMPUTED_VALUE"""),44471.0)</f>
        <v>44471</v>
      </c>
      <c r="B2014" s="9">
        <f>IFERROR(__xludf.DUMMYFUNCTION("""COMPUTED_VALUE"""),1003567.0)</f>
        <v>1003567</v>
      </c>
      <c r="C2014" s="9">
        <f>IFERROR(__xludf.DUMMYFUNCTION("""COMPUTED_VALUE"""),100015.0)</f>
        <v>100015</v>
      </c>
      <c r="D2014" s="9"/>
      <c r="E2014" s="9"/>
      <c r="F2014" s="9">
        <f>IFERROR(__xludf.DUMMYFUNCTION("""COMPUTED_VALUE"""),9.15)</f>
        <v>9.15</v>
      </c>
      <c r="G2014" s="9">
        <f>IFERROR(__xludf.DUMMYFUNCTION("""COMPUTED_VALUE"""),9.15)</f>
        <v>9.15</v>
      </c>
      <c r="H2014" s="9">
        <f>IFERROR(__xludf.DUMMYFUNCTION("""COMPUTED_VALUE"""),2.0)</f>
        <v>2</v>
      </c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</row>
    <row r="2015" ht="15.75" customHeight="1">
      <c r="A2015" s="11">
        <f>IFERROR(__xludf.DUMMYFUNCTION("""COMPUTED_VALUE"""),44471.0)</f>
        <v>44471</v>
      </c>
      <c r="B2015" s="9">
        <f>IFERROR(__xludf.DUMMYFUNCTION("""COMPUTED_VALUE"""),1003568.0)</f>
        <v>1003568</v>
      </c>
      <c r="C2015" s="9">
        <f>IFERROR(__xludf.DUMMYFUNCTION("""COMPUTED_VALUE"""),122659.0)</f>
        <v>122659</v>
      </c>
      <c r="D2015" s="9"/>
      <c r="E2015" s="10" t="str">
        <f>IFERROR(__xludf.DUMMYFUNCTION("""COMPUTED_VALUE"""),"HAPPEEZ")</f>
        <v>HAPPEEZ</v>
      </c>
      <c r="F2015" s="10">
        <f>IFERROR(__xludf.DUMMYFUNCTION("""COMPUTED_VALUE"""),4.83)</f>
        <v>4.83</v>
      </c>
      <c r="G2015" s="9">
        <f>IFERROR(__xludf.DUMMYFUNCTION("""COMPUTED_VALUE"""),4.83)</f>
        <v>4.83</v>
      </c>
      <c r="H2015" s="9">
        <f>IFERROR(__xludf.DUMMYFUNCTION("""COMPUTED_VALUE"""),1.0)</f>
        <v>1</v>
      </c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</row>
    <row r="2016" ht="15.75" customHeight="1">
      <c r="A2016" s="11">
        <f>IFERROR(__xludf.DUMMYFUNCTION("""COMPUTED_VALUE"""),44471.0)</f>
        <v>44471</v>
      </c>
      <c r="B2016" s="9">
        <f>IFERROR(__xludf.DUMMYFUNCTION("""COMPUTED_VALUE"""),1003568.0)</f>
        <v>1003568</v>
      </c>
      <c r="C2016" s="9">
        <f>IFERROR(__xludf.DUMMYFUNCTION("""COMPUTED_VALUE"""),98867.0)</f>
        <v>98867</v>
      </c>
      <c r="D2016" s="9"/>
      <c r="E2016" s="10" t="str">
        <f>IFERROR(__xludf.DUMMYFUNCTION("""COMPUTED_VALUE"""),"HAPPEEZ")</f>
        <v>HAPPEEZ</v>
      </c>
      <c r="F2016" s="10">
        <f>IFERROR(__xludf.DUMMYFUNCTION("""COMPUTED_VALUE"""),5.1)</f>
        <v>5.1</v>
      </c>
      <c r="G2016" s="9">
        <f>IFERROR(__xludf.DUMMYFUNCTION("""COMPUTED_VALUE"""),5.1)</f>
        <v>5.1</v>
      </c>
      <c r="H2016" s="9">
        <f>IFERROR(__xludf.DUMMYFUNCTION("""COMPUTED_VALUE"""),1.0)</f>
        <v>1</v>
      </c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</row>
    <row r="2017" ht="15.75" customHeight="1">
      <c r="A2017" s="11">
        <f>IFERROR(__xludf.DUMMYFUNCTION("""COMPUTED_VALUE"""),44471.0)</f>
        <v>44471</v>
      </c>
      <c r="B2017" s="9">
        <f>IFERROR(__xludf.DUMMYFUNCTION("""COMPUTED_VALUE"""),1003568.0)</f>
        <v>1003568</v>
      </c>
      <c r="C2017" s="9">
        <f>IFERROR(__xludf.DUMMYFUNCTION("""COMPUTED_VALUE"""),112799.0)</f>
        <v>112799</v>
      </c>
      <c r="D2017" s="9"/>
      <c r="E2017" s="10" t="str">
        <f>IFERROR(__xludf.DUMMYFUNCTION("""COMPUTED_VALUE"""),"HAPPEEZ")</f>
        <v>HAPPEEZ</v>
      </c>
      <c r="F2017" s="10">
        <f>IFERROR(__xludf.DUMMYFUNCTION("""COMPUTED_VALUE"""),5.1)</f>
        <v>5.1</v>
      </c>
      <c r="G2017" s="9">
        <f>IFERROR(__xludf.DUMMYFUNCTION("""COMPUTED_VALUE"""),5.1)</f>
        <v>5.1</v>
      </c>
      <c r="H2017" s="9">
        <f>IFERROR(__xludf.DUMMYFUNCTION("""COMPUTED_VALUE"""),1.0)</f>
        <v>1</v>
      </c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</row>
    <row r="2018" ht="15.75" customHeight="1">
      <c r="A2018" s="11">
        <f>IFERROR(__xludf.DUMMYFUNCTION("""COMPUTED_VALUE"""),44471.0)</f>
        <v>44471</v>
      </c>
      <c r="B2018" s="9">
        <f>IFERROR(__xludf.DUMMYFUNCTION("""COMPUTED_VALUE"""),1003568.0)</f>
        <v>1003568</v>
      </c>
      <c r="C2018" s="9">
        <f>IFERROR(__xludf.DUMMYFUNCTION("""COMPUTED_VALUE"""),116408.0)</f>
        <v>116408</v>
      </c>
      <c r="D2018" s="9"/>
      <c r="E2018" s="10" t="str">
        <f>IFERROR(__xludf.DUMMYFUNCTION("""COMPUTED_VALUE"""),"HAPPEEZ")</f>
        <v>HAPPEEZ</v>
      </c>
      <c r="F2018" s="10">
        <f>IFERROR(__xludf.DUMMYFUNCTION("""COMPUTED_VALUE"""),3.93)</f>
        <v>3.93</v>
      </c>
      <c r="G2018" s="9">
        <f>IFERROR(__xludf.DUMMYFUNCTION("""COMPUTED_VALUE"""),3.93)</f>
        <v>3.93</v>
      </c>
      <c r="H2018" s="9">
        <f>IFERROR(__xludf.DUMMYFUNCTION("""COMPUTED_VALUE"""),1.0)</f>
        <v>1</v>
      </c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</row>
    <row r="2019" ht="15.75" customHeight="1">
      <c r="A2019" s="11">
        <f>IFERROR(__xludf.DUMMYFUNCTION("""COMPUTED_VALUE"""),44471.0)</f>
        <v>44471</v>
      </c>
      <c r="B2019" s="9">
        <f>IFERROR(__xludf.DUMMYFUNCTION("""COMPUTED_VALUE"""),1003568.0)</f>
        <v>1003568</v>
      </c>
      <c r="C2019" s="9">
        <f>IFERROR(__xludf.DUMMYFUNCTION("""COMPUTED_VALUE"""),98186.0)</f>
        <v>98186</v>
      </c>
      <c r="D2019" s="9"/>
      <c r="E2019" s="10" t="str">
        <f>IFERROR(__xludf.DUMMYFUNCTION("""COMPUTED_VALUE"""),"HAPPEEZ")</f>
        <v>HAPPEEZ</v>
      </c>
      <c r="F2019" s="10">
        <f>IFERROR(__xludf.DUMMYFUNCTION("""COMPUTED_VALUE"""),6.86)</f>
        <v>6.86</v>
      </c>
      <c r="G2019" s="9">
        <f>IFERROR(__xludf.DUMMYFUNCTION("""COMPUTED_VALUE"""),6.86)</f>
        <v>6.86</v>
      </c>
      <c r="H2019" s="9">
        <f>IFERROR(__xludf.DUMMYFUNCTION("""COMPUTED_VALUE"""),1.0)</f>
        <v>1</v>
      </c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</row>
    <row r="2020" ht="15.75" customHeight="1">
      <c r="A2020" s="11">
        <f>IFERROR(__xludf.DUMMYFUNCTION("""COMPUTED_VALUE"""),44471.0)</f>
        <v>44471</v>
      </c>
      <c r="B2020" s="9">
        <f>IFERROR(__xludf.DUMMYFUNCTION("""COMPUTED_VALUE"""),1003568.0)</f>
        <v>1003568</v>
      </c>
      <c r="C2020" s="9">
        <f>IFERROR(__xludf.DUMMYFUNCTION("""COMPUTED_VALUE"""),114382.0)</f>
        <v>114382</v>
      </c>
      <c r="D2020" s="9"/>
      <c r="E2020" s="10" t="str">
        <f>IFERROR(__xludf.DUMMYFUNCTION("""COMPUTED_VALUE"""),"HAPPEEZ")</f>
        <v>HAPPEEZ</v>
      </c>
      <c r="F2020" s="10">
        <f>IFERROR(__xludf.DUMMYFUNCTION("""COMPUTED_VALUE"""),13.72)</f>
        <v>13.72</v>
      </c>
      <c r="G2020" s="9">
        <f>IFERROR(__xludf.DUMMYFUNCTION("""COMPUTED_VALUE"""),13.72)</f>
        <v>13.72</v>
      </c>
      <c r="H2020" s="9">
        <f>IFERROR(__xludf.DUMMYFUNCTION("""COMPUTED_VALUE"""),1.0)</f>
        <v>1</v>
      </c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</row>
    <row r="2021" ht="15.75" customHeight="1">
      <c r="A2021" s="11">
        <f>IFERROR(__xludf.DUMMYFUNCTION("""COMPUTED_VALUE"""),44471.0)</f>
        <v>44471</v>
      </c>
      <c r="B2021" s="9">
        <f>IFERROR(__xludf.DUMMYFUNCTION("""COMPUTED_VALUE"""),1003568.0)</f>
        <v>1003568</v>
      </c>
      <c r="C2021" s="9">
        <f>IFERROR(__xludf.DUMMYFUNCTION("""COMPUTED_VALUE"""),116410.0)</f>
        <v>116410</v>
      </c>
      <c r="D2021" s="10" t="str">
        <f>IFERROR(__xludf.DUMMYFUNCTION("""COMPUTED_VALUE"""),"Vive le bio")</f>
        <v>Vive le bio</v>
      </c>
      <c r="E2021" s="10" t="str">
        <f>IFERROR(__xludf.DUMMYFUNCTION("""COMPUTED_VALUE"""),"HAPPEEZ")</f>
        <v>HAPPEEZ</v>
      </c>
      <c r="F2021" s="10">
        <f>IFERROR(__xludf.DUMMYFUNCTION("""COMPUTED_VALUE"""),3.93333333333333)</f>
        <v>3.933333333</v>
      </c>
      <c r="G2021" s="9">
        <f>IFERROR(__xludf.DUMMYFUNCTION("""COMPUTED_VALUE"""),3.54)</f>
        <v>3.54</v>
      </c>
      <c r="H2021" s="9">
        <f>IFERROR(__xludf.DUMMYFUNCTION("""COMPUTED_VALUE"""),1.0)</f>
        <v>1</v>
      </c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</row>
    <row r="2022" ht="15.75" customHeight="1">
      <c r="A2022" s="11">
        <f>IFERROR(__xludf.DUMMYFUNCTION("""COMPUTED_VALUE"""),44471.0)</f>
        <v>44471</v>
      </c>
      <c r="B2022" s="9">
        <f>IFERROR(__xludf.DUMMYFUNCTION("""COMPUTED_VALUE"""),1003568.0)</f>
        <v>1003568</v>
      </c>
      <c r="C2022" s="9">
        <f>IFERROR(__xludf.DUMMYFUNCTION("""COMPUTED_VALUE"""),98129.0)</f>
        <v>98129</v>
      </c>
      <c r="D2022" s="9"/>
      <c r="E2022" s="10" t="str">
        <f>IFERROR(__xludf.DUMMYFUNCTION("""COMPUTED_VALUE"""),"HAPPEEZ")</f>
        <v>HAPPEEZ</v>
      </c>
      <c r="F2022" s="10">
        <f>IFERROR(__xludf.DUMMYFUNCTION("""COMPUTED_VALUE"""),12.01)</f>
        <v>12.01</v>
      </c>
      <c r="G2022" s="9">
        <f>IFERROR(__xludf.DUMMYFUNCTION("""COMPUTED_VALUE"""),12.01)</f>
        <v>12.01</v>
      </c>
      <c r="H2022" s="9">
        <f>IFERROR(__xludf.DUMMYFUNCTION("""COMPUTED_VALUE"""),1.0)</f>
        <v>1</v>
      </c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</row>
    <row r="2023" ht="15.75" customHeight="1">
      <c r="A2023" s="11">
        <f>IFERROR(__xludf.DUMMYFUNCTION("""COMPUTED_VALUE"""),44471.0)</f>
        <v>44471</v>
      </c>
      <c r="B2023" s="9">
        <f>IFERROR(__xludf.DUMMYFUNCTION("""COMPUTED_VALUE"""),1003568.0)</f>
        <v>1003568</v>
      </c>
      <c r="C2023" s="9">
        <f>IFERROR(__xludf.DUMMYFUNCTION("""COMPUTED_VALUE"""),80220.0)</f>
        <v>80220</v>
      </c>
      <c r="D2023" s="10" t="str">
        <f>IFERROR(__xludf.DUMMYFUNCTION("""COMPUTED_VALUE"""),"DLC courtes")</f>
        <v>DLC courtes</v>
      </c>
      <c r="E2023" s="10" t="str">
        <f>IFERROR(__xludf.DUMMYFUNCTION("""COMPUTED_VALUE"""),"HAPPEEZ")</f>
        <v>HAPPEEZ</v>
      </c>
      <c r="F2023" s="10">
        <f>IFERROR(__xludf.DUMMYFUNCTION("""COMPUTED_VALUE"""),4.27499999999999)</f>
        <v>4.275</v>
      </c>
      <c r="G2023" s="9">
        <f>IFERROR(__xludf.DUMMYFUNCTION("""COMPUTED_VALUE"""),3.42)</f>
        <v>3.42</v>
      </c>
      <c r="H2023" s="9">
        <f>IFERROR(__xludf.DUMMYFUNCTION("""COMPUTED_VALUE"""),1.0)</f>
        <v>1</v>
      </c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</row>
    <row r="2024" ht="15.75" customHeight="1">
      <c r="A2024" s="11">
        <f>IFERROR(__xludf.DUMMYFUNCTION("""COMPUTED_VALUE"""),44471.0)</f>
        <v>44471</v>
      </c>
      <c r="B2024" s="9">
        <f>IFERROR(__xludf.DUMMYFUNCTION("""COMPUTED_VALUE"""),1003568.0)</f>
        <v>1003568</v>
      </c>
      <c r="C2024" s="9">
        <f>IFERROR(__xludf.DUMMYFUNCTION("""COMPUTED_VALUE"""),83592.0)</f>
        <v>83592</v>
      </c>
      <c r="D2024" s="10" t="str">
        <f>IFERROR(__xludf.DUMMYFUNCTION("""COMPUTED_VALUE"""),"DLC courtes")</f>
        <v>DLC courtes</v>
      </c>
      <c r="E2024" s="10" t="str">
        <f>IFERROR(__xludf.DUMMYFUNCTION("""COMPUTED_VALUE"""),"HAPPEEZ")</f>
        <v>HAPPEEZ</v>
      </c>
      <c r="F2024" s="10">
        <f>IFERROR(__xludf.DUMMYFUNCTION("""COMPUTED_VALUE"""),5.77499999999999)</f>
        <v>5.775</v>
      </c>
      <c r="G2024" s="9">
        <f>IFERROR(__xludf.DUMMYFUNCTION("""COMPUTED_VALUE"""),4.62)</f>
        <v>4.62</v>
      </c>
      <c r="H2024" s="9">
        <f>IFERROR(__xludf.DUMMYFUNCTION("""COMPUTED_VALUE"""),1.0)</f>
        <v>1</v>
      </c>
      <c r="I2024" s="9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</row>
    <row r="2025" ht="15.75" customHeight="1">
      <c r="A2025" s="11">
        <f>IFERROR(__xludf.DUMMYFUNCTION("""COMPUTED_VALUE"""),44471.0)</f>
        <v>44471</v>
      </c>
      <c r="B2025" s="9">
        <f>IFERROR(__xludf.DUMMYFUNCTION("""COMPUTED_VALUE"""),1003568.0)</f>
        <v>1003568</v>
      </c>
      <c r="C2025" s="9">
        <f>IFERROR(__xludf.DUMMYFUNCTION("""COMPUTED_VALUE"""),72852.0)</f>
        <v>72852</v>
      </c>
      <c r="D2025" s="9"/>
      <c r="E2025" s="10" t="str">
        <f>IFERROR(__xludf.DUMMYFUNCTION("""COMPUTED_VALUE"""),"HAPPEEZ")</f>
        <v>HAPPEEZ</v>
      </c>
      <c r="F2025" s="10">
        <f>IFERROR(__xludf.DUMMYFUNCTION("""COMPUTED_VALUE"""),4.66)</f>
        <v>4.66</v>
      </c>
      <c r="G2025" s="9">
        <f>IFERROR(__xludf.DUMMYFUNCTION("""COMPUTED_VALUE"""),4.66)</f>
        <v>4.66</v>
      </c>
      <c r="H2025" s="9">
        <f>IFERROR(__xludf.DUMMYFUNCTION("""COMPUTED_VALUE"""),1.0)</f>
        <v>1</v>
      </c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</row>
    <row r="2026" ht="15.75" customHeight="1">
      <c r="A2026" s="11">
        <f>IFERROR(__xludf.DUMMYFUNCTION("""COMPUTED_VALUE"""),44471.0)</f>
        <v>44471</v>
      </c>
      <c r="B2026" s="9">
        <f>IFERROR(__xludf.DUMMYFUNCTION("""COMPUTED_VALUE"""),1003568.0)</f>
        <v>1003568</v>
      </c>
      <c r="C2026" s="9">
        <f>IFERROR(__xludf.DUMMYFUNCTION("""COMPUTED_VALUE"""),69552.0)</f>
        <v>69552</v>
      </c>
      <c r="D2026" s="10" t="str">
        <f>IFERROR(__xludf.DUMMYFUNCTION("""COMPUTED_VALUE"""),"Vive le bio")</f>
        <v>Vive le bio</v>
      </c>
      <c r="E2026" s="10" t="str">
        <f>IFERROR(__xludf.DUMMYFUNCTION("""COMPUTED_VALUE"""),"HAPPEEZ")</f>
        <v>HAPPEEZ</v>
      </c>
      <c r="F2026" s="10">
        <f>IFERROR(__xludf.DUMMYFUNCTION("""COMPUTED_VALUE"""),3.02222222222222)</f>
        <v>3.022222222</v>
      </c>
      <c r="G2026" s="9">
        <f>IFERROR(__xludf.DUMMYFUNCTION("""COMPUTED_VALUE"""),2.72)</f>
        <v>2.72</v>
      </c>
      <c r="H2026" s="9">
        <f>IFERROR(__xludf.DUMMYFUNCTION("""COMPUTED_VALUE"""),1.0)</f>
        <v>1</v>
      </c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</row>
    <row r="2027" ht="15.75" customHeight="1">
      <c r="A2027" s="11">
        <f>IFERROR(__xludf.DUMMYFUNCTION("""COMPUTED_VALUE"""),44471.0)</f>
        <v>44471</v>
      </c>
      <c r="B2027" s="9">
        <f>IFERROR(__xludf.DUMMYFUNCTION("""COMPUTED_VALUE"""),1003568.0)</f>
        <v>1003568</v>
      </c>
      <c r="C2027" s="9">
        <f>IFERROR(__xludf.DUMMYFUNCTION("""COMPUTED_VALUE"""),112547.0)</f>
        <v>112547</v>
      </c>
      <c r="D2027" s="9"/>
      <c r="E2027" s="10" t="str">
        <f>IFERROR(__xludf.DUMMYFUNCTION("""COMPUTED_VALUE"""),"HAPPEEZ")</f>
        <v>HAPPEEZ</v>
      </c>
      <c r="F2027" s="10">
        <f>IFERROR(__xludf.DUMMYFUNCTION("""COMPUTED_VALUE"""),16.37)</f>
        <v>16.37</v>
      </c>
      <c r="G2027" s="9">
        <f>IFERROR(__xludf.DUMMYFUNCTION("""COMPUTED_VALUE"""),16.37)</f>
        <v>16.37</v>
      </c>
      <c r="H2027" s="9">
        <f>IFERROR(__xludf.DUMMYFUNCTION("""COMPUTED_VALUE"""),2.0)</f>
        <v>2</v>
      </c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</row>
    <row r="2028" ht="15.75" customHeight="1">
      <c r="A2028" s="11">
        <f>IFERROR(__xludf.DUMMYFUNCTION("""COMPUTED_VALUE"""),44471.0)</f>
        <v>44471</v>
      </c>
      <c r="B2028" s="9">
        <f>IFERROR(__xludf.DUMMYFUNCTION("""COMPUTED_VALUE"""),1003568.0)</f>
        <v>1003568</v>
      </c>
      <c r="C2028" s="9">
        <f>IFERROR(__xludf.DUMMYFUNCTION("""COMPUTED_VALUE"""),120504.0)</f>
        <v>120504</v>
      </c>
      <c r="D2028" s="9"/>
      <c r="E2028" s="10" t="str">
        <f>IFERROR(__xludf.DUMMYFUNCTION("""COMPUTED_VALUE"""),"HAPPEEZ")</f>
        <v>HAPPEEZ</v>
      </c>
      <c r="F2028" s="10">
        <f>IFERROR(__xludf.DUMMYFUNCTION("""COMPUTED_VALUE"""),13.72)</f>
        <v>13.72</v>
      </c>
      <c r="G2028" s="9">
        <f>IFERROR(__xludf.DUMMYFUNCTION("""COMPUTED_VALUE"""),13.72)</f>
        <v>13.72</v>
      </c>
      <c r="H2028" s="9">
        <f>IFERROR(__xludf.DUMMYFUNCTION("""COMPUTED_VALUE"""),2.0)</f>
        <v>2</v>
      </c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</row>
    <row r="2029" ht="15.75" customHeight="1">
      <c r="A2029" s="11">
        <f>IFERROR(__xludf.DUMMYFUNCTION("""COMPUTED_VALUE"""),44471.0)</f>
        <v>44471</v>
      </c>
      <c r="B2029" s="9">
        <f>IFERROR(__xludf.DUMMYFUNCTION("""COMPUTED_VALUE"""),1003568.0)</f>
        <v>1003568</v>
      </c>
      <c r="C2029" s="9">
        <f>IFERROR(__xludf.DUMMYFUNCTION("""COMPUTED_VALUE"""),80400.0)</f>
        <v>80400</v>
      </c>
      <c r="D2029" s="10" t="str">
        <f>IFERROR(__xludf.DUMMYFUNCTION("""COMPUTED_VALUE"""),"DLC courtes")</f>
        <v>DLC courtes</v>
      </c>
      <c r="E2029" s="10" t="str">
        <f>IFERROR(__xludf.DUMMYFUNCTION("""COMPUTED_VALUE"""),"HAPPEEZ")</f>
        <v>HAPPEEZ</v>
      </c>
      <c r="F2029" s="10">
        <f>IFERROR(__xludf.DUMMYFUNCTION("""COMPUTED_VALUE"""),8.675)</f>
        <v>8.675</v>
      </c>
      <c r="G2029" s="9">
        <f>IFERROR(__xludf.DUMMYFUNCTION("""COMPUTED_VALUE"""),6.94)</f>
        <v>6.94</v>
      </c>
      <c r="H2029" s="9">
        <f>IFERROR(__xludf.DUMMYFUNCTION("""COMPUTED_VALUE"""),2.0)</f>
        <v>2</v>
      </c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</row>
    <row r="2030" ht="15.75" customHeight="1">
      <c r="A2030" s="11">
        <f>IFERROR(__xludf.DUMMYFUNCTION("""COMPUTED_VALUE"""),44471.0)</f>
        <v>44471</v>
      </c>
      <c r="B2030" s="9">
        <f>IFERROR(__xludf.DUMMYFUNCTION("""COMPUTED_VALUE"""),1003569.0)</f>
        <v>1003569</v>
      </c>
      <c r="C2030" s="9">
        <f>IFERROR(__xludf.DUMMYFUNCTION("""COMPUTED_VALUE"""),4338.0)</f>
        <v>4338</v>
      </c>
      <c r="D2030" s="9"/>
      <c r="E2030" s="9"/>
      <c r="F2030" s="9">
        <f>IFERROR(__xludf.DUMMYFUNCTION("""COMPUTED_VALUE"""),4.51)</f>
        <v>4.51</v>
      </c>
      <c r="G2030" s="9">
        <f>IFERROR(__xludf.DUMMYFUNCTION("""COMPUTED_VALUE"""),4.51)</f>
        <v>4.51</v>
      </c>
      <c r="H2030" s="9">
        <f>IFERROR(__xludf.DUMMYFUNCTION("""COMPUTED_VALUE"""),1.0)</f>
        <v>1</v>
      </c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</row>
    <row r="2031" ht="15.75" customHeight="1">
      <c r="A2031" s="11">
        <f>IFERROR(__xludf.DUMMYFUNCTION("""COMPUTED_VALUE"""),44471.0)</f>
        <v>44471</v>
      </c>
      <c r="B2031" s="9">
        <f>IFERROR(__xludf.DUMMYFUNCTION("""COMPUTED_VALUE"""),1003569.0)</f>
        <v>1003569</v>
      </c>
      <c r="C2031" s="9">
        <f>IFERROR(__xludf.DUMMYFUNCTION("""COMPUTED_VALUE"""),9652.0)</f>
        <v>9652</v>
      </c>
      <c r="D2031" s="9"/>
      <c r="E2031" s="9"/>
      <c r="F2031" s="9">
        <f>IFERROR(__xludf.DUMMYFUNCTION("""COMPUTED_VALUE"""),2.52)</f>
        <v>2.52</v>
      </c>
      <c r="G2031" s="9">
        <f>IFERROR(__xludf.DUMMYFUNCTION("""COMPUTED_VALUE"""),2.52)</f>
        <v>2.52</v>
      </c>
      <c r="H2031" s="9">
        <f>IFERROR(__xludf.DUMMYFUNCTION("""COMPUTED_VALUE"""),1.0)</f>
        <v>1</v>
      </c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</row>
    <row r="2032" ht="15.75" customHeight="1">
      <c r="A2032" s="11">
        <f>IFERROR(__xludf.DUMMYFUNCTION("""COMPUTED_VALUE"""),44471.0)</f>
        <v>44471</v>
      </c>
      <c r="B2032" s="9">
        <f>IFERROR(__xludf.DUMMYFUNCTION("""COMPUTED_VALUE"""),1003569.0)</f>
        <v>1003569</v>
      </c>
      <c r="C2032" s="9">
        <f>IFERROR(__xludf.DUMMYFUNCTION("""COMPUTED_VALUE"""),139305.0)</f>
        <v>139305</v>
      </c>
      <c r="D2032" s="9"/>
      <c r="E2032" s="9"/>
      <c r="F2032" s="9">
        <f>IFERROR(__xludf.DUMMYFUNCTION("""COMPUTED_VALUE"""),2.29)</f>
        <v>2.29</v>
      </c>
      <c r="G2032" s="9">
        <f>IFERROR(__xludf.DUMMYFUNCTION("""COMPUTED_VALUE"""),2.29)</f>
        <v>2.29</v>
      </c>
      <c r="H2032" s="9">
        <f>IFERROR(__xludf.DUMMYFUNCTION("""COMPUTED_VALUE"""),1.0)</f>
        <v>1</v>
      </c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</row>
    <row r="2033" ht="15.75" customHeight="1">
      <c r="A2033" s="11">
        <f>IFERROR(__xludf.DUMMYFUNCTION("""COMPUTED_VALUE"""),44471.0)</f>
        <v>44471</v>
      </c>
      <c r="B2033" s="9">
        <f>IFERROR(__xludf.DUMMYFUNCTION("""COMPUTED_VALUE"""),1003569.0)</f>
        <v>1003569</v>
      </c>
      <c r="C2033" s="9">
        <f>IFERROR(__xludf.DUMMYFUNCTION("""COMPUTED_VALUE"""),70575.0)</f>
        <v>70575</v>
      </c>
      <c r="D2033" s="9"/>
      <c r="E2033" s="9"/>
      <c r="F2033" s="9">
        <f>IFERROR(__xludf.DUMMYFUNCTION("""COMPUTED_VALUE"""),2.18)</f>
        <v>2.18</v>
      </c>
      <c r="G2033" s="9">
        <f>IFERROR(__xludf.DUMMYFUNCTION("""COMPUTED_VALUE"""),2.18)</f>
        <v>2.18</v>
      </c>
      <c r="H2033" s="9">
        <f>IFERROR(__xludf.DUMMYFUNCTION("""COMPUTED_VALUE"""),1.0)</f>
        <v>1</v>
      </c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</row>
    <row r="2034" ht="15.75" customHeight="1">
      <c r="A2034" s="11">
        <f>IFERROR(__xludf.DUMMYFUNCTION("""COMPUTED_VALUE"""),44471.0)</f>
        <v>44471</v>
      </c>
      <c r="B2034" s="9">
        <f>IFERROR(__xludf.DUMMYFUNCTION("""COMPUTED_VALUE"""),1003569.0)</f>
        <v>1003569</v>
      </c>
      <c r="C2034" s="9">
        <f>IFERROR(__xludf.DUMMYFUNCTION("""COMPUTED_VALUE"""),128343.0)</f>
        <v>128343</v>
      </c>
      <c r="D2034" s="9"/>
      <c r="E2034" s="9"/>
      <c r="F2034" s="9">
        <f>IFERROR(__xludf.DUMMYFUNCTION("""COMPUTED_VALUE"""),4.18)</f>
        <v>4.18</v>
      </c>
      <c r="G2034" s="9">
        <f>IFERROR(__xludf.DUMMYFUNCTION("""COMPUTED_VALUE"""),4.18)</f>
        <v>4.18</v>
      </c>
      <c r="H2034" s="9">
        <f>IFERROR(__xludf.DUMMYFUNCTION("""COMPUTED_VALUE"""),1.0)</f>
        <v>1</v>
      </c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</row>
    <row r="2035" ht="15.75" customHeight="1">
      <c r="A2035" s="11">
        <f>IFERROR(__xludf.DUMMYFUNCTION("""COMPUTED_VALUE"""),44471.0)</f>
        <v>44471</v>
      </c>
      <c r="B2035" s="9">
        <f>IFERROR(__xludf.DUMMYFUNCTION("""COMPUTED_VALUE"""),1003569.0)</f>
        <v>1003569</v>
      </c>
      <c r="C2035" s="9">
        <f>IFERROR(__xludf.DUMMYFUNCTION("""COMPUTED_VALUE"""),128337.0)</f>
        <v>128337</v>
      </c>
      <c r="D2035" s="9"/>
      <c r="E2035" s="9"/>
      <c r="F2035" s="9">
        <f>IFERROR(__xludf.DUMMYFUNCTION("""COMPUTED_VALUE"""),4.18)</f>
        <v>4.18</v>
      </c>
      <c r="G2035" s="9">
        <f>IFERROR(__xludf.DUMMYFUNCTION("""COMPUTED_VALUE"""),4.18)</f>
        <v>4.18</v>
      </c>
      <c r="H2035" s="9">
        <f>IFERROR(__xludf.DUMMYFUNCTION("""COMPUTED_VALUE"""),1.0)</f>
        <v>1</v>
      </c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</row>
    <row r="2036" ht="15.75" customHeight="1">
      <c r="A2036" s="11">
        <f>IFERROR(__xludf.DUMMYFUNCTION("""COMPUTED_VALUE"""),44471.0)</f>
        <v>44471</v>
      </c>
      <c r="B2036" s="9">
        <f>IFERROR(__xludf.DUMMYFUNCTION("""COMPUTED_VALUE"""),1003569.0)</f>
        <v>1003569</v>
      </c>
      <c r="C2036" s="9">
        <f>IFERROR(__xludf.DUMMYFUNCTION("""COMPUTED_VALUE"""),112100.0)</f>
        <v>112100</v>
      </c>
      <c r="D2036" s="9"/>
      <c r="E2036" s="9"/>
      <c r="F2036" s="9">
        <f>IFERROR(__xludf.DUMMYFUNCTION("""COMPUTED_VALUE"""),3.72)</f>
        <v>3.72</v>
      </c>
      <c r="G2036" s="9">
        <f>IFERROR(__xludf.DUMMYFUNCTION("""COMPUTED_VALUE"""),3.72)</f>
        <v>3.72</v>
      </c>
      <c r="H2036" s="9">
        <f>IFERROR(__xludf.DUMMYFUNCTION("""COMPUTED_VALUE"""),1.0)</f>
        <v>1</v>
      </c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</row>
    <row r="2037" ht="15.75" customHeight="1">
      <c r="A2037" s="11">
        <f>IFERROR(__xludf.DUMMYFUNCTION("""COMPUTED_VALUE"""),44471.0)</f>
        <v>44471</v>
      </c>
      <c r="B2037" s="9">
        <f>IFERROR(__xludf.DUMMYFUNCTION("""COMPUTED_VALUE"""),1003569.0)</f>
        <v>1003569</v>
      </c>
      <c r="C2037" s="9">
        <f>IFERROR(__xludf.DUMMYFUNCTION("""COMPUTED_VALUE"""),79425.0)</f>
        <v>79425</v>
      </c>
      <c r="D2037" s="9"/>
      <c r="E2037" s="9"/>
      <c r="F2037" s="9">
        <f>IFERROR(__xludf.DUMMYFUNCTION("""COMPUTED_VALUE"""),2.85)</f>
        <v>2.85</v>
      </c>
      <c r="G2037" s="9">
        <f>IFERROR(__xludf.DUMMYFUNCTION("""COMPUTED_VALUE"""),2.85)</f>
        <v>2.85</v>
      </c>
      <c r="H2037" s="9">
        <f>IFERROR(__xludf.DUMMYFUNCTION("""COMPUTED_VALUE"""),1.0)</f>
        <v>1</v>
      </c>
      <c r="I2037" s="9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</row>
    <row r="2038" ht="15.75" customHeight="1">
      <c r="A2038" s="11">
        <f>IFERROR(__xludf.DUMMYFUNCTION("""COMPUTED_VALUE"""),44471.0)</f>
        <v>44471</v>
      </c>
      <c r="B2038" s="9">
        <f>IFERROR(__xludf.DUMMYFUNCTION("""COMPUTED_VALUE"""),1003569.0)</f>
        <v>1003569</v>
      </c>
      <c r="C2038" s="9">
        <f>IFERROR(__xludf.DUMMYFUNCTION("""COMPUTED_VALUE"""),79426.0)</f>
        <v>79426</v>
      </c>
      <c r="D2038" s="9"/>
      <c r="E2038" s="9"/>
      <c r="F2038" s="9">
        <f>IFERROR(__xludf.DUMMYFUNCTION("""COMPUTED_VALUE"""),3.36)</f>
        <v>3.36</v>
      </c>
      <c r="G2038" s="9">
        <f>IFERROR(__xludf.DUMMYFUNCTION("""COMPUTED_VALUE"""),3.36)</f>
        <v>3.36</v>
      </c>
      <c r="H2038" s="9">
        <f>IFERROR(__xludf.DUMMYFUNCTION("""COMPUTED_VALUE"""),1.0)</f>
        <v>1</v>
      </c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</row>
    <row r="2039" ht="15.75" customHeight="1">
      <c r="A2039" s="11">
        <f>IFERROR(__xludf.DUMMYFUNCTION("""COMPUTED_VALUE"""),44471.0)</f>
        <v>44471</v>
      </c>
      <c r="B2039" s="9">
        <f>IFERROR(__xludf.DUMMYFUNCTION("""COMPUTED_VALUE"""),1003569.0)</f>
        <v>1003569</v>
      </c>
      <c r="C2039" s="9">
        <f>IFERROR(__xludf.DUMMYFUNCTION("""COMPUTED_VALUE"""),119088.0)</f>
        <v>119088</v>
      </c>
      <c r="D2039" s="9"/>
      <c r="E2039" s="9"/>
      <c r="F2039" s="9">
        <f>IFERROR(__xludf.DUMMYFUNCTION("""COMPUTED_VALUE"""),4.23)</f>
        <v>4.23</v>
      </c>
      <c r="G2039" s="9">
        <f>IFERROR(__xludf.DUMMYFUNCTION("""COMPUTED_VALUE"""),4.23)</f>
        <v>4.23</v>
      </c>
      <c r="H2039" s="9">
        <f>IFERROR(__xludf.DUMMYFUNCTION("""COMPUTED_VALUE"""),1.0)</f>
        <v>1</v>
      </c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</row>
    <row r="2040" ht="15.75" customHeight="1">
      <c r="A2040" s="11">
        <f>IFERROR(__xludf.DUMMYFUNCTION("""COMPUTED_VALUE"""),44471.0)</f>
        <v>44471</v>
      </c>
      <c r="B2040" s="9">
        <f>IFERROR(__xludf.DUMMYFUNCTION("""COMPUTED_VALUE"""),1003569.0)</f>
        <v>1003569</v>
      </c>
      <c r="C2040" s="9">
        <f>IFERROR(__xludf.DUMMYFUNCTION("""COMPUTED_VALUE"""),4335.0)</f>
        <v>4335</v>
      </c>
      <c r="D2040" s="9"/>
      <c r="E2040" s="9"/>
      <c r="F2040" s="9">
        <f>IFERROR(__xludf.DUMMYFUNCTION("""COMPUTED_VALUE"""),4.48)</f>
        <v>4.48</v>
      </c>
      <c r="G2040" s="9">
        <f>IFERROR(__xludf.DUMMYFUNCTION("""COMPUTED_VALUE"""),4.48)</f>
        <v>4.48</v>
      </c>
      <c r="H2040" s="9">
        <f>IFERROR(__xludf.DUMMYFUNCTION("""COMPUTED_VALUE"""),1.0)</f>
        <v>1</v>
      </c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</row>
    <row r="2041" ht="15.75" customHeight="1">
      <c r="A2041" s="11">
        <f>IFERROR(__xludf.DUMMYFUNCTION("""COMPUTED_VALUE"""),44471.0)</f>
        <v>44471</v>
      </c>
      <c r="B2041" s="9">
        <f>IFERROR(__xludf.DUMMYFUNCTION("""COMPUTED_VALUE"""),1003569.0)</f>
        <v>1003569</v>
      </c>
      <c r="C2041" s="9">
        <f>IFERROR(__xludf.DUMMYFUNCTION("""COMPUTED_VALUE"""),79888.0)</f>
        <v>79888</v>
      </c>
      <c r="D2041" s="9"/>
      <c r="E2041" s="9"/>
      <c r="F2041" s="9">
        <f>IFERROR(__xludf.DUMMYFUNCTION("""COMPUTED_VALUE"""),4.01)</f>
        <v>4.01</v>
      </c>
      <c r="G2041" s="9">
        <f>IFERROR(__xludf.DUMMYFUNCTION("""COMPUTED_VALUE"""),4.01)</f>
        <v>4.01</v>
      </c>
      <c r="H2041" s="9">
        <f>IFERROR(__xludf.DUMMYFUNCTION("""COMPUTED_VALUE"""),2.0)</f>
        <v>2</v>
      </c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</row>
    <row r="2042" ht="15.75" customHeight="1">
      <c r="A2042" s="11">
        <f>IFERROR(__xludf.DUMMYFUNCTION("""COMPUTED_VALUE"""),44471.0)</f>
        <v>44471</v>
      </c>
      <c r="B2042" s="9">
        <f>IFERROR(__xludf.DUMMYFUNCTION("""COMPUTED_VALUE"""),1003569.0)</f>
        <v>1003569</v>
      </c>
      <c r="C2042" s="9">
        <f>IFERROR(__xludf.DUMMYFUNCTION("""COMPUTED_VALUE"""),99037.0)</f>
        <v>99037</v>
      </c>
      <c r="D2042" s="9"/>
      <c r="E2042" s="9"/>
      <c r="F2042" s="9">
        <f>IFERROR(__xludf.DUMMYFUNCTION("""COMPUTED_VALUE"""),4.28)</f>
        <v>4.28</v>
      </c>
      <c r="G2042" s="9">
        <f>IFERROR(__xludf.DUMMYFUNCTION("""COMPUTED_VALUE"""),4.28)</f>
        <v>4.28</v>
      </c>
      <c r="H2042" s="9">
        <f>IFERROR(__xludf.DUMMYFUNCTION("""COMPUTED_VALUE"""),2.0)</f>
        <v>2</v>
      </c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</row>
    <row r="2043" ht="15.75" customHeight="1">
      <c r="A2043" s="11">
        <f>IFERROR(__xludf.DUMMYFUNCTION("""COMPUTED_VALUE"""),44471.0)</f>
        <v>44471</v>
      </c>
      <c r="B2043" s="9">
        <f>IFERROR(__xludf.DUMMYFUNCTION("""COMPUTED_VALUE"""),1003569.0)</f>
        <v>1003569</v>
      </c>
      <c r="C2043" s="9">
        <f>IFERROR(__xludf.DUMMYFUNCTION("""COMPUTED_VALUE"""),99096.0)</f>
        <v>99096</v>
      </c>
      <c r="D2043" s="9"/>
      <c r="E2043" s="9"/>
      <c r="F2043" s="9">
        <f>IFERROR(__xludf.DUMMYFUNCTION("""COMPUTED_VALUE"""),5.29)</f>
        <v>5.29</v>
      </c>
      <c r="G2043" s="9">
        <f>IFERROR(__xludf.DUMMYFUNCTION("""COMPUTED_VALUE"""),5.29)</f>
        <v>5.29</v>
      </c>
      <c r="H2043" s="9">
        <f>IFERROR(__xludf.DUMMYFUNCTION("""COMPUTED_VALUE"""),2.0)</f>
        <v>2</v>
      </c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</row>
    <row r="2044" ht="15.75" customHeight="1">
      <c r="A2044" s="11">
        <f>IFERROR(__xludf.DUMMYFUNCTION("""COMPUTED_VALUE"""),44471.0)</f>
        <v>44471</v>
      </c>
      <c r="B2044" s="9">
        <f>IFERROR(__xludf.DUMMYFUNCTION("""COMPUTED_VALUE"""),1003569.0)</f>
        <v>1003569</v>
      </c>
      <c r="C2044" s="9">
        <f>IFERROR(__xludf.DUMMYFUNCTION("""COMPUTED_VALUE"""),108982.0)</f>
        <v>108982</v>
      </c>
      <c r="D2044" s="9"/>
      <c r="E2044" s="9"/>
      <c r="F2044" s="9">
        <f>IFERROR(__xludf.DUMMYFUNCTION("""COMPUTED_VALUE"""),5.82)</f>
        <v>5.82</v>
      </c>
      <c r="G2044" s="9">
        <f>IFERROR(__xludf.DUMMYFUNCTION("""COMPUTED_VALUE"""),5.82)</f>
        <v>5.82</v>
      </c>
      <c r="H2044" s="9">
        <f>IFERROR(__xludf.DUMMYFUNCTION("""COMPUTED_VALUE"""),2.0)</f>
        <v>2</v>
      </c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</row>
    <row r="2045" ht="15.75" customHeight="1">
      <c r="A2045" s="11">
        <f>IFERROR(__xludf.DUMMYFUNCTION("""COMPUTED_VALUE"""),44471.0)</f>
        <v>44471</v>
      </c>
      <c r="B2045" s="9">
        <f>IFERROR(__xludf.DUMMYFUNCTION("""COMPUTED_VALUE"""),1003569.0)</f>
        <v>1003569</v>
      </c>
      <c r="C2045" s="9">
        <f>IFERROR(__xludf.DUMMYFUNCTION("""COMPUTED_VALUE"""),68510.0)</f>
        <v>68510</v>
      </c>
      <c r="D2045" s="10" t="str">
        <f>IFERROR(__xludf.DUMMYFUNCTION("""COMPUTED_VALUE"""),"Vive le bio")</f>
        <v>Vive le bio</v>
      </c>
      <c r="E2045" s="10"/>
      <c r="F2045" s="9">
        <f>IFERROR(__xludf.DUMMYFUNCTION("""COMPUTED_VALUE"""),3.97894736842105)</f>
        <v>3.978947368</v>
      </c>
      <c r="G2045" s="9">
        <f>IFERROR(__xludf.DUMMYFUNCTION("""COMPUTED_VALUE"""),3.78)</f>
        <v>3.78</v>
      </c>
      <c r="H2045" s="9">
        <f>IFERROR(__xludf.DUMMYFUNCTION("""COMPUTED_VALUE"""),2.0)</f>
        <v>2</v>
      </c>
      <c r="I2045" s="9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</row>
    <row r="2046" ht="15.75" customHeight="1">
      <c r="A2046" s="11">
        <f>IFERROR(__xludf.DUMMYFUNCTION("""COMPUTED_VALUE"""),44471.0)</f>
        <v>44471</v>
      </c>
      <c r="B2046" s="9">
        <f>IFERROR(__xludf.DUMMYFUNCTION("""COMPUTED_VALUE"""),1003569.0)</f>
        <v>1003569</v>
      </c>
      <c r="C2046" s="9">
        <f>IFERROR(__xludf.DUMMYFUNCTION("""COMPUTED_VALUE"""),11069.0)</f>
        <v>11069</v>
      </c>
      <c r="D2046" s="10" t="str">
        <f>IFERROR(__xludf.DUMMYFUNCTION("""COMPUTED_VALUE"""),"Vive le bio")</f>
        <v>Vive le bio</v>
      </c>
      <c r="E2046" s="10"/>
      <c r="F2046" s="9">
        <f>IFERROR(__xludf.DUMMYFUNCTION("""COMPUTED_VALUE"""),4.9578947368421)</f>
        <v>4.957894737</v>
      </c>
      <c r="G2046" s="9">
        <f>IFERROR(__xludf.DUMMYFUNCTION("""COMPUTED_VALUE"""),4.71)</f>
        <v>4.71</v>
      </c>
      <c r="H2046" s="9">
        <f>IFERROR(__xludf.DUMMYFUNCTION("""COMPUTED_VALUE"""),2.0)</f>
        <v>2</v>
      </c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</row>
    <row r="2047" ht="15.75" customHeight="1">
      <c r="A2047" s="11">
        <f>IFERROR(__xludf.DUMMYFUNCTION("""COMPUTED_VALUE"""),44471.0)</f>
        <v>44471</v>
      </c>
      <c r="B2047" s="9">
        <f>IFERROR(__xludf.DUMMYFUNCTION("""COMPUTED_VALUE"""),1003569.0)</f>
        <v>1003569</v>
      </c>
      <c r="C2047" s="9">
        <f>IFERROR(__xludf.DUMMYFUNCTION("""COMPUTED_VALUE"""),11068.0)</f>
        <v>11068</v>
      </c>
      <c r="D2047" s="9"/>
      <c r="E2047" s="9"/>
      <c r="F2047" s="9">
        <f>IFERROR(__xludf.DUMMYFUNCTION("""COMPUTED_VALUE"""),4.09)</f>
        <v>4.09</v>
      </c>
      <c r="G2047" s="9">
        <f>IFERROR(__xludf.DUMMYFUNCTION("""COMPUTED_VALUE"""),4.09)</f>
        <v>4.09</v>
      </c>
      <c r="H2047" s="9">
        <f>IFERROR(__xludf.DUMMYFUNCTION("""COMPUTED_VALUE"""),2.0)</f>
        <v>2</v>
      </c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</row>
    <row r="2048" ht="15.75" customHeight="1">
      <c r="A2048" s="11">
        <f>IFERROR(__xludf.DUMMYFUNCTION("""COMPUTED_VALUE"""),44471.0)</f>
        <v>44471</v>
      </c>
      <c r="B2048" s="9">
        <f>IFERROR(__xludf.DUMMYFUNCTION("""COMPUTED_VALUE"""),1003569.0)</f>
        <v>1003569</v>
      </c>
      <c r="C2048" s="9">
        <f>IFERROR(__xludf.DUMMYFUNCTION("""COMPUTED_VALUE"""),46900.0)</f>
        <v>46900</v>
      </c>
      <c r="D2048" s="10" t="str">
        <f>IFERROR(__xludf.DUMMYFUNCTION("""COMPUTED_VALUE"""),"Vive le bio")</f>
        <v>Vive le bio</v>
      </c>
      <c r="E2048" s="10"/>
      <c r="F2048" s="9">
        <f>IFERROR(__xludf.DUMMYFUNCTION("""COMPUTED_VALUE"""),4.17777777777777)</f>
        <v>4.177777778</v>
      </c>
      <c r="G2048" s="9">
        <f>IFERROR(__xludf.DUMMYFUNCTION("""COMPUTED_VALUE"""),3.76)</f>
        <v>3.76</v>
      </c>
      <c r="H2048" s="9">
        <f>IFERROR(__xludf.DUMMYFUNCTION("""COMPUTED_VALUE"""),2.0)</f>
        <v>2</v>
      </c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</row>
    <row r="2049" ht="15.75" customHeight="1">
      <c r="A2049" s="11">
        <f>IFERROR(__xludf.DUMMYFUNCTION("""COMPUTED_VALUE"""),44471.0)</f>
        <v>44471</v>
      </c>
      <c r="B2049" s="9">
        <f>IFERROR(__xludf.DUMMYFUNCTION("""COMPUTED_VALUE"""),1003569.0)</f>
        <v>1003569</v>
      </c>
      <c r="C2049" s="9">
        <f>IFERROR(__xludf.DUMMYFUNCTION("""COMPUTED_VALUE"""),108981.0)</f>
        <v>108981</v>
      </c>
      <c r="D2049" s="9"/>
      <c r="E2049" s="9"/>
      <c r="F2049" s="9">
        <f>IFERROR(__xludf.DUMMYFUNCTION("""COMPUTED_VALUE"""),6.36)</f>
        <v>6.36</v>
      </c>
      <c r="G2049" s="9">
        <f>IFERROR(__xludf.DUMMYFUNCTION("""COMPUTED_VALUE"""),6.36)</f>
        <v>6.36</v>
      </c>
      <c r="H2049" s="9">
        <f>IFERROR(__xludf.DUMMYFUNCTION("""COMPUTED_VALUE"""),2.0)</f>
        <v>2</v>
      </c>
      <c r="I2049" s="9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</row>
    <row r="2050" ht="15.75" customHeight="1">
      <c r="A2050" s="11">
        <f>IFERROR(__xludf.DUMMYFUNCTION("""COMPUTED_VALUE"""),44471.0)</f>
        <v>44471</v>
      </c>
      <c r="B2050" s="9">
        <f>IFERROR(__xludf.DUMMYFUNCTION("""COMPUTED_VALUE"""),1003569.0)</f>
        <v>1003569</v>
      </c>
      <c r="C2050" s="9">
        <f>IFERROR(__xludf.DUMMYFUNCTION("""COMPUTED_VALUE"""),44825.0)</f>
        <v>44825</v>
      </c>
      <c r="D2050" s="9"/>
      <c r="E2050" s="9"/>
      <c r="F2050" s="9">
        <f>IFERROR(__xludf.DUMMYFUNCTION("""COMPUTED_VALUE"""),4.88)</f>
        <v>4.88</v>
      </c>
      <c r="G2050" s="9">
        <f>IFERROR(__xludf.DUMMYFUNCTION("""COMPUTED_VALUE"""),4.88)</f>
        <v>4.88</v>
      </c>
      <c r="H2050" s="9">
        <f>IFERROR(__xludf.DUMMYFUNCTION("""COMPUTED_VALUE"""),2.0)</f>
        <v>2</v>
      </c>
      <c r="I2050" s="9"/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</row>
    <row r="2051" ht="15.75" customHeight="1">
      <c r="A2051" s="11">
        <f>IFERROR(__xludf.DUMMYFUNCTION("""COMPUTED_VALUE"""),44471.0)</f>
        <v>44471</v>
      </c>
      <c r="B2051" s="9">
        <f>IFERROR(__xludf.DUMMYFUNCTION("""COMPUTED_VALUE"""),1003569.0)</f>
        <v>1003569</v>
      </c>
      <c r="C2051" s="9">
        <f>IFERROR(__xludf.DUMMYFUNCTION("""COMPUTED_VALUE"""),79430.0)</f>
        <v>79430</v>
      </c>
      <c r="D2051" s="9"/>
      <c r="E2051" s="9"/>
      <c r="F2051" s="9">
        <f>IFERROR(__xludf.DUMMYFUNCTION("""COMPUTED_VALUE"""),4.42)</f>
        <v>4.42</v>
      </c>
      <c r="G2051" s="9">
        <f>IFERROR(__xludf.DUMMYFUNCTION("""COMPUTED_VALUE"""),4.42)</f>
        <v>4.42</v>
      </c>
      <c r="H2051" s="9">
        <f>IFERROR(__xludf.DUMMYFUNCTION("""COMPUTED_VALUE"""),2.0)</f>
        <v>2</v>
      </c>
      <c r="I2051" s="9"/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</row>
    <row r="2052" ht="15.75" customHeight="1">
      <c r="A2052" s="11">
        <f>IFERROR(__xludf.DUMMYFUNCTION("""COMPUTED_VALUE"""),44471.0)</f>
        <v>44471</v>
      </c>
      <c r="B2052" s="9">
        <f>IFERROR(__xludf.DUMMYFUNCTION("""COMPUTED_VALUE"""),1003569.0)</f>
        <v>1003569</v>
      </c>
      <c r="C2052" s="9">
        <f>IFERROR(__xludf.DUMMYFUNCTION("""COMPUTED_VALUE"""),44824.0)</f>
        <v>44824</v>
      </c>
      <c r="D2052" s="9"/>
      <c r="E2052" s="9"/>
      <c r="F2052" s="9">
        <f>IFERROR(__xludf.DUMMYFUNCTION("""COMPUTED_VALUE"""),3.98)</f>
        <v>3.98</v>
      </c>
      <c r="G2052" s="9">
        <f>IFERROR(__xludf.DUMMYFUNCTION("""COMPUTED_VALUE"""),3.98)</f>
        <v>3.98</v>
      </c>
      <c r="H2052" s="9">
        <f>IFERROR(__xludf.DUMMYFUNCTION("""COMPUTED_VALUE"""),2.0)</f>
        <v>2</v>
      </c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</row>
    <row r="2053" ht="15.75" customHeight="1">
      <c r="A2053" s="11">
        <f>IFERROR(__xludf.DUMMYFUNCTION("""COMPUTED_VALUE"""),44471.0)</f>
        <v>44471</v>
      </c>
      <c r="B2053" s="9">
        <f>IFERROR(__xludf.DUMMYFUNCTION("""COMPUTED_VALUE"""),1003570.0)</f>
        <v>1003570</v>
      </c>
      <c r="C2053" s="9">
        <f>IFERROR(__xludf.DUMMYFUNCTION("""COMPUTED_VALUE"""),76588.0)</f>
        <v>76588</v>
      </c>
      <c r="D2053" s="9"/>
      <c r="E2053" s="9"/>
      <c r="F2053" s="9">
        <f>IFERROR(__xludf.DUMMYFUNCTION("""COMPUTED_VALUE"""),5.51)</f>
        <v>5.51</v>
      </c>
      <c r="G2053" s="9">
        <f>IFERROR(__xludf.DUMMYFUNCTION("""COMPUTED_VALUE"""),5.51)</f>
        <v>5.51</v>
      </c>
      <c r="H2053" s="9">
        <f>IFERROR(__xludf.DUMMYFUNCTION("""COMPUTED_VALUE"""),1.0)</f>
        <v>1</v>
      </c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</row>
    <row r="2054" ht="15.75" customHeight="1">
      <c r="A2054" s="11">
        <f>IFERROR(__xludf.DUMMYFUNCTION("""COMPUTED_VALUE"""),44471.0)</f>
        <v>44471</v>
      </c>
      <c r="B2054" s="9">
        <f>IFERROR(__xludf.DUMMYFUNCTION("""COMPUTED_VALUE"""),1003570.0)</f>
        <v>1003570</v>
      </c>
      <c r="C2054" s="9">
        <f>IFERROR(__xludf.DUMMYFUNCTION("""COMPUTED_VALUE"""),109309.0)</f>
        <v>109309</v>
      </c>
      <c r="D2054" s="9"/>
      <c r="E2054" s="9"/>
      <c r="F2054" s="9">
        <f>IFERROR(__xludf.DUMMYFUNCTION("""COMPUTED_VALUE"""),8.27)</f>
        <v>8.27</v>
      </c>
      <c r="G2054" s="9">
        <f>IFERROR(__xludf.DUMMYFUNCTION("""COMPUTED_VALUE"""),8.27)</f>
        <v>8.27</v>
      </c>
      <c r="H2054" s="9">
        <f>IFERROR(__xludf.DUMMYFUNCTION("""COMPUTED_VALUE"""),1.0)</f>
        <v>1</v>
      </c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</row>
    <row r="2055" ht="15.75" customHeight="1">
      <c r="A2055" s="11">
        <f>IFERROR(__xludf.DUMMYFUNCTION("""COMPUTED_VALUE"""),44471.0)</f>
        <v>44471</v>
      </c>
      <c r="B2055" s="9">
        <f>IFERROR(__xludf.DUMMYFUNCTION("""COMPUTED_VALUE"""),1003570.0)</f>
        <v>1003570</v>
      </c>
      <c r="C2055" s="9">
        <f>IFERROR(__xludf.DUMMYFUNCTION("""COMPUTED_VALUE"""),76413.0)</f>
        <v>76413</v>
      </c>
      <c r="D2055" s="9"/>
      <c r="E2055" s="9"/>
      <c r="F2055" s="9">
        <f>IFERROR(__xludf.DUMMYFUNCTION("""COMPUTED_VALUE"""),1.76)</f>
        <v>1.76</v>
      </c>
      <c r="G2055" s="9">
        <f>IFERROR(__xludf.DUMMYFUNCTION("""COMPUTED_VALUE"""),1.76)</f>
        <v>1.76</v>
      </c>
      <c r="H2055" s="9">
        <f>IFERROR(__xludf.DUMMYFUNCTION("""COMPUTED_VALUE"""),1.0)</f>
        <v>1</v>
      </c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</row>
    <row r="2056" ht="15.75" customHeight="1">
      <c r="A2056" s="11">
        <f>IFERROR(__xludf.DUMMYFUNCTION("""COMPUTED_VALUE"""),44471.0)</f>
        <v>44471</v>
      </c>
      <c r="B2056" s="9">
        <f>IFERROR(__xludf.DUMMYFUNCTION("""COMPUTED_VALUE"""),1003570.0)</f>
        <v>1003570</v>
      </c>
      <c r="C2056" s="9">
        <f>IFERROR(__xludf.DUMMYFUNCTION("""COMPUTED_VALUE"""),12500.0)</f>
        <v>12500</v>
      </c>
      <c r="D2056" s="9"/>
      <c r="E2056" s="9"/>
      <c r="F2056" s="9">
        <f>IFERROR(__xludf.DUMMYFUNCTION("""COMPUTED_VALUE"""),2.93)</f>
        <v>2.93</v>
      </c>
      <c r="G2056" s="9">
        <f>IFERROR(__xludf.DUMMYFUNCTION("""COMPUTED_VALUE"""),2.93)</f>
        <v>2.93</v>
      </c>
      <c r="H2056" s="9">
        <f>IFERROR(__xludf.DUMMYFUNCTION("""COMPUTED_VALUE"""),1.0)</f>
        <v>1</v>
      </c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</row>
    <row r="2057" ht="15.75" customHeight="1">
      <c r="A2057" s="11">
        <f>IFERROR(__xludf.DUMMYFUNCTION("""COMPUTED_VALUE"""),44471.0)</f>
        <v>44471</v>
      </c>
      <c r="B2057" s="9">
        <f>IFERROR(__xludf.DUMMYFUNCTION("""COMPUTED_VALUE"""),1003570.0)</f>
        <v>1003570</v>
      </c>
      <c r="C2057" s="9">
        <f>IFERROR(__xludf.DUMMYFUNCTION("""COMPUTED_VALUE"""),7999.0)</f>
        <v>7999</v>
      </c>
      <c r="D2057" s="9"/>
      <c r="E2057" s="9"/>
      <c r="F2057" s="9">
        <f>IFERROR(__xludf.DUMMYFUNCTION("""COMPUTED_VALUE"""),3.94)</f>
        <v>3.94</v>
      </c>
      <c r="G2057" s="9">
        <f>IFERROR(__xludf.DUMMYFUNCTION("""COMPUTED_VALUE"""),3.94)</f>
        <v>3.94</v>
      </c>
      <c r="H2057" s="9">
        <f>IFERROR(__xludf.DUMMYFUNCTION("""COMPUTED_VALUE"""),1.0)</f>
        <v>1</v>
      </c>
      <c r="I2057" s="9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</row>
    <row r="2058" ht="15.75" customHeight="1">
      <c r="A2058" s="11">
        <f>IFERROR(__xludf.DUMMYFUNCTION("""COMPUTED_VALUE"""),44471.0)</f>
        <v>44471</v>
      </c>
      <c r="B2058" s="9">
        <f>IFERROR(__xludf.DUMMYFUNCTION("""COMPUTED_VALUE"""),1003570.0)</f>
        <v>1003570</v>
      </c>
      <c r="C2058" s="9">
        <f>IFERROR(__xludf.DUMMYFUNCTION("""COMPUTED_VALUE"""),79485.0)</f>
        <v>79485</v>
      </c>
      <c r="D2058" s="9"/>
      <c r="E2058" s="9"/>
      <c r="F2058" s="9">
        <f>IFERROR(__xludf.DUMMYFUNCTION("""COMPUTED_VALUE"""),9.26)</f>
        <v>9.26</v>
      </c>
      <c r="G2058" s="9">
        <f>IFERROR(__xludf.DUMMYFUNCTION("""COMPUTED_VALUE"""),9.26)</f>
        <v>9.26</v>
      </c>
      <c r="H2058" s="9">
        <f>IFERROR(__xludf.DUMMYFUNCTION("""COMPUTED_VALUE"""),1.0)</f>
        <v>1</v>
      </c>
      <c r="I2058" s="9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</row>
    <row r="2059" ht="15.75" customHeight="1">
      <c r="A2059" s="11">
        <f>IFERROR(__xludf.DUMMYFUNCTION("""COMPUTED_VALUE"""),44471.0)</f>
        <v>44471</v>
      </c>
      <c r="B2059" s="9">
        <f>IFERROR(__xludf.DUMMYFUNCTION("""COMPUTED_VALUE"""),1003570.0)</f>
        <v>1003570</v>
      </c>
      <c r="C2059" s="9">
        <f>IFERROR(__xludf.DUMMYFUNCTION("""COMPUTED_VALUE"""),1587.0)</f>
        <v>1587</v>
      </c>
      <c r="D2059" s="9"/>
      <c r="E2059" s="9"/>
      <c r="F2059" s="9">
        <f>IFERROR(__xludf.DUMMYFUNCTION("""COMPUTED_VALUE"""),2.32)</f>
        <v>2.32</v>
      </c>
      <c r="G2059" s="9">
        <f>IFERROR(__xludf.DUMMYFUNCTION("""COMPUTED_VALUE"""),2.32)</f>
        <v>2.32</v>
      </c>
      <c r="H2059" s="9">
        <f>IFERROR(__xludf.DUMMYFUNCTION("""COMPUTED_VALUE"""),1.0)</f>
        <v>1</v>
      </c>
      <c r="I2059" s="9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</row>
    <row r="2060" ht="15.75" customHeight="1">
      <c r="A2060" s="11">
        <f>IFERROR(__xludf.DUMMYFUNCTION("""COMPUTED_VALUE"""),44471.0)</f>
        <v>44471</v>
      </c>
      <c r="B2060" s="9">
        <f>IFERROR(__xludf.DUMMYFUNCTION("""COMPUTED_VALUE"""),1003570.0)</f>
        <v>1003570</v>
      </c>
      <c r="C2060" s="9">
        <f>IFERROR(__xludf.DUMMYFUNCTION("""COMPUTED_VALUE"""),9562.0)</f>
        <v>9562</v>
      </c>
      <c r="D2060" s="9"/>
      <c r="E2060" s="9"/>
      <c r="F2060" s="9">
        <f>IFERROR(__xludf.DUMMYFUNCTION("""COMPUTED_VALUE"""),9.57)</f>
        <v>9.57</v>
      </c>
      <c r="G2060" s="9">
        <f>IFERROR(__xludf.DUMMYFUNCTION("""COMPUTED_VALUE"""),9.57)</f>
        <v>9.57</v>
      </c>
      <c r="H2060" s="9">
        <f>IFERROR(__xludf.DUMMYFUNCTION("""COMPUTED_VALUE"""),1.0)</f>
        <v>1</v>
      </c>
      <c r="I2060" s="9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</row>
    <row r="2061" ht="15.75" customHeight="1">
      <c r="A2061" s="11">
        <f>IFERROR(__xludf.DUMMYFUNCTION("""COMPUTED_VALUE"""),44471.0)</f>
        <v>44471</v>
      </c>
      <c r="B2061" s="9">
        <f>IFERROR(__xludf.DUMMYFUNCTION("""COMPUTED_VALUE"""),1003570.0)</f>
        <v>1003570</v>
      </c>
      <c r="C2061" s="9">
        <f>IFERROR(__xludf.DUMMYFUNCTION("""COMPUTED_VALUE"""),112246.0)</f>
        <v>112246</v>
      </c>
      <c r="D2061" s="9"/>
      <c r="E2061" s="9"/>
      <c r="F2061" s="9">
        <f>IFERROR(__xludf.DUMMYFUNCTION("""COMPUTED_VALUE"""),1.73)</f>
        <v>1.73</v>
      </c>
      <c r="G2061" s="9">
        <f>IFERROR(__xludf.DUMMYFUNCTION("""COMPUTED_VALUE"""),1.73)</f>
        <v>1.73</v>
      </c>
      <c r="H2061" s="9">
        <f>IFERROR(__xludf.DUMMYFUNCTION("""COMPUTED_VALUE"""),1.0)</f>
        <v>1</v>
      </c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</row>
    <row r="2062" ht="15.75" customHeight="1">
      <c r="A2062" s="11">
        <f>IFERROR(__xludf.DUMMYFUNCTION("""COMPUTED_VALUE"""),44471.0)</f>
        <v>44471</v>
      </c>
      <c r="B2062" s="9">
        <f>IFERROR(__xludf.DUMMYFUNCTION("""COMPUTED_VALUE"""),1003570.0)</f>
        <v>1003570</v>
      </c>
      <c r="C2062" s="9">
        <f>IFERROR(__xludf.DUMMYFUNCTION("""COMPUTED_VALUE"""),86169.0)</f>
        <v>86169</v>
      </c>
      <c r="D2062" s="9"/>
      <c r="E2062" s="9"/>
      <c r="F2062" s="9">
        <f>IFERROR(__xludf.DUMMYFUNCTION("""COMPUTED_VALUE"""),4.68)</f>
        <v>4.68</v>
      </c>
      <c r="G2062" s="9">
        <f>IFERROR(__xludf.DUMMYFUNCTION("""COMPUTED_VALUE"""),4.68)</f>
        <v>4.68</v>
      </c>
      <c r="H2062" s="9">
        <f>IFERROR(__xludf.DUMMYFUNCTION("""COMPUTED_VALUE"""),1.0)</f>
        <v>1</v>
      </c>
      <c r="I2062" s="9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</row>
    <row r="2063" ht="15.75" customHeight="1">
      <c r="A2063" s="11">
        <f>IFERROR(__xludf.DUMMYFUNCTION("""COMPUTED_VALUE"""),44471.0)</f>
        <v>44471</v>
      </c>
      <c r="B2063" s="9">
        <f>IFERROR(__xludf.DUMMYFUNCTION("""COMPUTED_VALUE"""),1003570.0)</f>
        <v>1003570</v>
      </c>
      <c r="C2063" s="9">
        <f>IFERROR(__xludf.DUMMYFUNCTION("""COMPUTED_VALUE"""),5770.0)</f>
        <v>5770</v>
      </c>
      <c r="D2063" s="9"/>
      <c r="E2063" s="9"/>
      <c r="F2063" s="9">
        <f>IFERROR(__xludf.DUMMYFUNCTION("""COMPUTED_VALUE"""),3.85)</f>
        <v>3.85</v>
      </c>
      <c r="G2063" s="9">
        <f>IFERROR(__xludf.DUMMYFUNCTION("""COMPUTED_VALUE"""),3.85)</f>
        <v>3.85</v>
      </c>
      <c r="H2063" s="9">
        <f>IFERROR(__xludf.DUMMYFUNCTION("""COMPUTED_VALUE"""),1.0)</f>
        <v>1</v>
      </c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</row>
    <row r="2064" ht="15.75" customHeight="1">
      <c r="A2064" s="11">
        <f>IFERROR(__xludf.DUMMYFUNCTION("""COMPUTED_VALUE"""),44471.0)</f>
        <v>44471</v>
      </c>
      <c r="B2064" s="9">
        <f>IFERROR(__xludf.DUMMYFUNCTION("""COMPUTED_VALUE"""),1003570.0)</f>
        <v>1003570</v>
      </c>
      <c r="C2064" s="9">
        <f>IFERROR(__xludf.DUMMYFUNCTION("""COMPUTED_VALUE"""),11002.0)</f>
        <v>11002</v>
      </c>
      <c r="D2064" s="9"/>
      <c r="E2064" s="9"/>
      <c r="F2064" s="9">
        <f>IFERROR(__xludf.DUMMYFUNCTION("""COMPUTED_VALUE"""),4.2)</f>
        <v>4.2</v>
      </c>
      <c r="G2064" s="9">
        <f>IFERROR(__xludf.DUMMYFUNCTION("""COMPUTED_VALUE"""),4.2)</f>
        <v>4.2</v>
      </c>
      <c r="H2064" s="9">
        <f>IFERROR(__xludf.DUMMYFUNCTION("""COMPUTED_VALUE"""),1.0)</f>
        <v>1</v>
      </c>
      <c r="I2064" s="9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</row>
    <row r="2065" ht="15.75" customHeight="1">
      <c r="A2065" s="11">
        <f>IFERROR(__xludf.DUMMYFUNCTION("""COMPUTED_VALUE"""),44471.0)</f>
        <v>44471</v>
      </c>
      <c r="B2065" s="9">
        <f>IFERROR(__xludf.DUMMYFUNCTION("""COMPUTED_VALUE"""),1003570.0)</f>
        <v>1003570</v>
      </c>
      <c r="C2065" s="9">
        <f>IFERROR(__xludf.DUMMYFUNCTION("""COMPUTED_VALUE"""),102734.0)</f>
        <v>102734</v>
      </c>
      <c r="D2065" s="9"/>
      <c r="E2065" s="9"/>
      <c r="F2065" s="9">
        <f>IFERROR(__xludf.DUMMYFUNCTION("""COMPUTED_VALUE"""),3.48)</f>
        <v>3.48</v>
      </c>
      <c r="G2065" s="9">
        <f>IFERROR(__xludf.DUMMYFUNCTION("""COMPUTED_VALUE"""),3.48)</f>
        <v>3.48</v>
      </c>
      <c r="H2065" s="9">
        <f>IFERROR(__xludf.DUMMYFUNCTION("""COMPUTED_VALUE"""),1.0)</f>
        <v>1</v>
      </c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</row>
    <row r="2066" ht="15.75" customHeight="1">
      <c r="A2066" s="11">
        <f>IFERROR(__xludf.DUMMYFUNCTION("""COMPUTED_VALUE"""),44471.0)</f>
        <v>44471</v>
      </c>
      <c r="B2066" s="9">
        <f>IFERROR(__xludf.DUMMYFUNCTION("""COMPUTED_VALUE"""),1003570.0)</f>
        <v>1003570</v>
      </c>
      <c r="C2066" s="9">
        <f>IFERROR(__xludf.DUMMYFUNCTION("""COMPUTED_VALUE"""),72818.0)</f>
        <v>72818</v>
      </c>
      <c r="D2066" s="9"/>
      <c r="E2066" s="9"/>
      <c r="F2066" s="9">
        <f>IFERROR(__xludf.DUMMYFUNCTION("""COMPUTED_VALUE"""),1.93)</f>
        <v>1.93</v>
      </c>
      <c r="G2066" s="9">
        <f>IFERROR(__xludf.DUMMYFUNCTION("""COMPUTED_VALUE"""),1.93)</f>
        <v>1.93</v>
      </c>
      <c r="H2066" s="9">
        <f>IFERROR(__xludf.DUMMYFUNCTION("""COMPUTED_VALUE"""),1.0)</f>
        <v>1</v>
      </c>
      <c r="I2066" s="9"/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</row>
    <row r="2067" ht="15.75" customHeight="1">
      <c r="A2067" s="11">
        <f>IFERROR(__xludf.DUMMYFUNCTION("""COMPUTED_VALUE"""),44471.0)</f>
        <v>44471</v>
      </c>
      <c r="B2067" s="9">
        <f>IFERROR(__xludf.DUMMYFUNCTION("""COMPUTED_VALUE"""),1003570.0)</f>
        <v>1003570</v>
      </c>
      <c r="C2067" s="9">
        <f>IFERROR(__xludf.DUMMYFUNCTION("""COMPUTED_VALUE"""),77432.0)</f>
        <v>77432</v>
      </c>
      <c r="D2067" s="10" t="str">
        <f>IFERROR(__xludf.DUMMYFUNCTION("""COMPUTED_VALUE"""),"Vive le bio")</f>
        <v>Vive le bio</v>
      </c>
      <c r="E2067" s="10"/>
      <c r="F2067" s="9">
        <f>IFERROR(__xludf.DUMMYFUNCTION("""COMPUTED_VALUE"""),2.94444444444444)</f>
        <v>2.944444444</v>
      </c>
      <c r="G2067" s="9">
        <f>IFERROR(__xludf.DUMMYFUNCTION("""COMPUTED_VALUE"""),2.65)</f>
        <v>2.65</v>
      </c>
      <c r="H2067" s="9">
        <f>IFERROR(__xludf.DUMMYFUNCTION("""COMPUTED_VALUE"""),1.0)</f>
        <v>1</v>
      </c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</row>
    <row r="2068" ht="15.75" customHeight="1">
      <c r="A2068" s="11">
        <f>IFERROR(__xludf.DUMMYFUNCTION("""COMPUTED_VALUE"""),44471.0)</f>
        <v>44471</v>
      </c>
      <c r="B2068" s="9">
        <f>IFERROR(__xludf.DUMMYFUNCTION("""COMPUTED_VALUE"""),1003570.0)</f>
        <v>1003570</v>
      </c>
      <c r="C2068" s="9">
        <f>IFERROR(__xludf.DUMMYFUNCTION("""COMPUTED_VALUE"""),119249.0)</f>
        <v>119249</v>
      </c>
      <c r="D2068" s="9"/>
      <c r="E2068" s="9"/>
      <c r="F2068" s="9">
        <f>IFERROR(__xludf.DUMMYFUNCTION("""COMPUTED_VALUE"""),4.74)</f>
        <v>4.74</v>
      </c>
      <c r="G2068" s="9">
        <f>IFERROR(__xludf.DUMMYFUNCTION("""COMPUTED_VALUE"""),4.74)</f>
        <v>4.74</v>
      </c>
      <c r="H2068" s="9">
        <f>IFERROR(__xludf.DUMMYFUNCTION("""COMPUTED_VALUE"""),1.0)</f>
        <v>1</v>
      </c>
      <c r="I2068" s="9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</row>
    <row r="2069" ht="15.75" customHeight="1">
      <c r="A2069" s="11">
        <f>IFERROR(__xludf.DUMMYFUNCTION("""COMPUTED_VALUE"""),44471.0)</f>
        <v>44471</v>
      </c>
      <c r="B2069" s="9">
        <f>IFERROR(__xludf.DUMMYFUNCTION("""COMPUTED_VALUE"""),1003570.0)</f>
        <v>1003570</v>
      </c>
      <c r="C2069" s="9">
        <f>IFERROR(__xludf.DUMMYFUNCTION("""COMPUTED_VALUE"""),5586.0)</f>
        <v>5586</v>
      </c>
      <c r="D2069" s="10" t="str">
        <f>IFERROR(__xludf.DUMMYFUNCTION("""COMPUTED_VALUE"""),"Vive le bio")</f>
        <v>Vive le bio</v>
      </c>
      <c r="E2069" s="10"/>
      <c r="F2069" s="9">
        <f>IFERROR(__xludf.DUMMYFUNCTION("""COMPUTED_VALUE"""),4.83333333333333)</f>
        <v>4.833333333</v>
      </c>
      <c r="G2069" s="9">
        <f>IFERROR(__xludf.DUMMYFUNCTION("""COMPUTED_VALUE"""),4.35)</f>
        <v>4.35</v>
      </c>
      <c r="H2069" s="9">
        <f>IFERROR(__xludf.DUMMYFUNCTION("""COMPUTED_VALUE"""),2.0)</f>
        <v>2</v>
      </c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</row>
    <row r="2070" ht="15.75" customHeight="1">
      <c r="A2070" s="11">
        <f>IFERROR(__xludf.DUMMYFUNCTION("""COMPUTED_VALUE"""),44471.0)</f>
        <v>44471</v>
      </c>
      <c r="B2070" s="9">
        <f>IFERROR(__xludf.DUMMYFUNCTION("""COMPUTED_VALUE"""),1003570.0)</f>
        <v>1003570</v>
      </c>
      <c r="C2070" s="9">
        <f>IFERROR(__xludf.DUMMYFUNCTION("""COMPUTED_VALUE"""),80802.0)</f>
        <v>80802</v>
      </c>
      <c r="D2070" s="9"/>
      <c r="E2070" s="9"/>
      <c r="F2070" s="9">
        <f>IFERROR(__xludf.DUMMYFUNCTION("""COMPUTED_VALUE"""),2.68)</f>
        <v>2.68</v>
      </c>
      <c r="G2070" s="9">
        <f>IFERROR(__xludf.DUMMYFUNCTION("""COMPUTED_VALUE"""),2.68)</f>
        <v>2.68</v>
      </c>
      <c r="H2070" s="9">
        <f>IFERROR(__xludf.DUMMYFUNCTION("""COMPUTED_VALUE"""),2.0)</f>
        <v>2</v>
      </c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</row>
    <row r="2071" ht="15.75" customHeight="1">
      <c r="A2071" s="11">
        <f>IFERROR(__xludf.DUMMYFUNCTION("""COMPUTED_VALUE"""),44471.0)</f>
        <v>44471</v>
      </c>
      <c r="B2071" s="9">
        <f>IFERROR(__xludf.DUMMYFUNCTION("""COMPUTED_VALUE"""),1003570.0)</f>
        <v>1003570</v>
      </c>
      <c r="C2071" s="9">
        <f>IFERROR(__xludf.DUMMYFUNCTION("""COMPUTED_VALUE"""),164638.0)</f>
        <v>164638</v>
      </c>
      <c r="D2071" s="9"/>
      <c r="E2071" s="9"/>
      <c r="F2071" s="9">
        <f>IFERROR(__xludf.DUMMYFUNCTION("""COMPUTED_VALUE"""),5.41)</f>
        <v>5.41</v>
      </c>
      <c r="G2071" s="9">
        <f>IFERROR(__xludf.DUMMYFUNCTION("""COMPUTED_VALUE"""),5.41)</f>
        <v>5.41</v>
      </c>
      <c r="H2071" s="9">
        <f>IFERROR(__xludf.DUMMYFUNCTION("""COMPUTED_VALUE"""),2.0)</f>
        <v>2</v>
      </c>
      <c r="I2071" s="9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</row>
    <row r="2072" ht="15.75" customHeight="1">
      <c r="A2072" s="11">
        <f>IFERROR(__xludf.DUMMYFUNCTION("""COMPUTED_VALUE"""),44471.0)</f>
        <v>44471</v>
      </c>
      <c r="B2072" s="9">
        <f>IFERROR(__xludf.DUMMYFUNCTION("""COMPUTED_VALUE"""),1003570.0)</f>
        <v>1003570</v>
      </c>
      <c r="C2072" s="9">
        <f>IFERROR(__xludf.DUMMYFUNCTION("""COMPUTED_VALUE"""),76035.0)</f>
        <v>76035</v>
      </c>
      <c r="D2072" s="9"/>
      <c r="E2072" s="9"/>
      <c r="F2072" s="9">
        <f>IFERROR(__xludf.DUMMYFUNCTION("""COMPUTED_VALUE"""),11.79)</f>
        <v>11.79</v>
      </c>
      <c r="G2072" s="9">
        <f>IFERROR(__xludf.DUMMYFUNCTION("""COMPUTED_VALUE"""),11.79)</f>
        <v>11.79</v>
      </c>
      <c r="H2072" s="9">
        <f>IFERROR(__xludf.DUMMYFUNCTION("""COMPUTED_VALUE"""),4.0)</f>
        <v>4</v>
      </c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</row>
    <row r="2073" ht="15.75" customHeight="1">
      <c r="A2073" s="11">
        <f>IFERROR(__xludf.DUMMYFUNCTION("""COMPUTED_VALUE"""),44471.0)</f>
        <v>44471</v>
      </c>
      <c r="B2073" s="9">
        <f>IFERROR(__xludf.DUMMYFUNCTION("""COMPUTED_VALUE"""),1003570.0)</f>
        <v>1003570</v>
      </c>
      <c r="C2073" s="9">
        <f>IFERROR(__xludf.DUMMYFUNCTION("""COMPUTED_VALUE"""),44117.0)</f>
        <v>44117</v>
      </c>
      <c r="D2073" s="9"/>
      <c r="E2073" s="9"/>
      <c r="F2073" s="9">
        <f>IFERROR(__xludf.DUMMYFUNCTION("""COMPUTED_VALUE"""),4.81)</f>
        <v>4.81</v>
      </c>
      <c r="G2073" s="9">
        <f>IFERROR(__xludf.DUMMYFUNCTION("""COMPUTED_VALUE"""),4.81)</f>
        <v>4.81</v>
      </c>
      <c r="H2073" s="9">
        <f>IFERROR(__xludf.DUMMYFUNCTION("""COMPUTED_VALUE"""),4.0)</f>
        <v>4</v>
      </c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</row>
    <row r="2074" ht="15.75" customHeight="1">
      <c r="A2074" s="11">
        <f>IFERROR(__xludf.DUMMYFUNCTION("""COMPUTED_VALUE"""),44471.0)</f>
        <v>44471</v>
      </c>
      <c r="B2074" s="9">
        <f>IFERROR(__xludf.DUMMYFUNCTION("""COMPUTED_VALUE"""),1003570.0)</f>
        <v>1003570</v>
      </c>
      <c r="C2074" s="9">
        <f>IFERROR(__xludf.DUMMYFUNCTION("""COMPUTED_VALUE"""),120798.0)</f>
        <v>120798</v>
      </c>
      <c r="D2074" s="9"/>
      <c r="E2074" s="9"/>
      <c r="F2074" s="9">
        <f>IFERROR(__xludf.DUMMYFUNCTION("""COMPUTED_VALUE"""),7.75)</f>
        <v>7.75</v>
      </c>
      <c r="G2074" s="9">
        <f>IFERROR(__xludf.DUMMYFUNCTION("""COMPUTED_VALUE"""),7.75)</f>
        <v>7.75</v>
      </c>
      <c r="H2074" s="9">
        <f>IFERROR(__xludf.DUMMYFUNCTION("""COMPUTED_VALUE"""),5.0)</f>
        <v>5</v>
      </c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</row>
    <row r="2075" ht="15.75" customHeight="1">
      <c r="A2075" s="11">
        <f>IFERROR(__xludf.DUMMYFUNCTION("""COMPUTED_VALUE"""),44471.0)</f>
        <v>44471</v>
      </c>
      <c r="B2075" s="9">
        <f>IFERROR(__xludf.DUMMYFUNCTION("""COMPUTED_VALUE"""),1003570.0)</f>
        <v>1003570</v>
      </c>
      <c r="C2075" s="9">
        <f>IFERROR(__xludf.DUMMYFUNCTION("""COMPUTED_VALUE"""),68296.0)</f>
        <v>68296</v>
      </c>
      <c r="D2075" s="9"/>
      <c r="E2075" s="9"/>
      <c r="F2075" s="9">
        <f>IFERROR(__xludf.DUMMYFUNCTION("""COMPUTED_VALUE"""),11.6)</f>
        <v>11.6</v>
      </c>
      <c r="G2075" s="9">
        <f>IFERROR(__xludf.DUMMYFUNCTION("""COMPUTED_VALUE"""),11.6)</f>
        <v>11.6</v>
      </c>
      <c r="H2075" s="9">
        <f>IFERROR(__xludf.DUMMYFUNCTION("""COMPUTED_VALUE"""),5.0)</f>
        <v>5</v>
      </c>
      <c r="I2075" s="9"/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</row>
    <row r="2076" ht="15.75" customHeight="1">
      <c r="A2076" s="11">
        <f>IFERROR(__xludf.DUMMYFUNCTION("""COMPUTED_VALUE"""),44471.0)</f>
        <v>44471</v>
      </c>
      <c r="B2076" s="9">
        <f>IFERROR(__xludf.DUMMYFUNCTION("""COMPUTED_VALUE"""),1003570.0)</f>
        <v>1003570</v>
      </c>
      <c r="C2076" s="9">
        <f>IFERROR(__xludf.DUMMYFUNCTION("""COMPUTED_VALUE"""),45917.0)</f>
        <v>45917</v>
      </c>
      <c r="D2076" s="10" t="str">
        <f>IFERROR(__xludf.DUMMYFUNCTION("""COMPUTED_VALUE"""),"Offre speciale")</f>
        <v>Offre speciale</v>
      </c>
      <c r="E2076" s="10"/>
      <c r="F2076" s="9">
        <f>IFERROR(__xludf.DUMMYFUNCTION("""COMPUTED_VALUE"""),13.4117647058823)</f>
        <v>13.41176471</v>
      </c>
      <c r="G2076" s="9">
        <f>IFERROR(__xludf.DUMMYFUNCTION("""COMPUTED_VALUE"""),11.4)</f>
        <v>11.4</v>
      </c>
      <c r="H2076" s="9">
        <f>IFERROR(__xludf.DUMMYFUNCTION("""COMPUTED_VALUE"""),5.0)</f>
        <v>5</v>
      </c>
      <c r="I2076" s="9"/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</row>
    <row r="2077" ht="15.75" customHeight="1">
      <c r="A2077" s="11">
        <f>IFERROR(__xludf.DUMMYFUNCTION("""COMPUTED_VALUE"""),44471.0)</f>
        <v>44471</v>
      </c>
      <c r="B2077" s="9">
        <f>IFERROR(__xludf.DUMMYFUNCTION("""COMPUTED_VALUE"""),1003570.0)</f>
        <v>1003570</v>
      </c>
      <c r="C2077" s="9">
        <f>IFERROR(__xludf.DUMMYFUNCTION("""COMPUTED_VALUE"""),44120.0)</f>
        <v>44120</v>
      </c>
      <c r="D2077" s="9"/>
      <c r="E2077" s="9"/>
      <c r="F2077" s="9">
        <f>IFERROR(__xludf.DUMMYFUNCTION("""COMPUTED_VALUE"""),7.98)</f>
        <v>7.98</v>
      </c>
      <c r="G2077" s="9">
        <f>IFERROR(__xludf.DUMMYFUNCTION("""COMPUTED_VALUE"""),7.98)</f>
        <v>7.98</v>
      </c>
      <c r="H2077" s="9">
        <f>IFERROR(__xludf.DUMMYFUNCTION("""COMPUTED_VALUE"""),5.0)</f>
        <v>5</v>
      </c>
      <c r="I2077" s="9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</row>
    <row r="2078" ht="15.75" customHeight="1">
      <c r="A2078" s="11">
        <f>IFERROR(__xludf.DUMMYFUNCTION("""COMPUTED_VALUE"""),44471.0)</f>
        <v>44471</v>
      </c>
      <c r="B2078" s="9">
        <f>IFERROR(__xludf.DUMMYFUNCTION("""COMPUTED_VALUE"""),1003570.0)</f>
        <v>1003570</v>
      </c>
      <c r="C2078" s="9">
        <f>IFERROR(__xludf.DUMMYFUNCTION("""COMPUTED_VALUE"""),72831.0)</f>
        <v>72831</v>
      </c>
      <c r="D2078" s="9"/>
      <c r="E2078" s="9"/>
      <c r="F2078" s="9">
        <f>IFERROR(__xludf.DUMMYFUNCTION("""COMPUTED_VALUE"""),25.78)</f>
        <v>25.78</v>
      </c>
      <c r="G2078" s="9">
        <f>IFERROR(__xludf.DUMMYFUNCTION("""COMPUTED_VALUE"""),25.78)</f>
        <v>25.78</v>
      </c>
      <c r="H2078" s="9">
        <f>IFERROR(__xludf.DUMMYFUNCTION("""COMPUTED_VALUE"""),8.0)</f>
        <v>8</v>
      </c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</row>
    <row r="2079" ht="15.75" customHeight="1">
      <c r="A2079" s="11">
        <f>IFERROR(__xludf.DUMMYFUNCTION("""COMPUTED_VALUE"""),44471.0)</f>
        <v>44471</v>
      </c>
      <c r="B2079" s="9">
        <f>IFERROR(__xludf.DUMMYFUNCTION("""COMPUTED_VALUE"""),1003570.0)</f>
        <v>1003570</v>
      </c>
      <c r="C2079" s="9">
        <f>IFERROR(__xludf.DUMMYFUNCTION("""COMPUTED_VALUE"""),90909.0)</f>
        <v>90909</v>
      </c>
      <c r="D2079" s="9"/>
      <c r="E2079" s="9"/>
      <c r="F2079" s="9">
        <f>IFERROR(__xludf.DUMMYFUNCTION("""COMPUTED_VALUE"""),19.58)</f>
        <v>19.58</v>
      </c>
      <c r="G2079" s="9">
        <f>IFERROR(__xludf.DUMMYFUNCTION("""COMPUTED_VALUE"""),19.58)</f>
        <v>19.58</v>
      </c>
      <c r="H2079" s="9">
        <f>IFERROR(__xludf.DUMMYFUNCTION("""COMPUTED_VALUE"""),10.0)</f>
        <v>10</v>
      </c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</row>
    <row r="2080" ht="15.75" customHeight="1">
      <c r="A2080" s="11">
        <f>IFERROR(__xludf.DUMMYFUNCTION("""COMPUTED_VALUE"""),44471.0)</f>
        <v>44471</v>
      </c>
      <c r="B2080" s="9">
        <f>IFERROR(__xludf.DUMMYFUNCTION("""COMPUTED_VALUE"""),1003570.0)</f>
        <v>1003570</v>
      </c>
      <c r="C2080" s="9">
        <f>IFERROR(__xludf.DUMMYFUNCTION("""COMPUTED_VALUE"""),90820.0)</f>
        <v>90820</v>
      </c>
      <c r="D2080" s="9"/>
      <c r="E2080" s="9"/>
      <c r="F2080" s="9">
        <f>IFERROR(__xludf.DUMMYFUNCTION("""COMPUTED_VALUE"""),20.3)</f>
        <v>20.3</v>
      </c>
      <c r="G2080" s="9">
        <f>IFERROR(__xludf.DUMMYFUNCTION("""COMPUTED_VALUE"""),20.3)</f>
        <v>20.3</v>
      </c>
      <c r="H2080" s="9">
        <f>IFERROR(__xludf.DUMMYFUNCTION("""COMPUTED_VALUE"""),10.0)</f>
        <v>10</v>
      </c>
      <c r="I2080" s="9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</row>
    <row r="2081" ht="15.75" customHeight="1">
      <c r="A2081" s="11">
        <f>IFERROR(__xludf.DUMMYFUNCTION("""COMPUTED_VALUE"""),44471.0)</f>
        <v>44471</v>
      </c>
      <c r="B2081" s="9">
        <f>IFERROR(__xludf.DUMMYFUNCTION("""COMPUTED_VALUE"""),1003571.0)</f>
        <v>1003571</v>
      </c>
      <c r="C2081" s="9">
        <f>IFERROR(__xludf.DUMMYFUNCTION("""COMPUTED_VALUE"""),110187.0)</f>
        <v>110187</v>
      </c>
      <c r="D2081" s="9"/>
      <c r="E2081" s="9"/>
      <c r="F2081" s="9">
        <f>IFERROR(__xludf.DUMMYFUNCTION("""COMPUTED_VALUE"""),13.58)</f>
        <v>13.58</v>
      </c>
      <c r="G2081" s="9">
        <f>IFERROR(__xludf.DUMMYFUNCTION("""COMPUTED_VALUE"""),13.58)</f>
        <v>13.58</v>
      </c>
      <c r="H2081" s="9">
        <f>IFERROR(__xludf.DUMMYFUNCTION("""COMPUTED_VALUE"""),2.0)</f>
        <v>2</v>
      </c>
      <c r="I2081" s="9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</row>
    <row r="2082" ht="15.75" customHeight="1">
      <c r="A2082" s="11">
        <f>IFERROR(__xludf.DUMMYFUNCTION("""COMPUTED_VALUE"""),44471.0)</f>
        <v>44471</v>
      </c>
      <c r="B2082" s="9">
        <f>IFERROR(__xludf.DUMMYFUNCTION("""COMPUTED_VALUE"""),1003571.0)</f>
        <v>1003571</v>
      </c>
      <c r="C2082" s="9">
        <f>IFERROR(__xludf.DUMMYFUNCTION("""COMPUTED_VALUE"""),75809.0)</f>
        <v>75809</v>
      </c>
      <c r="D2082" s="9"/>
      <c r="E2082" s="9"/>
      <c r="F2082" s="9">
        <f>IFERROR(__xludf.DUMMYFUNCTION("""COMPUTED_VALUE"""),9.7)</f>
        <v>9.7</v>
      </c>
      <c r="G2082" s="9">
        <f>IFERROR(__xludf.DUMMYFUNCTION("""COMPUTED_VALUE"""),9.7)</f>
        <v>9.7</v>
      </c>
      <c r="H2082" s="9">
        <f>IFERROR(__xludf.DUMMYFUNCTION("""COMPUTED_VALUE"""),2.0)</f>
        <v>2</v>
      </c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</row>
    <row r="2083" ht="15.75" customHeight="1">
      <c r="A2083" s="11">
        <f>IFERROR(__xludf.DUMMYFUNCTION("""COMPUTED_VALUE"""),44471.0)</f>
        <v>44471</v>
      </c>
      <c r="B2083" s="9">
        <f>IFERROR(__xludf.DUMMYFUNCTION("""COMPUTED_VALUE"""),1003571.0)</f>
        <v>1003571</v>
      </c>
      <c r="C2083" s="9">
        <f>IFERROR(__xludf.DUMMYFUNCTION("""COMPUTED_VALUE"""),118329.0)</f>
        <v>118329</v>
      </c>
      <c r="D2083" s="10" t="str">
        <f>IFERROR(__xludf.DUMMYFUNCTION("""COMPUTED_VALUE"""),"Zero Dechet")</f>
        <v>Zero Dechet</v>
      </c>
      <c r="E2083" s="10"/>
      <c r="F2083" s="9">
        <f>IFERROR(__xludf.DUMMYFUNCTION("""COMPUTED_VALUE"""),19.4)</f>
        <v>19.4</v>
      </c>
      <c r="G2083" s="9">
        <f>IFERROR(__xludf.DUMMYFUNCTION("""COMPUTED_VALUE"""),16.49)</f>
        <v>16.49</v>
      </c>
      <c r="H2083" s="9">
        <f>IFERROR(__xludf.DUMMYFUNCTION("""COMPUTED_VALUE"""),4.0)</f>
        <v>4</v>
      </c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</row>
    <row r="2084" ht="15.75" customHeight="1">
      <c r="A2084" s="11">
        <f>IFERROR(__xludf.DUMMYFUNCTION("""COMPUTED_VALUE"""),44471.0)</f>
        <v>44471</v>
      </c>
      <c r="B2084" s="9">
        <f>IFERROR(__xludf.DUMMYFUNCTION("""COMPUTED_VALUE"""),1003572.0)</f>
        <v>1003572</v>
      </c>
      <c r="C2084" s="9">
        <f>IFERROR(__xludf.DUMMYFUNCTION("""COMPUTED_VALUE"""),118012.0)</f>
        <v>118012</v>
      </c>
      <c r="D2084" s="9"/>
      <c r="E2084" s="10" t="str">
        <f>IFERROR(__xludf.DUMMYFUNCTION("""COMPUTED_VALUE"""),"GREENRELAIS")</f>
        <v>GREENRELAIS</v>
      </c>
      <c r="F2084" s="10">
        <f>IFERROR(__xludf.DUMMYFUNCTION("""COMPUTED_VALUE"""),8.08)</f>
        <v>8.08</v>
      </c>
      <c r="G2084" s="9">
        <f>IFERROR(__xludf.DUMMYFUNCTION("""COMPUTED_VALUE"""),8.08)</f>
        <v>8.08</v>
      </c>
      <c r="H2084" s="9">
        <f>IFERROR(__xludf.DUMMYFUNCTION("""COMPUTED_VALUE"""),1.0)</f>
        <v>1</v>
      </c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</row>
    <row r="2085" ht="15.75" customHeight="1">
      <c r="A2085" s="11">
        <f>IFERROR(__xludf.DUMMYFUNCTION("""COMPUTED_VALUE"""),44471.0)</f>
        <v>44471</v>
      </c>
      <c r="B2085" s="9">
        <f>IFERROR(__xludf.DUMMYFUNCTION("""COMPUTED_VALUE"""),1003572.0)</f>
        <v>1003572</v>
      </c>
      <c r="C2085" s="9">
        <f>IFERROR(__xludf.DUMMYFUNCTION("""COMPUTED_VALUE"""),79103.0)</f>
        <v>79103</v>
      </c>
      <c r="D2085" s="9"/>
      <c r="E2085" s="10" t="str">
        <f>IFERROR(__xludf.DUMMYFUNCTION("""COMPUTED_VALUE"""),"GREENRELAIS")</f>
        <v>GREENRELAIS</v>
      </c>
      <c r="F2085" s="10">
        <f>IFERROR(__xludf.DUMMYFUNCTION("""COMPUTED_VALUE"""),3.15)</f>
        <v>3.15</v>
      </c>
      <c r="G2085" s="9">
        <f>IFERROR(__xludf.DUMMYFUNCTION("""COMPUTED_VALUE"""),3.15)</f>
        <v>3.15</v>
      </c>
      <c r="H2085" s="9">
        <f>IFERROR(__xludf.DUMMYFUNCTION("""COMPUTED_VALUE"""),1.0)</f>
        <v>1</v>
      </c>
      <c r="I2085" s="9"/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</row>
    <row r="2086" ht="15.75" customHeight="1">
      <c r="A2086" s="11">
        <f>IFERROR(__xludf.DUMMYFUNCTION("""COMPUTED_VALUE"""),44471.0)</f>
        <v>44471</v>
      </c>
      <c r="B2086" s="9">
        <f>IFERROR(__xludf.DUMMYFUNCTION("""COMPUTED_VALUE"""),1003572.0)</f>
        <v>1003572</v>
      </c>
      <c r="C2086" s="9">
        <f>IFERROR(__xludf.DUMMYFUNCTION("""COMPUTED_VALUE"""),90931.0)</f>
        <v>90931</v>
      </c>
      <c r="D2086" s="9"/>
      <c r="E2086" s="10" t="str">
        <f>IFERROR(__xludf.DUMMYFUNCTION("""COMPUTED_VALUE"""),"GREENRELAIS")</f>
        <v>GREENRELAIS</v>
      </c>
      <c r="F2086" s="10">
        <f>IFERROR(__xludf.DUMMYFUNCTION("""COMPUTED_VALUE"""),3.28)</f>
        <v>3.28</v>
      </c>
      <c r="G2086" s="9">
        <f>IFERROR(__xludf.DUMMYFUNCTION("""COMPUTED_VALUE"""),3.28)</f>
        <v>3.28</v>
      </c>
      <c r="H2086" s="9">
        <f>IFERROR(__xludf.DUMMYFUNCTION("""COMPUTED_VALUE"""),2.0)</f>
        <v>2</v>
      </c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</row>
    <row r="2087" ht="15.75" customHeight="1">
      <c r="A2087" s="11">
        <f>IFERROR(__xludf.DUMMYFUNCTION("""COMPUTED_VALUE"""),44471.0)</f>
        <v>44471</v>
      </c>
      <c r="B2087" s="9">
        <f>IFERROR(__xludf.DUMMYFUNCTION("""COMPUTED_VALUE"""),1003572.0)</f>
        <v>1003572</v>
      </c>
      <c r="C2087" s="9">
        <f>IFERROR(__xludf.DUMMYFUNCTION("""COMPUTED_VALUE"""),106297.0)</f>
        <v>106297</v>
      </c>
      <c r="D2087" s="10" t="str">
        <f>IFERROR(__xludf.DUMMYFUNCTION("""COMPUTED_VALUE"""),"Vive le bio")</f>
        <v>Vive le bio</v>
      </c>
      <c r="E2087" s="10" t="str">
        <f>IFERROR(__xludf.DUMMYFUNCTION("""COMPUTED_VALUE"""),"GREENRELAIS")</f>
        <v>GREENRELAIS</v>
      </c>
      <c r="F2087" s="10">
        <f>IFERROR(__xludf.DUMMYFUNCTION("""COMPUTED_VALUE"""),23.2444444444444)</f>
        <v>23.24444444</v>
      </c>
      <c r="G2087" s="9">
        <f>IFERROR(__xludf.DUMMYFUNCTION("""COMPUTED_VALUE"""),20.92)</f>
        <v>20.92</v>
      </c>
      <c r="H2087" s="9">
        <f>IFERROR(__xludf.DUMMYFUNCTION("""COMPUTED_VALUE"""),4.0)</f>
        <v>4</v>
      </c>
      <c r="I2087" s="9"/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</row>
    <row r="2088" ht="15.75" customHeight="1">
      <c r="A2088" s="11">
        <f>IFERROR(__xludf.DUMMYFUNCTION("""COMPUTED_VALUE"""),44471.0)</f>
        <v>44471</v>
      </c>
      <c r="B2088" s="9">
        <f>IFERROR(__xludf.DUMMYFUNCTION("""COMPUTED_VALUE"""),1003572.0)</f>
        <v>1003572</v>
      </c>
      <c r="C2088" s="9">
        <f>IFERROR(__xludf.DUMMYFUNCTION("""COMPUTED_VALUE"""),121500.0)</f>
        <v>121500</v>
      </c>
      <c r="D2088" s="9"/>
      <c r="E2088" s="10" t="str">
        <f>IFERROR(__xludf.DUMMYFUNCTION("""COMPUTED_VALUE"""),"GREENRELAIS")</f>
        <v>GREENRELAIS</v>
      </c>
      <c r="F2088" s="10">
        <f>IFERROR(__xludf.DUMMYFUNCTION("""COMPUTED_VALUE"""),18.82)</f>
        <v>18.82</v>
      </c>
      <c r="G2088" s="9">
        <f>IFERROR(__xludf.DUMMYFUNCTION("""COMPUTED_VALUE"""),18.82)</f>
        <v>18.82</v>
      </c>
      <c r="H2088" s="9">
        <f>IFERROR(__xludf.DUMMYFUNCTION("""COMPUTED_VALUE"""),15.0)</f>
        <v>15</v>
      </c>
      <c r="I2088" s="9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</row>
    <row r="2089" ht="15.75" customHeight="1">
      <c r="A2089" s="11">
        <f>IFERROR(__xludf.DUMMYFUNCTION("""COMPUTED_VALUE"""),44471.0)</f>
        <v>44471</v>
      </c>
      <c r="B2089" s="9">
        <f>IFERROR(__xludf.DUMMYFUNCTION("""COMPUTED_VALUE"""),1003573.0)</f>
        <v>1003573</v>
      </c>
      <c r="C2089" s="9">
        <f>IFERROR(__xludf.DUMMYFUNCTION("""COMPUTED_VALUE"""),103663.0)</f>
        <v>103663</v>
      </c>
      <c r="D2089" s="9"/>
      <c r="E2089" s="10" t="str">
        <f>IFERROR(__xludf.DUMMYFUNCTION("""COMPUTED_VALUE"""),"GREENRELAIS")</f>
        <v>GREENRELAIS</v>
      </c>
      <c r="F2089" s="10">
        <f>IFERROR(__xludf.DUMMYFUNCTION("""COMPUTED_VALUE"""),14.16)</f>
        <v>14.16</v>
      </c>
      <c r="G2089" s="9">
        <f>IFERROR(__xludf.DUMMYFUNCTION("""COMPUTED_VALUE"""),14.16)</f>
        <v>14.16</v>
      </c>
      <c r="H2089" s="9">
        <f>IFERROR(__xludf.DUMMYFUNCTION("""COMPUTED_VALUE"""),1.0)</f>
        <v>1</v>
      </c>
      <c r="I2089" s="9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</row>
    <row r="2090" ht="15.75" customHeight="1">
      <c r="A2090" s="11">
        <f>IFERROR(__xludf.DUMMYFUNCTION("""COMPUTED_VALUE"""),44471.0)</f>
        <v>44471</v>
      </c>
      <c r="B2090" s="9">
        <f>IFERROR(__xludf.DUMMYFUNCTION("""COMPUTED_VALUE"""),1003573.0)</f>
        <v>1003573</v>
      </c>
      <c r="C2090" s="9">
        <f>IFERROR(__xludf.DUMMYFUNCTION("""COMPUTED_VALUE"""),103665.0)</f>
        <v>103665</v>
      </c>
      <c r="D2090" s="9"/>
      <c r="E2090" s="10" t="str">
        <f>IFERROR(__xludf.DUMMYFUNCTION("""COMPUTED_VALUE"""),"GREENRELAIS")</f>
        <v>GREENRELAIS</v>
      </c>
      <c r="F2090" s="10">
        <f>IFERROR(__xludf.DUMMYFUNCTION("""COMPUTED_VALUE"""),14.16)</f>
        <v>14.16</v>
      </c>
      <c r="G2090" s="9">
        <f>IFERROR(__xludf.DUMMYFUNCTION("""COMPUTED_VALUE"""),14.16)</f>
        <v>14.16</v>
      </c>
      <c r="H2090" s="9">
        <f>IFERROR(__xludf.DUMMYFUNCTION("""COMPUTED_VALUE"""),1.0)</f>
        <v>1</v>
      </c>
      <c r="I2090" s="9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</row>
    <row r="2091" ht="15.75" customHeight="1">
      <c r="A2091" s="11">
        <f>IFERROR(__xludf.DUMMYFUNCTION("""COMPUTED_VALUE"""),44471.0)</f>
        <v>44471</v>
      </c>
      <c r="B2091" s="9">
        <f>IFERROR(__xludf.DUMMYFUNCTION("""COMPUTED_VALUE"""),1003573.0)</f>
        <v>1003573</v>
      </c>
      <c r="C2091" s="9">
        <f>IFERROR(__xludf.DUMMYFUNCTION("""COMPUTED_VALUE"""),24203.0)</f>
        <v>24203</v>
      </c>
      <c r="D2091" s="9"/>
      <c r="E2091" s="10" t="str">
        <f>IFERROR(__xludf.DUMMYFUNCTION("""COMPUTED_VALUE"""),"GREENRELAIS")</f>
        <v>GREENRELAIS</v>
      </c>
      <c r="F2091" s="10">
        <f>IFERROR(__xludf.DUMMYFUNCTION("""COMPUTED_VALUE"""),12.38)</f>
        <v>12.38</v>
      </c>
      <c r="G2091" s="9">
        <f>IFERROR(__xludf.DUMMYFUNCTION("""COMPUTED_VALUE"""),12.38)</f>
        <v>12.38</v>
      </c>
      <c r="H2091" s="9">
        <f>IFERROR(__xludf.DUMMYFUNCTION("""COMPUTED_VALUE"""),4.0)</f>
        <v>4</v>
      </c>
      <c r="I2091" s="9"/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</row>
    <row r="2092" ht="15.75" customHeight="1">
      <c r="A2092" s="11">
        <f>IFERROR(__xludf.DUMMYFUNCTION("""COMPUTED_VALUE"""),44471.0)</f>
        <v>44471</v>
      </c>
      <c r="B2092" s="9">
        <f>IFERROR(__xludf.DUMMYFUNCTION("""COMPUTED_VALUE"""),1003573.0)</f>
        <v>1003573</v>
      </c>
      <c r="C2092" s="9">
        <f>IFERROR(__xludf.DUMMYFUNCTION("""COMPUTED_VALUE"""),18115.0)</f>
        <v>18115</v>
      </c>
      <c r="D2092" s="9"/>
      <c r="E2092" s="10" t="str">
        <f>IFERROR(__xludf.DUMMYFUNCTION("""COMPUTED_VALUE"""),"GREENRELAIS")</f>
        <v>GREENRELAIS</v>
      </c>
      <c r="F2092" s="10">
        <f>IFERROR(__xludf.DUMMYFUNCTION("""COMPUTED_VALUE"""),15.17)</f>
        <v>15.17</v>
      </c>
      <c r="G2092" s="9">
        <f>IFERROR(__xludf.DUMMYFUNCTION("""COMPUTED_VALUE"""),15.17)</f>
        <v>15.17</v>
      </c>
      <c r="H2092" s="9">
        <f>IFERROR(__xludf.DUMMYFUNCTION("""COMPUTED_VALUE"""),4.0)</f>
        <v>4</v>
      </c>
      <c r="I2092" s="9"/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</row>
    <row r="2093" ht="15.75" customHeight="1">
      <c r="A2093" s="11">
        <f>IFERROR(__xludf.DUMMYFUNCTION("""COMPUTED_VALUE"""),44471.0)</f>
        <v>44471</v>
      </c>
      <c r="B2093" s="9">
        <f>IFERROR(__xludf.DUMMYFUNCTION("""COMPUTED_VALUE"""),1003574.0)</f>
        <v>1003574</v>
      </c>
      <c r="C2093" s="9">
        <f>IFERROR(__xludf.DUMMYFUNCTION("""COMPUTED_VALUE"""),70495.0)</f>
        <v>70495</v>
      </c>
      <c r="D2093" s="9"/>
      <c r="E2093" s="10" t="str">
        <f>IFERROR(__xludf.DUMMYFUNCTION("""COMPUTED_VALUE"""),"PREMIERE")</f>
        <v>PREMIERE</v>
      </c>
      <c r="F2093" s="10">
        <f>IFERROR(__xludf.DUMMYFUNCTION("""COMPUTED_VALUE"""),13.04)</f>
        <v>13.04</v>
      </c>
      <c r="G2093" s="9">
        <f>IFERROR(__xludf.DUMMYFUNCTION("""COMPUTED_VALUE"""),13.04)</f>
        <v>13.04</v>
      </c>
      <c r="H2093" s="9">
        <f>IFERROR(__xludf.DUMMYFUNCTION("""COMPUTED_VALUE"""),1.0)</f>
        <v>1</v>
      </c>
      <c r="I2093" s="9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</row>
    <row r="2094" ht="15.75" customHeight="1">
      <c r="A2094" s="11">
        <f>IFERROR(__xludf.DUMMYFUNCTION("""COMPUTED_VALUE"""),44471.0)</f>
        <v>44471</v>
      </c>
      <c r="B2094" s="9">
        <f>IFERROR(__xludf.DUMMYFUNCTION("""COMPUTED_VALUE"""),1003574.0)</f>
        <v>1003574</v>
      </c>
      <c r="C2094" s="9">
        <f>IFERROR(__xludf.DUMMYFUNCTION("""COMPUTED_VALUE"""),103599.0)</f>
        <v>103599</v>
      </c>
      <c r="D2094" s="9"/>
      <c r="E2094" s="10" t="str">
        <f>IFERROR(__xludf.DUMMYFUNCTION("""COMPUTED_VALUE"""),"PREMIERE")</f>
        <v>PREMIERE</v>
      </c>
      <c r="F2094" s="10">
        <f>IFERROR(__xludf.DUMMYFUNCTION("""COMPUTED_VALUE"""),2.14)</f>
        <v>2.14</v>
      </c>
      <c r="G2094" s="9">
        <f>IFERROR(__xludf.DUMMYFUNCTION("""COMPUTED_VALUE"""),2.14)</f>
        <v>2.14</v>
      </c>
      <c r="H2094" s="9">
        <f>IFERROR(__xludf.DUMMYFUNCTION("""COMPUTED_VALUE"""),1.0)</f>
        <v>1</v>
      </c>
      <c r="I2094" s="9"/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</row>
    <row r="2095" ht="15.75" customHeight="1">
      <c r="A2095" s="11">
        <f>IFERROR(__xludf.DUMMYFUNCTION("""COMPUTED_VALUE"""),44471.0)</f>
        <v>44471</v>
      </c>
      <c r="B2095" s="9">
        <f>IFERROR(__xludf.DUMMYFUNCTION("""COMPUTED_VALUE"""),1003574.0)</f>
        <v>1003574</v>
      </c>
      <c r="C2095" s="9">
        <f>IFERROR(__xludf.DUMMYFUNCTION("""COMPUTED_VALUE"""),118250.0)</f>
        <v>118250</v>
      </c>
      <c r="D2095" s="9"/>
      <c r="E2095" s="10" t="str">
        <f>IFERROR(__xludf.DUMMYFUNCTION("""COMPUTED_VALUE"""),"PREMIERE")</f>
        <v>PREMIERE</v>
      </c>
      <c r="F2095" s="10">
        <f>IFERROR(__xludf.DUMMYFUNCTION("""COMPUTED_VALUE"""),19.24)</f>
        <v>19.24</v>
      </c>
      <c r="G2095" s="9">
        <f>IFERROR(__xludf.DUMMYFUNCTION("""COMPUTED_VALUE"""),19.24)</f>
        <v>19.24</v>
      </c>
      <c r="H2095" s="9">
        <f>IFERROR(__xludf.DUMMYFUNCTION("""COMPUTED_VALUE"""),3.0)</f>
        <v>3</v>
      </c>
      <c r="I2095" s="9"/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</row>
    <row r="2096" ht="15.75" customHeight="1">
      <c r="A2096" s="11">
        <f>IFERROR(__xludf.DUMMYFUNCTION("""COMPUTED_VALUE"""),44471.0)</f>
        <v>44471</v>
      </c>
      <c r="B2096" s="9">
        <f>IFERROR(__xludf.DUMMYFUNCTION("""COMPUTED_VALUE"""),1003575.0)</f>
        <v>1003575</v>
      </c>
      <c r="C2096" s="9">
        <f>IFERROR(__xludf.DUMMYFUNCTION("""COMPUTED_VALUE"""),103073.0)</f>
        <v>103073</v>
      </c>
      <c r="D2096" s="9"/>
      <c r="E2096" s="9"/>
      <c r="F2096" s="9">
        <f>IFERROR(__xludf.DUMMYFUNCTION("""COMPUTED_VALUE"""),2.88)</f>
        <v>2.88</v>
      </c>
      <c r="G2096" s="9">
        <f>IFERROR(__xludf.DUMMYFUNCTION("""COMPUTED_VALUE"""),2.88)</f>
        <v>2.88</v>
      </c>
      <c r="H2096" s="9">
        <f>IFERROR(__xludf.DUMMYFUNCTION("""COMPUTED_VALUE"""),1.0)</f>
        <v>1</v>
      </c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</row>
    <row r="2097" ht="15.75" customHeight="1">
      <c r="A2097" s="11">
        <f>IFERROR(__xludf.DUMMYFUNCTION("""COMPUTED_VALUE"""),44471.0)</f>
        <v>44471</v>
      </c>
      <c r="B2097" s="9">
        <f>IFERROR(__xludf.DUMMYFUNCTION("""COMPUTED_VALUE"""),1003575.0)</f>
        <v>1003575</v>
      </c>
      <c r="C2097" s="9">
        <f>IFERROR(__xludf.DUMMYFUNCTION("""COMPUTED_VALUE"""),19337.0)</f>
        <v>19337</v>
      </c>
      <c r="D2097" s="9"/>
      <c r="E2097" s="9"/>
      <c r="F2097" s="9">
        <f>IFERROR(__xludf.DUMMYFUNCTION("""COMPUTED_VALUE"""),1.95)</f>
        <v>1.95</v>
      </c>
      <c r="G2097" s="9">
        <f>IFERROR(__xludf.DUMMYFUNCTION("""COMPUTED_VALUE"""),1.95)</f>
        <v>1.95</v>
      </c>
      <c r="H2097" s="9">
        <f>IFERROR(__xludf.DUMMYFUNCTION("""COMPUTED_VALUE"""),1.0)</f>
        <v>1</v>
      </c>
      <c r="I2097" s="9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</row>
    <row r="2098" ht="15.75" customHeight="1">
      <c r="A2098" s="11">
        <f>IFERROR(__xludf.DUMMYFUNCTION("""COMPUTED_VALUE"""),44471.0)</f>
        <v>44471</v>
      </c>
      <c r="B2098" s="9">
        <f>IFERROR(__xludf.DUMMYFUNCTION("""COMPUTED_VALUE"""),1003576.0)</f>
        <v>1003576</v>
      </c>
      <c r="C2098" s="9">
        <f>IFERROR(__xludf.DUMMYFUNCTION("""COMPUTED_VALUE"""),5588.0)</f>
        <v>5588</v>
      </c>
      <c r="D2098" s="9"/>
      <c r="E2098" s="9"/>
      <c r="F2098" s="9">
        <f>IFERROR(__xludf.DUMMYFUNCTION("""COMPUTED_VALUE"""),4.81)</f>
        <v>4.81</v>
      </c>
      <c r="G2098" s="9">
        <f>IFERROR(__xludf.DUMMYFUNCTION("""COMPUTED_VALUE"""),4.81)</f>
        <v>4.81</v>
      </c>
      <c r="H2098" s="9">
        <f>IFERROR(__xludf.DUMMYFUNCTION("""COMPUTED_VALUE"""),1.0)</f>
        <v>1</v>
      </c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</row>
    <row r="2099" ht="15.75" customHeight="1">
      <c r="A2099" s="11">
        <f>IFERROR(__xludf.DUMMYFUNCTION("""COMPUTED_VALUE"""),44471.0)</f>
        <v>44471</v>
      </c>
      <c r="B2099" s="9">
        <f>IFERROR(__xludf.DUMMYFUNCTION("""COMPUTED_VALUE"""),1003576.0)</f>
        <v>1003576</v>
      </c>
      <c r="C2099" s="9">
        <f>IFERROR(__xludf.DUMMYFUNCTION("""COMPUTED_VALUE"""),90906.0)</f>
        <v>90906</v>
      </c>
      <c r="D2099" s="10" t="str">
        <f>IFERROR(__xludf.DUMMYFUNCTION("""COMPUTED_VALUE"""),"Offre speciale")</f>
        <v>Offre speciale</v>
      </c>
      <c r="E2099" s="10"/>
      <c r="F2099" s="9">
        <f>IFERROR(__xludf.DUMMYFUNCTION("""COMPUTED_VALUE"""),3.2840909090909)</f>
        <v>3.284090909</v>
      </c>
      <c r="G2099" s="9">
        <f>IFERROR(__xludf.DUMMYFUNCTION("""COMPUTED_VALUE"""),2.89)</f>
        <v>2.89</v>
      </c>
      <c r="H2099" s="9">
        <f>IFERROR(__xludf.DUMMYFUNCTION("""COMPUTED_VALUE"""),1.0)</f>
        <v>1</v>
      </c>
      <c r="I2099" s="9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</row>
    <row r="2100" ht="15.75" customHeight="1">
      <c r="A2100" s="11">
        <f>IFERROR(__xludf.DUMMYFUNCTION("""COMPUTED_VALUE"""),44471.0)</f>
        <v>44471</v>
      </c>
      <c r="B2100" s="9">
        <f>IFERROR(__xludf.DUMMYFUNCTION("""COMPUTED_VALUE"""),1003576.0)</f>
        <v>1003576</v>
      </c>
      <c r="C2100" s="9">
        <f>IFERROR(__xludf.DUMMYFUNCTION("""COMPUTED_VALUE"""),5600.0)</f>
        <v>5600</v>
      </c>
      <c r="D2100" s="10" t="str">
        <f>IFERROR(__xludf.DUMMYFUNCTION("""COMPUTED_VALUE"""),"Vive le bio")</f>
        <v>Vive le bio</v>
      </c>
      <c r="E2100" s="10"/>
      <c r="F2100" s="9">
        <f>IFERROR(__xludf.DUMMYFUNCTION("""COMPUTED_VALUE"""),2.54444444444444)</f>
        <v>2.544444444</v>
      </c>
      <c r="G2100" s="9">
        <f>IFERROR(__xludf.DUMMYFUNCTION("""COMPUTED_VALUE"""),2.29)</f>
        <v>2.29</v>
      </c>
      <c r="H2100" s="9">
        <f>IFERROR(__xludf.DUMMYFUNCTION("""COMPUTED_VALUE"""),1.0)</f>
        <v>1</v>
      </c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</row>
    <row r="2101" ht="15.75" customHeight="1">
      <c r="A2101" s="11">
        <f>IFERROR(__xludf.DUMMYFUNCTION("""COMPUTED_VALUE"""),44471.0)</f>
        <v>44471</v>
      </c>
      <c r="B2101" s="9">
        <f>IFERROR(__xludf.DUMMYFUNCTION("""COMPUTED_VALUE"""),1003576.0)</f>
        <v>1003576</v>
      </c>
      <c r="C2101" s="9">
        <f>IFERROR(__xludf.DUMMYFUNCTION("""COMPUTED_VALUE"""),122846.0)</f>
        <v>122846</v>
      </c>
      <c r="D2101" s="10" t="str">
        <f>IFERROR(__xludf.DUMMYFUNCTION("""COMPUTED_VALUE"""),"Vive le bio")</f>
        <v>Vive le bio</v>
      </c>
      <c r="E2101" s="10"/>
      <c r="F2101" s="9">
        <f>IFERROR(__xludf.DUMMYFUNCTION("""COMPUTED_VALUE"""),4.35555555555555)</f>
        <v>4.355555556</v>
      </c>
      <c r="G2101" s="9">
        <f>IFERROR(__xludf.DUMMYFUNCTION("""COMPUTED_VALUE"""),3.92)</f>
        <v>3.92</v>
      </c>
      <c r="H2101" s="9">
        <f>IFERROR(__xludf.DUMMYFUNCTION("""COMPUTED_VALUE"""),1.0)</f>
        <v>1</v>
      </c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</row>
    <row r="2102" ht="15.75" customHeight="1">
      <c r="A2102" s="11">
        <f>IFERROR(__xludf.DUMMYFUNCTION("""COMPUTED_VALUE"""),44471.0)</f>
        <v>44471</v>
      </c>
      <c r="B2102" s="9">
        <f>IFERROR(__xludf.DUMMYFUNCTION("""COMPUTED_VALUE"""),1003576.0)</f>
        <v>1003576</v>
      </c>
      <c r="C2102" s="9">
        <f>IFERROR(__xludf.DUMMYFUNCTION("""COMPUTED_VALUE"""),5584.0)</f>
        <v>5584</v>
      </c>
      <c r="D2102" s="9"/>
      <c r="E2102" s="9"/>
      <c r="F2102" s="9">
        <f>IFERROR(__xludf.DUMMYFUNCTION("""COMPUTED_VALUE"""),4.74)</f>
        <v>4.74</v>
      </c>
      <c r="G2102" s="9">
        <f>IFERROR(__xludf.DUMMYFUNCTION("""COMPUTED_VALUE"""),4.74)</f>
        <v>4.74</v>
      </c>
      <c r="H2102" s="9">
        <f>IFERROR(__xludf.DUMMYFUNCTION("""COMPUTED_VALUE"""),1.0)</f>
        <v>1</v>
      </c>
      <c r="I2102" s="9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</row>
    <row r="2103" ht="15.75" customHeight="1">
      <c r="A2103" s="11">
        <f>IFERROR(__xludf.DUMMYFUNCTION("""COMPUTED_VALUE"""),44471.0)</f>
        <v>44471</v>
      </c>
      <c r="B2103" s="9">
        <f>IFERROR(__xludf.DUMMYFUNCTION("""COMPUTED_VALUE"""),1003576.0)</f>
        <v>1003576</v>
      </c>
      <c r="C2103" s="9">
        <f>IFERROR(__xludf.DUMMYFUNCTION("""COMPUTED_VALUE"""),90883.0)</f>
        <v>90883</v>
      </c>
      <c r="D2103" s="9"/>
      <c r="E2103" s="9"/>
      <c r="F2103" s="9">
        <f>IFERROR(__xludf.DUMMYFUNCTION("""COMPUTED_VALUE"""),7.83)</f>
        <v>7.83</v>
      </c>
      <c r="G2103" s="9">
        <f>IFERROR(__xludf.DUMMYFUNCTION("""COMPUTED_VALUE"""),7.83)</f>
        <v>7.83</v>
      </c>
      <c r="H2103" s="9">
        <f>IFERROR(__xludf.DUMMYFUNCTION("""COMPUTED_VALUE"""),3.0)</f>
        <v>3</v>
      </c>
      <c r="I2103" s="9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</row>
    <row r="2104" ht="15.75" customHeight="1">
      <c r="A2104" s="11">
        <f>IFERROR(__xludf.DUMMYFUNCTION("""COMPUTED_VALUE"""),44471.0)</f>
        <v>44471</v>
      </c>
      <c r="B2104" s="9">
        <f>IFERROR(__xludf.DUMMYFUNCTION("""COMPUTED_VALUE"""),1003576.0)</f>
        <v>1003576</v>
      </c>
      <c r="C2104" s="9">
        <f>IFERROR(__xludf.DUMMYFUNCTION("""COMPUTED_VALUE"""),103590.0)</f>
        <v>103590</v>
      </c>
      <c r="D2104" s="10" t="str">
        <f>IFERROR(__xludf.DUMMYFUNCTION("""COMPUTED_VALUE"""),"Love &amp; Green Couches et Culottes sept 2021")</f>
        <v>Love &amp; Green Couches et Culottes sept 2021</v>
      </c>
      <c r="E2104" s="10"/>
      <c r="F2104" s="9">
        <f>IFERROR(__xludf.DUMMYFUNCTION("""COMPUTED_VALUE"""),124.042857142857)</f>
        <v>124.0428571</v>
      </c>
      <c r="G2104" s="9">
        <f>IFERROR(__xludf.DUMMYFUNCTION("""COMPUTED_VALUE"""),86.83)</f>
        <v>86.83</v>
      </c>
      <c r="H2104" s="9">
        <f>IFERROR(__xludf.DUMMYFUNCTION("""COMPUTED_VALUE"""),8.0)</f>
        <v>8</v>
      </c>
      <c r="I2104" s="9"/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</row>
    <row r="2105" ht="15.75" customHeight="1">
      <c r="A2105" s="11">
        <f>IFERROR(__xludf.DUMMYFUNCTION("""COMPUTED_VALUE"""),44471.0)</f>
        <v>44471</v>
      </c>
      <c r="B2105" s="9">
        <f>IFERROR(__xludf.DUMMYFUNCTION("""COMPUTED_VALUE"""),1003576.0)</f>
        <v>1003576</v>
      </c>
      <c r="C2105" s="9">
        <f>IFERROR(__xludf.DUMMYFUNCTION("""COMPUTED_VALUE"""),111605.0)</f>
        <v>111605</v>
      </c>
      <c r="D2105" s="10" t="str">
        <f>IFERROR(__xludf.DUMMYFUNCTION("""COMPUTED_VALUE"""),"DLC courtes")</f>
        <v>DLC courtes</v>
      </c>
      <c r="E2105" s="10"/>
      <c r="F2105" s="9">
        <f>IFERROR(__xludf.DUMMYFUNCTION("""COMPUTED_VALUE"""),27.8142857142857)</f>
        <v>27.81428571</v>
      </c>
      <c r="G2105" s="9">
        <f>IFERROR(__xludf.DUMMYFUNCTION("""COMPUTED_VALUE"""),19.47)</f>
        <v>19.47</v>
      </c>
      <c r="H2105" s="9">
        <f>IFERROR(__xludf.DUMMYFUNCTION("""COMPUTED_VALUE"""),15.0)</f>
        <v>15</v>
      </c>
      <c r="I2105" s="9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</row>
    <row r="2106" ht="15.75" customHeight="1">
      <c r="A2106" s="11">
        <f>IFERROR(__xludf.DUMMYFUNCTION("""COMPUTED_VALUE"""),44471.0)</f>
        <v>44471</v>
      </c>
      <c r="B2106" s="9">
        <f>IFERROR(__xludf.DUMMYFUNCTION("""COMPUTED_VALUE"""),1003577.0)</f>
        <v>1003577</v>
      </c>
      <c r="C2106" s="9">
        <f>IFERROR(__xludf.DUMMYFUNCTION("""COMPUTED_VALUE"""),117967.0)</f>
        <v>117967</v>
      </c>
      <c r="D2106" s="9"/>
      <c r="E2106" s="10" t="str">
        <f>IFERROR(__xludf.DUMMYFUNCTION("""COMPUTED_VALUE"""),"PREMIERE")</f>
        <v>PREMIERE</v>
      </c>
      <c r="F2106" s="10">
        <f>IFERROR(__xludf.DUMMYFUNCTION("""COMPUTED_VALUE"""),13.58)</f>
        <v>13.58</v>
      </c>
      <c r="G2106" s="9">
        <f>IFERROR(__xludf.DUMMYFUNCTION("""COMPUTED_VALUE"""),13.58)</f>
        <v>13.58</v>
      </c>
      <c r="H2106" s="9">
        <f>IFERROR(__xludf.DUMMYFUNCTION("""COMPUTED_VALUE"""),1.0)</f>
        <v>1</v>
      </c>
      <c r="I2106" s="9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</row>
    <row r="2107" ht="15.75" customHeight="1">
      <c r="A2107" s="11">
        <f>IFERROR(__xludf.DUMMYFUNCTION("""COMPUTED_VALUE"""),44471.0)</f>
        <v>44471</v>
      </c>
      <c r="B2107" s="9">
        <f>IFERROR(__xludf.DUMMYFUNCTION("""COMPUTED_VALUE"""),1003577.0)</f>
        <v>1003577</v>
      </c>
      <c r="C2107" s="9">
        <f>IFERROR(__xludf.DUMMYFUNCTION("""COMPUTED_VALUE"""),111204.0)</f>
        <v>111204</v>
      </c>
      <c r="D2107" s="10" t="str">
        <f>IFERROR(__xludf.DUMMYFUNCTION("""COMPUTED_VALUE"""),"Vive le bio")</f>
        <v>Vive le bio</v>
      </c>
      <c r="E2107" s="10" t="str">
        <f>IFERROR(__xludf.DUMMYFUNCTION("""COMPUTED_VALUE"""),"PREMIERE")</f>
        <v>PREMIERE</v>
      </c>
      <c r="F2107" s="10">
        <f>IFERROR(__xludf.DUMMYFUNCTION("""COMPUTED_VALUE"""),5.91111111111111)</f>
        <v>5.911111111</v>
      </c>
      <c r="G2107" s="9">
        <f>IFERROR(__xludf.DUMMYFUNCTION("""COMPUTED_VALUE"""),5.32)</f>
        <v>5.32</v>
      </c>
      <c r="H2107" s="9">
        <f>IFERROR(__xludf.DUMMYFUNCTION("""COMPUTED_VALUE"""),1.0)</f>
        <v>1</v>
      </c>
      <c r="I2107" s="9"/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</row>
    <row r="2108" ht="15.75" customHeight="1">
      <c r="A2108" s="11">
        <f>IFERROR(__xludf.DUMMYFUNCTION("""COMPUTED_VALUE"""),44471.0)</f>
        <v>44471</v>
      </c>
      <c r="B2108" s="9">
        <f>IFERROR(__xludf.DUMMYFUNCTION("""COMPUTED_VALUE"""),1003577.0)</f>
        <v>1003577</v>
      </c>
      <c r="C2108" s="9">
        <f>IFERROR(__xludf.DUMMYFUNCTION("""COMPUTED_VALUE"""),122026.0)</f>
        <v>122026</v>
      </c>
      <c r="D2108" s="10" t="str">
        <f>IFERROR(__xludf.DUMMYFUNCTION("""COMPUTED_VALUE"""),"Love &amp; Green Couches et Culottes sept 2021")</f>
        <v>Love &amp; Green Couches et Culottes sept 2021</v>
      </c>
      <c r="E2108" s="10" t="str">
        <f>IFERROR(__xludf.DUMMYFUNCTION("""COMPUTED_VALUE"""),"PREMIERE")</f>
        <v>PREMIERE</v>
      </c>
      <c r="F2108" s="10">
        <f>IFERROR(__xludf.DUMMYFUNCTION("""COMPUTED_VALUE"""),10.0142857142857)</f>
        <v>10.01428571</v>
      </c>
      <c r="G2108" s="9">
        <f>IFERROR(__xludf.DUMMYFUNCTION("""COMPUTED_VALUE"""),7.01)</f>
        <v>7.01</v>
      </c>
      <c r="H2108" s="9">
        <f>IFERROR(__xludf.DUMMYFUNCTION("""COMPUTED_VALUE"""),1.0)</f>
        <v>1</v>
      </c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</row>
    <row r="2109" ht="15.75" customHeight="1">
      <c r="A2109" s="11">
        <f>IFERROR(__xludf.DUMMYFUNCTION("""COMPUTED_VALUE"""),44471.0)</f>
        <v>44471</v>
      </c>
      <c r="B2109" s="9">
        <f>IFERROR(__xludf.DUMMYFUNCTION("""COMPUTED_VALUE"""),1003577.0)</f>
        <v>1003577</v>
      </c>
      <c r="C2109" s="9">
        <f>IFERROR(__xludf.DUMMYFUNCTION("""COMPUTED_VALUE"""),122029.0)</f>
        <v>122029</v>
      </c>
      <c r="D2109" s="10" t="str">
        <f>IFERROR(__xludf.DUMMYFUNCTION("""COMPUTED_VALUE"""),"Love &amp; Green Couches et Culottes sept 2021")</f>
        <v>Love &amp; Green Couches et Culottes sept 2021</v>
      </c>
      <c r="E2109" s="10" t="str">
        <f>IFERROR(__xludf.DUMMYFUNCTION("""COMPUTED_VALUE"""),"PREMIERE")</f>
        <v>PREMIERE</v>
      </c>
      <c r="F2109" s="10">
        <f>IFERROR(__xludf.DUMMYFUNCTION("""COMPUTED_VALUE"""),12.6857142857142)</f>
        <v>12.68571429</v>
      </c>
      <c r="G2109" s="9">
        <f>IFERROR(__xludf.DUMMYFUNCTION("""COMPUTED_VALUE"""),8.88)</f>
        <v>8.88</v>
      </c>
      <c r="H2109" s="9">
        <f>IFERROR(__xludf.DUMMYFUNCTION("""COMPUTED_VALUE"""),1.0)</f>
        <v>1</v>
      </c>
      <c r="I2109" s="9"/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</row>
    <row r="2110" ht="15.75" customHeight="1">
      <c r="A2110" s="11">
        <f>IFERROR(__xludf.DUMMYFUNCTION("""COMPUTED_VALUE"""),44471.0)</f>
        <v>44471</v>
      </c>
      <c r="B2110" s="9">
        <f>IFERROR(__xludf.DUMMYFUNCTION("""COMPUTED_VALUE"""),1003577.0)</f>
        <v>1003577</v>
      </c>
      <c r="C2110" s="9">
        <f>IFERROR(__xludf.DUMMYFUNCTION("""COMPUTED_VALUE"""),110409.0)</f>
        <v>110409</v>
      </c>
      <c r="D2110" s="9"/>
      <c r="E2110" s="10" t="str">
        <f>IFERROR(__xludf.DUMMYFUNCTION("""COMPUTED_VALUE"""),"PREMIERE")</f>
        <v>PREMIERE</v>
      </c>
      <c r="F2110" s="10">
        <f>IFERROR(__xludf.DUMMYFUNCTION("""COMPUTED_VALUE"""),9.58)</f>
        <v>9.58</v>
      </c>
      <c r="G2110" s="9">
        <f>IFERROR(__xludf.DUMMYFUNCTION("""COMPUTED_VALUE"""),9.58)</f>
        <v>9.58</v>
      </c>
      <c r="H2110" s="9">
        <f>IFERROR(__xludf.DUMMYFUNCTION("""COMPUTED_VALUE"""),3.0)</f>
        <v>3</v>
      </c>
      <c r="I2110" s="9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</row>
    <row r="2111" ht="15.75" customHeight="1">
      <c r="A2111" s="11">
        <f>IFERROR(__xludf.DUMMYFUNCTION("""COMPUTED_VALUE"""),44471.0)</f>
        <v>44471</v>
      </c>
      <c r="B2111" s="9">
        <f>IFERROR(__xludf.DUMMYFUNCTION("""COMPUTED_VALUE"""),1003577.0)</f>
        <v>1003577</v>
      </c>
      <c r="C2111" s="9">
        <f>IFERROR(__xludf.DUMMYFUNCTION("""COMPUTED_VALUE"""),101323.0)</f>
        <v>101323</v>
      </c>
      <c r="D2111" s="10" t="str">
        <f>IFERROR(__xludf.DUMMYFUNCTION("""COMPUTED_VALUE"""),"Carryboo soin bebe 2021")</f>
        <v>Carryboo soin bebe 2021</v>
      </c>
      <c r="E2111" s="10" t="str">
        <f>IFERROR(__xludf.DUMMYFUNCTION("""COMPUTED_VALUE"""),"PREMIERE")</f>
        <v>PREMIERE</v>
      </c>
      <c r="F2111" s="10">
        <f>IFERROR(__xludf.DUMMYFUNCTION("""COMPUTED_VALUE"""),3.02666666666666)</f>
        <v>3.026666667</v>
      </c>
      <c r="G2111" s="9">
        <f>IFERROR(__xludf.DUMMYFUNCTION("""COMPUTED_VALUE"""),2.27)</f>
        <v>2.27</v>
      </c>
      <c r="H2111" s="9">
        <f>IFERROR(__xludf.DUMMYFUNCTION("""COMPUTED_VALUE"""),3.0)</f>
        <v>3</v>
      </c>
      <c r="I2111" s="9"/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</row>
    <row r="2112" ht="15.75" customHeight="1">
      <c r="A2112" s="11">
        <f>IFERROR(__xludf.DUMMYFUNCTION("""COMPUTED_VALUE"""),44471.0)</f>
        <v>44471</v>
      </c>
      <c r="B2112" s="9">
        <f>IFERROR(__xludf.DUMMYFUNCTION("""COMPUTED_VALUE"""),1003578.0)</f>
        <v>1003578</v>
      </c>
      <c r="C2112" s="9">
        <f>IFERROR(__xludf.DUMMYFUNCTION("""COMPUTED_VALUE"""),149615.0)</f>
        <v>149615</v>
      </c>
      <c r="D2112" s="9"/>
      <c r="E2112" s="10" t="str">
        <f>IFERROR(__xludf.DUMMYFUNCTION("""COMPUTED_VALUE"""),"GREENRELAIS")</f>
        <v>GREENRELAIS</v>
      </c>
      <c r="F2112" s="10">
        <f>IFERROR(__xludf.DUMMYFUNCTION("""COMPUTED_VALUE"""),4.81)</f>
        <v>4.81</v>
      </c>
      <c r="G2112" s="9">
        <f>IFERROR(__xludf.DUMMYFUNCTION("""COMPUTED_VALUE"""),4.81)</f>
        <v>4.81</v>
      </c>
      <c r="H2112" s="9">
        <f>IFERROR(__xludf.DUMMYFUNCTION("""COMPUTED_VALUE"""),1.0)</f>
        <v>1</v>
      </c>
      <c r="I2112" s="9"/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</row>
    <row r="2113" ht="15.75" customHeight="1">
      <c r="A2113" s="11">
        <f>IFERROR(__xludf.DUMMYFUNCTION("""COMPUTED_VALUE"""),44471.0)</f>
        <v>44471</v>
      </c>
      <c r="B2113" s="9">
        <f>IFERROR(__xludf.DUMMYFUNCTION("""COMPUTED_VALUE"""),1003578.0)</f>
        <v>1003578</v>
      </c>
      <c r="C2113" s="9">
        <f>IFERROR(__xludf.DUMMYFUNCTION("""COMPUTED_VALUE"""),17644.0)</f>
        <v>17644</v>
      </c>
      <c r="D2113" s="9"/>
      <c r="E2113" s="10" t="str">
        <f>IFERROR(__xludf.DUMMYFUNCTION("""COMPUTED_VALUE"""),"GREENRELAIS")</f>
        <v>GREENRELAIS</v>
      </c>
      <c r="F2113" s="10">
        <f>IFERROR(__xludf.DUMMYFUNCTION("""COMPUTED_VALUE"""),4.16)</f>
        <v>4.16</v>
      </c>
      <c r="G2113" s="9">
        <f>IFERROR(__xludf.DUMMYFUNCTION("""COMPUTED_VALUE"""),4.16)</f>
        <v>4.16</v>
      </c>
      <c r="H2113" s="9">
        <f>IFERROR(__xludf.DUMMYFUNCTION("""COMPUTED_VALUE"""),1.0)</f>
        <v>1</v>
      </c>
      <c r="I2113" s="9"/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</row>
    <row r="2114" ht="15.75" customHeight="1">
      <c r="A2114" s="11">
        <f>IFERROR(__xludf.DUMMYFUNCTION("""COMPUTED_VALUE"""),44471.0)</f>
        <v>44471</v>
      </c>
      <c r="B2114" s="9">
        <f>IFERROR(__xludf.DUMMYFUNCTION("""COMPUTED_VALUE"""),1003578.0)</f>
        <v>1003578</v>
      </c>
      <c r="C2114" s="9">
        <f>IFERROR(__xludf.DUMMYFUNCTION("""COMPUTED_VALUE"""),21820.0)</f>
        <v>21820</v>
      </c>
      <c r="D2114" s="9"/>
      <c r="E2114" s="10" t="str">
        <f>IFERROR(__xludf.DUMMYFUNCTION("""COMPUTED_VALUE"""),"GREENRELAIS")</f>
        <v>GREENRELAIS</v>
      </c>
      <c r="F2114" s="10">
        <f>IFERROR(__xludf.DUMMYFUNCTION("""COMPUTED_VALUE"""),7.16)</f>
        <v>7.16</v>
      </c>
      <c r="G2114" s="9">
        <f>IFERROR(__xludf.DUMMYFUNCTION("""COMPUTED_VALUE"""),7.16)</f>
        <v>7.16</v>
      </c>
      <c r="H2114" s="9">
        <f>IFERROR(__xludf.DUMMYFUNCTION("""COMPUTED_VALUE"""),1.0)</f>
        <v>1</v>
      </c>
      <c r="I2114" s="9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</row>
    <row r="2115" ht="15.75" customHeight="1">
      <c r="A2115" s="11">
        <f>IFERROR(__xludf.DUMMYFUNCTION("""COMPUTED_VALUE"""),44471.0)</f>
        <v>44471</v>
      </c>
      <c r="B2115" s="9">
        <f>IFERROR(__xludf.DUMMYFUNCTION("""COMPUTED_VALUE"""),1003578.0)</f>
        <v>1003578</v>
      </c>
      <c r="C2115" s="9">
        <f>IFERROR(__xludf.DUMMYFUNCTION("""COMPUTED_VALUE"""),29585.0)</f>
        <v>29585</v>
      </c>
      <c r="D2115" s="9"/>
      <c r="E2115" s="10" t="str">
        <f>IFERROR(__xludf.DUMMYFUNCTION("""COMPUTED_VALUE"""),"GREENRELAIS")</f>
        <v>GREENRELAIS</v>
      </c>
      <c r="F2115" s="10">
        <f>IFERROR(__xludf.DUMMYFUNCTION("""COMPUTED_VALUE"""),4.7)</f>
        <v>4.7</v>
      </c>
      <c r="G2115" s="9">
        <f>IFERROR(__xludf.DUMMYFUNCTION("""COMPUTED_VALUE"""),4.7)</f>
        <v>4.7</v>
      </c>
      <c r="H2115" s="9">
        <f>IFERROR(__xludf.DUMMYFUNCTION("""COMPUTED_VALUE"""),1.0)</f>
        <v>1</v>
      </c>
      <c r="I2115" s="9"/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</row>
    <row r="2116" ht="15.75" customHeight="1">
      <c r="A2116" s="11">
        <f>IFERROR(__xludf.DUMMYFUNCTION("""COMPUTED_VALUE"""),44471.0)</f>
        <v>44471</v>
      </c>
      <c r="B2116" s="9">
        <f>IFERROR(__xludf.DUMMYFUNCTION("""COMPUTED_VALUE"""),1003578.0)</f>
        <v>1003578</v>
      </c>
      <c r="C2116" s="9">
        <f>IFERROR(__xludf.DUMMYFUNCTION("""COMPUTED_VALUE"""),49108.0)</f>
        <v>49108</v>
      </c>
      <c r="D2116" s="9"/>
      <c r="E2116" s="10" t="str">
        <f>IFERROR(__xludf.DUMMYFUNCTION("""COMPUTED_VALUE"""),"GREENRELAIS")</f>
        <v>GREENRELAIS</v>
      </c>
      <c r="F2116" s="10">
        <f>IFERROR(__xludf.DUMMYFUNCTION("""COMPUTED_VALUE"""),3.98)</f>
        <v>3.98</v>
      </c>
      <c r="G2116" s="9">
        <f>IFERROR(__xludf.DUMMYFUNCTION("""COMPUTED_VALUE"""),3.98)</f>
        <v>3.98</v>
      </c>
      <c r="H2116" s="9">
        <f>IFERROR(__xludf.DUMMYFUNCTION("""COMPUTED_VALUE"""),1.0)</f>
        <v>1</v>
      </c>
      <c r="I2116" s="9"/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</row>
    <row r="2117" ht="15.75" customHeight="1">
      <c r="A2117" s="11">
        <f>IFERROR(__xludf.DUMMYFUNCTION("""COMPUTED_VALUE"""),44471.0)</f>
        <v>44471</v>
      </c>
      <c r="B2117" s="9">
        <f>IFERROR(__xludf.DUMMYFUNCTION("""COMPUTED_VALUE"""),1003578.0)</f>
        <v>1003578</v>
      </c>
      <c r="C2117" s="9">
        <f>IFERROR(__xludf.DUMMYFUNCTION("""COMPUTED_VALUE"""),117394.0)</f>
        <v>117394</v>
      </c>
      <c r="D2117" s="9"/>
      <c r="E2117" s="10" t="str">
        <f>IFERROR(__xludf.DUMMYFUNCTION("""COMPUTED_VALUE"""),"GREENRELAIS")</f>
        <v>GREENRELAIS</v>
      </c>
      <c r="F2117" s="10">
        <f>IFERROR(__xludf.DUMMYFUNCTION("""COMPUTED_VALUE"""),8.44)</f>
        <v>8.44</v>
      </c>
      <c r="G2117" s="9">
        <f>IFERROR(__xludf.DUMMYFUNCTION("""COMPUTED_VALUE"""),8.44)</f>
        <v>8.44</v>
      </c>
      <c r="H2117" s="9">
        <f>IFERROR(__xludf.DUMMYFUNCTION("""COMPUTED_VALUE"""),1.0)</f>
        <v>1</v>
      </c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</row>
    <row r="2118" ht="15.75" customHeight="1">
      <c r="A2118" s="11">
        <f>IFERROR(__xludf.DUMMYFUNCTION("""COMPUTED_VALUE"""),44471.0)</f>
        <v>44471</v>
      </c>
      <c r="B2118" s="9">
        <f>IFERROR(__xludf.DUMMYFUNCTION("""COMPUTED_VALUE"""),1003578.0)</f>
        <v>1003578</v>
      </c>
      <c r="C2118" s="9">
        <f>IFERROR(__xludf.DUMMYFUNCTION("""COMPUTED_VALUE"""),79315.0)</f>
        <v>79315</v>
      </c>
      <c r="D2118" s="9"/>
      <c r="E2118" s="10" t="str">
        <f>IFERROR(__xludf.DUMMYFUNCTION("""COMPUTED_VALUE"""),"GREENRELAIS")</f>
        <v>GREENRELAIS</v>
      </c>
      <c r="F2118" s="10">
        <f>IFERROR(__xludf.DUMMYFUNCTION("""COMPUTED_VALUE"""),13.64)</f>
        <v>13.64</v>
      </c>
      <c r="G2118" s="9">
        <f>IFERROR(__xludf.DUMMYFUNCTION("""COMPUTED_VALUE"""),13.64)</f>
        <v>13.64</v>
      </c>
      <c r="H2118" s="9">
        <f>IFERROR(__xludf.DUMMYFUNCTION("""COMPUTED_VALUE"""),2.0)</f>
        <v>2</v>
      </c>
      <c r="I2118" s="9"/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</row>
    <row r="2119" ht="15.75" customHeight="1">
      <c r="A2119" s="11">
        <f>IFERROR(__xludf.DUMMYFUNCTION("""COMPUTED_VALUE"""),44471.0)</f>
        <v>44471</v>
      </c>
      <c r="B2119" s="9">
        <f>IFERROR(__xludf.DUMMYFUNCTION("""COMPUTED_VALUE"""),1003578.0)</f>
        <v>1003578</v>
      </c>
      <c r="C2119" s="9">
        <f>IFERROR(__xludf.DUMMYFUNCTION("""COMPUTED_VALUE"""),29485.0)</f>
        <v>29485</v>
      </c>
      <c r="D2119" s="9"/>
      <c r="E2119" s="10" t="str">
        <f>IFERROR(__xludf.DUMMYFUNCTION("""COMPUTED_VALUE"""),"GREENRELAIS")</f>
        <v>GREENRELAIS</v>
      </c>
      <c r="F2119" s="10">
        <f>IFERROR(__xludf.DUMMYFUNCTION("""COMPUTED_VALUE"""),7.87)</f>
        <v>7.87</v>
      </c>
      <c r="G2119" s="9">
        <f>IFERROR(__xludf.DUMMYFUNCTION("""COMPUTED_VALUE"""),7.87)</f>
        <v>7.87</v>
      </c>
      <c r="H2119" s="9">
        <f>IFERROR(__xludf.DUMMYFUNCTION("""COMPUTED_VALUE"""),2.0)</f>
        <v>2</v>
      </c>
      <c r="I2119" s="9"/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</row>
    <row r="2120" ht="15.75" customHeight="1">
      <c r="A2120" s="11">
        <f>IFERROR(__xludf.DUMMYFUNCTION("""COMPUTED_VALUE"""),44471.0)</f>
        <v>44471</v>
      </c>
      <c r="B2120" s="9">
        <f>IFERROR(__xludf.DUMMYFUNCTION("""COMPUTED_VALUE"""),1003579.0)</f>
        <v>1003579</v>
      </c>
      <c r="C2120" s="9">
        <f>IFERROR(__xludf.DUMMYFUNCTION("""COMPUTED_VALUE"""),89463.0)</f>
        <v>89463</v>
      </c>
      <c r="D2120" s="9"/>
      <c r="E2120" s="9"/>
      <c r="F2120" s="9">
        <f>IFERROR(__xludf.DUMMYFUNCTION("""COMPUTED_VALUE"""),19.16)</f>
        <v>19.16</v>
      </c>
      <c r="G2120" s="9">
        <f>IFERROR(__xludf.DUMMYFUNCTION("""COMPUTED_VALUE"""),19.16)</f>
        <v>19.16</v>
      </c>
      <c r="H2120" s="9">
        <f>IFERROR(__xludf.DUMMYFUNCTION("""COMPUTED_VALUE"""),1.0)</f>
        <v>1</v>
      </c>
      <c r="I2120" s="9"/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</row>
    <row r="2121" ht="15.75" customHeight="1">
      <c r="A2121" s="11">
        <f>IFERROR(__xludf.DUMMYFUNCTION("""COMPUTED_VALUE"""),44471.0)</f>
        <v>44471</v>
      </c>
      <c r="B2121" s="9">
        <f>IFERROR(__xludf.DUMMYFUNCTION("""COMPUTED_VALUE"""),1003580.0)</f>
        <v>1003580</v>
      </c>
      <c r="C2121" s="9">
        <f>IFERROR(__xludf.DUMMYFUNCTION("""COMPUTED_VALUE"""),63864.0)</f>
        <v>63864</v>
      </c>
      <c r="D2121" s="10" t="str">
        <f>IFERROR(__xludf.DUMMYFUNCTION("""COMPUTED_VALUE"""),"Offre speciale")</f>
        <v>Offre speciale</v>
      </c>
      <c r="E2121" s="10" t="str">
        <f>IFERROR(__xludf.DUMMYFUNCTION("""COMPUTED_VALUE"""),"PREMIERE")</f>
        <v>PREMIERE</v>
      </c>
      <c r="F2121" s="10">
        <f>IFERROR(__xludf.DUMMYFUNCTION("""COMPUTED_VALUE"""),5.0)</f>
        <v>5</v>
      </c>
      <c r="G2121" s="9">
        <f>IFERROR(__xludf.DUMMYFUNCTION("""COMPUTED_VALUE"""),4.25)</f>
        <v>4.25</v>
      </c>
      <c r="H2121" s="9">
        <f>IFERROR(__xludf.DUMMYFUNCTION("""COMPUTED_VALUE"""),1.0)</f>
        <v>1</v>
      </c>
      <c r="I2121" s="9"/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</row>
    <row r="2122" ht="15.75" customHeight="1">
      <c r="A2122" s="11">
        <f>IFERROR(__xludf.DUMMYFUNCTION("""COMPUTED_VALUE"""),44471.0)</f>
        <v>44471</v>
      </c>
      <c r="B2122" s="9">
        <f>IFERROR(__xludf.DUMMYFUNCTION("""COMPUTED_VALUE"""),1003580.0)</f>
        <v>1003580</v>
      </c>
      <c r="C2122" s="9">
        <f>IFERROR(__xludf.DUMMYFUNCTION("""COMPUTED_VALUE"""),95413.0)</f>
        <v>95413</v>
      </c>
      <c r="D2122" s="10" t="str">
        <f>IFERROR(__xludf.DUMMYFUNCTION("""COMPUTED_VALUE"""),"Offre speciale")</f>
        <v>Offre speciale</v>
      </c>
      <c r="E2122" s="10" t="str">
        <f>IFERROR(__xludf.DUMMYFUNCTION("""COMPUTED_VALUE"""),"PREMIERE")</f>
        <v>PREMIERE</v>
      </c>
      <c r="F2122" s="10">
        <f>IFERROR(__xludf.DUMMYFUNCTION("""COMPUTED_VALUE"""),1.35555555555555)</f>
        <v>1.355555556</v>
      </c>
      <c r="G2122" s="9">
        <f>IFERROR(__xludf.DUMMYFUNCTION("""COMPUTED_VALUE"""),1.22)</f>
        <v>1.22</v>
      </c>
      <c r="H2122" s="9">
        <f>IFERROR(__xludf.DUMMYFUNCTION("""COMPUTED_VALUE"""),1.0)</f>
        <v>1</v>
      </c>
      <c r="I2122" s="9"/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</row>
    <row r="2123" ht="15.75" customHeight="1">
      <c r="A2123" s="11">
        <f>IFERROR(__xludf.DUMMYFUNCTION("""COMPUTED_VALUE"""),44471.0)</f>
        <v>44471</v>
      </c>
      <c r="B2123" s="9">
        <f>IFERROR(__xludf.DUMMYFUNCTION("""COMPUTED_VALUE"""),1003580.0)</f>
        <v>1003580</v>
      </c>
      <c r="C2123" s="9">
        <f>IFERROR(__xludf.DUMMYFUNCTION("""COMPUTED_VALUE"""),9513.0)</f>
        <v>9513</v>
      </c>
      <c r="D2123" s="9"/>
      <c r="E2123" s="10" t="str">
        <f>IFERROR(__xludf.DUMMYFUNCTION("""COMPUTED_VALUE"""),"PREMIERE")</f>
        <v>PREMIERE</v>
      </c>
      <c r="F2123" s="10">
        <f>IFERROR(__xludf.DUMMYFUNCTION("""COMPUTED_VALUE"""),2.76)</f>
        <v>2.76</v>
      </c>
      <c r="G2123" s="9">
        <f>IFERROR(__xludf.DUMMYFUNCTION("""COMPUTED_VALUE"""),2.76)</f>
        <v>2.76</v>
      </c>
      <c r="H2123" s="9">
        <f>IFERROR(__xludf.DUMMYFUNCTION("""COMPUTED_VALUE"""),1.0)</f>
        <v>1</v>
      </c>
      <c r="I2123" s="9"/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</row>
    <row r="2124" ht="15.75" customHeight="1">
      <c r="A2124" s="11">
        <f>IFERROR(__xludf.DUMMYFUNCTION("""COMPUTED_VALUE"""),44471.0)</f>
        <v>44471</v>
      </c>
      <c r="B2124" s="9">
        <f>IFERROR(__xludf.DUMMYFUNCTION("""COMPUTED_VALUE"""),1003580.0)</f>
        <v>1003580</v>
      </c>
      <c r="C2124" s="9">
        <f>IFERROR(__xludf.DUMMYFUNCTION("""COMPUTED_VALUE"""),128210.0)</f>
        <v>128210</v>
      </c>
      <c r="D2124" s="10" t="str">
        <f>IFERROR(__xludf.DUMMYFUNCTION("""COMPUTED_VALUE"""),"Offre speciale")</f>
        <v>Offre speciale</v>
      </c>
      <c r="E2124" s="10" t="str">
        <f>IFERROR(__xludf.DUMMYFUNCTION("""COMPUTED_VALUE"""),"PREMIERE")</f>
        <v>PREMIERE</v>
      </c>
      <c r="F2124" s="10">
        <f>IFERROR(__xludf.DUMMYFUNCTION("""COMPUTED_VALUE"""),4.27058823529411)</f>
        <v>4.270588235</v>
      </c>
      <c r="G2124" s="9">
        <f>IFERROR(__xludf.DUMMYFUNCTION("""COMPUTED_VALUE"""),3.63)</f>
        <v>3.63</v>
      </c>
      <c r="H2124" s="9">
        <f>IFERROR(__xludf.DUMMYFUNCTION("""COMPUTED_VALUE"""),1.0)</f>
        <v>1</v>
      </c>
      <c r="I2124" s="9"/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</row>
    <row r="2125" ht="15.75" customHeight="1">
      <c r="A2125" s="11">
        <f>IFERROR(__xludf.DUMMYFUNCTION("""COMPUTED_VALUE"""),44471.0)</f>
        <v>44471</v>
      </c>
      <c r="B2125" s="9">
        <f>IFERROR(__xludf.DUMMYFUNCTION("""COMPUTED_VALUE"""),1003580.0)</f>
        <v>1003580</v>
      </c>
      <c r="C2125" s="9">
        <f>IFERROR(__xludf.DUMMYFUNCTION("""COMPUTED_VALUE"""),81172.0)</f>
        <v>81172</v>
      </c>
      <c r="D2125" s="9"/>
      <c r="E2125" s="10" t="str">
        <f>IFERROR(__xludf.DUMMYFUNCTION("""COMPUTED_VALUE"""),"PREMIERE")</f>
        <v>PREMIERE</v>
      </c>
      <c r="F2125" s="10">
        <f>IFERROR(__xludf.DUMMYFUNCTION("""COMPUTED_VALUE"""),2.02)</f>
        <v>2.02</v>
      </c>
      <c r="G2125" s="9">
        <f>IFERROR(__xludf.DUMMYFUNCTION("""COMPUTED_VALUE"""),2.02)</f>
        <v>2.02</v>
      </c>
      <c r="H2125" s="9">
        <f>IFERROR(__xludf.DUMMYFUNCTION("""COMPUTED_VALUE"""),1.0)</f>
        <v>1</v>
      </c>
      <c r="I2125" s="9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</row>
    <row r="2126" ht="15.75" customHeight="1">
      <c r="A2126" s="11">
        <f>IFERROR(__xludf.DUMMYFUNCTION("""COMPUTED_VALUE"""),44471.0)</f>
        <v>44471</v>
      </c>
      <c r="B2126" s="9">
        <f>IFERROR(__xludf.DUMMYFUNCTION("""COMPUTED_VALUE"""),1003580.0)</f>
        <v>1003580</v>
      </c>
      <c r="C2126" s="9">
        <f>IFERROR(__xludf.DUMMYFUNCTION("""COMPUTED_VALUE"""),78400.0)</f>
        <v>78400</v>
      </c>
      <c r="D2126" s="10" t="str">
        <f>IFERROR(__xludf.DUMMYFUNCTION("""COMPUTED_VALUE"""),"Vive le bio")</f>
        <v>Vive le bio</v>
      </c>
      <c r="E2126" s="10" t="str">
        <f>IFERROR(__xludf.DUMMYFUNCTION("""COMPUTED_VALUE"""),"PREMIERE")</f>
        <v>PREMIERE</v>
      </c>
      <c r="F2126" s="10">
        <f>IFERROR(__xludf.DUMMYFUNCTION("""COMPUTED_VALUE"""),3.61111111111111)</f>
        <v>3.611111111</v>
      </c>
      <c r="G2126" s="9">
        <f>IFERROR(__xludf.DUMMYFUNCTION("""COMPUTED_VALUE"""),3.25)</f>
        <v>3.25</v>
      </c>
      <c r="H2126" s="9">
        <f>IFERROR(__xludf.DUMMYFUNCTION("""COMPUTED_VALUE"""),1.0)</f>
        <v>1</v>
      </c>
      <c r="I2126" s="9"/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</row>
    <row r="2127" ht="15.75" customHeight="1">
      <c r="A2127" s="11">
        <f>IFERROR(__xludf.DUMMYFUNCTION("""COMPUTED_VALUE"""),44471.0)</f>
        <v>44471</v>
      </c>
      <c r="B2127" s="9">
        <f>IFERROR(__xludf.DUMMYFUNCTION("""COMPUTED_VALUE"""),1003580.0)</f>
        <v>1003580</v>
      </c>
      <c r="C2127" s="9">
        <f>IFERROR(__xludf.DUMMYFUNCTION("""COMPUTED_VALUE"""),29117.0)</f>
        <v>29117</v>
      </c>
      <c r="D2127" s="9"/>
      <c r="E2127" s="10" t="str">
        <f>IFERROR(__xludf.DUMMYFUNCTION("""COMPUTED_VALUE"""),"PREMIERE")</f>
        <v>PREMIERE</v>
      </c>
      <c r="F2127" s="10">
        <f>IFERROR(__xludf.DUMMYFUNCTION("""COMPUTED_VALUE"""),2.42)</f>
        <v>2.42</v>
      </c>
      <c r="G2127" s="9">
        <f>IFERROR(__xludf.DUMMYFUNCTION("""COMPUTED_VALUE"""),2.42)</f>
        <v>2.42</v>
      </c>
      <c r="H2127" s="9">
        <f>IFERROR(__xludf.DUMMYFUNCTION("""COMPUTED_VALUE"""),1.0)</f>
        <v>1</v>
      </c>
      <c r="I2127" s="9"/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</row>
    <row r="2128" ht="15.75" customHeight="1">
      <c r="A2128" s="11">
        <f>IFERROR(__xludf.DUMMYFUNCTION("""COMPUTED_VALUE"""),44471.0)</f>
        <v>44471</v>
      </c>
      <c r="B2128" s="9">
        <f>IFERROR(__xludf.DUMMYFUNCTION("""COMPUTED_VALUE"""),1003580.0)</f>
        <v>1003580</v>
      </c>
      <c r="C2128" s="9">
        <f>IFERROR(__xludf.DUMMYFUNCTION("""COMPUTED_VALUE"""),20389.0)</f>
        <v>20389</v>
      </c>
      <c r="D2128" s="10" t="str">
        <f>IFERROR(__xludf.DUMMYFUNCTION("""COMPUTED_VALUE"""),"Vive le bio")</f>
        <v>Vive le bio</v>
      </c>
      <c r="E2128" s="10" t="str">
        <f>IFERROR(__xludf.DUMMYFUNCTION("""COMPUTED_VALUE"""),"PREMIERE")</f>
        <v>PREMIERE</v>
      </c>
      <c r="F2128" s="10">
        <f>IFERROR(__xludf.DUMMYFUNCTION("""COMPUTED_VALUE"""),3.12222222222222)</f>
        <v>3.122222222</v>
      </c>
      <c r="G2128" s="9">
        <f>IFERROR(__xludf.DUMMYFUNCTION("""COMPUTED_VALUE"""),2.81)</f>
        <v>2.81</v>
      </c>
      <c r="H2128" s="9">
        <f>IFERROR(__xludf.DUMMYFUNCTION("""COMPUTED_VALUE"""),1.0)</f>
        <v>1</v>
      </c>
      <c r="I2128" s="9"/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</row>
    <row r="2129" ht="15.75" customHeight="1">
      <c r="A2129" s="11">
        <f>IFERROR(__xludf.DUMMYFUNCTION("""COMPUTED_VALUE"""),44471.0)</f>
        <v>44471</v>
      </c>
      <c r="B2129" s="9">
        <f>IFERROR(__xludf.DUMMYFUNCTION("""COMPUTED_VALUE"""),1003580.0)</f>
        <v>1003580</v>
      </c>
      <c r="C2129" s="9">
        <f>IFERROR(__xludf.DUMMYFUNCTION("""COMPUTED_VALUE"""),73945.0)</f>
        <v>73945</v>
      </c>
      <c r="D2129" s="9"/>
      <c r="E2129" s="10" t="str">
        <f>IFERROR(__xludf.DUMMYFUNCTION("""COMPUTED_VALUE"""),"PREMIERE")</f>
        <v>PREMIERE</v>
      </c>
      <c r="F2129" s="10">
        <f>IFERROR(__xludf.DUMMYFUNCTION("""COMPUTED_VALUE"""),2.71)</f>
        <v>2.71</v>
      </c>
      <c r="G2129" s="9">
        <f>IFERROR(__xludf.DUMMYFUNCTION("""COMPUTED_VALUE"""),2.71)</f>
        <v>2.71</v>
      </c>
      <c r="H2129" s="9">
        <f>IFERROR(__xludf.DUMMYFUNCTION("""COMPUTED_VALUE"""),1.0)</f>
        <v>1</v>
      </c>
      <c r="I2129" s="9"/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</row>
    <row r="2130" ht="15.75" customHeight="1">
      <c r="A2130" s="11">
        <f>IFERROR(__xludf.DUMMYFUNCTION("""COMPUTED_VALUE"""),44471.0)</f>
        <v>44471</v>
      </c>
      <c r="B2130" s="9">
        <f>IFERROR(__xludf.DUMMYFUNCTION("""COMPUTED_VALUE"""),1003580.0)</f>
        <v>1003580</v>
      </c>
      <c r="C2130" s="9">
        <f>IFERROR(__xludf.DUMMYFUNCTION("""COMPUTED_VALUE"""),116636.0)</f>
        <v>116636</v>
      </c>
      <c r="D2130" s="9"/>
      <c r="E2130" s="10" t="str">
        <f>IFERROR(__xludf.DUMMYFUNCTION("""COMPUTED_VALUE"""),"PREMIERE")</f>
        <v>PREMIERE</v>
      </c>
      <c r="F2130" s="10">
        <f>IFERROR(__xludf.DUMMYFUNCTION("""COMPUTED_VALUE"""),6.92)</f>
        <v>6.92</v>
      </c>
      <c r="G2130" s="9">
        <f>IFERROR(__xludf.DUMMYFUNCTION("""COMPUTED_VALUE"""),6.92)</f>
        <v>6.92</v>
      </c>
      <c r="H2130" s="9">
        <f>IFERROR(__xludf.DUMMYFUNCTION("""COMPUTED_VALUE"""),1.0)</f>
        <v>1</v>
      </c>
      <c r="I2130" s="9"/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</row>
    <row r="2131" ht="15.75" customHeight="1">
      <c r="A2131" s="11">
        <f>IFERROR(__xludf.DUMMYFUNCTION("""COMPUTED_VALUE"""),44471.0)</f>
        <v>44471</v>
      </c>
      <c r="B2131" s="9">
        <f>IFERROR(__xludf.DUMMYFUNCTION("""COMPUTED_VALUE"""),1003580.0)</f>
        <v>1003580</v>
      </c>
      <c r="C2131" s="9">
        <f>IFERROR(__xludf.DUMMYFUNCTION("""COMPUTED_VALUE"""),82368.0)</f>
        <v>82368</v>
      </c>
      <c r="D2131" s="10" t="str">
        <f>IFERROR(__xludf.DUMMYFUNCTION("""COMPUTED_VALUE"""),"DLC courtes")</f>
        <v>DLC courtes</v>
      </c>
      <c r="E2131" s="10" t="str">
        <f>IFERROR(__xludf.DUMMYFUNCTION("""COMPUTED_VALUE"""),"PREMIERE")</f>
        <v>PREMIERE</v>
      </c>
      <c r="F2131" s="10">
        <f>IFERROR(__xludf.DUMMYFUNCTION("""COMPUTED_VALUE"""),2.48)</f>
        <v>2.48</v>
      </c>
      <c r="G2131" s="9">
        <f>IFERROR(__xludf.DUMMYFUNCTION("""COMPUTED_VALUE"""),1.24)</f>
        <v>1.24</v>
      </c>
      <c r="H2131" s="9">
        <f>IFERROR(__xludf.DUMMYFUNCTION("""COMPUTED_VALUE"""),1.0)</f>
        <v>1</v>
      </c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</row>
    <row r="2132" ht="15.75" customHeight="1">
      <c r="A2132" s="11">
        <f>IFERROR(__xludf.DUMMYFUNCTION("""COMPUTED_VALUE"""),44471.0)</f>
        <v>44471</v>
      </c>
      <c r="B2132" s="9">
        <f>IFERROR(__xludf.DUMMYFUNCTION("""COMPUTED_VALUE"""),1003580.0)</f>
        <v>1003580</v>
      </c>
      <c r="C2132" s="9">
        <f>IFERROR(__xludf.DUMMYFUNCTION("""COMPUTED_VALUE"""),112194.0)</f>
        <v>112194</v>
      </c>
      <c r="D2132" s="9"/>
      <c r="E2132" s="10" t="str">
        <f>IFERROR(__xludf.DUMMYFUNCTION("""COMPUTED_VALUE"""),"PREMIERE")</f>
        <v>PREMIERE</v>
      </c>
      <c r="F2132" s="10">
        <f>IFERROR(__xludf.DUMMYFUNCTION("""COMPUTED_VALUE"""),2.12)</f>
        <v>2.12</v>
      </c>
      <c r="G2132" s="9">
        <f>IFERROR(__xludf.DUMMYFUNCTION("""COMPUTED_VALUE"""),2.12)</f>
        <v>2.12</v>
      </c>
      <c r="H2132" s="9">
        <f>IFERROR(__xludf.DUMMYFUNCTION("""COMPUTED_VALUE"""),1.0)</f>
        <v>1</v>
      </c>
      <c r="I2132" s="9"/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</row>
    <row r="2133" ht="15.75" customHeight="1">
      <c r="A2133" s="11">
        <f>IFERROR(__xludf.DUMMYFUNCTION("""COMPUTED_VALUE"""),44471.0)</f>
        <v>44471</v>
      </c>
      <c r="B2133" s="9">
        <f>IFERROR(__xludf.DUMMYFUNCTION("""COMPUTED_VALUE"""),1003580.0)</f>
        <v>1003580</v>
      </c>
      <c r="C2133" s="9">
        <f>IFERROR(__xludf.DUMMYFUNCTION("""COMPUTED_VALUE"""),121979.0)</f>
        <v>121979</v>
      </c>
      <c r="D2133" s="9"/>
      <c r="E2133" s="10" t="str">
        <f>IFERROR(__xludf.DUMMYFUNCTION("""COMPUTED_VALUE"""),"PREMIERE")</f>
        <v>PREMIERE</v>
      </c>
      <c r="F2133" s="10">
        <f>IFERROR(__xludf.DUMMYFUNCTION("""COMPUTED_VALUE"""),3.12)</f>
        <v>3.12</v>
      </c>
      <c r="G2133" s="9">
        <f>IFERROR(__xludf.DUMMYFUNCTION("""COMPUTED_VALUE"""),3.12)</f>
        <v>3.12</v>
      </c>
      <c r="H2133" s="9">
        <f>IFERROR(__xludf.DUMMYFUNCTION("""COMPUTED_VALUE"""),1.0)</f>
        <v>1</v>
      </c>
      <c r="I2133" s="9"/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</row>
    <row r="2134" ht="15.75" customHeight="1">
      <c r="A2134" s="11">
        <f>IFERROR(__xludf.DUMMYFUNCTION("""COMPUTED_VALUE"""),44471.0)</f>
        <v>44471</v>
      </c>
      <c r="B2134" s="9">
        <f>IFERROR(__xludf.DUMMYFUNCTION("""COMPUTED_VALUE"""),1003581.0)</f>
        <v>1003581</v>
      </c>
      <c r="C2134" s="9">
        <f>IFERROR(__xludf.DUMMYFUNCTION("""COMPUTED_VALUE"""),122775.0)</f>
        <v>122775</v>
      </c>
      <c r="D2134" s="9"/>
      <c r="E2134" s="10" t="str">
        <f>IFERROR(__xludf.DUMMYFUNCTION("""COMPUTED_VALUE"""),"PREMIERE")</f>
        <v>PREMIERE</v>
      </c>
      <c r="F2134" s="10">
        <f>IFERROR(__xludf.DUMMYFUNCTION("""COMPUTED_VALUE"""),4.77)</f>
        <v>4.77</v>
      </c>
      <c r="G2134" s="9">
        <f>IFERROR(__xludf.DUMMYFUNCTION("""COMPUTED_VALUE"""),4.77)</f>
        <v>4.77</v>
      </c>
      <c r="H2134" s="9">
        <f>IFERROR(__xludf.DUMMYFUNCTION("""COMPUTED_VALUE"""),1.0)</f>
        <v>1</v>
      </c>
      <c r="I2134" s="9"/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</row>
    <row r="2135" ht="15.75" customHeight="1">
      <c r="A2135" s="11">
        <f>IFERROR(__xludf.DUMMYFUNCTION("""COMPUTED_VALUE"""),44471.0)</f>
        <v>44471</v>
      </c>
      <c r="B2135" s="9">
        <f>IFERROR(__xludf.DUMMYFUNCTION("""COMPUTED_VALUE"""),1003581.0)</f>
        <v>1003581</v>
      </c>
      <c r="C2135" s="9">
        <f>IFERROR(__xludf.DUMMYFUNCTION("""COMPUTED_VALUE"""),121112.0)</f>
        <v>121112</v>
      </c>
      <c r="D2135" s="9"/>
      <c r="E2135" s="10" t="str">
        <f>IFERROR(__xludf.DUMMYFUNCTION("""COMPUTED_VALUE"""),"PREMIERE")</f>
        <v>PREMIERE</v>
      </c>
      <c r="F2135" s="10">
        <f>IFERROR(__xludf.DUMMYFUNCTION("""COMPUTED_VALUE"""),13.04)</f>
        <v>13.04</v>
      </c>
      <c r="G2135" s="9">
        <f>IFERROR(__xludf.DUMMYFUNCTION("""COMPUTED_VALUE"""),13.04)</f>
        <v>13.04</v>
      </c>
      <c r="H2135" s="9">
        <f>IFERROR(__xludf.DUMMYFUNCTION("""COMPUTED_VALUE"""),1.0)</f>
        <v>1</v>
      </c>
      <c r="I2135" s="9"/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</row>
    <row r="2136" ht="15.75" customHeight="1">
      <c r="A2136" s="11">
        <f>IFERROR(__xludf.DUMMYFUNCTION("""COMPUTED_VALUE"""),44471.0)</f>
        <v>44471</v>
      </c>
      <c r="B2136" s="9">
        <f>IFERROR(__xludf.DUMMYFUNCTION("""COMPUTED_VALUE"""),1003581.0)</f>
        <v>1003581</v>
      </c>
      <c r="C2136" s="9">
        <f>IFERROR(__xludf.DUMMYFUNCTION("""COMPUTED_VALUE"""),158467.0)</f>
        <v>158467</v>
      </c>
      <c r="D2136" s="10" t="str">
        <f>IFERROR(__xludf.DUMMYFUNCTION("""COMPUTED_VALUE"""),"Zero Dechet")</f>
        <v>Zero Dechet</v>
      </c>
      <c r="E2136" s="10" t="str">
        <f>IFERROR(__xludf.DUMMYFUNCTION("""COMPUTED_VALUE"""),"PREMIERE")</f>
        <v>PREMIERE</v>
      </c>
      <c r="F2136" s="10">
        <f>IFERROR(__xludf.DUMMYFUNCTION("""COMPUTED_VALUE"""),2.0235294117647)</f>
        <v>2.023529412</v>
      </c>
      <c r="G2136" s="9">
        <f>IFERROR(__xludf.DUMMYFUNCTION("""COMPUTED_VALUE"""),1.72)</f>
        <v>1.72</v>
      </c>
      <c r="H2136" s="9">
        <f>IFERROR(__xludf.DUMMYFUNCTION("""COMPUTED_VALUE"""),1.0)</f>
        <v>1</v>
      </c>
      <c r="I2136" s="9"/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</row>
    <row r="2137" ht="15.75" customHeight="1">
      <c r="A2137" s="11">
        <f>IFERROR(__xludf.DUMMYFUNCTION("""COMPUTED_VALUE"""),44471.0)</f>
        <v>44471</v>
      </c>
      <c r="B2137" s="9">
        <f>IFERROR(__xludf.DUMMYFUNCTION("""COMPUTED_VALUE"""),1003581.0)</f>
        <v>1003581</v>
      </c>
      <c r="C2137" s="9">
        <f>IFERROR(__xludf.DUMMYFUNCTION("""COMPUTED_VALUE"""),122782.0)</f>
        <v>122782</v>
      </c>
      <c r="D2137" s="9"/>
      <c r="E2137" s="10" t="str">
        <f>IFERROR(__xludf.DUMMYFUNCTION("""COMPUTED_VALUE"""),"PREMIERE")</f>
        <v>PREMIERE</v>
      </c>
      <c r="F2137" s="10">
        <f>IFERROR(__xludf.DUMMYFUNCTION("""COMPUTED_VALUE"""),5.33)</f>
        <v>5.33</v>
      </c>
      <c r="G2137" s="9">
        <f>IFERROR(__xludf.DUMMYFUNCTION("""COMPUTED_VALUE"""),5.33)</f>
        <v>5.33</v>
      </c>
      <c r="H2137" s="9">
        <f>IFERROR(__xludf.DUMMYFUNCTION("""COMPUTED_VALUE"""),1.0)</f>
        <v>1</v>
      </c>
      <c r="I2137" s="9"/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</row>
    <row r="2138" ht="15.75" customHeight="1">
      <c r="A2138" s="11">
        <f>IFERROR(__xludf.DUMMYFUNCTION("""COMPUTED_VALUE"""),44471.0)</f>
        <v>44471</v>
      </c>
      <c r="B2138" s="9">
        <f>IFERROR(__xludf.DUMMYFUNCTION("""COMPUTED_VALUE"""),1003581.0)</f>
        <v>1003581</v>
      </c>
      <c r="C2138" s="9">
        <f>IFERROR(__xludf.DUMMYFUNCTION("""COMPUTED_VALUE"""),21320.0)</f>
        <v>21320</v>
      </c>
      <c r="D2138" s="9"/>
      <c r="E2138" s="10" t="str">
        <f>IFERROR(__xludf.DUMMYFUNCTION("""COMPUTED_VALUE"""),"PREMIERE")</f>
        <v>PREMIERE</v>
      </c>
      <c r="F2138" s="10">
        <f>IFERROR(__xludf.DUMMYFUNCTION("""COMPUTED_VALUE"""),5.09)</f>
        <v>5.09</v>
      </c>
      <c r="G2138" s="9">
        <f>IFERROR(__xludf.DUMMYFUNCTION("""COMPUTED_VALUE"""),5.09)</f>
        <v>5.09</v>
      </c>
      <c r="H2138" s="9">
        <f>IFERROR(__xludf.DUMMYFUNCTION("""COMPUTED_VALUE"""),1.0)</f>
        <v>1</v>
      </c>
      <c r="I2138" s="9"/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</row>
    <row r="2139" ht="15.75" customHeight="1">
      <c r="A2139" s="11">
        <f>IFERROR(__xludf.DUMMYFUNCTION("""COMPUTED_VALUE"""),44471.0)</f>
        <v>44471</v>
      </c>
      <c r="B2139" s="9">
        <f>IFERROR(__xludf.DUMMYFUNCTION("""COMPUTED_VALUE"""),1003581.0)</f>
        <v>1003581</v>
      </c>
      <c r="C2139" s="9">
        <f>IFERROR(__xludf.DUMMYFUNCTION("""COMPUTED_VALUE"""),46896.0)</f>
        <v>46896</v>
      </c>
      <c r="D2139" s="9"/>
      <c r="E2139" s="10" t="str">
        <f>IFERROR(__xludf.DUMMYFUNCTION("""COMPUTED_VALUE"""),"PREMIERE")</f>
        <v>PREMIERE</v>
      </c>
      <c r="F2139" s="10">
        <f>IFERROR(__xludf.DUMMYFUNCTION("""COMPUTED_VALUE"""),4.87)</f>
        <v>4.87</v>
      </c>
      <c r="G2139" s="9">
        <f>IFERROR(__xludf.DUMMYFUNCTION("""COMPUTED_VALUE"""),4.87)</f>
        <v>4.87</v>
      </c>
      <c r="H2139" s="9">
        <f>IFERROR(__xludf.DUMMYFUNCTION("""COMPUTED_VALUE"""),1.0)</f>
        <v>1</v>
      </c>
      <c r="I2139" s="9"/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</row>
    <row r="2140" ht="15.75" customHeight="1">
      <c r="A2140" s="11">
        <f>IFERROR(__xludf.DUMMYFUNCTION("""COMPUTED_VALUE"""),44471.0)</f>
        <v>44471</v>
      </c>
      <c r="B2140" s="9">
        <f>IFERROR(__xludf.DUMMYFUNCTION("""COMPUTED_VALUE"""),1003581.0)</f>
        <v>1003581</v>
      </c>
      <c r="C2140" s="9">
        <f>IFERROR(__xludf.DUMMYFUNCTION("""COMPUTED_VALUE"""),158464.0)</f>
        <v>158464</v>
      </c>
      <c r="D2140" s="9"/>
      <c r="E2140" s="10" t="str">
        <f>IFERROR(__xludf.DUMMYFUNCTION("""COMPUTED_VALUE"""),"PREMIERE")</f>
        <v>PREMIERE</v>
      </c>
      <c r="F2140" s="10">
        <f>IFERROR(__xludf.DUMMYFUNCTION("""COMPUTED_VALUE"""),3.23)</f>
        <v>3.23</v>
      </c>
      <c r="G2140" s="9">
        <f>IFERROR(__xludf.DUMMYFUNCTION("""COMPUTED_VALUE"""),3.23)</f>
        <v>3.23</v>
      </c>
      <c r="H2140" s="9">
        <f>IFERROR(__xludf.DUMMYFUNCTION("""COMPUTED_VALUE"""),1.0)</f>
        <v>1</v>
      </c>
      <c r="I2140" s="9"/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</row>
    <row r="2141" ht="15.75" customHeight="1">
      <c r="A2141" s="11">
        <f>IFERROR(__xludf.DUMMYFUNCTION("""COMPUTED_VALUE"""),44471.0)</f>
        <v>44471</v>
      </c>
      <c r="B2141" s="9">
        <f>IFERROR(__xludf.DUMMYFUNCTION("""COMPUTED_VALUE"""),1003581.0)</f>
        <v>1003581</v>
      </c>
      <c r="C2141" s="9">
        <f>IFERROR(__xludf.DUMMYFUNCTION("""COMPUTED_VALUE"""),82452.0)</f>
        <v>82452</v>
      </c>
      <c r="D2141" s="10" t="str">
        <f>IFERROR(__xludf.DUMMYFUNCTION("""COMPUTED_VALUE"""),"Vive le bio")</f>
        <v>Vive le bio</v>
      </c>
      <c r="E2141" s="10" t="str">
        <f>IFERROR(__xludf.DUMMYFUNCTION("""COMPUTED_VALUE"""),"PREMIERE")</f>
        <v>PREMIERE</v>
      </c>
      <c r="F2141" s="10">
        <f>IFERROR(__xludf.DUMMYFUNCTION("""COMPUTED_VALUE"""),6.3)</f>
        <v>6.3</v>
      </c>
      <c r="G2141" s="9">
        <f>IFERROR(__xludf.DUMMYFUNCTION("""COMPUTED_VALUE"""),5.67)</f>
        <v>5.67</v>
      </c>
      <c r="H2141" s="9">
        <f>IFERROR(__xludf.DUMMYFUNCTION("""COMPUTED_VALUE"""),2.0)</f>
        <v>2</v>
      </c>
      <c r="I2141" s="9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</row>
    <row r="2142" ht="15.75" customHeight="1">
      <c r="A2142" s="11">
        <f>IFERROR(__xludf.DUMMYFUNCTION("""COMPUTED_VALUE"""),44471.0)</f>
        <v>44471</v>
      </c>
      <c r="B2142" s="9">
        <f>IFERROR(__xludf.DUMMYFUNCTION("""COMPUTED_VALUE"""),1003581.0)</f>
        <v>1003581</v>
      </c>
      <c r="C2142" s="9">
        <f>IFERROR(__xludf.DUMMYFUNCTION("""COMPUTED_VALUE"""),109966.0)</f>
        <v>109966</v>
      </c>
      <c r="D2142" s="10" t="str">
        <f>IFERROR(__xludf.DUMMYFUNCTION("""COMPUTED_VALUE"""),"Carryboo soin bebe 2021")</f>
        <v>Carryboo soin bebe 2021</v>
      </c>
      <c r="E2142" s="10" t="str">
        <f>IFERROR(__xludf.DUMMYFUNCTION("""COMPUTED_VALUE"""),"PREMIERE")</f>
        <v>PREMIERE</v>
      </c>
      <c r="F2142" s="10">
        <f>IFERROR(__xludf.DUMMYFUNCTION("""COMPUTED_VALUE"""),13.8266666666666)</f>
        <v>13.82666667</v>
      </c>
      <c r="G2142" s="9">
        <f>IFERROR(__xludf.DUMMYFUNCTION("""COMPUTED_VALUE"""),10.37)</f>
        <v>10.37</v>
      </c>
      <c r="H2142" s="9">
        <f>IFERROR(__xludf.DUMMYFUNCTION("""COMPUTED_VALUE"""),2.0)</f>
        <v>2</v>
      </c>
      <c r="I2142" s="9"/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</row>
    <row r="2143" ht="15.75" customHeight="1">
      <c r="A2143" s="11">
        <f>IFERROR(__xludf.DUMMYFUNCTION("""COMPUTED_VALUE"""),44471.0)</f>
        <v>44471</v>
      </c>
      <c r="B2143" s="9">
        <f>IFERROR(__xludf.DUMMYFUNCTION("""COMPUTED_VALUE"""),1003581.0)</f>
        <v>1003581</v>
      </c>
      <c r="C2143" s="9">
        <f>IFERROR(__xludf.DUMMYFUNCTION("""COMPUTED_VALUE"""),128409.0)</f>
        <v>128409</v>
      </c>
      <c r="D2143" s="9"/>
      <c r="E2143" s="10" t="str">
        <f>IFERROR(__xludf.DUMMYFUNCTION("""COMPUTED_VALUE"""),"PREMIERE")</f>
        <v>PREMIERE</v>
      </c>
      <c r="F2143" s="10">
        <f>IFERROR(__xludf.DUMMYFUNCTION("""COMPUTED_VALUE"""),8.58)</f>
        <v>8.58</v>
      </c>
      <c r="G2143" s="9">
        <f>IFERROR(__xludf.DUMMYFUNCTION("""COMPUTED_VALUE"""),8.58)</f>
        <v>8.58</v>
      </c>
      <c r="H2143" s="9">
        <f>IFERROR(__xludf.DUMMYFUNCTION("""COMPUTED_VALUE"""),4.0)</f>
        <v>4</v>
      </c>
      <c r="I2143" s="9"/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</row>
    <row r="2144" ht="15.75" customHeight="1">
      <c r="A2144" s="11">
        <f>IFERROR(__xludf.DUMMYFUNCTION("""COMPUTED_VALUE"""),44471.0)</f>
        <v>44471</v>
      </c>
      <c r="B2144" s="9">
        <f>IFERROR(__xludf.DUMMYFUNCTION("""COMPUTED_VALUE"""),1003582.0)</f>
        <v>1003582</v>
      </c>
      <c r="C2144" s="9">
        <f>IFERROR(__xludf.DUMMYFUNCTION("""COMPUTED_VALUE"""),76466.0)</f>
        <v>76466</v>
      </c>
      <c r="D2144" s="9"/>
      <c r="E2144" s="9"/>
      <c r="F2144" s="9">
        <f>IFERROR(__xludf.DUMMYFUNCTION("""COMPUTED_VALUE"""),3.77)</f>
        <v>3.77</v>
      </c>
      <c r="G2144" s="9">
        <f>IFERROR(__xludf.DUMMYFUNCTION("""COMPUTED_VALUE"""),3.77)</f>
        <v>3.77</v>
      </c>
      <c r="H2144" s="9">
        <f>IFERROR(__xludf.DUMMYFUNCTION("""COMPUTED_VALUE"""),1.0)</f>
        <v>1</v>
      </c>
      <c r="I2144" s="9"/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</row>
    <row r="2145" ht="15.75" customHeight="1">
      <c r="A2145" s="11">
        <f>IFERROR(__xludf.DUMMYFUNCTION("""COMPUTED_VALUE"""),44471.0)</f>
        <v>44471</v>
      </c>
      <c r="B2145" s="9">
        <f>IFERROR(__xludf.DUMMYFUNCTION("""COMPUTED_VALUE"""),1003582.0)</f>
        <v>1003582</v>
      </c>
      <c r="C2145" s="9">
        <f>IFERROR(__xludf.DUMMYFUNCTION("""COMPUTED_VALUE"""),110566.0)</f>
        <v>110566</v>
      </c>
      <c r="D2145" s="9"/>
      <c r="E2145" s="9"/>
      <c r="F2145" s="9">
        <f>IFERROR(__xludf.DUMMYFUNCTION("""COMPUTED_VALUE"""),1.83)</f>
        <v>1.83</v>
      </c>
      <c r="G2145" s="9">
        <f>IFERROR(__xludf.DUMMYFUNCTION("""COMPUTED_VALUE"""),1.83)</f>
        <v>1.83</v>
      </c>
      <c r="H2145" s="9">
        <f>IFERROR(__xludf.DUMMYFUNCTION("""COMPUTED_VALUE"""),1.0)</f>
        <v>1</v>
      </c>
      <c r="I2145" s="9"/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</row>
    <row r="2146" ht="15.75" customHeight="1">
      <c r="A2146" s="11">
        <f>IFERROR(__xludf.DUMMYFUNCTION("""COMPUTED_VALUE"""),44471.0)</f>
        <v>44471</v>
      </c>
      <c r="B2146" s="9">
        <f>IFERROR(__xludf.DUMMYFUNCTION("""COMPUTED_VALUE"""),1003582.0)</f>
        <v>1003582</v>
      </c>
      <c r="C2146" s="9">
        <f>IFERROR(__xludf.DUMMYFUNCTION("""COMPUTED_VALUE"""),82371.0)</f>
        <v>82371</v>
      </c>
      <c r="D2146" s="9"/>
      <c r="E2146" s="9"/>
      <c r="F2146" s="9">
        <f>IFERROR(__xludf.DUMMYFUNCTION("""COMPUTED_VALUE"""),2.06)</f>
        <v>2.06</v>
      </c>
      <c r="G2146" s="9">
        <f>IFERROR(__xludf.DUMMYFUNCTION("""COMPUTED_VALUE"""),2.06)</f>
        <v>2.06</v>
      </c>
      <c r="H2146" s="9">
        <f>IFERROR(__xludf.DUMMYFUNCTION("""COMPUTED_VALUE"""),1.0)</f>
        <v>1</v>
      </c>
      <c r="I2146" s="9"/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</row>
    <row r="2147" ht="15.75" customHeight="1">
      <c r="A2147" s="11">
        <f>IFERROR(__xludf.DUMMYFUNCTION("""COMPUTED_VALUE"""),44471.0)</f>
        <v>44471</v>
      </c>
      <c r="B2147" s="9">
        <f>IFERROR(__xludf.DUMMYFUNCTION("""COMPUTED_VALUE"""),1003582.0)</f>
        <v>1003582</v>
      </c>
      <c r="C2147" s="9">
        <f>IFERROR(__xludf.DUMMYFUNCTION("""COMPUTED_VALUE"""),112194.0)</f>
        <v>112194</v>
      </c>
      <c r="D2147" s="9"/>
      <c r="E2147" s="9"/>
      <c r="F2147" s="9">
        <f>IFERROR(__xludf.DUMMYFUNCTION("""COMPUTED_VALUE"""),2.12)</f>
        <v>2.12</v>
      </c>
      <c r="G2147" s="9">
        <f>IFERROR(__xludf.DUMMYFUNCTION("""COMPUTED_VALUE"""),2.12)</f>
        <v>2.12</v>
      </c>
      <c r="H2147" s="9">
        <f>IFERROR(__xludf.DUMMYFUNCTION("""COMPUTED_VALUE"""),1.0)</f>
        <v>1</v>
      </c>
      <c r="I2147" s="9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</row>
    <row r="2148" ht="15.75" customHeight="1">
      <c r="A2148" s="11">
        <f>IFERROR(__xludf.DUMMYFUNCTION("""COMPUTED_VALUE"""),44471.0)</f>
        <v>44471</v>
      </c>
      <c r="B2148" s="9">
        <f>IFERROR(__xludf.DUMMYFUNCTION("""COMPUTED_VALUE"""),1003582.0)</f>
        <v>1003582</v>
      </c>
      <c r="C2148" s="9">
        <f>IFERROR(__xludf.DUMMYFUNCTION("""COMPUTED_VALUE"""),118590.0)</f>
        <v>118590</v>
      </c>
      <c r="D2148" s="9"/>
      <c r="E2148" s="9"/>
      <c r="F2148" s="9">
        <f>IFERROR(__xludf.DUMMYFUNCTION("""COMPUTED_VALUE"""),4.25)</f>
        <v>4.25</v>
      </c>
      <c r="G2148" s="9">
        <f>IFERROR(__xludf.DUMMYFUNCTION("""COMPUTED_VALUE"""),4.25)</f>
        <v>4.25</v>
      </c>
      <c r="H2148" s="9">
        <f>IFERROR(__xludf.DUMMYFUNCTION("""COMPUTED_VALUE"""),2.0)</f>
        <v>2</v>
      </c>
      <c r="I2148" s="9"/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</row>
    <row r="2149" ht="15.75" customHeight="1">
      <c r="A2149" s="11">
        <f>IFERROR(__xludf.DUMMYFUNCTION("""COMPUTED_VALUE"""),44471.0)</f>
        <v>44471</v>
      </c>
      <c r="B2149" s="9">
        <f>IFERROR(__xludf.DUMMYFUNCTION("""COMPUTED_VALUE"""),1003582.0)</f>
        <v>1003582</v>
      </c>
      <c r="C2149" s="9">
        <f>IFERROR(__xludf.DUMMYFUNCTION("""COMPUTED_VALUE"""),8698.0)</f>
        <v>8698</v>
      </c>
      <c r="D2149" s="10" t="str">
        <f>IFERROR(__xludf.DUMMYFUNCTION("""COMPUTED_VALUE"""),"Offre speciale")</f>
        <v>Offre speciale</v>
      </c>
      <c r="E2149" s="10"/>
      <c r="F2149" s="9">
        <f>IFERROR(__xludf.DUMMYFUNCTION("""COMPUTED_VALUE"""),6.29411764705882)</f>
        <v>6.294117647</v>
      </c>
      <c r="G2149" s="9">
        <f>IFERROR(__xludf.DUMMYFUNCTION("""COMPUTED_VALUE"""),5.35)</f>
        <v>5.35</v>
      </c>
      <c r="H2149" s="9">
        <f>IFERROR(__xludf.DUMMYFUNCTION("""COMPUTED_VALUE"""),2.0)</f>
        <v>2</v>
      </c>
      <c r="I2149" s="9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</row>
    <row r="2150" ht="15.75" customHeight="1">
      <c r="A2150" s="11">
        <f>IFERROR(__xludf.DUMMYFUNCTION("""COMPUTED_VALUE"""),44471.0)</f>
        <v>44471</v>
      </c>
      <c r="B2150" s="9">
        <f>IFERROR(__xludf.DUMMYFUNCTION("""COMPUTED_VALUE"""),1003582.0)</f>
        <v>1003582</v>
      </c>
      <c r="C2150" s="9">
        <f>IFERROR(__xludf.DUMMYFUNCTION("""COMPUTED_VALUE"""),86488.0)</f>
        <v>86488</v>
      </c>
      <c r="D2150" s="10" t="str">
        <f>IFERROR(__xludf.DUMMYFUNCTION("""COMPUTED_VALUE"""),"Offre speciale")</f>
        <v>Offre speciale</v>
      </c>
      <c r="E2150" s="10"/>
      <c r="F2150" s="9">
        <f>IFERROR(__xludf.DUMMYFUNCTION("""COMPUTED_VALUE"""),4.32941176470588)</f>
        <v>4.329411765</v>
      </c>
      <c r="G2150" s="9">
        <f>IFERROR(__xludf.DUMMYFUNCTION("""COMPUTED_VALUE"""),3.68)</f>
        <v>3.68</v>
      </c>
      <c r="H2150" s="9">
        <f>IFERROR(__xludf.DUMMYFUNCTION("""COMPUTED_VALUE"""),2.0)</f>
        <v>2</v>
      </c>
      <c r="I2150" s="9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</row>
    <row r="2151" ht="15.75" customHeight="1">
      <c r="A2151" s="11">
        <f>IFERROR(__xludf.DUMMYFUNCTION("""COMPUTED_VALUE"""),44471.0)</f>
        <v>44471</v>
      </c>
      <c r="B2151" s="9">
        <f>IFERROR(__xludf.DUMMYFUNCTION("""COMPUTED_VALUE"""),1003582.0)</f>
        <v>1003582</v>
      </c>
      <c r="C2151" s="9">
        <f>IFERROR(__xludf.DUMMYFUNCTION("""COMPUTED_VALUE"""),95951.0)</f>
        <v>95951</v>
      </c>
      <c r="D2151" s="9"/>
      <c r="E2151" s="9"/>
      <c r="F2151" s="9">
        <f>IFERROR(__xludf.DUMMYFUNCTION("""COMPUTED_VALUE"""),2.91)</f>
        <v>2.91</v>
      </c>
      <c r="G2151" s="9">
        <f>IFERROR(__xludf.DUMMYFUNCTION("""COMPUTED_VALUE"""),2.91)</f>
        <v>2.91</v>
      </c>
      <c r="H2151" s="9">
        <f>IFERROR(__xludf.DUMMYFUNCTION("""COMPUTED_VALUE"""),3.0)</f>
        <v>3</v>
      </c>
      <c r="I2151" s="9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</row>
    <row r="2152" ht="15.75" customHeight="1">
      <c r="A2152" s="11">
        <f>IFERROR(__xludf.DUMMYFUNCTION("""COMPUTED_VALUE"""),44471.0)</f>
        <v>44471</v>
      </c>
      <c r="B2152" s="9">
        <f>IFERROR(__xludf.DUMMYFUNCTION("""COMPUTED_VALUE"""),1003582.0)</f>
        <v>1003582</v>
      </c>
      <c r="C2152" s="9">
        <f>IFERROR(__xludf.DUMMYFUNCTION("""COMPUTED_VALUE"""),8696.0)</f>
        <v>8696</v>
      </c>
      <c r="D2152" s="9"/>
      <c r="E2152" s="9"/>
      <c r="F2152" s="9">
        <f>IFERROR(__xludf.DUMMYFUNCTION("""COMPUTED_VALUE"""),11.98)</f>
        <v>11.98</v>
      </c>
      <c r="G2152" s="9">
        <f>IFERROR(__xludf.DUMMYFUNCTION("""COMPUTED_VALUE"""),11.98)</f>
        <v>11.98</v>
      </c>
      <c r="H2152" s="9">
        <f>IFERROR(__xludf.DUMMYFUNCTION("""COMPUTED_VALUE"""),3.0)</f>
        <v>3</v>
      </c>
      <c r="I2152" s="9"/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</row>
    <row r="2153" ht="15.75" customHeight="1">
      <c r="A2153" s="11">
        <f>IFERROR(__xludf.DUMMYFUNCTION("""COMPUTED_VALUE"""),44471.0)</f>
        <v>44471</v>
      </c>
      <c r="B2153" s="9">
        <f>IFERROR(__xludf.DUMMYFUNCTION("""COMPUTED_VALUE"""),1003583.0)</f>
        <v>1003583</v>
      </c>
      <c r="C2153" s="9">
        <f>IFERROR(__xludf.DUMMYFUNCTION("""COMPUTED_VALUE"""),101298.0)</f>
        <v>101298</v>
      </c>
      <c r="D2153" s="10" t="str">
        <f>IFERROR(__xludf.DUMMYFUNCTION("""COMPUTED_VALUE"""),"Natur'vox Carryboo couches Sept 21")</f>
        <v>Natur'vox Carryboo couches Sept 21</v>
      </c>
      <c r="E2153" s="10" t="str">
        <f>IFERROR(__xludf.DUMMYFUNCTION("""COMPUTED_VALUE"""),"GREENRELAIS")</f>
        <v>GREENRELAIS</v>
      </c>
      <c r="F2153" s="10">
        <f>IFERROR(__xludf.DUMMYFUNCTION("""COMPUTED_VALUE"""),98.2266666666666)</f>
        <v>98.22666667</v>
      </c>
      <c r="G2153" s="9">
        <f>IFERROR(__xludf.DUMMYFUNCTION("""COMPUTED_VALUE"""),73.67)</f>
        <v>73.67</v>
      </c>
      <c r="H2153" s="9">
        <f>IFERROR(__xludf.DUMMYFUNCTION("""COMPUTED_VALUE"""),6.0)</f>
        <v>6</v>
      </c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</row>
    <row r="2154" ht="15.75" customHeight="1">
      <c r="A2154" s="11">
        <f>IFERROR(__xludf.DUMMYFUNCTION("""COMPUTED_VALUE"""),44471.0)</f>
        <v>44471</v>
      </c>
      <c r="B2154" s="9">
        <f>IFERROR(__xludf.DUMMYFUNCTION("""COMPUTED_VALUE"""),1003584.0)</f>
        <v>1003584</v>
      </c>
      <c r="C2154" s="9">
        <f>IFERROR(__xludf.DUMMYFUNCTION("""COMPUTED_VALUE"""),187317.0)</f>
        <v>187317</v>
      </c>
      <c r="D2154" s="9"/>
      <c r="E2154" s="9"/>
      <c r="F2154" s="9">
        <f>IFERROR(__xludf.DUMMYFUNCTION("""COMPUTED_VALUE"""),3.38)</f>
        <v>3.38</v>
      </c>
      <c r="G2154" s="9">
        <f>IFERROR(__xludf.DUMMYFUNCTION("""COMPUTED_VALUE"""),3.38)</f>
        <v>3.38</v>
      </c>
      <c r="H2154" s="9">
        <f>IFERROR(__xludf.DUMMYFUNCTION("""COMPUTED_VALUE"""),1.0)</f>
        <v>1</v>
      </c>
      <c r="I2154" s="9"/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</row>
    <row r="2155" ht="15.75" customHeight="1">
      <c r="A2155" s="11">
        <f>IFERROR(__xludf.DUMMYFUNCTION("""COMPUTED_VALUE"""),44471.0)</f>
        <v>44471</v>
      </c>
      <c r="B2155" s="9">
        <f>IFERROR(__xludf.DUMMYFUNCTION("""COMPUTED_VALUE"""),1003584.0)</f>
        <v>1003584</v>
      </c>
      <c r="C2155" s="9">
        <f>IFERROR(__xludf.DUMMYFUNCTION("""COMPUTED_VALUE"""),80091.0)</f>
        <v>80091</v>
      </c>
      <c r="D2155" s="9"/>
      <c r="E2155" s="9"/>
      <c r="F2155" s="9">
        <f>IFERROR(__xludf.DUMMYFUNCTION("""COMPUTED_VALUE"""),1.94)</f>
        <v>1.94</v>
      </c>
      <c r="G2155" s="9">
        <f>IFERROR(__xludf.DUMMYFUNCTION("""COMPUTED_VALUE"""),1.94)</f>
        <v>1.94</v>
      </c>
      <c r="H2155" s="9">
        <f>IFERROR(__xludf.DUMMYFUNCTION("""COMPUTED_VALUE"""),1.0)</f>
        <v>1</v>
      </c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</row>
    <row r="2156" ht="15.75" customHeight="1">
      <c r="A2156" s="11">
        <f>IFERROR(__xludf.DUMMYFUNCTION("""COMPUTED_VALUE"""),44471.0)</f>
        <v>44471</v>
      </c>
      <c r="B2156" s="9">
        <f>IFERROR(__xludf.DUMMYFUNCTION("""COMPUTED_VALUE"""),1003584.0)</f>
        <v>1003584</v>
      </c>
      <c r="C2156" s="9">
        <f>IFERROR(__xludf.DUMMYFUNCTION("""COMPUTED_VALUE"""),76046.0)</f>
        <v>76046</v>
      </c>
      <c r="D2156" s="10" t="str">
        <f>IFERROR(__xludf.DUMMYFUNCTION("""COMPUTED_VALUE"""),"Vive le bio")</f>
        <v>Vive le bio</v>
      </c>
      <c r="E2156" s="10"/>
      <c r="F2156" s="9">
        <f>IFERROR(__xludf.DUMMYFUNCTION("""COMPUTED_VALUE"""),8.53333333333333)</f>
        <v>8.533333333</v>
      </c>
      <c r="G2156" s="9">
        <f>IFERROR(__xludf.DUMMYFUNCTION("""COMPUTED_VALUE"""),7.68)</f>
        <v>7.68</v>
      </c>
      <c r="H2156" s="9">
        <f>IFERROR(__xludf.DUMMYFUNCTION("""COMPUTED_VALUE"""),1.0)</f>
        <v>1</v>
      </c>
      <c r="I2156" s="9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</row>
    <row r="2157" ht="15.75" customHeight="1">
      <c r="A2157" s="11">
        <f>IFERROR(__xludf.DUMMYFUNCTION("""COMPUTED_VALUE"""),44471.0)</f>
        <v>44471</v>
      </c>
      <c r="B2157" s="9">
        <f>IFERROR(__xludf.DUMMYFUNCTION("""COMPUTED_VALUE"""),1003584.0)</f>
        <v>1003584</v>
      </c>
      <c r="C2157" s="9">
        <f>IFERROR(__xludf.DUMMYFUNCTION("""COMPUTED_VALUE"""),86477.0)</f>
        <v>86477</v>
      </c>
      <c r="D2157" s="9"/>
      <c r="E2157" s="9"/>
      <c r="F2157" s="9">
        <f>IFERROR(__xludf.DUMMYFUNCTION("""COMPUTED_VALUE"""),2.01)</f>
        <v>2.01</v>
      </c>
      <c r="G2157" s="9">
        <f>IFERROR(__xludf.DUMMYFUNCTION("""COMPUTED_VALUE"""),2.01)</f>
        <v>2.01</v>
      </c>
      <c r="H2157" s="9">
        <f>IFERROR(__xludf.DUMMYFUNCTION("""COMPUTED_VALUE"""),1.0)</f>
        <v>1</v>
      </c>
      <c r="I2157" s="9"/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</row>
    <row r="2158" ht="15.75" customHeight="1">
      <c r="A2158" s="11">
        <f>IFERROR(__xludf.DUMMYFUNCTION("""COMPUTED_VALUE"""),44471.0)</f>
        <v>44471</v>
      </c>
      <c r="B2158" s="9">
        <f>IFERROR(__xludf.DUMMYFUNCTION("""COMPUTED_VALUE"""),1003584.0)</f>
        <v>1003584</v>
      </c>
      <c r="C2158" s="9">
        <f>IFERROR(__xludf.DUMMYFUNCTION("""COMPUTED_VALUE"""),115750.0)</f>
        <v>115750</v>
      </c>
      <c r="D2158" s="9"/>
      <c r="E2158" s="9"/>
      <c r="F2158" s="9">
        <f>IFERROR(__xludf.DUMMYFUNCTION("""COMPUTED_VALUE"""),0.91)</f>
        <v>0.91</v>
      </c>
      <c r="G2158" s="9">
        <f>IFERROR(__xludf.DUMMYFUNCTION("""COMPUTED_VALUE"""),0.91)</f>
        <v>0.91</v>
      </c>
      <c r="H2158" s="9">
        <f>IFERROR(__xludf.DUMMYFUNCTION("""COMPUTED_VALUE"""),1.0)</f>
        <v>1</v>
      </c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</row>
    <row r="2159" ht="15.75" customHeight="1">
      <c r="A2159" s="11">
        <f>IFERROR(__xludf.DUMMYFUNCTION("""COMPUTED_VALUE"""),44471.0)</f>
        <v>44471</v>
      </c>
      <c r="B2159" s="9">
        <f>IFERROR(__xludf.DUMMYFUNCTION("""COMPUTED_VALUE"""),1003584.0)</f>
        <v>1003584</v>
      </c>
      <c r="C2159" s="9">
        <f>IFERROR(__xludf.DUMMYFUNCTION("""COMPUTED_VALUE"""),16049.0)</f>
        <v>16049</v>
      </c>
      <c r="D2159" s="9"/>
      <c r="E2159" s="9"/>
      <c r="F2159" s="9">
        <f>IFERROR(__xludf.DUMMYFUNCTION("""COMPUTED_VALUE"""),3.16)</f>
        <v>3.16</v>
      </c>
      <c r="G2159" s="9">
        <f>IFERROR(__xludf.DUMMYFUNCTION("""COMPUTED_VALUE"""),3.16)</f>
        <v>3.16</v>
      </c>
      <c r="H2159" s="9">
        <f>IFERROR(__xludf.DUMMYFUNCTION("""COMPUTED_VALUE"""),1.0)</f>
        <v>1</v>
      </c>
      <c r="I2159" s="9"/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</row>
    <row r="2160" ht="15.75" customHeight="1">
      <c r="A2160" s="11">
        <f>IFERROR(__xludf.DUMMYFUNCTION("""COMPUTED_VALUE"""),44471.0)</f>
        <v>44471</v>
      </c>
      <c r="B2160" s="9">
        <f>IFERROR(__xludf.DUMMYFUNCTION("""COMPUTED_VALUE"""),1003584.0)</f>
        <v>1003584</v>
      </c>
      <c r="C2160" s="9">
        <f>IFERROR(__xludf.DUMMYFUNCTION("""COMPUTED_VALUE"""),21032.0)</f>
        <v>21032</v>
      </c>
      <c r="D2160" s="10" t="str">
        <f>IFERROR(__xludf.DUMMYFUNCTION("""COMPUTED_VALUE"""),"Vive le bio")</f>
        <v>Vive le bio</v>
      </c>
      <c r="E2160" s="10"/>
      <c r="F2160" s="9">
        <f>IFERROR(__xludf.DUMMYFUNCTION("""COMPUTED_VALUE"""),8.82222222222222)</f>
        <v>8.822222222</v>
      </c>
      <c r="G2160" s="9">
        <f>IFERROR(__xludf.DUMMYFUNCTION("""COMPUTED_VALUE"""),7.94)</f>
        <v>7.94</v>
      </c>
      <c r="H2160" s="9">
        <f>IFERROR(__xludf.DUMMYFUNCTION("""COMPUTED_VALUE"""),1.0)</f>
        <v>1</v>
      </c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</row>
    <row r="2161" ht="15.75" customHeight="1">
      <c r="A2161" s="11">
        <f>IFERROR(__xludf.DUMMYFUNCTION("""COMPUTED_VALUE"""),44471.0)</f>
        <v>44471</v>
      </c>
      <c r="B2161" s="9">
        <f>IFERROR(__xludf.DUMMYFUNCTION("""COMPUTED_VALUE"""),1003584.0)</f>
        <v>1003584</v>
      </c>
      <c r="C2161" s="9">
        <f>IFERROR(__xludf.DUMMYFUNCTION("""COMPUTED_VALUE"""),77223.0)</f>
        <v>77223</v>
      </c>
      <c r="D2161" s="9"/>
      <c r="E2161" s="9"/>
      <c r="F2161" s="9">
        <f>IFERROR(__xludf.DUMMYFUNCTION("""COMPUTED_VALUE"""),2.54)</f>
        <v>2.54</v>
      </c>
      <c r="G2161" s="9">
        <f>IFERROR(__xludf.DUMMYFUNCTION("""COMPUTED_VALUE"""),2.54)</f>
        <v>2.54</v>
      </c>
      <c r="H2161" s="9">
        <f>IFERROR(__xludf.DUMMYFUNCTION("""COMPUTED_VALUE"""),1.0)</f>
        <v>1</v>
      </c>
      <c r="I2161" s="9"/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</row>
    <row r="2162" ht="15.75" customHeight="1">
      <c r="A2162" s="11">
        <f>IFERROR(__xludf.DUMMYFUNCTION("""COMPUTED_VALUE"""),44471.0)</f>
        <v>44471</v>
      </c>
      <c r="B2162" s="9">
        <f>IFERROR(__xludf.DUMMYFUNCTION("""COMPUTED_VALUE"""),1003584.0)</f>
        <v>1003584</v>
      </c>
      <c r="C2162" s="9">
        <f>IFERROR(__xludf.DUMMYFUNCTION("""COMPUTED_VALUE"""),107325.0)</f>
        <v>107325</v>
      </c>
      <c r="D2162" s="9"/>
      <c r="E2162" s="9"/>
      <c r="F2162" s="9">
        <f>IFERROR(__xludf.DUMMYFUNCTION("""COMPUTED_VALUE"""),3.43)</f>
        <v>3.43</v>
      </c>
      <c r="G2162" s="9">
        <f>IFERROR(__xludf.DUMMYFUNCTION("""COMPUTED_VALUE"""),3.43)</f>
        <v>3.43</v>
      </c>
      <c r="H2162" s="9">
        <f>IFERROR(__xludf.DUMMYFUNCTION("""COMPUTED_VALUE"""),1.0)</f>
        <v>1</v>
      </c>
      <c r="I2162" s="9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</row>
    <row r="2163" ht="15.75" customHeight="1">
      <c r="A2163" s="11">
        <f>IFERROR(__xludf.DUMMYFUNCTION("""COMPUTED_VALUE"""),44471.0)</f>
        <v>44471</v>
      </c>
      <c r="B2163" s="9">
        <f>IFERROR(__xludf.DUMMYFUNCTION("""COMPUTED_VALUE"""),1003584.0)</f>
        <v>1003584</v>
      </c>
      <c r="C2163" s="9">
        <f>IFERROR(__xludf.DUMMYFUNCTION("""COMPUTED_VALUE"""),87044.0)</f>
        <v>87044</v>
      </c>
      <c r="D2163" s="9"/>
      <c r="E2163" s="9"/>
      <c r="F2163" s="9">
        <f>IFERROR(__xludf.DUMMYFUNCTION("""COMPUTED_VALUE"""),12.47)</f>
        <v>12.47</v>
      </c>
      <c r="G2163" s="9">
        <f>IFERROR(__xludf.DUMMYFUNCTION("""COMPUTED_VALUE"""),12.47)</f>
        <v>12.47</v>
      </c>
      <c r="H2163" s="9">
        <f>IFERROR(__xludf.DUMMYFUNCTION("""COMPUTED_VALUE"""),1.0)</f>
        <v>1</v>
      </c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</row>
    <row r="2164" ht="15.75" customHeight="1">
      <c r="A2164" s="11">
        <f>IFERROR(__xludf.DUMMYFUNCTION("""COMPUTED_VALUE"""),44471.0)</f>
        <v>44471</v>
      </c>
      <c r="B2164" s="9">
        <f>IFERROR(__xludf.DUMMYFUNCTION("""COMPUTED_VALUE"""),1003584.0)</f>
        <v>1003584</v>
      </c>
      <c r="C2164" s="9">
        <f>IFERROR(__xludf.DUMMYFUNCTION("""COMPUTED_VALUE"""),72129.0)</f>
        <v>72129</v>
      </c>
      <c r="D2164" s="10" t="str">
        <f>IFERROR(__xludf.DUMMYFUNCTION("""COMPUTED_VALUE"""),"Vive le bio")</f>
        <v>Vive le bio</v>
      </c>
      <c r="E2164" s="10"/>
      <c r="F2164" s="9">
        <f>IFERROR(__xludf.DUMMYFUNCTION("""COMPUTED_VALUE"""),9.61111111111111)</f>
        <v>9.611111111</v>
      </c>
      <c r="G2164" s="9">
        <f>IFERROR(__xludf.DUMMYFUNCTION("""COMPUTED_VALUE"""),8.65)</f>
        <v>8.65</v>
      </c>
      <c r="H2164" s="9">
        <f>IFERROR(__xludf.DUMMYFUNCTION("""COMPUTED_VALUE"""),1.0)</f>
        <v>1</v>
      </c>
      <c r="I2164" s="9"/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</row>
    <row r="2165" ht="15.75" customHeight="1">
      <c r="A2165" s="11">
        <f>IFERROR(__xludf.DUMMYFUNCTION("""COMPUTED_VALUE"""),44471.0)</f>
        <v>44471</v>
      </c>
      <c r="B2165" s="9">
        <f>IFERROR(__xludf.DUMMYFUNCTION("""COMPUTED_VALUE"""),1003584.0)</f>
        <v>1003584</v>
      </c>
      <c r="C2165" s="9">
        <f>IFERROR(__xludf.DUMMYFUNCTION("""COMPUTED_VALUE"""),122798.0)</f>
        <v>122798</v>
      </c>
      <c r="D2165" s="9"/>
      <c r="E2165" s="9"/>
      <c r="F2165" s="9">
        <f>IFERROR(__xludf.DUMMYFUNCTION("""COMPUTED_VALUE"""),4.16)</f>
        <v>4.16</v>
      </c>
      <c r="G2165" s="9">
        <f>IFERROR(__xludf.DUMMYFUNCTION("""COMPUTED_VALUE"""),4.16)</f>
        <v>4.16</v>
      </c>
      <c r="H2165" s="9">
        <f>IFERROR(__xludf.DUMMYFUNCTION("""COMPUTED_VALUE"""),1.0)</f>
        <v>1</v>
      </c>
      <c r="I2165" s="9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</row>
    <row r="2166" ht="15.75" customHeight="1">
      <c r="A2166" s="11">
        <f>IFERROR(__xludf.DUMMYFUNCTION("""COMPUTED_VALUE"""),44471.0)</f>
        <v>44471</v>
      </c>
      <c r="B2166" s="9">
        <f>IFERROR(__xludf.DUMMYFUNCTION("""COMPUTED_VALUE"""),1003584.0)</f>
        <v>1003584</v>
      </c>
      <c r="C2166" s="9">
        <f>IFERROR(__xludf.DUMMYFUNCTION("""COMPUTED_VALUE"""),86169.0)</f>
        <v>86169</v>
      </c>
      <c r="D2166" s="9"/>
      <c r="E2166" s="9"/>
      <c r="F2166" s="9">
        <f>IFERROR(__xludf.DUMMYFUNCTION("""COMPUTED_VALUE"""),4.68)</f>
        <v>4.68</v>
      </c>
      <c r="G2166" s="9">
        <f>IFERROR(__xludf.DUMMYFUNCTION("""COMPUTED_VALUE"""),4.68)</f>
        <v>4.68</v>
      </c>
      <c r="H2166" s="9">
        <f>IFERROR(__xludf.DUMMYFUNCTION("""COMPUTED_VALUE"""),1.0)</f>
        <v>1</v>
      </c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</row>
    <row r="2167" ht="15.75" customHeight="1">
      <c r="A2167" s="11">
        <f>IFERROR(__xludf.DUMMYFUNCTION("""COMPUTED_VALUE"""),44471.0)</f>
        <v>44471</v>
      </c>
      <c r="B2167" s="9">
        <f>IFERROR(__xludf.DUMMYFUNCTION("""COMPUTED_VALUE"""),1003584.0)</f>
        <v>1003584</v>
      </c>
      <c r="C2167" s="9">
        <f>IFERROR(__xludf.DUMMYFUNCTION("""COMPUTED_VALUE"""),115754.0)</f>
        <v>115754</v>
      </c>
      <c r="D2167" s="10" t="str">
        <f>IFERROR(__xludf.DUMMYFUNCTION("""COMPUTED_VALUE"""),"Vive le bio")</f>
        <v>Vive le bio</v>
      </c>
      <c r="E2167" s="10"/>
      <c r="F2167" s="9">
        <f>IFERROR(__xludf.DUMMYFUNCTION("""COMPUTED_VALUE"""),1.15555555555555)</f>
        <v>1.155555556</v>
      </c>
      <c r="G2167" s="9">
        <f>IFERROR(__xludf.DUMMYFUNCTION("""COMPUTED_VALUE"""),1.04)</f>
        <v>1.04</v>
      </c>
      <c r="H2167" s="9">
        <f>IFERROR(__xludf.DUMMYFUNCTION("""COMPUTED_VALUE"""),1.0)</f>
        <v>1</v>
      </c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</row>
    <row r="2168" ht="15.75" customHeight="1">
      <c r="A2168" s="11">
        <f>IFERROR(__xludf.DUMMYFUNCTION("""COMPUTED_VALUE"""),44471.0)</f>
        <v>44471</v>
      </c>
      <c r="B2168" s="9">
        <f>IFERROR(__xludf.DUMMYFUNCTION("""COMPUTED_VALUE"""),1003584.0)</f>
        <v>1003584</v>
      </c>
      <c r="C2168" s="9">
        <f>IFERROR(__xludf.DUMMYFUNCTION("""COMPUTED_VALUE"""),69138.0)</f>
        <v>69138</v>
      </c>
      <c r="D2168" s="9"/>
      <c r="E2168" s="9"/>
      <c r="F2168" s="9">
        <f>IFERROR(__xludf.DUMMYFUNCTION("""COMPUTED_VALUE"""),6.71)</f>
        <v>6.71</v>
      </c>
      <c r="G2168" s="9">
        <f>IFERROR(__xludf.DUMMYFUNCTION("""COMPUTED_VALUE"""),6.71)</f>
        <v>6.71</v>
      </c>
      <c r="H2168" s="9">
        <f>IFERROR(__xludf.DUMMYFUNCTION("""COMPUTED_VALUE"""),1.0)</f>
        <v>1</v>
      </c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</row>
    <row r="2169" ht="15.75" customHeight="1">
      <c r="A2169" s="11">
        <f>IFERROR(__xludf.DUMMYFUNCTION("""COMPUTED_VALUE"""),44471.0)</f>
        <v>44471</v>
      </c>
      <c r="B2169" s="9">
        <f>IFERROR(__xludf.DUMMYFUNCTION("""COMPUTED_VALUE"""),1003584.0)</f>
        <v>1003584</v>
      </c>
      <c r="C2169" s="9">
        <f>IFERROR(__xludf.DUMMYFUNCTION("""COMPUTED_VALUE"""),19822.0)</f>
        <v>19822</v>
      </c>
      <c r="D2169" s="9"/>
      <c r="E2169" s="9"/>
      <c r="F2169" s="9">
        <f>IFERROR(__xludf.DUMMYFUNCTION("""COMPUTED_VALUE"""),3.36)</f>
        <v>3.36</v>
      </c>
      <c r="G2169" s="9">
        <f>IFERROR(__xludf.DUMMYFUNCTION("""COMPUTED_VALUE"""),3.36)</f>
        <v>3.36</v>
      </c>
      <c r="H2169" s="9">
        <f>IFERROR(__xludf.DUMMYFUNCTION("""COMPUTED_VALUE"""),1.0)</f>
        <v>1</v>
      </c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</row>
    <row r="2170" ht="15.75" customHeight="1">
      <c r="A2170" s="11">
        <f>IFERROR(__xludf.DUMMYFUNCTION("""COMPUTED_VALUE"""),44471.0)</f>
        <v>44471</v>
      </c>
      <c r="B2170" s="9">
        <f>IFERROR(__xludf.DUMMYFUNCTION("""COMPUTED_VALUE"""),1003584.0)</f>
        <v>1003584</v>
      </c>
      <c r="C2170" s="9">
        <f>IFERROR(__xludf.DUMMYFUNCTION("""COMPUTED_VALUE"""),9158.0)</f>
        <v>9158</v>
      </c>
      <c r="D2170" s="9"/>
      <c r="E2170" s="9"/>
      <c r="F2170" s="9">
        <f>IFERROR(__xludf.DUMMYFUNCTION("""COMPUTED_VALUE"""),1.93)</f>
        <v>1.93</v>
      </c>
      <c r="G2170" s="9">
        <f>IFERROR(__xludf.DUMMYFUNCTION("""COMPUTED_VALUE"""),1.93)</f>
        <v>1.93</v>
      </c>
      <c r="H2170" s="9">
        <f>IFERROR(__xludf.DUMMYFUNCTION("""COMPUTED_VALUE"""),1.0)</f>
        <v>1</v>
      </c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</row>
    <row r="2171" ht="15.75" customHeight="1">
      <c r="A2171" s="11">
        <f>IFERROR(__xludf.DUMMYFUNCTION("""COMPUTED_VALUE"""),44471.0)</f>
        <v>44471</v>
      </c>
      <c r="B2171" s="9">
        <f>IFERROR(__xludf.DUMMYFUNCTION("""COMPUTED_VALUE"""),1003584.0)</f>
        <v>1003584</v>
      </c>
      <c r="C2171" s="9">
        <f>IFERROR(__xludf.DUMMYFUNCTION("""COMPUTED_VALUE"""),46773.0)</f>
        <v>46773</v>
      </c>
      <c r="D2171" s="10" t="str">
        <f>IFERROR(__xludf.DUMMYFUNCTION("""COMPUTED_VALUE"""),"Vive le bio")</f>
        <v>Vive le bio</v>
      </c>
      <c r="E2171" s="10"/>
      <c r="F2171" s="9">
        <f>IFERROR(__xludf.DUMMYFUNCTION("""COMPUTED_VALUE"""),2.94444444444444)</f>
        <v>2.944444444</v>
      </c>
      <c r="G2171" s="9">
        <f>IFERROR(__xludf.DUMMYFUNCTION("""COMPUTED_VALUE"""),2.65)</f>
        <v>2.65</v>
      </c>
      <c r="H2171" s="9">
        <f>IFERROR(__xludf.DUMMYFUNCTION("""COMPUTED_VALUE"""),1.0)</f>
        <v>1</v>
      </c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</row>
    <row r="2172" ht="15.75" customHeight="1">
      <c r="A2172" s="11">
        <f>IFERROR(__xludf.DUMMYFUNCTION("""COMPUTED_VALUE"""),44471.0)</f>
        <v>44471</v>
      </c>
      <c r="B2172" s="9">
        <f>IFERROR(__xludf.DUMMYFUNCTION("""COMPUTED_VALUE"""),1003584.0)</f>
        <v>1003584</v>
      </c>
      <c r="C2172" s="9">
        <f>IFERROR(__xludf.DUMMYFUNCTION("""COMPUTED_VALUE"""),24162.0)</f>
        <v>24162</v>
      </c>
      <c r="D2172" s="9"/>
      <c r="E2172" s="9"/>
      <c r="F2172" s="9">
        <f>IFERROR(__xludf.DUMMYFUNCTION("""COMPUTED_VALUE"""),4.73)</f>
        <v>4.73</v>
      </c>
      <c r="G2172" s="9">
        <f>IFERROR(__xludf.DUMMYFUNCTION("""COMPUTED_VALUE"""),4.73)</f>
        <v>4.73</v>
      </c>
      <c r="H2172" s="9">
        <f>IFERROR(__xludf.DUMMYFUNCTION("""COMPUTED_VALUE"""),1.0)</f>
        <v>1</v>
      </c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</row>
    <row r="2173" ht="15.75" customHeight="1">
      <c r="A2173" s="11">
        <f>IFERROR(__xludf.DUMMYFUNCTION("""COMPUTED_VALUE"""),44471.0)</f>
        <v>44471</v>
      </c>
      <c r="B2173" s="9">
        <f>IFERROR(__xludf.DUMMYFUNCTION("""COMPUTED_VALUE"""),1003584.0)</f>
        <v>1003584</v>
      </c>
      <c r="C2173" s="9">
        <f>IFERROR(__xludf.DUMMYFUNCTION("""COMPUTED_VALUE"""),115761.0)</f>
        <v>115761</v>
      </c>
      <c r="D2173" s="9"/>
      <c r="E2173" s="9"/>
      <c r="F2173" s="9">
        <f>IFERROR(__xludf.DUMMYFUNCTION("""COMPUTED_VALUE"""),1.31)</f>
        <v>1.31</v>
      </c>
      <c r="G2173" s="9">
        <f>IFERROR(__xludf.DUMMYFUNCTION("""COMPUTED_VALUE"""),1.31)</f>
        <v>1.31</v>
      </c>
      <c r="H2173" s="9">
        <f>IFERROR(__xludf.DUMMYFUNCTION("""COMPUTED_VALUE"""),1.0)</f>
        <v>1</v>
      </c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</row>
    <row r="2174" ht="15.75" customHeight="1">
      <c r="A2174" s="11">
        <f>IFERROR(__xludf.DUMMYFUNCTION("""COMPUTED_VALUE"""),44471.0)</f>
        <v>44471</v>
      </c>
      <c r="B2174" s="9">
        <f>IFERROR(__xludf.DUMMYFUNCTION("""COMPUTED_VALUE"""),1003584.0)</f>
        <v>1003584</v>
      </c>
      <c r="C2174" s="9">
        <f>IFERROR(__xludf.DUMMYFUNCTION("""COMPUTED_VALUE"""),3425.0)</f>
        <v>3425</v>
      </c>
      <c r="D2174" s="9"/>
      <c r="E2174" s="9"/>
      <c r="F2174" s="9">
        <f>IFERROR(__xludf.DUMMYFUNCTION("""COMPUTED_VALUE"""),12.28)</f>
        <v>12.28</v>
      </c>
      <c r="G2174" s="9">
        <f>IFERROR(__xludf.DUMMYFUNCTION("""COMPUTED_VALUE"""),12.28)</f>
        <v>12.28</v>
      </c>
      <c r="H2174" s="9">
        <f>IFERROR(__xludf.DUMMYFUNCTION("""COMPUTED_VALUE"""),2.0)</f>
        <v>2</v>
      </c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</row>
    <row r="2175" ht="15.75" customHeight="1">
      <c r="A2175" s="11">
        <f>IFERROR(__xludf.DUMMYFUNCTION("""COMPUTED_VALUE"""),44471.0)</f>
        <v>44471</v>
      </c>
      <c r="B2175" s="9">
        <f>IFERROR(__xludf.DUMMYFUNCTION("""COMPUTED_VALUE"""),1003584.0)</f>
        <v>1003584</v>
      </c>
      <c r="C2175" s="9">
        <f>IFERROR(__xludf.DUMMYFUNCTION("""COMPUTED_VALUE"""),116181.0)</f>
        <v>116181</v>
      </c>
      <c r="D2175" s="9"/>
      <c r="E2175" s="9"/>
      <c r="F2175" s="9">
        <f>IFERROR(__xludf.DUMMYFUNCTION("""COMPUTED_VALUE"""),3.45)</f>
        <v>3.45</v>
      </c>
      <c r="G2175" s="9">
        <f>IFERROR(__xludf.DUMMYFUNCTION("""COMPUTED_VALUE"""),3.45)</f>
        <v>3.45</v>
      </c>
      <c r="H2175" s="9">
        <f>IFERROR(__xludf.DUMMYFUNCTION("""COMPUTED_VALUE"""),2.0)</f>
        <v>2</v>
      </c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</row>
    <row r="2176" ht="15.75" customHeight="1">
      <c r="A2176" s="11">
        <f>IFERROR(__xludf.DUMMYFUNCTION("""COMPUTED_VALUE"""),44471.0)</f>
        <v>44471</v>
      </c>
      <c r="B2176" s="9">
        <f>IFERROR(__xludf.DUMMYFUNCTION("""COMPUTED_VALUE"""),1003585.0)</f>
        <v>1003585</v>
      </c>
      <c r="C2176" s="9">
        <f>IFERROR(__xludf.DUMMYFUNCTION("""COMPUTED_VALUE"""),27534.0)</f>
        <v>27534</v>
      </c>
      <c r="D2176" s="9"/>
      <c r="E2176" s="9"/>
      <c r="F2176" s="9">
        <f>IFERROR(__xludf.DUMMYFUNCTION("""COMPUTED_VALUE"""),4.04)</f>
        <v>4.04</v>
      </c>
      <c r="G2176" s="9">
        <f>IFERROR(__xludf.DUMMYFUNCTION("""COMPUTED_VALUE"""),4.04)</f>
        <v>4.04</v>
      </c>
      <c r="H2176" s="9">
        <f>IFERROR(__xludf.DUMMYFUNCTION("""COMPUTED_VALUE"""),1.0)</f>
        <v>1</v>
      </c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</row>
    <row r="2177" ht="15.75" customHeight="1">
      <c r="A2177" s="11">
        <f>IFERROR(__xludf.DUMMYFUNCTION("""COMPUTED_VALUE"""),44471.0)</f>
        <v>44471</v>
      </c>
      <c r="B2177" s="9">
        <f>IFERROR(__xludf.DUMMYFUNCTION("""COMPUTED_VALUE"""),1003585.0)</f>
        <v>1003585</v>
      </c>
      <c r="C2177" s="9">
        <f>IFERROR(__xludf.DUMMYFUNCTION("""COMPUTED_VALUE"""),109531.0)</f>
        <v>109531</v>
      </c>
      <c r="D2177" s="10" t="str">
        <f>IFERROR(__xludf.DUMMYFUNCTION("""COMPUTED_VALUE"""),"Zero Dechet")</f>
        <v>Zero Dechet</v>
      </c>
      <c r="E2177" s="10"/>
      <c r="F2177" s="9">
        <f>IFERROR(__xludf.DUMMYFUNCTION("""COMPUTED_VALUE"""),2.82499999999999)</f>
        <v>2.825</v>
      </c>
      <c r="G2177" s="9">
        <f>IFERROR(__xludf.DUMMYFUNCTION("""COMPUTED_VALUE"""),2.26)</f>
        <v>2.26</v>
      </c>
      <c r="H2177" s="9">
        <f>IFERROR(__xludf.DUMMYFUNCTION("""COMPUTED_VALUE"""),1.0)</f>
        <v>1</v>
      </c>
      <c r="I2177" s="9"/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</row>
    <row r="2178" ht="15.75" customHeight="1">
      <c r="A2178" s="11">
        <f>IFERROR(__xludf.DUMMYFUNCTION("""COMPUTED_VALUE"""),44471.0)</f>
        <v>44471</v>
      </c>
      <c r="B2178" s="9">
        <f>IFERROR(__xludf.DUMMYFUNCTION("""COMPUTED_VALUE"""),1003585.0)</f>
        <v>1003585</v>
      </c>
      <c r="C2178" s="9">
        <f>IFERROR(__xludf.DUMMYFUNCTION("""COMPUTED_VALUE"""),19812.0)</f>
        <v>19812</v>
      </c>
      <c r="D2178" s="9"/>
      <c r="E2178" s="9"/>
      <c r="F2178" s="9">
        <f>IFERROR(__xludf.DUMMYFUNCTION("""COMPUTED_VALUE"""),4.78)</f>
        <v>4.78</v>
      </c>
      <c r="G2178" s="9">
        <f>IFERROR(__xludf.DUMMYFUNCTION("""COMPUTED_VALUE"""),4.78)</f>
        <v>4.78</v>
      </c>
      <c r="H2178" s="9">
        <f>IFERROR(__xludf.DUMMYFUNCTION("""COMPUTED_VALUE"""),2.0)</f>
        <v>2</v>
      </c>
      <c r="I2178" s="9"/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</row>
    <row r="2179" ht="15.75" customHeight="1">
      <c r="A2179" s="11">
        <f>IFERROR(__xludf.DUMMYFUNCTION("""COMPUTED_VALUE"""),44471.0)</f>
        <v>44471</v>
      </c>
      <c r="B2179" s="9">
        <f>IFERROR(__xludf.DUMMYFUNCTION("""COMPUTED_VALUE"""),1003585.0)</f>
        <v>1003585</v>
      </c>
      <c r="C2179" s="9">
        <f>IFERROR(__xludf.DUMMYFUNCTION("""COMPUTED_VALUE"""),96238.0)</f>
        <v>96238</v>
      </c>
      <c r="D2179" s="9"/>
      <c r="E2179" s="9"/>
      <c r="F2179" s="9">
        <f>IFERROR(__xludf.DUMMYFUNCTION("""COMPUTED_VALUE"""),30.4)</f>
        <v>30.4</v>
      </c>
      <c r="G2179" s="9">
        <f>IFERROR(__xludf.DUMMYFUNCTION("""COMPUTED_VALUE"""),30.4)</f>
        <v>30.4</v>
      </c>
      <c r="H2179" s="9">
        <f>IFERROR(__xludf.DUMMYFUNCTION("""COMPUTED_VALUE"""),4.0)</f>
        <v>4</v>
      </c>
      <c r="I2179" s="9"/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</row>
    <row r="2180" ht="15.75" customHeight="1">
      <c r="A2180" s="11">
        <f>IFERROR(__xludf.DUMMYFUNCTION("""COMPUTED_VALUE"""),44471.0)</f>
        <v>44471</v>
      </c>
      <c r="B2180" s="9">
        <f>IFERROR(__xludf.DUMMYFUNCTION("""COMPUTED_VALUE"""),1003586.0)</f>
        <v>1003586</v>
      </c>
      <c r="C2180" s="9">
        <f>IFERROR(__xludf.DUMMYFUNCTION("""COMPUTED_VALUE"""),109206.0)</f>
        <v>109206</v>
      </c>
      <c r="D2180" s="9"/>
      <c r="E2180" s="9"/>
      <c r="F2180" s="9">
        <f>IFERROR(__xludf.DUMMYFUNCTION("""COMPUTED_VALUE"""),4.31)</f>
        <v>4.31</v>
      </c>
      <c r="G2180" s="9">
        <f>IFERROR(__xludf.DUMMYFUNCTION("""COMPUTED_VALUE"""),4.31)</f>
        <v>4.31</v>
      </c>
      <c r="H2180" s="9">
        <f>IFERROR(__xludf.DUMMYFUNCTION("""COMPUTED_VALUE"""),1.0)</f>
        <v>1</v>
      </c>
      <c r="I2180" s="9"/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</row>
    <row r="2181" ht="15.75" customHeight="1">
      <c r="A2181" s="11">
        <f>IFERROR(__xludf.DUMMYFUNCTION("""COMPUTED_VALUE"""),44471.0)</f>
        <v>44471</v>
      </c>
      <c r="B2181" s="9">
        <f>IFERROR(__xludf.DUMMYFUNCTION("""COMPUTED_VALUE"""),1003586.0)</f>
        <v>1003586</v>
      </c>
      <c r="C2181" s="9">
        <f>IFERROR(__xludf.DUMMYFUNCTION("""COMPUTED_VALUE"""),100446.0)</f>
        <v>100446</v>
      </c>
      <c r="D2181" s="10" t="str">
        <f>IFERROR(__xludf.DUMMYFUNCTION("""COMPUTED_VALUE"""),"Vive le bio")</f>
        <v>Vive le bio</v>
      </c>
      <c r="E2181" s="10"/>
      <c r="F2181" s="9">
        <f>IFERROR(__xludf.DUMMYFUNCTION("""COMPUTED_VALUE"""),4.36666666666666)</f>
        <v>4.366666667</v>
      </c>
      <c r="G2181" s="9">
        <f>IFERROR(__xludf.DUMMYFUNCTION("""COMPUTED_VALUE"""),3.93)</f>
        <v>3.93</v>
      </c>
      <c r="H2181" s="9">
        <f>IFERROR(__xludf.DUMMYFUNCTION("""COMPUTED_VALUE"""),2.0)</f>
        <v>2</v>
      </c>
      <c r="I2181" s="9"/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</row>
    <row r="2182" ht="15.75" customHeight="1">
      <c r="A2182" s="11">
        <f>IFERROR(__xludf.DUMMYFUNCTION("""COMPUTED_VALUE"""),44471.0)</f>
        <v>44471</v>
      </c>
      <c r="B2182" s="9">
        <f>IFERROR(__xludf.DUMMYFUNCTION("""COMPUTED_VALUE"""),1003588.0)</f>
        <v>1003588</v>
      </c>
      <c r="C2182" s="9">
        <f>IFERROR(__xludf.DUMMYFUNCTION("""COMPUTED_VALUE"""),110219.0)</f>
        <v>110219</v>
      </c>
      <c r="D2182" s="9"/>
      <c r="E2182" s="9"/>
      <c r="F2182" s="9">
        <f>IFERROR(__xludf.DUMMYFUNCTION("""COMPUTED_VALUE"""),23.48)</f>
        <v>23.48</v>
      </c>
      <c r="G2182" s="9">
        <f>IFERROR(__xludf.DUMMYFUNCTION("""COMPUTED_VALUE"""),23.48)</f>
        <v>23.48</v>
      </c>
      <c r="H2182" s="9">
        <f>IFERROR(__xludf.DUMMYFUNCTION("""COMPUTED_VALUE"""),1.0)</f>
        <v>1</v>
      </c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</row>
    <row r="2183" ht="15.75" customHeight="1">
      <c r="A2183" s="11">
        <f>IFERROR(__xludf.DUMMYFUNCTION("""COMPUTED_VALUE"""),44471.0)</f>
        <v>44471</v>
      </c>
      <c r="B2183" s="9">
        <f>IFERROR(__xludf.DUMMYFUNCTION("""COMPUTED_VALUE"""),1003588.0)</f>
        <v>1003588</v>
      </c>
      <c r="C2183" s="9">
        <f>IFERROR(__xludf.DUMMYFUNCTION("""COMPUTED_VALUE"""),110219.0)</f>
        <v>110219</v>
      </c>
      <c r="D2183" s="9"/>
      <c r="E2183" s="9"/>
      <c r="F2183" s="9">
        <f>IFERROR(__xludf.DUMMYFUNCTION("""COMPUTED_VALUE"""),69.73)</f>
        <v>69.73</v>
      </c>
      <c r="G2183" s="9">
        <f>IFERROR(__xludf.DUMMYFUNCTION("""COMPUTED_VALUE"""),69.73)</f>
        <v>69.73</v>
      </c>
      <c r="H2183" s="9">
        <f>IFERROR(__xludf.DUMMYFUNCTION("""COMPUTED_VALUE"""),3.0)</f>
        <v>3</v>
      </c>
      <c r="I2183" s="9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</row>
    <row r="2184" ht="15.75" customHeight="1">
      <c r="A2184" s="11">
        <f>IFERROR(__xludf.DUMMYFUNCTION("""COMPUTED_VALUE"""),44471.0)</f>
        <v>44471</v>
      </c>
      <c r="B2184" s="9">
        <f>IFERROR(__xludf.DUMMYFUNCTION("""COMPUTED_VALUE"""),1003589.0)</f>
        <v>1003589</v>
      </c>
      <c r="C2184" s="9">
        <f>IFERROR(__xludf.DUMMYFUNCTION("""COMPUTED_VALUE"""),129373.0)</f>
        <v>129373</v>
      </c>
      <c r="D2184" s="9"/>
      <c r="E2184" s="9"/>
      <c r="F2184" s="9">
        <f>IFERROR(__xludf.DUMMYFUNCTION("""COMPUTED_VALUE"""),5.25)</f>
        <v>5.25</v>
      </c>
      <c r="G2184" s="9">
        <f>IFERROR(__xludf.DUMMYFUNCTION("""COMPUTED_VALUE"""),5.25)</f>
        <v>5.25</v>
      </c>
      <c r="H2184" s="9">
        <f>IFERROR(__xludf.DUMMYFUNCTION("""COMPUTED_VALUE"""),1.0)</f>
        <v>1</v>
      </c>
      <c r="I2184" s="9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</row>
    <row r="2185" ht="15.75" customHeight="1">
      <c r="A2185" s="11">
        <f>IFERROR(__xludf.DUMMYFUNCTION("""COMPUTED_VALUE"""),44471.0)</f>
        <v>44471</v>
      </c>
      <c r="B2185" s="9">
        <f>IFERROR(__xludf.DUMMYFUNCTION("""COMPUTED_VALUE"""),1003589.0)</f>
        <v>1003589</v>
      </c>
      <c r="C2185" s="9">
        <f>IFERROR(__xludf.DUMMYFUNCTION("""COMPUTED_VALUE"""),76874.0)</f>
        <v>76874</v>
      </c>
      <c r="D2185" s="9"/>
      <c r="E2185" s="9"/>
      <c r="F2185" s="9">
        <f>IFERROR(__xludf.DUMMYFUNCTION("""COMPUTED_VALUE"""),7.07)</f>
        <v>7.07</v>
      </c>
      <c r="G2185" s="9">
        <f>IFERROR(__xludf.DUMMYFUNCTION("""COMPUTED_VALUE"""),7.07)</f>
        <v>7.07</v>
      </c>
      <c r="H2185" s="9">
        <f>IFERROR(__xludf.DUMMYFUNCTION("""COMPUTED_VALUE"""),1.0)</f>
        <v>1</v>
      </c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</row>
    <row r="2186" ht="15.75" customHeight="1">
      <c r="A2186" s="11">
        <f>IFERROR(__xludf.DUMMYFUNCTION("""COMPUTED_VALUE"""),44471.0)</f>
        <v>44471</v>
      </c>
      <c r="B2186" s="9">
        <f>IFERROR(__xludf.DUMMYFUNCTION("""COMPUTED_VALUE"""),1003589.0)</f>
        <v>1003589</v>
      </c>
      <c r="C2186" s="9">
        <f>IFERROR(__xludf.DUMMYFUNCTION("""COMPUTED_VALUE"""),82820.0)</f>
        <v>82820</v>
      </c>
      <c r="D2186" s="9"/>
      <c r="E2186" s="9"/>
      <c r="F2186" s="9">
        <f>IFERROR(__xludf.DUMMYFUNCTION("""COMPUTED_VALUE"""),7.82)</f>
        <v>7.82</v>
      </c>
      <c r="G2186" s="9">
        <f>IFERROR(__xludf.DUMMYFUNCTION("""COMPUTED_VALUE"""),7.82)</f>
        <v>7.82</v>
      </c>
      <c r="H2186" s="9">
        <f>IFERROR(__xludf.DUMMYFUNCTION("""COMPUTED_VALUE"""),1.0)</f>
        <v>1</v>
      </c>
      <c r="I2186" s="9"/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</row>
    <row r="2187" ht="15.75" customHeight="1">
      <c r="A2187" s="11">
        <f>IFERROR(__xludf.DUMMYFUNCTION("""COMPUTED_VALUE"""),44471.0)</f>
        <v>44471</v>
      </c>
      <c r="B2187" s="9">
        <f>IFERROR(__xludf.DUMMYFUNCTION("""COMPUTED_VALUE"""),1003589.0)</f>
        <v>1003589</v>
      </c>
      <c r="C2187" s="9">
        <f>IFERROR(__xludf.DUMMYFUNCTION("""COMPUTED_VALUE"""),110002.0)</f>
        <v>110002</v>
      </c>
      <c r="D2187" s="9"/>
      <c r="E2187" s="9"/>
      <c r="F2187" s="9">
        <f>IFERROR(__xludf.DUMMYFUNCTION("""COMPUTED_VALUE"""),2.67)</f>
        <v>2.67</v>
      </c>
      <c r="G2187" s="9">
        <f>IFERROR(__xludf.DUMMYFUNCTION("""COMPUTED_VALUE"""),2.67)</f>
        <v>2.67</v>
      </c>
      <c r="H2187" s="9">
        <f>IFERROR(__xludf.DUMMYFUNCTION("""COMPUTED_VALUE"""),1.0)</f>
        <v>1</v>
      </c>
      <c r="I2187" s="9"/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</row>
    <row r="2188" ht="15.75" customHeight="1">
      <c r="A2188" s="11">
        <f>IFERROR(__xludf.DUMMYFUNCTION("""COMPUTED_VALUE"""),44471.0)</f>
        <v>44471</v>
      </c>
      <c r="B2188" s="9">
        <f>IFERROR(__xludf.DUMMYFUNCTION("""COMPUTED_VALUE"""),1003589.0)</f>
        <v>1003589</v>
      </c>
      <c r="C2188" s="9">
        <f>IFERROR(__xludf.DUMMYFUNCTION("""COMPUTED_VALUE"""),111791.0)</f>
        <v>111791</v>
      </c>
      <c r="D2188" s="9"/>
      <c r="E2188" s="9"/>
      <c r="F2188" s="9">
        <f>IFERROR(__xludf.DUMMYFUNCTION("""COMPUTED_VALUE"""),2.93)</f>
        <v>2.93</v>
      </c>
      <c r="G2188" s="9">
        <f>IFERROR(__xludf.DUMMYFUNCTION("""COMPUTED_VALUE"""),2.93)</f>
        <v>2.93</v>
      </c>
      <c r="H2188" s="9">
        <f>IFERROR(__xludf.DUMMYFUNCTION("""COMPUTED_VALUE"""),1.0)</f>
        <v>1</v>
      </c>
      <c r="I2188" s="9"/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</row>
    <row r="2189" ht="15.75" customHeight="1">
      <c r="A2189" s="11">
        <f>IFERROR(__xludf.DUMMYFUNCTION("""COMPUTED_VALUE"""),44471.0)</f>
        <v>44471</v>
      </c>
      <c r="B2189" s="9">
        <f>IFERROR(__xludf.DUMMYFUNCTION("""COMPUTED_VALUE"""),1003589.0)</f>
        <v>1003589</v>
      </c>
      <c r="C2189" s="9">
        <f>IFERROR(__xludf.DUMMYFUNCTION("""COMPUTED_VALUE"""),11408.0)</f>
        <v>11408</v>
      </c>
      <c r="D2189" s="9"/>
      <c r="E2189" s="9"/>
      <c r="F2189" s="9">
        <f>IFERROR(__xludf.DUMMYFUNCTION("""COMPUTED_VALUE"""),7.63)</f>
        <v>7.63</v>
      </c>
      <c r="G2189" s="9">
        <f>IFERROR(__xludf.DUMMYFUNCTION("""COMPUTED_VALUE"""),7.63)</f>
        <v>7.63</v>
      </c>
      <c r="H2189" s="9">
        <f>IFERROR(__xludf.DUMMYFUNCTION("""COMPUTED_VALUE"""),1.0)</f>
        <v>1</v>
      </c>
      <c r="I2189" s="9"/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</row>
    <row r="2190" ht="15.75" customHeight="1">
      <c r="A2190" s="11">
        <f>IFERROR(__xludf.DUMMYFUNCTION("""COMPUTED_VALUE"""),44471.0)</f>
        <v>44471</v>
      </c>
      <c r="B2190" s="9">
        <f>IFERROR(__xludf.DUMMYFUNCTION("""COMPUTED_VALUE"""),1003589.0)</f>
        <v>1003589</v>
      </c>
      <c r="C2190" s="9">
        <f>IFERROR(__xludf.DUMMYFUNCTION("""COMPUTED_VALUE"""),69114.0)</f>
        <v>69114</v>
      </c>
      <c r="D2190" s="9"/>
      <c r="E2190" s="9"/>
      <c r="F2190" s="9">
        <f>IFERROR(__xludf.DUMMYFUNCTION("""COMPUTED_VALUE"""),2.46)</f>
        <v>2.46</v>
      </c>
      <c r="G2190" s="9">
        <f>IFERROR(__xludf.DUMMYFUNCTION("""COMPUTED_VALUE"""),2.46)</f>
        <v>2.46</v>
      </c>
      <c r="H2190" s="9">
        <f>IFERROR(__xludf.DUMMYFUNCTION("""COMPUTED_VALUE"""),1.0)</f>
        <v>1</v>
      </c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</row>
    <row r="2191" ht="15.75" customHeight="1">
      <c r="A2191" s="11">
        <f>IFERROR(__xludf.DUMMYFUNCTION("""COMPUTED_VALUE"""),44471.0)</f>
        <v>44471</v>
      </c>
      <c r="B2191" s="9">
        <f>IFERROR(__xludf.DUMMYFUNCTION("""COMPUTED_VALUE"""),1003589.0)</f>
        <v>1003589</v>
      </c>
      <c r="C2191" s="9">
        <f>IFERROR(__xludf.DUMMYFUNCTION("""COMPUTED_VALUE"""),68938.0)</f>
        <v>68938</v>
      </c>
      <c r="D2191" s="9"/>
      <c r="E2191" s="9"/>
      <c r="F2191" s="9">
        <f>IFERROR(__xludf.DUMMYFUNCTION("""COMPUTED_VALUE"""),2.46)</f>
        <v>2.46</v>
      </c>
      <c r="G2191" s="9">
        <f>IFERROR(__xludf.DUMMYFUNCTION("""COMPUTED_VALUE"""),2.46)</f>
        <v>2.46</v>
      </c>
      <c r="H2191" s="9">
        <f>IFERROR(__xludf.DUMMYFUNCTION("""COMPUTED_VALUE"""),1.0)</f>
        <v>1</v>
      </c>
      <c r="I2191" s="9"/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</row>
    <row r="2192" ht="15.75" customHeight="1">
      <c r="A2192" s="11">
        <f>IFERROR(__xludf.DUMMYFUNCTION("""COMPUTED_VALUE"""),44471.0)</f>
        <v>44471</v>
      </c>
      <c r="B2192" s="9">
        <f>IFERROR(__xludf.DUMMYFUNCTION("""COMPUTED_VALUE"""),1003589.0)</f>
        <v>1003589</v>
      </c>
      <c r="C2192" s="9">
        <f>IFERROR(__xludf.DUMMYFUNCTION("""COMPUTED_VALUE"""),120996.0)</f>
        <v>120996</v>
      </c>
      <c r="D2192" s="9"/>
      <c r="E2192" s="9"/>
      <c r="F2192" s="9">
        <f>IFERROR(__xludf.DUMMYFUNCTION("""COMPUTED_VALUE"""),2.71)</f>
        <v>2.71</v>
      </c>
      <c r="G2192" s="9">
        <f>IFERROR(__xludf.DUMMYFUNCTION("""COMPUTED_VALUE"""),2.71)</f>
        <v>2.71</v>
      </c>
      <c r="H2192" s="9">
        <f>IFERROR(__xludf.DUMMYFUNCTION("""COMPUTED_VALUE"""),1.0)</f>
        <v>1</v>
      </c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</row>
    <row r="2193" ht="15.75" customHeight="1">
      <c r="A2193" s="11">
        <f>IFERROR(__xludf.DUMMYFUNCTION("""COMPUTED_VALUE"""),44471.0)</f>
        <v>44471</v>
      </c>
      <c r="B2193" s="9">
        <f>IFERROR(__xludf.DUMMYFUNCTION("""COMPUTED_VALUE"""),1003589.0)</f>
        <v>1003589</v>
      </c>
      <c r="C2193" s="9">
        <f>IFERROR(__xludf.DUMMYFUNCTION("""COMPUTED_VALUE"""),11458.0)</f>
        <v>11458</v>
      </c>
      <c r="D2193" s="9"/>
      <c r="E2193" s="9"/>
      <c r="F2193" s="9">
        <f>IFERROR(__xludf.DUMMYFUNCTION("""COMPUTED_VALUE"""),9.15)</f>
        <v>9.15</v>
      </c>
      <c r="G2193" s="9">
        <f>IFERROR(__xludf.DUMMYFUNCTION("""COMPUTED_VALUE"""),9.15)</f>
        <v>9.15</v>
      </c>
      <c r="H2193" s="9">
        <f>IFERROR(__xludf.DUMMYFUNCTION("""COMPUTED_VALUE"""),1.0)</f>
        <v>1</v>
      </c>
      <c r="I2193" s="9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</row>
    <row r="2194" ht="15.75" customHeight="1">
      <c r="A2194" s="11">
        <f>IFERROR(__xludf.DUMMYFUNCTION("""COMPUTED_VALUE"""),44471.0)</f>
        <v>44471</v>
      </c>
      <c r="B2194" s="9">
        <f>IFERROR(__xludf.DUMMYFUNCTION("""COMPUTED_VALUE"""),1003589.0)</f>
        <v>1003589</v>
      </c>
      <c r="C2194" s="9">
        <f>IFERROR(__xludf.DUMMYFUNCTION("""COMPUTED_VALUE"""),66998.0)</f>
        <v>66998</v>
      </c>
      <c r="D2194" s="9"/>
      <c r="E2194" s="9"/>
      <c r="F2194" s="9">
        <f>IFERROR(__xludf.DUMMYFUNCTION("""COMPUTED_VALUE"""),12.77)</f>
        <v>12.77</v>
      </c>
      <c r="G2194" s="9">
        <f>IFERROR(__xludf.DUMMYFUNCTION("""COMPUTED_VALUE"""),12.77)</f>
        <v>12.77</v>
      </c>
      <c r="H2194" s="9">
        <f>IFERROR(__xludf.DUMMYFUNCTION("""COMPUTED_VALUE"""),2.0)</f>
        <v>2</v>
      </c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</row>
    <row r="2195" ht="15.75" customHeight="1">
      <c r="A2195" s="11">
        <f>IFERROR(__xludf.DUMMYFUNCTION("""COMPUTED_VALUE"""),44471.0)</f>
        <v>44471</v>
      </c>
      <c r="B2195" s="9">
        <f>IFERROR(__xludf.DUMMYFUNCTION("""COMPUTED_VALUE"""),1003590.0)</f>
        <v>1003590</v>
      </c>
      <c r="C2195" s="9">
        <f>IFERROR(__xludf.DUMMYFUNCTION("""COMPUTED_VALUE"""),81235.0)</f>
        <v>81235</v>
      </c>
      <c r="D2195" s="9"/>
      <c r="E2195" s="10" t="str">
        <f>IFERROR(__xludf.DUMMYFUNCTION("""COMPUTED_VALUE"""),"PREMIERE")</f>
        <v>PREMIERE</v>
      </c>
      <c r="F2195" s="10">
        <f>IFERROR(__xludf.DUMMYFUNCTION("""COMPUTED_VALUE"""),6.5)</f>
        <v>6.5</v>
      </c>
      <c r="G2195" s="9">
        <f>IFERROR(__xludf.DUMMYFUNCTION("""COMPUTED_VALUE"""),6.5)</f>
        <v>6.5</v>
      </c>
      <c r="H2195" s="9">
        <f>IFERROR(__xludf.DUMMYFUNCTION("""COMPUTED_VALUE"""),1.0)</f>
        <v>1</v>
      </c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</row>
    <row r="2196" ht="15.75" customHeight="1">
      <c r="A2196" s="11">
        <f>IFERROR(__xludf.DUMMYFUNCTION("""COMPUTED_VALUE"""),44471.0)</f>
        <v>44471</v>
      </c>
      <c r="B2196" s="9">
        <f>IFERROR(__xludf.DUMMYFUNCTION("""COMPUTED_VALUE"""),1003590.0)</f>
        <v>1003590</v>
      </c>
      <c r="C2196" s="9">
        <f>IFERROR(__xludf.DUMMYFUNCTION("""COMPUTED_VALUE"""),70677.0)</f>
        <v>70677</v>
      </c>
      <c r="D2196" s="10" t="str">
        <f>IFERROR(__xludf.DUMMYFUNCTION("""COMPUTED_VALUE"""),"Vive le bio")</f>
        <v>Vive le bio</v>
      </c>
      <c r="E2196" s="10" t="str">
        <f>IFERROR(__xludf.DUMMYFUNCTION("""COMPUTED_VALUE"""),"PREMIERE")</f>
        <v>PREMIERE</v>
      </c>
      <c r="F2196" s="10">
        <f>IFERROR(__xludf.DUMMYFUNCTION("""COMPUTED_VALUE"""),22.8777777777777)</f>
        <v>22.87777778</v>
      </c>
      <c r="G2196" s="9">
        <f>IFERROR(__xludf.DUMMYFUNCTION("""COMPUTED_VALUE"""),20.59)</f>
        <v>20.59</v>
      </c>
      <c r="H2196" s="9">
        <f>IFERROR(__xludf.DUMMYFUNCTION("""COMPUTED_VALUE"""),1.0)</f>
        <v>1</v>
      </c>
      <c r="I2196" s="9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</row>
    <row r="2197" ht="15.75" customHeight="1">
      <c r="A2197" s="11">
        <f>IFERROR(__xludf.DUMMYFUNCTION("""COMPUTED_VALUE"""),44471.0)</f>
        <v>44471</v>
      </c>
      <c r="B2197" s="9">
        <f>IFERROR(__xludf.DUMMYFUNCTION("""COMPUTED_VALUE"""),1003590.0)</f>
        <v>1003590</v>
      </c>
      <c r="C2197" s="9">
        <f>IFERROR(__xludf.DUMMYFUNCTION("""COMPUTED_VALUE"""),24074.0)</f>
        <v>24074</v>
      </c>
      <c r="D2197" s="9"/>
      <c r="E2197" s="10" t="str">
        <f>IFERROR(__xludf.DUMMYFUNCTION("""COMPUTED_VALUE"""),"PREMIERE")</f>
        <v>PREMIERE</v>
      </c>
      <c r="F2197" s="10">
        <f>IFERROR(__xludf.DUMMYFUNCTION("""COMPUTED_VALUE"""),13.83)</f>
        <v>13.83</v>
      </c>
      <c r="G2197" s="9">
        <f>IFERROR(__xludf.DUMMYFUNCTION("""COMPUTED_VALUE"""),13.83)</f>
        <v>13.83</v>
      </c>
      <c r="H2197" s="9">
        <f>IFERROR(__xludf.DUMMYFUNCTION("""COMPUTED_VALUE"""),1.0)</f>
        <v>1</v>
      </c>
      <c r="I2197" s="9"/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</row>
    <row r="2198" ht="15.75" customHeight="1">
      <c r="A2198" s="11">
        <f>IFERROR(__xludf.DUMMYFUNCTION("""COMPUTED_VALUE"""),44471.0)</f>
        <v>44471</v>
      </c>
      <c r="B2198" s="9">
        <f>IFERROR(__xludf.DUMMYFUNCTION("""COMPUTED_VALUE"""),1003590.0)</f>
        <v>1003590</v>
      </c>
      <c r="C2198" s="9">
        <f>IFERROR(__xludf.DUMMYFUNCTION("""COMPUTED_VALUE"""),5869.0)</f>
        <v>5869</v>
      </c>
      <c r="D2198" s="9"/>
      <c r="E2198" s="10" t="str">
        <f>IFERROR(__xludf.DUMMYFUNCTION("""COMPUTED_VALUE"""),"PREMIERE")</f>
        <v>PREMIERE</v>
      </c>
      <c r="F2198" s="10">
        <f>IFERROR(__xludf.DUMMYFUNCTION("""COMPUTED_VALUE"""),2.85)</f>
        <v>2.85</v>
      </c>
      <c r="G2198" s="9">
        <f>IFERROR(__xludf.DUMMYFUNCTION("""COMPUTED_VALUE"""),2.85)</f>
        <v>2.85</v>
      </c>
      <c r="H2198" s="9">
        <f>IFERROR(__xludf.DUMMYFUNCTION("""COMPUTED_VALUE"""),1.0)</f>
        <v>1</v>
      </c>
      <c r="I2198" s="9"/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</row>
    <row r="2199" ht="15.75" customHeight="1">
      <c r="A2199" s="11">
        <f>IFERROR(__xludf.DUMMYFUNCTION("""COMPUTED_VALUE"""),44471.0)</f>
        <v>44471</v>
      </c>
      <c r="B2199" s="9">
        <f>IFERROR(__xludf.DUMMYFUNCTION("""COMPUTED_VALUE"""),1003590.0)</f>
        <v>1003590</v>
      </c>
      <c r="C2199" s="9">
        <f>IFERROR(__xludf.DUMMYFUNCTION("""COMPUTED_VALUE"""),43810.0)</f>
        <v>43810</v>
      </c>
      <c r="D2199" s="10" t="str">
        <f>IFERROR(__xludf.DUMMYFUNCTION("""COMPUTED_VALUE"""),"Vive le bio")</f>
        <v>Vive le bio</v>
      </c>
      <c r="E2199" s="10" t="str">
        <f>IFERROR(__xludf.DUMMYFUNCTION("""COMPUTED_VALUE"""),"PREMIERE")</f>
        <v>PREMIERE</v>
      </c>
      <c r="F2199" s="10">
        <f>IFERROR(__xludf.DUMMYFUNCTION("""COMPUTED_VALUE"""),9.84444444444444)</f>
        <v>9.844444444</v>
      </c>
      <c r="G2199" s="9">
        <f>IFERROR(__xludf.DUMMYFUNCTION("""COMPUTED_VALUE"""),8.86)</f>
        <v>8.86</v>
      </c>
      <c r="H2199" s="9">
        <f>IFERROR(__xludf.DUMMYFUNCTION("""COMPUTED_VALUE"""),2.0)</f>
        <v>2</v>
      </c>
      <c r="I2199" s="9"/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</row>
    <row r="2200" ht="15.75" customHeight="1">
      <c r="A2200" s="11">
        <f>IFERROR(__xludf.DUMMYFUNCTION("""COMPUTED_VALUE"""),44471.0)</f>
        <v>44471</v>
      </c>
      <c r="B2200" s="9">
        <f>IFERROR(__xludf.DUMMYFUNCTION("""COMPUTED_VALUE"""),1003590.0)</f>
        <v>1003590</v>
      </c>
      <c r="C2200" s="9">
        <f>IFERROR(__xludf.DUMMYFUNCTION("""COMPUTED_VALUE"""),109308.0)</f>
        <v>109308</v>
      </c>
      <c r="D2200" s="9"/>
      <c r="E2200" s="10" t="str">
        <f>IFERROR(__xludf.DUMMYFUNCTION("""COMPUTED_VALUE"""),"PREMIERE")</f>
        <v>PREMIERE</v>
      </c>
      <c r="F2200" s="10">
        <f>IFERROR(__xludf.DUMMYFUNCTION("""COMPUTED_VALUE"""),16.33)</f>
        <v>16.33</v>
      </c>
      <c r="G2200" s="9">
        <f>IFERROR(__xludf.DUMMYFUNCTION("""COMPUTED_VALUE"""),16.33)</f>
        <v>16.33</v>
      </c>
      <c r="H2200" s="9">
        <f>IFERROR(__xludf.DUMMYFUNCTION("""COMPUTED_VALUE"""),2.0)</f>
        <v>2</v>
      </c>
      <c r="I2200" s="9"/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</row>
    <row r="2201" ht="15.75" customHeight="1">
      <c r="A2201" s="11">
        <f>IFERROR(__xludf.DUMMYFUNCTION("""COMPUTED_VALUE"""),44471.0)</f>
        <v>44471</v>
      </c>
      <c r="B2201" s="9">
        <f>IFERROR(__xludf.DUMMYFUNCTION("""COMPUTED_VALUE"""),1003590.0)</f>
        <v>1003590</v>
      </c>
      <c r="C2201" s="9">
        <f>IFERROR(__xludf.DUMMYFUNCTION("""COMPUTED_VALUE"""),109309.0)</f>
        <v>109309</v>
      </c>
      <c r="D2201" s="9"/>
      <c r="E2201" s="10" t="str">
        <f>IFERROR(__xludf.DUMMYFUNCTION("""COMPUTED_VALUE"""),"PREMIERE")</f>
        <v>PREMIERE</v>
      </c>
      <c r="F2201" s="10">
        <f>IFERROR(__xludf.DUMMYFUNCTION("""COMPUTED_VALUE"""),16.53)</f>
        <v>16.53</v>
      </c>
      <c r="G2201" s="9">
        <f>IFERROR(__xludf.DUMMYFUNCTION("""COMPUTED_VALUE"""),16.53)</f>
        <v>16.53</v>
      </c>
      <c r="H2201" s="9">
        <f>IFERROR(__xludf.DUMMYFUNCTION("""COMPUTED_VALUE"""),2.0)</f>
        <v>2</v>
      </c>
      <c r="I2201" s="9"/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</row>
    <row r="2202" ht="15.75" customHeight="1">
      <c r="A2202" s="11">
        <f>IFERROR(__xludf.DUMMYFUNCTION("""COMPUTED_VALUE"""),44471.0)</f>
        <v>44471</v>
      </c>
      <c r="B2202" s="9">
        <f>IFERROR(__xludf.DUMMYFUNCTION("""COMPUTED_VALUE"""),1003590.0)</f>
        <v>1003590</v>
      </c>
      <c r="C2202" s="9">
        <f>IFERROR(__xludf.DUMMYFUNCTION("""COMPUTED_VALUE"""),108350.0)</f>
        <v>108350</v>
      </c>
      <c r="D2202" s="9"/>
      <c r="E2202" s="10" t="str">
        <f>IFERROR(__xludf.DUMMYFUNCTION("""COMPUTED_VALUE"""),"PREMIERE")</f>
        <v>PREMIERE</v>
      </c>
      <c r="F2202" s="10">
        <f>IFERROR(__xludf.DUMMYFUNCTION("""COMPUTED_VALUE"""),8.59)</f>
        <v>8.59</v>
      </c>
      <c r="G2202" s="9">
        <f>IFERROR(__xludf.DUMMYFUNCTION("""COMPUTED_VALUE"""),8.59)</f>
        <v>8.59</v>
      </c>
      <c r="H2202" s="9">
        <f>IFERROR(__xludf.DUMMYFUNCTION("""COMPUTED_VALUE"""),2.0)</f>
        <v>2</v>
      </c>
      <c r="I2202" s="9"/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</row>
    <row r="2203" ht="15.75" customHeight="1">
      <c r="A2203" s="11">
        <f>IFERROR(__xludf.DUMMYFUNCTION("""COMPUTED_VALUE"""),44471.0)</f>
        <v>44471</v>
      </c>
      <c r="B2203" s="9">
        <f>IFERROR(__xludf.DUMMYFUNCTION("""COMPUTED_VALUE"""),1003591.0)</f>
        <v>1003591</v>
      </c>
      <c r="C2203" s="9">
        <f>IFERROR(__xludf.DUMMYFUNCTION("""COMPUTED_VALUE"""),4492.0)</f>
        <v>4492</v>
      </c>
      <c r="D2203" s="9"/>
      <c r="E2203" s="9"/>
      <c r="F2203" s="9">
        <f>IFERROR(__xludf.DUMMYFUNCTION("""COMPUTED_VALUE"""),39.19)</f>
        <v>39.19</v>
      </c>
      <c r="G2203" s="9">
        <f>IFERROR(__xludf.DUMMYFUNCTION("""COMPUTED_VALUE"""),39.19)</f>
        <v>39.19</v>
      </c>
      <c r="H2203" s="9">
        <f>IFERROR(__xludf.DUMMYFUNCTION("""COMPUTED_VALUE"""),5.0)</f>
        <v>5</v>
      </c>
      <c r="I2203" s="9"/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</row>
    <row r="2204" ht="15.75" customHeight="1">
      <c r="A2204" s="11">
        <f>IFERROR(__xludf.DUMMYFUNCTION("""COMPUTED_VALUE"""),44471.0)</f>
        <v>44471</v>
      </c>
      <c r="B2204" s="9">
        <f>IFERROR(__xludf.DUMMYFUNCTION("""COMPUTED_VALUE"""),1003592.0)</f>
        <v>1003592</v>
      </c>
      <c r="C2204" s="9">
        <f>IFERROR(__xludf.DUMMYFUNCTION("""COMPUTED_VALUE"""),82464.0)</f>
        <v>82464</v>
      </c>
      <c r="D2204" s="9"/>
      <c r="E2204" s="10" t="str">
        <f>IFERROR(__xludf.DUMMYFUNCTION("""COMPUTED_VALUE"""),"PREMIERE")</f>
        <v>PREMIERE</v>
      </c>
      <c r="F2204" s="10">
        <f>IFERROR(__xludf.DUMMYFUNCTION("""COMPUTED_VALUE"""),4.44)</f>
        <v>4.44</v>
      </c>
      <c r="G2204" s="9">
        <f>IFERROR(__xludf.DUMMYFUNCTION("""COMPUTED_VALUE"""),4.44)</f>
        <v>4.44</v>
      </c>
      <c r="H2204" s="9">
        <f>IFERROR(__xludf.DUMMYFUNCTION("""COMPUTED_VALUE"""),1.0)</f>
        <v>1</v>
      </c>
      <c r="I2204" s="9"/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</row>
    <row r="2205" ht="15.75" customHeight="1">
      <c r="A2205" s="11">
        <f>IFERROR(__xludf.DUMMYFUNCTION("""COMPUTED_VALUE"""),44471.0)</f>
        <v>44471</v>
      </c>
      <c r="B2205" s="9">
        <f>IFERROR(__xludf.DUMMYFUNCTION("""COMPUTED_VALUE"""),1003592.0)</f>
        <v>1003592</v>
      </c>
      <c r="C2205" s="9">
        <f>IFERROR(__xludf.DUMMYFUNCTION("""COMPUTED_VALUE"""),181263.0)</f>
        <v>181263</v>
      </c>
      <c r="D2205" s="9"/>
      <c r="E2205" s="10" t="str">
        <f>IFERROR(__xludf.DUMMYFUNCTION("""COMPUTED_VALUE"""),"PREMIERE")</f>
        <v>PREMIERE</v>
      </c>
      <c r="F2205" s="10">
        <f>IFERROR(__xludf.DUMMYFUNCTION("""COMPUTED_VALUE"""),27.63)</f>
        <v>27.63</v>
      </c>
      <c r="G2205" s="9">
        <f>IFERROR(__xludf.DUMMYFUNCTION("""COMPUTED_VALUE"""),27.63)</f>
        <v>27.63</v>
      </c>
      <c r="H2205" s="9">
        <f>IFERROR(__xludf.DUMMYFUNCTION("""COMPUTED_VALUE"""),1.0)</f>
        <v>1</v>
      </c>
      <c r="I2205" s="9"/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</row>
    <row r="2206" ht="15.75" customHeight="1">
      <c r="A2206" s="11">
        <f>IFERROR(__xludf.DUMMYFUNCTION("""COMPUTED_VALUE"""),44471.0)</f>
        <v>44471</v>
      </c>
      <c r="B2206" s="9">
        <f>IFERROR(__xludf.DUMMYFUNCTION("""COMPUTED_VALUE"""),1003593.0)</f>
        <v>1003593</v>
      </c>
      <c r="C2206" s="9">
        <f>IFERROR(__xludf.DUMMYFUNCTION("""COMPUTED_VALUE"""),79819.0)</f>
        <v>79819</v>
      </c>
      <c r="D2206" s="9"/>
      <c r="E2206" s="10" t="str">
        <f>IFERROR(__xludf.DUMMYFUNCTION("""COMPUTED_VALUE"""),"HAPPEEZ")</f>
        <v>HAPPEEZ</v>
      </c>
      <c r="F2206" s="10">
        <f>IFERROR(__xludf.DUMMYFUNCTION("""COMPUTED_VALUE"""),5.77)</f>
        <v>5.77</v>
      </c>
      <c r="G2206" s="9">
        <f>IFERROR(__xludf.DUMMYFUNCTION("""COMPUTED_VALUE"""),5.77)</f>
        <v>5.77</v>
      </c>
      <c r="H2206" s="9">
        <f>IFERROR(__xludf.DUMMYFUNCTION("""COMPUTED_VALUE"""),1.0)</f>
        <v>1</v>
      </c>
      <c r="I2206" s="9"/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</row>
    <row r="2207" ht="15.75" customHeight="1">
      <c r="A2207" s="11">
        <f>IFERROR(__xludf.DUMMYFUNCTION("""COMPUTED_VALUE"""),44471.0)</f>
        <v>44471</v>
      </c>
      <c r="B2207" s="9">
        <f>IFERROR(__xludf.DUMMYFUNCTION("""COMPUTED_VALUE"""),1003593.0)</f>
        <v>1003593</v>
      </c>
      <c r="C2207" s="9">
        <f>IFERROR(__xludf.DUMMYFUNCTION("""COMPUTED_VALUE"""),99039.0)</f>
        <v>99039</v>
      </c>
      <c r="D2207" s="9"/>
      <c r="E2207" s="10" t="str">
        <f>IFERROR(__xludf.DUMMYFUNCTION("""COMPUTED_VALUE"""),"HAPPEEZ")</f>
        <v>HAPPEEZ</v>
      </c>
      <c r="F2207" s="10">
        <f>IFERROR(__xludf.DUMMYFUNCTION("""COMPUTED_VALUE"""),2.89)</f>
        <v>2.89</v>
      </c>
      <c r="G2207" s="9">
        <f>IFERROR(__xludf.DUMMYFUNCTION("""COMPUTED_VALUE"""),2.89)</f>
        <v>2.89</v>
      </c>
      <c r="H2207" s="9">
        <f>IFERROR(__xludf.DUMMYFUNCTION("""COMPUTED_VALUE"""),1.0)</f>
        <v>1</v>
      </c>
      <c r="I2207" s="9"/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</row>
    <row r="2208" ht="15.75" customHeight="1">
      <c r="A2208" s="11">
        <f>IFERROR(__xludf.DUMMYFUNCTION("""COMPUTED_VALUE"""),44471.0)</f>
        <v>44471</v>
      </c>
      <c r="B2208" s="9">
        <f>IFERROR(__xludf.DUMMYFUNCTION("""COMPUTED_VALUE"""),1003593.0)</f>
        <v>1003593</v>
      </c>
      <c r="C2208" s="9">
        <f>IFERROR(__xludf.DUMMYFUNCTION("""COMPUTED_VALUE"""),42008.0)</f>
        <v>42008</v>
      </c>
      <c r="D2208" s="9"/>
      <c r="E2208" s="10" t="str">
        <f>IFERROR(__xludf.DUMMYFUNCTION("""COMPUTED_VALUE"""),"HAPPEEZ")</f>
        <v>HAPPEEZ</v>
      </c>
      <c r="F2208" s="10">
        <f>IFERROR(__xludf.DUMMYFUNCTION("""COMPUTED_VALUE"""),2.89)</f>
        <v>2.89</v>
      </c>
      <c r="G2208" s="9">
        <f>IFERROR(__xludf.DUMMYFUNCTION("""COMPUTED_VALUE"""),2.89)</f>
        <v>2.89</v>
      </c>
      <c r="H2208" s="9">
        <f>IFERROR(__xludf.DUMMYFUNCTION("""COMPUTED_VALUE"""),1.0)</f>
        <v>1</v>
      </c>
      <c r="I2208" s="9"/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</row>
    <row r="2209" ht="15.75" customHeight="1">
      <c r="A2209" s="11">
        <f>IFERROR(__xludf.DUMMYFUNCTION("""COMPUTED_VALUE"""),44471.0)</f>
        <v>44471</v>
      </c>
      <c r="B2209" s="9">
        <f>IFERROR(__xludf.DUMMYFUNCTION("""COMPUTED_VALUE"""),1003593.0)</f>
        <v>1003593</v>
      </c>
      <c r="C2209" s="9">
        <f>IFERROR(__xludf.DUMMYFUNCTION("""COMPUTED_VALUE"""),79365.0)</f>
        <v>79365</v>
      </c>
      <c r="D2209" s="9"/>
      <c r="E2209" s="10" t="str">
        <f>IFERROR(__xludf.DUMMYFUNCTION("""COMPUTED_VALUE"""),"HAPPEEZ")</f>
        <v>HAPPEEZ</v>
      </c>
      <c r="F2209" s="10">
        <f>IFERROR(__xludf.DUMMYFUNCTION("""COMPUTED_VALUE"""),3.68)</f>
        <v>3.68</v>
      </c>
      <c r="G2209" s="9">
        <f>IFERROR(__xludf.DUMMYFUNCTION("""COMPUTED_VALUE"""),3.68)</f>
        <v>3.68</v>
      </c>
      <c r="H2209" s="9">
        <f>IFERROR(__xludf.DUMMYFUNCTION("""COMPUTED_VALUE"""),1.0)</f>
        <v>1</v>
      </c>
      <c r="I2209" s="9"/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</row>
    <row r="2210" ht="15.75" customHeight="1">
      <c r="A2210" s="11">
        <f>IFERROR(__xludf.DUMMYFUNCTION("""COMPUTED_VALUE"""),44471.0)</f>
        <v>44471</v>
      </c>
      <c r="B2210" s="9">
        <f>IFERROR(__xludf.DUMMYFUNCTION("""COMPUTED_VALUE"""),1003593.0)</f>
        <v>1003593</v>
      </c>
      <c r="C2210" s="9">
        <f>IFERROR(__xludf.DUMMYFUNCTION("""COMPUTED_VALUE"""),80252.0)</f>
        <v>80252</v>
      </c>
      <c r="D2210" s="9"/>
      <c r="E2210" s="10" t="str">
        <f>IFERROR(__xludf.DUMMYFUNCTION("""COMPUTED_VALUE"""),"HAPPEEZ")</f>
        <v>HAPPEEZ</v>
      </c>
      <c r="F2210" s="10">
        <f>IFERROR(__xludf.DUMMYFUNCTION("""COMPUTED_VALUE"""),2.06)</f>
        <v>2.06</v>
      </c>
      <c r="G2210" s="9">
        <f>IFERROR(__xludf.DUMMYFUNCTION("""COMPUTED_VALUE"""),2.06)</f>
        <v>2.06</v>
      </c>
      <c r="H2210" s="9">
        <f>IFERROR(__xludf.DUMMYFUNCTION("""COMPUTED_VALUE"""),1.0)</f>
        <v>1</v>
      </c>
      <c r="I2210" s="9"/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</row>
    <row r="2211" ht="15.75" customHeight="1">
      <c r="A2211" s="11">
        <f>IFERROR(__xludf.DUMMYFUNCTION("""COMPUTED_VALUE"""),44471.0)</f>
        <v>44471</v>
      </c>
      <c r="B2211" s="9">
        <f>IFERROR(__xludf.DUMMYFUNCTION("""COMPUTED_VALUE"""),1003593.0)</f>
        <v>1003593</v>
      </c>
      <c r="C2211" s="9">
        <f>IFERROR(__xludf.DUMMYFUNCTION("""COMPUTED_VALUE"""),128339.0)</f>
        <v>128339</v>
      </c>
      <c r="D2211" s="10" t="str">
        <f>IFERROR(__xludf.DUMMYFUNCTION("""COMPUTED_VALUE"""),"dlc courte")</f>
        <v>dlc courte</v>
      </c>
      <c r="E2211" s="10" t="str">
        <f>IFERROR(__xludf.DUMMYFUNCTION("""COMPUTED_VALUE"""),"HAPPEEZ")</f>
        <v>HAPPEEZ</v>
      </c>
      <c r="F2211" s="10">
        <f>IFERROR(__xludf.DUMMYFUNCTION("""COMPUTED_VALUE"""),4.12)</f>
        <v>4.12</v>
      </c>
      <c r="G2211" s="9">
        <f>IFERROR(__xludf.DUMMYFUNCTION("""COMPUTED_VALUE"""),2.06)</f>
        <v>2.06</v>
      </c>
      <c r="H2211" s="9">
        <f>IFERROR(__xludf.DUMMYFUNCTION("""COMPUTED_VALUE"""),1.0)</f>
        <v>1</v>
      </c>
      <c r="I2211" s="9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</row>
    <row r="2212" ht="15.75" customHeight="1">
      <c r="A2212" s="11">
        <f>IFERROR(__xludf.DUMMYFUNCTION("""COMPUTED_VALUE"""),44471.0)</f>
        <v>44471</v>
      </c>
      <c r="B2212" s="9">
        <f>IFERROR(__xludf.DUMMYFUNCTION("""COMPUTED_VALUE"""),1003593.0)</f>
        <v>1003593</v>
      </c>
      <c r="C2212" s="9">
        <f>IFERROR(__xludf.DUMMYFUNCTION("""COMPUTED_VALUE"""),79805.0)</f>
        <v>79805</v>
      </c>
      <c r="D2212" s="9"/>
      <c r="E2212" s="10" t="str">
        <f>IFERROR(__xludf.DUMMYFUNCTION("""COMPUTED_VALUE"""),"HAPPEEZ")</f>
        <v>HAPPEEZ</v>
      </c>
      <c r="F2212" s="10">
        <f>IFERROR(__xludf.DUMMYFUNCTION("""COMPUTED_VALUE"""),6.63)</f>
        <v>6.63</v>
      </c>
      <c r="G2212" s="9">
        <f>IFERROR(__xludf.DUMMYFUNCTION("""COMPUTED_VALUE"""),6.63)</f>
        <v>6.63</v>
      </c>
      <c r="H2212" s="9">
        <f>IFERROR(__xludf.DUMMYFUNCTION("""COMPUTED_VALUE"""),1.0)</f>
        <v>1</v>
      </c>
      <c r="I2212" s="9"/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</row>
    <row r="2213" ht="15.75" customHeight="1">
      <c r="A2213" s="11">
        <f>IFERROR(__xludf.DUMMYFUNCTION("""COMPUTED_VALUE"""),44471.0)</f>
        <v>44471</v>
      </c>
      <c r="B2213" s="9">
        <f>IFERROR(__xludf.DUMMYFUNCTION("""COMPUTED_VALUE"""),1003593.0)</f>
        <v>1003593</v>
      </c>
      <c r="C2213" s="9">
        <f>IFERROR(__xludf.DUMMYFUNCTION("""COMPUTED_VALUE"""),47431.0)</f>
        <v>47431</v>
      </c>
      <c r="D2213" s="9"/>
      <c r="E2213" s="10" t="str">
        <f>IFERROR(__xludf.DUMMYFUNCTION("""COMPUTED_VALUE"""),"HAPPEEZ")</f>
        <v>HAPPEEZ</v>
      </c>
      <c r="F2213" s="10">
        <f>IFERROR(__xludf.DUMMYFUNCTION("""COMPUTED_VALUE"""),4.4)</f>
        <v>4.4</v>
      </c>
      <c r="G2213" s="9">
        <f>IFERROR(__xludf.DUMMYFUNCTION("""COMPUTED_VALUE"""),4.4)</f>
        <v>4.4</v>
      </c>
      <c r="H2213" s="9">
        <f>IFERROR(__xludf.DUMMYFUNCTION("""COMPUTED_VALUE"""),1.0)</f>
        <v>1</v>
      </c>
      <c r="I2213" s="9"/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</row>
    <row r="2214" ht="15.75" customHeight="1">
      <c r="A2214" s="11">
        <f>IFERROR(__xludf.DUMMYFUNCTION("""COMPUTED_VALUE"""),44471.0)</f>
        <v>44471</v>
      </c>
      <c r="B2214" s="9">
        <f>IFERROR(__xludf.DUMMYFUNCTION("""COMPUTED_VALUE"""),1003593.0)</f>
        <v>1003593</v>
      </c>
      <c r="C2214" s="9">
        <f>IFERROR(__xludf.DUMMYFUNCTION("""COMPUTED_VALUE"""),88628.0)</f>
        <v>88628</v>
      </c>
      <c r="D2214" s="9"/>
      <c r="E2214" s="10" t="str">
        <f>IFERROR(__xludf.DUMMYFUNCTION("""COMPUTED_VALUE"""),"HAPPEEZ")</f>
        <v>HAPPEEZ</v>
      </c>
      <c r="F2214" s="10">
        <f>IFERROR(__xludf.DUMMYFUNCTION("""COMPUTED_VALUE"""),2.08)</f>
        <v>2.08</v>
      </c>
      <c r="G2214" s="9">
        <f>IFERROR(__xludf.DUMMYFUNCTION("""COMPUTED_VALUE"""),2.08)</f>
        <v>2.08</v>
      </c>
      <c r="H2214" s="9">
        <f>IFERROR(__xludf.DUMMYFUNCTION("""COMPUTED_VALUE"""),1.0)</f>
        <v>1</v>
      </c>
      <c r="I2214" s="9"/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</row>
    <row r="2215" ht="15.75" customHeight="1">
      <c r="A2215" s="11">
        <f>IFERROR(__xludf.DUMMYFUNCTION("""COMPUTED_VALUE"""),44471.0)</f>
        <v>44471</v>
      </c>
      <c r="B2215" s="9">
        <f>IFERROR(__xludf.DUMMYFUNCTION("""COMPUTED_VALUE"""),1003593.0)</f>
        <v>1003593</v>
      </c>
      <c r="C2215" s="9">
        <f>IFERROR(__xludf.DUMMYFUNCTION("""COMPUTED_VALUE"""),41979.0)</f>
        <v>41979</v>
      </c>
      <c r="D2215" s="9"/>
      <c r="E2215" s="10" t="str">
        <f>IFERROR(__xludf.DUMMYFUNCTION("""COMPUTED_VALUE"""),"HAPPEEZ")</f>
        <v>HAPPEEZ</v>
      </c>
      <c r="F2215" s="10">
        <f>IFERROR(__xludf.DUMMYFUNCTION("""COMPUTED_VALUE"""),2.48)</f>
        <v>2.48</v>
      </c>
      <c r="G2215" s="9">
        <f>IFERROR(__xludf.DUMMYFUNCTION("""COMPUTED_VALUE"""),2.48)</f>
        <v>2.48</v>
      </c>
      <c r="H2215" s="9">
        <f>IFERROR(__xludf.DUMMYFUNCTION("""COMPUTED_VALUE"""),1.0)</f>
        <v>1</v>
      </c>
      <c r="I2215" s="9"/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</row>
    <row r="2216" ht="15.75" customHeight="1">
      <c r="A2216" s="11">
        <f>IFERROR(__xludf.DUMMYFUNCTION("""COMPUTED_VALUE"""),44471.0)</f>
        <v>44471</v>
      </c>
      <c r="B2216" s="9">
        <f>IFERROR(__xludf.DUMMYFUNCTION("""COMPUTED_VALUE"""),1003593.0)</f>
        <v>1003593</v>
      </c>
      <c r="C2216" s="9">
        <f>IFERROR(__xludf.DUMMYFUNCTION("""COMPUTED_VALUE"""),128338.0)</f>
        <v>128338</v>
      </c>
      <c r="D2216" s="10" t="str">
        <f>IFERROR(__xludf.DUMMYFUNCTION("""COMPUTED_VALUE"""),"dlc courte")</f>
        <v>dlc courte</v>
      </c>
      <c r="E2216" s="10" t="str">
        <f>IFERROR(__xludf.DUMMYFUNCTION("""COMPUTED_VALUE"""),"HAPPEEZ")</f>
        <v>HAPPEEZ</v>
      </c>
      <c r="F2216" s="10">
        <f>IFERROR(__xludf.DUMMYFUNCTION("""COMPUTED_VALUE"""),4.72)</f>
        <v>4.72</v>
      </c>
      <c r="G2216" s="9">
        <f>IFERROR(__xludf.DUMMYFUNCTION("""COMPUTED_VALUE"""),2.36)</f>
        <v>2.36</v>
      </c>
      <c r="H2216" s="9">
        <f>IFERROR(__xludf.DUMMYFUNCTION("""COMPUTED_VALUE"""),1.0)</f>
        <v>1</v>
      </c>
      <c r="I2216" s="9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</row>
    <row r="2217" ht="15.75" customHeight="1">
      <c r="A2217" s="11">
        <f>IFERROR(__xludf.DUMMYFUNCTION("""COMPUTED_VALUE"""),44471.0)</f>
        <v>44471</v>
      </c>
      <c r="B2217" s="9">
        <f>IFERROR(__xludf.DUMMYFUNCTION("""COMPUTED_VALUE"""),1003593.0)</f>
        <v>1003593</v>
      </c>
      <c r="C2217" s="9">
        <f>IFERROR(__xludf.DUMMYFUNCTION("""COMPUTED_VALUE"""),12041.0)</f>
        <v>12041</v>
      </c>
      <c r="D2217" s="9"/>
      <c r="E2217" s="10" t="str">
        <f>IFERROR(__xludf.DUMMYFUNCTION("""COMPUTED_VALUE"""),"HAPPEEZ")</f>
        <v>HAPPEEZ</v>
      </c>
      <c r="F2217" s="10">
        <f>IFERROR(__xludf.DUMMYFUNCTION("""COMPUTED_VALUE"""),9.27)</f>
        <v>9.27</v>
      </c>
      <c r="G2217" s="9">
        <f>IFERROR(__xludf.DUMMYFUNCTION("""COMPUTED_VALUE"""),9.27)</f>
        <v>9.27</v>
      </c>
      <c r="H2217" s="9">
        <f>IFERROR(__xludf.DUMMYFUNCTION("""COMPUTED_VALUE"""),2.0)</f>
        <v>2</v>
      </c>
      <c r="I2217" s="9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</row>
    <row r="2218" ht="15.75" customHeight="1">
      <c r="A2218" s="11">
        <f>IFERROR(__xludf.DUMMYFUNCTION("""COMPUTED_VALUE"""),44471.0)</f>
        <v>44471</v>
      </c>
      <c r="B2218" s="9">
        <f>IFERROR(__xludf.DUMMYFUNCTION("""COMPUTED_VALUE"""),1003593.0)</f>
        <v>1003593</v>
      </c>
      <c r="C2218" s="9">
        <f>IFERROR(__xludf.DUMMYFUNCTION("""COMPUTED_VALUE"""),47049.0)</f>
        <v>47049</v>
      </c>
      <c r="D2218" s="9"/>
      <c r="E2218" s="10" t="str">
        <f>IFERROR(__xludf.DUMMYFUNCTION("""COMPUTED_VALUE"""),"HAPPEEZ")</f>
        <v>HAPPEEZ</v>
      </c>
      <c r="F2218" s="10">
        <f>IFERROR(__xludf.DUMMYFUNCTION("""COMPUTED_VALUE"""),4.47)</f>
        <v>4.47</v>
      </c>
      <c r="G2218" s="9">
        <f>IFERROR(__xludf.DUMMYFUNCTION("""COMPUTED_VALUE"""),4.47)</f>
        <v>4.47</v>
      </c>
      <c r="H2218" s="9">
        <f>IFERROR(__xludf.DUMMYFUNCTION("""COMPUTED_VALUE"""),2.0)</f>
        <v>2</v>
      </c>
      <c r="I2218" s="9"/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</row>
    <row r="2219" ht="15.75" customHeight="1">
      <c r="A2219" s="11">
        <f>IFERROR(__xludf.DUMMYFUNCTION("""COMPUTED_VALUE"""),44471.0)</f>
        <v>44471</v>
      </c>
      <c r="B2219" s="9">
        <f>IFERROR(__xludf.DUMMYFUNCTION("""COMPUTED_VALUE"""),1003593.0)</f>
        <v>1003593</v>
      </c>
      <c r="C2219" s="9">
        <f>IFERROR(__xludf.DUMMYFUNCTION("""COMPUTED_VALUE"""),77481.0)</f>
        <v>77481</v>
      </c>
      <c r="D2219" s="9"/>
      <c r="E2219" s="10" t="str">
        <f>IFERROR(__xludf.DUMMYFUNCTION("""COMPUTED_VALUE"""),"HAPPEEZ")</f>
        <v>HAPPEEZ</v>
      </c>
      <c r="F2219" s="10">
        <f>IFERROR(__xludf.DUMMYFUNCTION("""COMPUTED_VALUE"""),6.49)</f>
        <v>6.49</v>
      </c>
      <c r="G2219" s="9">
        <f>IFERROR(__xludf.DUMMYFUNCTION("""COMPUTED_VALUE"""),6.49)</f>
        <v>6.49</v>
      </c>
      <c r="H2219" s="9">
        <f>IFERROR(__xludf.DUMMYFUNCTION("""COMPUTED_VALUE"""),2.0)</f>
        <v>2</v>
      </c>
      <c r="I2219" s="9"/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</row>
    <row r="2220" ht="15.75" customHeight="1">
      <c r="A2220" s="11">
        <f>IFERROR(__xludf.DUMMYFUNCTION("""COMPUTED_VALUE"""),44471.0)</f>
        <v>44471</v>
      </c>
      <c r="B2220" s="9">
        <f>IFERROR(__xludf.DUMMYFUNCTION("""COMPUTED_VALUE"""),1003593.0)</f>
        <v>1003593</v>
      </c>
      <c r="C2220" s="9">
        <f>IFERROR(__xludf.DUMMYFUNCTION("""COMPUTED_VALUE"""),10569.0)</f>
        <v>10569</v>
      </c>
      <c r="D2220" s="9"/>
      <c r="E2220" s="10" t="str">
        <f>IFERROR(__xludf.DUMMYFUNCTION("""COMPUTED_VALUE"""),"HAPPEEZ")</f>
        <v>HAPPEEZ</v>
      </c>
      <c r="F2220" s="10">
        <f>IFERROR(__xludf.DUMMYFUNCTION("""COMPUTED_VALUE"""),38.46)</f>
        <v>38.46</v>
      </c>
      <c r="G2220" s="9">
        <f>IFERROR(__xludf.DUMMYFUNCTION("""COMPUTED_VALUE"""),38.46)</f>
        <v>38.46</v>
      </c>
      <c r="H2220" s="9">
        <f>IFERROR(__xludf.DUMMYFUNCTION("""COMPUTED_VALUE"""),5.0)</f>
        <v>5</v>
      </c>
      <c r="I2220" s="9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</row>
    <row r="2221" ht="15.75" customHeight="1">
      <c r="A2221" s="11">
        <f>IFERROR(__xludf.DUMMYFUNCTION("""COMPUTED_VALUE"""),44471.0)</f>
        <v>44471</v>
      </c>
      <c r="B2221" s="9">
        <f>IFERROR(__xludf.DUMMYFUNCTION("""COMPUTED_VALUE"""),1003594.0)</f>
        <v>1003594</v>
      </c>
      <c r="C2221" s="9">
        <f>IFERROR(__xludf.DUMMYFUNCTION("""COMPUTED_VALUE"""),11065.0)</f>
        <v>11065</v>
      </c>
      <c r="D2221" s="10" t="str">
        <f>IFERROR(__xludf.DUMMYFUNCTION("""COMPUTED_VALUE"""),"Vive le bio")</f>
        <v>Vive le bio</v>
      </c>
      <c r="E2221" s="10" t="str">
        <f>IFERROR(__xludf.DUMMYFUNCTION("""COMPUTED_VALUE"""),"PREMIERE")</f>
        <v>PREMIERE</v>
      </c>
      <c r="F2221" s="10">
        <f>IFERROR(__xludf.DUMMYFUNCTION("""COMPUTED_VALUE"""),2.71111111111111)</f>
        <v>2.711111111</v>
      </c>
      <c r="G2221" s="9">
        <f>IFERROR(__xludf.DUMMYFUNCTION("""COMPUTED_VALUE"""),2.44)</f>
        <v>2.44</v>
      </c>
      <c r="H2221" s="9">
        <f>IFERROR(__xludf.DUMMYFUNCTION("""COMPUTED_VALUE"""),1.0)</f>
        <v>1</v>
      </c>
      <c r="I2221" s="9"/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</row>
    <row r="2222" ht="15.75" customHeight="1">
      <c r="A2222" s="11">
        <f>IFERROR(__xludf.DUMMYFUNCTION("""COMPUTED_VALUE"""),44471.0)</f>
        <v>44471</v>
      </c>
      <c r="B2222" s="9">
        <f>IFERROR(__xludf.DUMMYFUNCTION("""COMPUTED_VALUE"""),1003594.0)</f>
        <v>1003594</v>
      </c>
      <c r="C2222" s="9">
        <f>IFERROR(__xludf.DUMMYFUNCTION("""COMPUTED_VALUE"""),79888.0)</f>
        <v>79888</v>
      </c>
      <c r="D2222" s="9"/>
      <c r="E2222" s="10" t="str">
        <f>IFERROR(__xludf.DUMMYFUNCTION("""COMPUTED_VALUE"""),"PREMIERE")</f>
        <v>PREMIERE</v>
      </c>
      <c r="F2222" s="10">
        <f>IFERROR(__xludf.DUMMYFUNCTION("""COMPUTED_VALUE"""),2.01)</f>
        <v>2.01</v>
      </c>
      <c r="G2222" s="9">
        <f>IFERROR(__xludf.DUMMYFUNCTION("""COMPUTED_VALUE"""),2.01)</f>
        <v>2.01</v>
      </c>
      <c r="H2222" s="9">
        <f>IFERROR(__xludf.DUMMYFUNCTION("""COMPUTED_VALUE"""),1.0)</f>
        <v>1</v>
      </c>
      <c r="I2222" s="9"/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</row>
    <row r="2223" ht="15.75" customHeight="1">
      <c r="A2223" s="11">
        <f>IFERROR(__xludf.DUMMYFUNCTION("""COMPUTED_VALUE"""),44471.0)</f>
        <v>44471</v>
      </c>
      <c r="B2223" s="9">
        <f>IFERROR(__xludf.DUMMYFUNCTION("""COMPUTED_VALUE"""),1003594.0)</f>
        <v>1003594</v>
      </c>
      <c r="C2223" s="9">
        <f>IFERROR(__xludf.DUMMYFUNCTION("""COMPUTED_VALUE"""),99037.0)</f>
        <v>99037</v>
      </c>
      <c r="D2223" s="9"/>
      <c r="E2223" s="10" t="str">
        <f>IFERROR(__xludf.DUMMYFUNCTION("""COMPUTED_VALUE"""),"PREMIERE")</f>
        <v>PREMIERE</v>
      </c>
      <c r="F2223" s="10">
        <f>IFERROR(__xludf.DUMMYFUNCTION("""COMPUTED_VALUE"""),2.14)</f>
        <v>2.14</v>
      </c>
      <c r="G2223" s="9">
        <f>IFERROR(__xludf.DUMMYFUNCTION("""COMPUTED_VALUE"""),2.14)</f>
        <v>2.14</v>
      </c>
      <c r="H2223" s="9">
        <f>IFERROR(__xludf.DUMMYFUNCTION("""COMPUTED_VALUE"""),1.0)</f>
        <v>1</v>
      </c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</row>
    <row r="2224" ht="15.75" customHeight="1">
      <c r="A2224" s="11">
        <f>IFERROR(__xludf.DUMMYFUNCTION("""COMPUTED_VALUE"""),44471.0)</f>
        <v>44471</v>
      </c>
      <c r="B2224" s="9">
        <f>IFERROR(__xludf.DUMMYFUNCTION("""COMPUTED_VALUE"""),1003594.0)</f>
        <v>1003594</v>
      </c>
      <c r="C2224" s="9">
        <f>IFERROR(__xludf.DUMMYFUNCTION("""COMPUTED_VALUE"""),99096.0)</f>
        <v>99096</v>
      </c>
      <c r="D2224" s="9"/>
      <c r="E2224" s="10" t="str">
        <f>IFERROR(__xludf.DUMMYFUNCTION("""COMPUTED_VALUE"""),"PREMIERE")</f>
        <v>PREMIERE</v>
      </c>
      <c r="F2224" s="10">
        <f>IFERROR(__xludf.DUMMYFUNCTION("""COMPUTED_VALUE"""),2.65)</f>
        <v>2.65</v>
      </c>
      <c r="G2224" s="9">
        <f>IFERROR(__xludf.DUMMYFUNCTION("""COMPUTED_VALUE"""),2.65)</f>
        <v>2.65</v>
      </c>
      <c r="H2224" s="9">
        <f>IFERROR(__xludf.DUMMYFUNCTION("""COMPUTED_VALUE"""),1.0)</f>
        <v>1</v>
      </c>
      <c r="I2224" s="9"/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</row>
    <row r="2225" ht="15.75" customHeight="1">
      <c r="A2225" s="11">
        <f>IFERROR(__xludf.DUMMYFUNCTION("""COMPUTED_VALUE"""),44471.0)</f>
        <v>44471</v>
      </c>
      <c r="B2225" s="9">
        <f>IFERROR(__xludf.DUMMYFUNCTION("""COMPUTED_VALUE"""),1003594.0)</f>
        <v>1003594</v>
      </c>
      <c r="C2225" s="9">
        <f>IFERROR(__xludf.DUMMYFUNCTION("""COMPUTED_VALUE"""),70429.0)</f>
        <v>70429</v>
      </c>
      <c r="D2225" s="9"/>
      <c r="E2225" s="10" t="str">
        <f>IFERROR(__xludf.DUMMYFUNCTION("""COMPUTED_VALUE"""),"PREMIERE")</f>
        <v>PREMIERE</v>
      </c>
      <c r="F2225" s="10">
        <f>IFERROR(__xludf.DUMMYFUNCTION("""COMPUTED_VALUE"""),2.28)</f>
        <v>2.28</v>
      </c>
      <c r="G2225" s="9">
        <f>IFERROR(__xludf.DUMMYFUNCTION("""COMPUTED_VALUE"""),2.28)</f>
        <v>2.28</v>
      </c>
      <c r="H2225" s="9">
        <f>IFERROR(__xludf.DUMMYFUNCTION("""COMPUTED_VALUE"""),1.0)</f>
        <v>1</v>
      </c>
      <c r="I2225" s="9"/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</row>
    <row r="2226" ht="15.75" customHeight="1">
      <c r="A2226" s="11">
        <f>IFERROR(__xludf.DUMMYFUNCTION("""COMPUTED_VALUE"""),44471.0)</f>
        <v>44471</v>
      </c>
      <c r="B2226" s="9">
        <f>IFERROR(__xludf.DUMMYFUNCTION("""COMPUTED_VALUE"""),1003594.0)</f>
        <v>1003594</v>
      </c>
      <c r="C2226" s="9">
        <f>IFERROR(__xludf.DUMMYFUNCTION("""COMPUTED_VALUE"""),44825.0)</f>
        <v>44825</v>
      </c>
      <c r="D2226" s="9"/>
      <c r="E2226" s="10" t="str">
        <f>IFERROR(__xludf.DUMMYFUNCTION("""COMPUTED_VALUE"""),"PREMIERE")</f>
        <v>PREMIERE</v>
      </c>
      <c r="F2226" s="10">
        <f>IFERROR(__xludf.DUMMYFUNCTION("""COMPUTED_VALUE"""),2.44)</f>
        <v>2.44</v>
      </c>
      <c r="G2226" s="9">
        <f>IFERROR(__xludf.DUMMYFUNCTION("""COMPUTED_VALUE"""),2.44)</f>
        <v>2.44</v>
      </c>
      <c r="H2226" s="9">
        <f>IFERROR(__xludf.DUMMYFUNCTION("""COMPUTED_VALUE"""),1.0)</f>
        <v>1</v>
      </c>
      <c r="I2226" s="9"/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</row>
    <row r="2227" ht="15.75" customHeight="1">
      <c r="A2227" s="11">
        <f>IFERROR(__xludf.DUMMYFUNCTION("""COMPUTED_VALUE"""),44471.0)</f>
        <v>44471</v>
      </c>
      <c r="B2227" s="9">
        <f>IFERROR(__xludf.DUMMYFUNCTION("""COMPUTED_VALUE"""),1003594.0)</f>
        <v>1003594</v>
      </c>
      <c r="C2227" s="9">
        <f>IFERROR(__xludf.DUMMYFUNCTION("""COMPUTED_VALUE"""),17812.0)</f>
        <v>17812</v>
      </c>
      <c r="D2227" s="9"/>
      <c r="E2227" s="10" t="str">
        <f>IFERROR(__xludf.DUMMYFUNCTION("""COMPUTED_VALUE"""),"PREMIERE")</f>
        <v>PREMIERE</v>
      </c>
      <c r="F2227" s="10">
        <f>IFERROR(__xludf.DUMMYFUNCTION("""COMPUTED_VALUE"""),2.57)</f>
        <v>2.57</v>
      </c>
      <c r="G2227" s="9">
        <f>IFERROR(__xludf.DUMMYFUNCTION("""COMPUTED_VALUE"""),2.57)</f>
        <v>2.57</v>
      </c>
      <c r="H2227" s="9">
        <f>IFERROR(__xludf.DUMMYFUNCTION("""COMPUTED_VALUE"""),1.0)</f>
        <v>1</v>
      </c>
      <c r="I2227" s="9"/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</row>
    <row r="2228" ht="15.75" customHeight="1">
      <c r="A2228" s="11">
        <f>IFERROR(__xludf.DUMMYFUNCTION("""COMPUTED_VALUE"""),44471.0)</f>
        <v>44471</v>
      </c>
      <c r="B2228" s="9">
        <f>IFERROR(__xludf.DUMMYFUNCTION("""COMPUTED_VALUE"""),1003594.0)</f>
        <v>1003594</v>
      </c>
      <c r="C2228" s="9">
        <f>IFERROR(__xludf.DUMMYFUNCTION("""COMPUTED_VALUE"""),99038.0)</f>
        <v>99038</v>
      </c>
      <c r="D2228" s="9"/>
      <c r="E2228" s="10" t="str">
        <f>IFERROR(__xludf.DUMMYFUNCTION("""COMPUTED_VALUE"""),"PREMIERE")</f>
        <v>PREMIERE</v>
      </c>
      <c r="F2228" s="10">
        <f>IFERROR(__xludf.DUMMYFUNCTION("""COMPUTED_VALUE"""),2.57)</f>
        <v>2.57</v>
      </c>
      <c r="G2228" s="9">
        <f>IFERROR(__xludf.DUMMYFUNCTION("""COMPUTED_VALUE"""),2.57)</f>
        <v>2.57</v>
      </c>
      <c r="H2228" s="9">
        <f>IFERROR(__xludf.DUMMYFUNCTION("""COMPUTED_VALUE"""),1.0)</f>
        <v>1</v>
      </c>
      <c r="I2228" s="9"/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</row>
    <row r="2229" ht="15.75" customHeight="1">
      <c r="A2229" s="11">
        <f>IFERROR(__xludf.DUMMYFUNCTION("""COMPUTED_VALUE"""),44471.0)</f>
        <v>44471</v>
      </c>
      <c r="B2229" s="9">
        <f>IFERROR(__xludf.DUMMYFUNCTION("""COMPUTED_VALUE"""),1003594.0)</f>
        <v>1003594</v>
      </c>
      <c r="C2229" s="9">
        <f>IFERROR(__xludf.DUMMYFUNCTION("""COMPUTED_VALUE"""),79427.0)</f>
        <v>79427</v>
      </c>
      <c r="D2229" s="9"/>
      <c r="E2229" s="10" t="str">
        <f>IFERROR(__xludf.DUMMYFUNCTION("""COMPUTED_VALUE"""),"PREMIERE")</f>
        <v>PREMIERE</v>
      </c>
      <c r="F2229" s="10">
        <f>IFERROR(__xludf.DUMMYFUNCTION("""COMPUTED_VALUE"""),2.21)</f>
        <v>2.21</v>
      </c>
      <c r="G2229" s="9">
        <f>IFERROR(__xludf.DUMMYFUNCTION("""COMPUTED_VALUE"""),2.21)</f>
        <v>2.21</v>
      </c>
      <c r="H2229" s="9">
        <f>IFERROR(__xludf.DUMMYFUNCTION("""COMPUTED_VALUE"""),1.0)</f>
        <v>1</v>
      </c>
      <c r="I2229" s="9"/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</row>
    <row r="2230" ht="15.75" customHeight="1">
      <c r="A2230" s="11">
        <f>IFERROR(__xludf.DUMMYFUNCTION("""COMPUTED_VALUE"""),44471.0)</f>
        <v>44471</v>
      </c>
      <c r="B2230" s="9">
        <f>IFERROR(__xludf.DUMMYFUNCTION("""COMPUTED_VALUE"""),1003594.0)</f>
        <v>1003594</v>
      </c>
      <c r="C2230" s="9">
        <f>IFERROR(__xludf.DUMMYFUNCTION("""COMPUTED_VALUE"""),79430.0)</f>
        <v>79430</v>
      </c>
      <c r="D2230" s="9"/>
      <c r="E2230" s="10" t="str">
        <f>IFERROR(__xludf.DUMMYFUNCTION("""COMPUTED_VALUE"""),"PREMIERE")</f>
        <v>PREMIERE</v>
      </c>
      <c r="F2230" s="10">
        <f>IFERROR(__xludf.DUMMYFUNCTION("""COMPUTED_VALUE"""),2.21)</f>
        <v>2.21</v>
      </c>
      <c r="G2230" s="9">
        <f>IFERROR(__xludf.DUMMYFUNCTION("""COMPUTED_VALUE"""),2.21)</f>
        <v>2.21</v>
      </c>
      <c r="H2230" s="9">
        <f>IFERROR(__xludf.DUMMYFUNCTION("""COMPUTED_VALUE"""),1.0)</f>
        <v>1</v>
      </c>
      <c r="I2230" s="9"/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</row>
    <row r="2231" ht="15.75" customHeight="1">
      <c r="A2231" s="11">
        <f>IFERROR(__xludf.DUMMYFUNCTION("""COMPUTED_VALUE"""),44471.0)</f>
        <v>44471</v>
      </c>
      <c r="B2231" s="9">
        <f>IFERROR(__xludf.DUMMYFUNCTION("""COMPUTED_VALUE"""),1003594.0)</f>
        <v>1003594</v>
      </c>
      <c r="C2231" s="9">
        <f>IFERROR(__xludf.DUMMYFUNCTION("""COMPUTED_VALUE"""),44827.0)</f>
        <v>44827</v>
      </c>
      <c r="D2231" s="9"/>
      <c r="E2231" s="10" t="str">
        <f>IFERROR(__xludf.DUMMYFUNCTION("""COMPUTED_VALUE"""),"PREMIERE")</f>
        <v>PREMIERE</v>
      </c>
      <c r="F2231" s="10">
        <f>IFERROR(__xludf.DUMMYFUNCTION("""COMPUTED_VALUE"""),2.1)</f>
        <v>2.1</v>
      </c>
      <c r="G2231" s="9">
        <f>IFERROR(__xludf.DUMMYFUNCTION("""COMPUTED_VALUE"""),2.1)</f>
        <v>2.1</v>
      </c>
      <c r="H2231" s="9">
        <f>IFERROR(__xludf.DUMMYFUNCTION("""COMPUTED_VALUE"""),1.0)</f>
        <v>1</v>
      </c>
      <c r="I2231" s="9"/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</row>
    <row r="2232" ht="15.75" customHeight="1">
      <c r="A2232" s="11">
        <f>IFERROR(__xludf.DUMMYFUNCTION("""COMPUTED_VALUE"""),44471.0)</f>
        <v>44471</v>
      </c>
      <c r="B2232" s="9">
        <f>IFERROR(__xludf.DUMMYFUNCTION("""COMPUTED_VALUE"""),1003594.0)</f>
        <v>1003594</v>
      </c>
      <c r="C2232" s="9">
        <f>IFERROR(__xludf.DUMMYFUNCTION("""COMPUTED_VALUE"""),44824.0)</f>
        <v>44824</v>
      </c>
      <c r="D2232" s="9"/>
      <c r="E2232" s="10" t="str">
        <f>IFERROR(__xludf.DUMMYFUNCTION("""COMPUTED_VALUE"""),"PREMIERE")</f>
        <v>PREMIERE</v>
      </c>
      <c r="F2232" s="10">
        <f>IFERROR(__xludf.DUMMYFUNCTION("""COMPUTED_VALUE"""),1.99)</f>
        <v>1.99</v>
      </c>
      <c r="G2232" s="9">
        <f>IFERROR(__xludf.DUMMYFUNCTION("""COMPUTED_VALUE"""),1.99)</f>
        <v>1.99</v>
      </c>
      <c r="H2232" s="9">
        <f>IFERROR(__xludf.DUMMYFUNCTION("""COMPUTED_VALUE"""),1.0)</f>
        <v>1</v>
      </c>
      <c r="I2232" s="9"/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</row>
    <row r="2233" ht="15.75" customHeight="1">
      <c r="A2233" s="11">
        <f>IFERROR(__xludf.DUMMYFUNCTION("""COMPUTED_VALUE"""),44471.0)</f>
        <v>44471</v>
      </c>
      <c r="B2233" s="9">
        <f>IFERROR(__xludf.DUMMYFUNCTION("""COMPUTED_VALUE"""),1003594.0)</f>
        <v>1003594</v>
      </c>
      <c r="C2233" s="9">
        <f>IFERROR(__xludf.DUMMYFUNCTION("""COMPUTED_VALUE"""),79882.0)</f>
        <v>79882</v>
      </c>
      <c r="D2233" s="9"/>
      <c r="E2233" s="10" t="str">
        <f>IFERROR(__xludf.DUMMYFUNCTION("""COMPUTED_VALUE"""),"PREMIERE")</f>
        <v>PREMIERE</v>
      </c>
      <c r="F2233" s="10">
        <f>IFERROR(__xludf.DUMMYFUNCTION("""COMPUTED_VALUE"""),2.49)</f>
        <v>2.49</v>
      </c>
      <c r="G2233" s="9">
        <f>IFERROR(__xludf.DUMMYFUNCTION("""COMPUTED_VALUE"""),2.49)</f>
        <v>2.49</v>
      </c>
      <c r="H2233" s="9">
        <f>IFERROR(__xludf.DUMMYFUNCTION("""COMPUTED_VALUE"""),1.0)</f>
        <v>1</v>
      </c>
      <c r="I2233" s="9"/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</row>
    <row r="2234" ht="15.75" customHeight="1">
      <c r="A2234" s="11">
        <f>IFERROR(__xludf.DUMMYFUNCTION("""COMPUTED_VALUE"""),44471.0)</f>
        <v>44471</v>
      </c>
      <c r="B2234" s="9">
        <f>IFERROR(__xludf.DUMMYFUNCTION("""COMPUTED_VALUE"""),1003594.0)</f>
        <v>1003594</v>
      </c>
      <c r="C2234" s="9">
        <f>IFERROR(__xludf.DUMMYFUNCTION("""COMPUTED_VALUE"""),17065.0)</f>
        <v>17065</v>
      </c>
      <c r="D2234" s="9"/>
      <c r="E2234" s="10" t="str">
        <f>IFERROR(__xludf.DUMMYFUNCTION("""COMPUTED_VALUE"""),"PREMIERE")</f>
        <v>PREMIERE</v>
      </c>
      <c r="F2234" s="10">
        <f>IFERROR(__xludf.DUMMYFUNCTION("""COMPUTED_VALUE"""),3.88)</f>
        <v>3.88</v>
      </c>
      <c r="G2234" s="9">
        <f>IFERROR(__xludf.DUMMYFUNCTION("""COMPUTED_VALUE"""),3.88)</f>
        <v>3.88</v>
      </c>
      <c r="H2234" s="9">
        <f>IFERROR(__xludf.DUMMYFUNCTION("""COMPUTED_VALUE"""),2.0)</f>
        <v>2</v>
      </c>
      <c r="I2234" s="9"/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</row>
    <row r="2235" ht="15.75" customHeight="1">
      <c r="A2235" s="11">
        <f>IFERROR(__xludf.DUMMYFUNCTION("""COMPUTED_VALUE"""),44471.0)</f>
        <v>44471</v>
      </c>
      <c r="B2235" s="9">
        <f>IFERROR(__xludf.DUMMYFUNCTION("""COMPUTED_VALUE"""),1003594.0)</f>
        <v>1003594</v>
      </c>
      <c r="C2235" s="9">
        <f>IFERROR(__xludf.DUMMYFUNCTION("""COMPUTED_VALUE"""),122213.0)</f>
        <v>122213</v>
      </c>
      <c r="D2235" s="9"/>
      <c r="E2235" s="10" t="str">
        <f>IFERROR(__xludf.DUMMYFUNCTION("""COMPUTED_VALUE"""),"PREMIERE")</f>
        <v>PREMIERE</v>
      </c>
      <c r="F2235" s="10">
        <f>IFERROR(__xludf.DUMMYFUNCTION("""COMPUTED_VALUE"""),3.88)</f>
        <v>3.88</v>
      </c>
      <c r="G2235" s="9">
        <f>IFERROR(__xludf.DUMMYFUNCTION("""COMPUTED_VALUE"""),3.88)</f>
        <v>3.88</v>
      </c>
      <c r="H2235" s="9">
        <f>IFERROR(__xludf.DUMMYFUNCTION("""COMPUTED_VALUE"""),2.0)</f>
        <v>2</v>
      </c>
      <c r="I2235" s="9"/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</row>
    <row r="2236" ht="15.75" customHeight="1">
      <c r="A2236" s="11">
        <f>IFERROR(__xludf.DUMMYFUNCTION("""COMPUTED_VALUE"""),44471.0)</f>
        <v>44471</v>
      </c>
      <c r="B2236" s="9">
        <f>IFERROR(__xludf.DUMMYFUNCTION("""COMPUTED_VALUE"""),1003594.0)</f>
        <v>1003594</v>
      </c>
      <c r="C2236" s="9">
        <f>IFERROR(__xludf.DUMMYFUNCTION("""COMPUTED_VALUE"""),79885.0)</f>
        <v>79885</v>
      </c>
      <c r="D2236" s="9"/>
      <c r="E2236" s="10" t="str">
        <f>IFERROR(__xludf.DUMMYFUNCTION("""COMPUTED_VALUE"""),"PREMIERE")</f>
        <v>PREMIERE</v>
      </c>
      <c r="F2236" s="10">
        <f>IFERROR(__xludf.DUMMYFUNCTION("""COMPUTED_VALUE"""),4.01)</f>
        <v>4.01</v>
      </c>
      <c r="G2236" s="9">
        <f>IFERROR(__xludf.DUMMYFUNCTION("""COMPUTED_VALUE"""),4.01)</f>
        <v>4.01</v>
      </c>
      <c r="H2236" s="9">
        <f>IFERROR(__xludf.DUMMYFUNCTION("""COMPUTED_VALUE"""),2.0)</f>
        <v>2</v>
      </c>
      <c r="I2236" s="9"/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</row>
    <row r="2237" ht="15.75" customHeight="1">
      <c r="A2237" s="11">
        <f>IFERROR(__xludf.DUMMYFUNCTION("""COMPUTED_VALUE"""),44471.0)</f>
        <v>44471</v>
      </c>
      <c r="B2237" s="9">
        <f>IFERROR(__xludf.DUMMYFUNCTION("""COMPUTED_VALUE"""),1003594.0)</f>
        <v>1003594</v>
      </c>
      <c r="C2237" s="9">
        <f>IFERROR(__xludf.DUMMYFUNCTION("""COMPUTED_VALUE"""),4298.0)</f>
        <v>4298</v>
      </c>
      <c r="D2237" s="9"/>
      <c r="E2237" s="10" t="str">
        <f>IFERROR(__xludf.DUMMYFUNCTION("""COMPUTED_VALUE"""),"PREMIERE")</f>
        <v>PREMIERE</v>
      </c>
      <c r="F2237" s="10">
        <f>IFERROR(__xludf.DUMMYFUNCTION("""COMPUTED_VALUE"""),4.56)</f>
        <v>4.56</v>
      </c>
      <c r="G2237" s="9">
        <f>IFERROR(__xludf.DUMMYFUNCTION("""COMPUTED_VALUE"""),4.56)</f>
        <v>4.56</v>
      </c>
      <c r="H2237" s="9">
        <f>IFERROR(__xludf.DUMMYFUNCTION("""COMPUTED_VALUE"""),2.0)</f>
        <v>2</v>
      </c>
      <c r="I2237" s="9"/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</row>
    <row r="2238" ht="15.75" customHeight="1">
      <c r="A2238" s="11">
        <f>IFERROR(__xludf.DUMMYFUNCTION("""COMPUTED_VALUE"""),44471.0)</f>
        <v>44471</v>
      </c>
      <c r="B2238" s="9">
        <f>IFERROR(__xludf.DUMMYFUNCTION("""COMPUTED_VALUE"""),1003594.0)</f>
        <v>1003594</v>
      </c>
      <c r="C2238" s="9">
        <f>IFERROR(__xludf.DUMMYFUNCTION("""COMPUTED_VALUE"""),11068.0)</f>
        <v>11068</v>
      </c>
      <c r="D2238" s="9"/>
      <c r="E2238" s="10" t="str">
        <f>IFERROR(__xludf.DUMMYFUNCTION("""COMPUTED_VALUE"""),"PREMIERE")</f>
        <v>PREMIERE</v>
      </c>
      <c r="F2238" s="10">
        <f>IFERROR(__xludf.DUMMYFUNCTION("""COMPUTED_VALUE"""),4.09)</f>
        <v>4.09</v>
      </c>
      <c r="G2238" s="9">
        <f>IFERROR(__xludf.DUMMYFUNCTION("""COMPUTED_VALUE"""),4.09)</f>
        <v>4.09</v>
      </c>
      <c r="H2238" s="9">
        <f>IFERROR(__xludf.DUMMYFUNCTION("""COMPUTED_VALUE"""),2.0)</f>
        <v>2</v>
      </c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</row>
    <row r="2239" ht="15.75" customHeight="1">
      <c r="A2239" s="11">
        <f>IFERROR(__xludf.DUMMYFUNCTION("""COMPUTED_VALUE"""),44471.0)</f>
        <v>44471</v>
      </c>
      <c r="B2239" s="9">
        <f>IFERROR(__xludf.DUMMYFUNCTION("""COMPUTED_VALUE"""),1003594.0)</f>
        <v>1003594</v>
      </c>
      <c r="C2239" s="9">
        <f>IFERROR(__xludf.DUMMYFUNCTION("""COMPUTED_VALUE"""),44828.0)</f>
        <v>44828</v>
      </c>
      <c r="D2239" s="9"/>
      <c r="E2239" s="10" t="str">
        <f>IFERROR(__xludf.DUMMYFUNCTION("""COMPUTED_VALUE"""),"PREMIERE")</f>
        <v>PREMIERE</v>
      </c>
      <c r="F2239" s="10">
        <f>IFERROR(__xludf.DUMMYFUNCTION("""COMPUTED_VALUE"""),3.34)</f>
        <v>3.34</v>
      </c>
      <c r="G2239" s="9">
        <f>IFERROR(__xludf.DUMMYFUNCTION("""COMPUTED_VALUE"""),3.34)</f>
        <v>3.34</v>
      </c>
      <c r="H2239" s="9">
        <f>IFERROR(__xludf.DUMMYFUNCTION("""COMPUTED_VALUE"""),2.0)</f>
        <v>2</v>
      </c>
      <c r="I2239" s="9"/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</row>
    <row r="2240" ht="15.75" customHeight="1">
      <c r="A2240" s="11">
        <f>IFERROR(__xludf.DUMMYFUNCTION("""COMPUTED_VALUE"""),44471.0)</f>
        <v>44471</v>
      </c>
      <c r="B2240" s="9">
        <f>IFERROR(__xludf.DUMMYFUNCTION("""COMPUTED_VALUE"""),1003594.0)</f>
        <v>1003594</v>
      </c>
      <c r="C2240" s="9">
        <f>IFERROR(__xludf.DUMMYFUNCTION("""COMPUTED_VALUE"""),4905.0)</f>
        <v>4905</v>
      </c>
      <c r="D2240" s="9"/>
      <c r="E2240" s="10" t="str">
        <f>IFERROR(__xludf.DUMMYFUNCTION("""COMPUTED_VALUE"""),"PREMIERE")</f>
        <v>PREMIERE</v>
      </c>
      <c r="F2240" s="10">
        <f>IFERROR(__xludf.DUMMYFUNCTION("""COMPUTED_VALUE"""),3.36)</f>
        <v>3.36</v>
      </c>
      <c r="G2240" s="9">
        <f>IFERROR(__xludf.DUMMYFUNCTION("""COMPUTED_VALUE"""),3.36)</f>
        <v>3.36</v>
      </c>
      <c r="H2240" s="9">
        <f>IFERROR(__xludf.DUMMYFUNCTION("""COMPUTED_VALUE"""),2.0)</f>
        <v>2</v>
      </c>
      <c r="I2240" s="9"/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</row>
    <row r="2241" ht="15.75" customHeight="1">
      <c r="A2241" s="11">
        <f>IFERROR(__xludf.DUMMYFUNCTION("""COMPUTED_VALUE"""),44471.0)</f>
        <v>44471</v>
      </c>
      <c r="B2241" s="9">
        <f>IFERROR(__xludf.DUMMYFUNCTION("""COMPUTED_VALUE"""),1003594.0)</f>
        <v>1003594</v>
      </c>
      <c r="C2241" s="9">
        <f>IFERROR(__xludf.DUMMYFUNCTION("""COMPUTED_VALUE"""),68509.0)</f>
        <v>68509</v>
      </c>
      <c r="D2241" s="9"/>
      <c r="E2241" s="10" t="str">
        <f>IFERROR(__xludf.DUMMYFUNCTION("""COMPUTED_VALUE"""),"PREMIERE")</f>
        <v>PREMIERE</v>
      </c>
      <c r="F2241" s="10">
        <f>IFERROR(__xludf.DUMMYFUNCTION("""COMPUTED_VALUE"""),6.14)</f>
        <v>6.14</v>
      </c>
      <c r="G2241" s="9">
        <f>IFERROR(__xludf.DUMMYFUNCTION("""COMPUTED_VALUE"""),6.14)</f>
        <v>6.14</v>
      </c>
      <c r="H2241" s="9">
        <f>IFERROR(__xludf.DUMMYFUNCTION("""COMPUTED_VALUE"""),3.0)</f>
        <v>3</v>
      </c>
      <c r="I2241" s="9"/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</row>
    <row r="2242" ht="15.75" customHeight="1">
      <c r="A2242" s="11">
        <f>IFERROR(__xludf.DUMMYFUNCTION("""COMPUTED_VALUE"""),44471.0)</f>
        <v>44471</v>
      </c>
      <c r="B2242" s="9">
        <f>IFERROR(__xludf.DUMMYFUNCTION("""COMPUTED_VALUE"""),1003595.0)</f>
        <v>1003595</v>
      </c>
      <c r="C2242" s="9">
        <f>IFERROR(__xludf.DUMMYFUNCTION("""COMPUTED_VALUE"""),102089.0)</f>
        <v>102089</v>
      </c>
      <c r="D2242" s="9"/>
      <c r="E2242" s="9"/>
      <c r="F2242" s="9">
        <f>IFERROR(__xludf.DUMMYFUNCTION("""COMPUTED_VALUE"""),3.63)</f>
        <v>3.63</v>
      </c>
      <c r="G2242" s="9">
        <f>IFERROR(__xludf.DUMMYFUNCTION("""COMPUTED_VALUE"""),3.63)</f>
        <v>3.63</v>
      </c>
      <c r="H2242" s="9">
        <f>IFERROR(__xludf.DUMMYFUNCTION("""COMPUTED_VALUE"""),1.0)</f>
        <v>1</v>
      </c>
      <c r="I2242" s="9"/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</row>
    <row r="2243" ht="15.75" customHeight="1">
      <c r="A2243" s="11">
        <f>IFERROR(__xludf.DUMMYFUNCTION("""COMPUTED_VALUE"""),44471.0)</f>
        <v>44471</v>
      </c>
      <c r="B2243" s="9">
        <f>IFERROR(__xludf.DUMMYFUNCTION("""COMPUTED_VALUE"""),1003595.0)</f>
        <v>1003595</v>
      </c>
      <c r="C2243" s="9">
        <f>IFERROR(__xludf.DUMMYFUNCTION("""COMPUTED_VALUE"""),80484.0)</f>
        <v>80484</v>
      </c>
      <c r="D2243" s="10" t="str">
        <f>IFERROR(__xludf.DUMMYFUNCTION("""COMPUTED_VALUE"""),"Vive le bio")</f>
        <v>Vive le bio</v>
      </c>
      <c r="E2243" s="10"/>
      <c r="F2243" s="9">
        <f>IFERROR(__xludf.DUMMYFUNCTION("""COMPUTED_VALUE"""),2.8)</f>
        <v>2.8</v>
      </c>
      <c r="G2243" s="9">
        <f>IFERROR(__xludf.DUMMYFUNCTION("""COMPUTED_VALUE"""),2.52)</f>
        <v>2.52</v>
      </c>
      <c r="H2243" s="9">
        <f>IFERROR(__xludf.DUMMYFUNCTION("""COMPUTED_VALUE"""),1.0)</f>
        <v>1</v>
      </c>
      <c r="I2243" s="9"/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</row>
    <row r="2244" ht="15.75" customHeight="1">
      <c r="A2244" s="11">
        <f>IFERROR(__xludf.DUMMYFUNCTION("""COMPUTED_VALUE"""),44471.0)</f>
        <v>44471</v>
      </c>
      <c r="B2244" s="9">
        <f>IFERROR(__xludf.DUMMYFUNCTION("""COMPUTED_VALUE"""),1003595.0)</f>
        <v>1003595</v>
      </c>
      <c r="C2244" s="9">
        <f>IFERROR(__xludf.DUMMYFUNCTION("""COMPUTED_VALUE"""),114175.0)</f>
        <v>114175</v>
      </c>
      <c r="D2244" s="9"/>
      <c r="E2244" s="9"/>
      <c r="F2244" s="9">
        <f>IFERROR(__xludf.DUMMYFUNCTION("""COMPUTED_VALUE"""),2.83)</f>
        <v>2.83</v>
      </c>
      <c r="G2244" s="9">
        <f>IFERROR(__xludf.DUMMYFUNCTION("""COMPUTED_VALUE"""),2.83)</f>
        <v>2.83</v>
      </c>
      <c r="H2244" s="9">
        <f>IFERROR(__xludf.DUMMYFUNCTION("""COMPUTED_VALUE"""),1.0)</f>
        <v>1</v>
      </c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</row>
    <row r="2245" ht="15.75" customHeight="1">
      <c r="A2245" s="11">
        <f>IFERROR(__xludf.DUMMYFUNCTION("""COMPUTED_VALUE"""),44471.0)</f>
        <v>44471</v>
      </c>
      <c r="B2245" s="9">
        <f>IFERROR(__xludf.DUMMYFUNCTION("""COMPUTED_VALUE"""),1003595.0)</f>
        <v>1003595</v>
      </c>
      <c r="C2245" s="9">
        <f>IFERROR(__xludf.DUMMYFUNCTION("""COMPUTED_VALUE"""),29601.0)</f>
        <v>29601</v>
      </c>
      <c r="D2245" s="9"/>
      <c r="E2245" s="9"/>
      <c r="F2245" s="9">
        <f>IFERROR(__xludf.DUMMYFUNCTION("""COMPUTED_VALUE"""),6.95)</f>
        <v>6.95</v>
      </c>
      <c r="G2245" s="9">
        <f>IFERROR(__xludf.DUMMYFUNCTION("""COMPUTED_VALUE"""),6.95)</f>
        <v>6.95</v>
      </c>
      <c r="H2245" s="9">
        <f>IFERROR(__xludf.DUMMYFUNCTION("""COMPUTED_VALUE"""),1.0)</f>
        <v>1</v>
      </c>
      <c r="I2245" s="9"/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</row>
    <row r="2246" ht="15.75" customHeight="1">
      <c r="A2246" s="11">
        <f>IFERROR(__xludf.DUMMYFUNCTION("""COMPUTED_VALUE"""),44471.0)</f>
        <v>44471</v>
      </c>
      <c r="B2246" s="9">
        <f>IFERROR(__xludf.DUMMYFUNCTION("""COMPUTED_VALUE"""),1003596.0)</f>
        <v>1003596</v>
      </c>
      <c r="C2246" s="9">
        <f>IFERROR(__xludf.DUMMYFUNCTION("""COMPUTED_VALUE"""),108802.0)</f>
        <v>108802</v>
      </c>
      <c r="D2246" s="9"/>
      <c r="E2246" s="10" t="str">
        <f>IFERROR(__xludf.DUMMYFUNCTION("""COMPUTED_VALUE"""),"GREENRELAIS")</f>
        <v>GREENRELAIS</v>
      </c>
      <c r="F2246" s="10">
        <f>IFERROR(__xludf.DUMMYFUNCTION("""COMPUTED_VALUE"""),1.7)</f>
        <v>1.7</v>
      </c>
      <c r="G2246" s="9">
        <f>IFERROR(__xludf.DUMMYFUNCTION("""COMPUTED_VALUE"""),1.7)</f>
        <v>1.7</v>
      </c>
      <c r="H2246" s="9">
        <f>IFERROR(__xludf.DUMMYFUNCTION("""COMPUTED_VALUE"""),1.0)</f>
        <v>1</v>
      </c>
      <c r="I2246" s="9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</row>
    <row r="2247" ht="15.75" customHeight="1">
      <c r="A2247" s="11">
        <f>IFERROR(__xludf.DUMMYFUNCTION("""COMPUTED_VALUE"""),44471.0)</f>
        <v>44471</v>
      </c>
      <c r="B2247" s="9">
        <f>IFERROR(__xludf.DUMMYFUNCTION("""COMPUTED_VALUE"""),1003596.0)</f>
        <v>1003596</v>
      </c>
      <c r="C2247" s="9">
        <f>IFERROR(__xludf.DUMMYFUNCTION("""COMPUTED_VALUE"""),110283.0)</f>
        <v>110283</v>
      </c>
      <c r="D2247" s="9"/>
      <c r="E2247" s="10" t="str">
        <f>IFERROR(__xludf.DUMMYFUNCTION("""COMPUTED_VALUE"""),"GREENRELAIS")</f>
        <v>GREENRELAIS</v>
      </c>
      <c r="F2247" s="10">
        <f>IFERROR(__xludf.DUMMYFUNCTION("""COMPUTED_VALUE"""),6.72)</f>
        <v>6.72</v>
      </c>
      <c r="G2247" s="9">
        <f>IFERROR(__xludf.DUMMYFUNCTION("""COMPUTED_VALUE"""),6.72)</f>
        <v>6.72</v>
      </c>
      <c r="H2247" s="9">
        <f>IFERROR(__xludf.DUMMYFUNCTION("""COMPUTED_VALUE"""),1.0)</f>
        <v>1</v>
      </c>
      <c r="I2247" s="9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</row>
    <row r="2248" ht="15.75" customHeight="1">
      <c r="A2248" s="11">
        <f>IFERROR(__xludf.DUMMYFUNCTION("""COMPUTED_VALUE"""),44471.0)</f>
        <v>44471</v>
      </c>
      <c r="B2248" s="9">
        <f>IFERROR(__xludf.DUMMYFUNCTION("""COMPUTED_VALUE"""),1003596.0)</f>
        <v>1003596</v>
      </c>
      <c r="C2248" s="9">
        <f>IFERROR(__xludf.DUMMYFUNCTION("""COMPUTED_VALUE"""),108897.0)</f>
        <v>108897</v>
      </c>
      <c r="D2248" s="9"/>
      <c r="E2248" s="10" t="str">
        <f>IFERROR(__xludf.DUMMYFUNCTION("""COMPUTED_VALUE"""),"GREENRELAIS")</f>
        <v>GREENRELAIS</v>
      </c>
      <c r="F2248" s="10">
        <f>IFERROR(__xludf.DUMMYFUNCTION("""COMPUTED_VALUE"""),1.93)</f>
        <v>1.93</v>
      </c>
      <c r="G2248" s="9">
        <f>IFERROR(__xludf.DUMMYFUNCTION("""COMPUTED_VALUE"""),1.93)</f>
        <v>1.93</v>
      </c>
      <c r="H2248" s="9">
        <f>IFERROR(__xludf.DUMMYFUNCTION("""COMPUTED_VALUE"""),1.0)</f>
        <v>1</v>
      </c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</row>
    <row r="2249" ht="15.75" customHeight="1">
      <c r="A2249" s="11">
        <f>IFERROR(__xludf.DUMMYFUNCTION("""COMPUTED_VALUE"""),44471.0)</f>
        <v>44471</v>
      </c>
      <c r="B2249" s="9">
        <f>IFERROR(__xludf.DUMMYFUNCTION("""COMPUTED_VALUE"""),1003596.0)</f>
        <v>1003596</v>
      </c>
      <c r="C2249" s="9">
        <f>IFERROR(__xludf.DUMMYFUNCTION("""COMPUTED_VALUE"""),109985.0)</f>
        <v>109985</v>
      </c>
      <c r="D2249" s="10" t="str">
        <f>IFERROR(__xludf.DUMMYFUNCTION("""COMPUTED_VALUE"""),"Carryboo soin bebe 2021")</f>
        <v>Carryboo soin bebe 2021</v>
      </c>
      <c r="E2249" s="10" t="str">
        <f>IFERROR(__xludf.DUMMYFUNCTION("""COMPUTED_VALUE"""),"GREENRELAIS")</f>
        <v>GREENRELAIS</v>
      </c>
      <c r="F2249" s="10">
        <f>IFERROR(__xludf.DUMMYFUNCTION("""COMPUTED_VALUE"""),4.81333333333333)</f>
        <v>4.813333333</v>
      </c>
      <c r="G2249" s="9">
        <f>IFERROR(__xludf.DUMMYFUNCTION("""COMPUTED_VALUE"""),3.61)</f>
        <v>3.61</v>
      </c>
      <c r="H2249" s="9">
        <f>IFERROR(__xludf.DUMMYFUNCTION("""COMPUTED_VALUE"""),2.0)</f>
        <v>2</v>
      </c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</row>
    <row r="2250" ht="15.75" customHeight="1">
      <c r="A2250" s="11">
        <f>IFERROR(__xludf.DUMMYFUNCTION("""COMPUTED_VALUE"""),44471.0)</f>
        <v>44471</v>
      </c>
      <c r="B2250" s="9">
        <f>IFERROR(__xludf.DUMMYFUNCTION("""COMPUTED_VALUE"""),1003596.0)</f>
        <v>1003596</v>
      </c>
      <c r="C2250" s="9">
        <f>IFERROR(__xludf.DUMMYFUNCTION("""COMPUTED_VALUE"""),112365.0)</f>
        <v>112365</v>
      </c>
      <c r="D2250" s="9"/>
      <c r="E2250" s="10" t="str">
        <f>IFERROR(__xludf.DUMMYFUNCTION("""COMPUTED_VALUE"""),"GREENRELAIS")</f>
        <v>GREENRELAIS</v>
      </c>
      <c r="F2250" s="10">
        <f>IFERROR(__xludf.DUMMYFUNCTION("""COMPUTED_VALUE"""),6.17)</f>
        <v>6.17</v>
      </c>
      <c r="G2250" s="9">
        <f>IFERROR(__xludf.DUMMYFUNCTION("""COMPUTED_VALUE"""),6.17)</f>
        <v>6.17</v>
      </c>
      <c r="H2250" s="9">
        <f>IFERROR(__xludf.DUMMYFUNCTION("""COMPUTED_VALUE"""),2.0)</f>
        <v>2</v>
      </c>
      <c r="I2250" s="9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</row>
    <row r="2251" ht="15.75" customHeight="1">
      <c r="A2251" s="11">
        <f>IFERROR(__xludf.DUMMYFUNCTION("""COMPUTED_VALUE"""),44471.0)</f>
        <v>44471</v>
      </c>
      <c r="B2251" s="9">
        <f>IFERROR(__xludf.DUMMYFUNCTION("""COMPUTED_VALUE"""),1003596.0)</f>
        <v>1003596</v>
      </c>
      <c r="C2251" s="9">
        <f>IFERROR(__xludf.DUMMYFUNCTION("""COMPUTED_VALUE"""),103588.0)</f>
        <v>103588</v>
      </c>
      <c r="D2251" s="10" t="str">
        <f>IFERROR(__xludf.DUMMYFUNCTION("""COMPUTED_VALUE"""),"Love &amp; Green Couches et Culottes sept 2021")</f>
        <v>Love &amp; Green Couches et Culottes sept 2021</v>
      </c>
      <c r="E2251" s="10" t="str">
        <f>IFERROR(__xludf.DUMMYFUNCTION("""COMPUTED_VALUE"""),"GREENRELAIS")</f>
        <v>GREENRELAIS</v>
      </c>
      <c r="F2251" s="10">
        <f>IFERROR(__xludf.DUMMYFUNCTION("""COMPUTED_VALUE"""),46.9857142857142)</f>
        <v>46.98571429</v>
      </c>
      <c r="G2251" s="9">
        <f>IFERROR(__xludf.DUMMYFUNCTION("""COMPUTED_VALUE"""),32.89)</f>
        <v>32.89</v>
      </c>
      <c r="H2251" s="9">
        <f>IFERROR(__xludf.DUMMYFUNCTION("""COMPUTED_VALUE"""),3.0)</f>
        <v>3</v>
      </c>
      <c r="I2251" s="9"/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</row>
    <row r="2252" ht="15.75" customHeight="1">
      <c r="A2252" s="11">
        <f>IFERROR(__xludf.DUMMYFUNCTION("""COMPUTED_VALUE"""),44471.0)</f>
        <v>44471</v>
      </c>
      <c r="B2252" s="9">
        <f>IFERROR(__xludf.DUMMYFUNCTION("""COMPUTED_VALUE"""),1003597.0)</f>
        <v>1003597</v>
      </c>
      <c r="C2252" s="9">
        <f>IFERROR(__xludf.DUMMYFUNCTION("""COMPUTED_VALUE"""),73946.0)</f>
        <v>73946</v>
      </c>
      <c r="D2252" s="9"/>
      <c r="E2252" s="9"/>
      <c r="F2252" s="9">
        <f>IFERROR(__xludf.DUMMYFUNCTION("""COMPUTED_VALUE"""),6.09)</f>
        <v>6.09</v>
      </c>
      <c r="G2252" s="9">
        <f>IFERROR(__xludf.DUMMYFUNCTION("""COMPUTED_VALUE"""),6.09)</f>
        <v>6.09</v>
      </c>
      <c r="H2252" s="9">
        <f>IFERROR(__xludf.DUMMYFUNCTION("""COMPUTED_VALUE"""),1.0)</f>
        <v>1</v>
      </c>
      <c r="I2252" s="9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</row>
    <row r="2253" ht="15.75" customHeight="1">
      <c r="A2253" s="11">
        <f>IFERROR(__xludf.DUMMYFUNCTION("""COMPUTED_VALUE"""),44471.0)</f>
        <v>44471</v>
      </c>
      <c r="B2253" s="9">
        <f>IFERROR(__xludf.DUMMYFUNCTION("""COMPUTED_VALUE"""),1003597.0)</f>
        <v>1003597</v>
      </c>
      <c r="C2253" s="9">
        <f>IFERROR(__xludf.DUMMYFUNCTION("""COMPUTED_VALUE"""),83599.0)</f>
        <v>83599</v>
      </c>
      <c r="D2253" s="10" t="str">
        <f>IFERROR(__xludf.DUMMYFUNCTION("""COMPUTED_VALUE"""),"Vive le bio")</f>
        <v>Vive le bio</v>
      </c>
      <c r="E2253" s="10"/>
      <c r="F2253" s="9">
        <f>IFERROR(__xludf.DUMMYFUNCTION("""COMPUTED_VALUE"""),5.6)</f>
        <v>5.6</v>
      </c>
      <c r="G2253" s="9">
        <f>IFERROR(__xludf.DUMMYFUNCTION("""COMPUTED_VALUE"""),5.04)</f>
        <v>5.04</v>
      </c>
      <c r="H2253" s="9">
        <f>IFERROR(__xludf.DUMMYFUNCTION("""COMPUTED_VALUE"""),1.0)</f>
        <v>1</v>
      </c>
      <c r="I2253" s="9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</row>
    <row r="2254" ht="15.75" customHeight="1">
      <c r="A2254" s="11">
        <f>IFERROR(__xludf.DUMMYFUNCTION("""COMPUTED_VALUE"""),44471.0)</f>
        <v>44471</v>
      </c>
      <c r="B2254" s="9">
        <f>IFERROR(__xludf.DUMMYFUNCTION("""COMPUTED_VALUE"""),1003597.0)</f>
        <v>1003597</v>
      </c>
      <c r="C2254" s="9">
        <f>IFERROR(__xludf.DUMMYFUNCTION("""COMPUTED_VALUE"""),109311.0)</f>
        <v>109311</v>
      </c>
      <c r="D2254" s="9"/>
      <c r="E2254" s="9"/>
      <c r="F2254" s="9">
        <f>IFERROR(__xludf.DUMMYFUNCTION("""COMPUTED_VALUE"""),8.13)</f>
        <v>8.13</v>
      </c>
      <c r="G2254" s="9">
        <f>IFERROR(__xludf.DUMMYFUNCTION("""COMPUTED_VALUE"""),8.13)</f>
        <v>8.13</v>
      </c>
      <c r="H2254" s="9">
        <f>IFERROR(__xludf.DUMMYFUNCTION("""COMPUTED_VALUE"""),1.0)</f>
        <v>1</v>
      </c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</row>
    <row r="2255" ht="15.75" customHeight="1">
      <c r="A2255" s="11">
        <f>IFERROR(__xludf.DUMMYFUNCTION("""COMPUTED_VALUE"""),44471.0)</f>
        <v>44471</v>
      </c>
      <c r="B2255" s="9">
        <f>IFERROR(__xludf.DUMMYFUNCTION("""COMPUTED_VALUE"""),1003597.0)</f>
        <v>1003597</v>
      </c>
      <c r="C2255" s="9">
        <f>IFERROR(__xludf.DUMMYFUNCTION("""COMPUTED_VALUE"""),76363.0)</f>
        <v>76363</v>
      </c>
      <c r="D2255" s="9"/>
      <c r="E2255" s="9"/>
      <c r="F2255" s="9">
        <f>IFERROR(__xludf.DUMMYFUNCTION("""COMPUTED_VALUE"""),5.04)</f>
        <v>5.04</v>
      </c>
      <c r="G2255" s="9">
        <f>IFERROR(__xludf.DUMMYFUNCTION("""COMPUTED_VALUE"""),5.04)</f>
        <v>5.04</v>
      </c>
      <c r="H2255" s="9">
        <f>IFERROR(__xludf.DUMMYFUNCTION("""COMPUTED_VALUE"""),2.0)</f>
        <v>2</v>
      </c>
      <c r="I2255" s="9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</row>
    <row r="2256" ht="15.75" customHeight="1">
      <c r="A2256" s="11">
        <f>IFERROR(__xludf.DUMMYFUNCTION("""COMPUTED_VALUE"""),44471.0)</f>
        <v>44471</v>
      </c>
      <c r="B2256" s="9">
        <f>IFERROR(__xludf.DUMMYFUNCTION("""COMPUTED_VALUE"""),1003597.0)</f>
        <v>1003597</v>
      </c>
      <c r="C2256" s="9">
        <f>IFERROR(__xludf.DUMMYFUNCTION("""COMPUTED_VALUE"""),79152.0)</f>
        <v>79152</v>
      </c>
      <c r="D2256" s="10" t="str">
        <f>IFERROR(__xludf.DUMMYFUNCTION("""COMPUTED_VALUE"""),"Vive le bio")</f>
        <v>Vive le bio</v>
      </c>
      <c r="E2256" s="10"/>
      <c r="F2256" s="9">
        <f>IFERROR(__xludf.DUMMYFUNCTION("""COMPUTED_VALUE"""),9.66666666666666)</f>
        <v>9.666666667</v>
      </c>
      <c r="G2256" s="9">
        <f>IFERROR(__xludf.DUMMYFUNCTION("""COMPUTED_VALUE"""),8.7)</f>
        <v>8.7</v>
      </c>
      <c r="H2256" s="9">
        <f>IFERROR(__xludf.DUMMYFUNCTION("""COMPUTED_VALUE"""),2.0)</f>
        <v>2</v>
      </c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</row>
    <row r="2257" ht="15.75" customHeight="1">
      <c r="A2257" s="11">
        <f>IFERROR(__xludf.DUMMYFUNCTION("""COMPUTED_VALUE"""),44471.0)</f>
        <v>44471</v>
      </c>
      <c r="B2257" s="9">
        <f>IFERROR(__xludf.DUMMYFUNCTION("""COMPUTED_VALUE"""),1003597.0)</f>
        <v>1003597</v>
      </c>
      <c r="C2257" s="9">
        <f>IFERROR(__xludf.DUMMYFUNCTION("""COMPUTED_VALUE"""),76365.0)</f>
        <v>76365</v>
      </c>
      <c r="D2257" s="9"/>
      <c r="E2257" s="9"/>
      <c r="F2257" s="9">
        <f>IFERROR(__xludf.DUMMYFUNCTION("""COMPUTED_VALUE"""),4.16)</f>
        <v>4.16</v>
      </c>
      <c r="G2257" s="9">
        <f>IFERROR(__xludf.DUMMYFUNCTION("""COMPUTED_VALUE"""),4.16)</f>
        <v>4.16</v>
      </c>
      <c r="H2257" s="9">
        <f>IFERROR(__xludf.DUMMYFUNCTION("""COMPUTED_VALUE"""),2.0)</f>
        <v>2</v>
      </c>
      <c r="I2257" s="9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</row>
    <row r="2258" ht="15.75" customHeight="1">
      <c r="A2258" s="11">
        <f>IFERROR(__xludf.DUMMYFUNCTION("""COMPUTED_VALUE"""),44471.0)</f>
        <v>44471</v>
      </c>
      <c r="B2258" s="9">
        <f>IFERROR(__xludf.DUMMYFUNCTION("""COMPUTED_VALUE"""),1003597.0)</f>
        <v>1003597</v>
      </c>
      <c r="C2258" s="9">
        <f>IFERROR(__xludf.DUMMYFUNCTION("""COMPUTED_VALUE"""),45952.0)</f>
        <v>45952</v>
      </c>
      <c r="D2258" s="9"/>
      <c r="E2258" s="9"/>
      <c r="F2258" s="9">
        <f>IFERROR(__xludf.DUMMYFUNCTION("""COMPUTED_VALUE"""),7.94)</f>
        <v>7.94</v>
      </c>
      <c r="G2258" s="9">
        <f>IFERROR(__xludf.DUMMYFUNCTION("""COMPUTED_VALUE"""),7.94)</f>
        <v>7.94</v>
      </c>
      <c r="H2258" s="9">
        <f>IFERROR(__xludf.DUMMYFUNCTION("""COMPUTED_VALUE"""),2.0)</f>
        <v>2</v>
      </c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</row>
    <row r="2259" ht="15.75" customHeight="1">
      <c r="A2259" s="11">
        <f>IFERROR(__xludf.DUMMYFUNCTION("""COMPUTED_VALUE"""),44471.0)</f>
        <v>44471</v>
      </c>
      <c r="B2259" s="9">
        <f>IFERROR(__xludf.DUMMYFUNCTION("""COMPUTED_VALUE"""),1003597.0)</f>
        <v>1003597</v>
      </c>
      <c r="C2259" s="9">
        <f>IFERROR(__xludf.DUMMYFUNCTION("""COMPUTED_VALUE"""),69578.0)</f>
        <v>69578</v>
      </c>
      <c r="D2259" s="10" t="str">
        <f>IFERROR(__xludf.DUMMYFUNCTION("""COMPUTED_VALUE"""),"DLC courtes")</f>
        <v>DLC courtes</v>
      </c>
      <c r="E2259" s="10"/>
      <c r="F2259" s="9">
        <f>IFERROR(__xludf.DUMMYFUNCTION("""COMPUTED_VALUE"""),5.69411764705882)</f>
        <v>5.694117647</v>
      </c>
      <c r="G2259" s="9">
        <f>IFERROR(__xludf.DUMMYFUNCTION("""COMPUTED_VALUE"""),4.84)</f>
        <v>4.84</v>
      </c>
      <c r="H2259" s="9">
        <f>IFERROR(__xludf.DUMMYFUNCTION("""COMPUTED_VALUE"""),2.0)</f>
        <v>2</v>
      </c>
      <c r="I2259" s="9"/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</row>
    <row r="2260" ht="15.75" customHeight="1">
      <c r="A2260" s="11">
        <f>IFERROR(__xludf.DUMMYFUNCTION("""COMPUTED_VALUE"""),44471.0)</f>
        <v>44471</v>
      </c>
      <c r="B2260" s="9">
        <f>IFERROR(__xludf.DUMMYFUNCTION("""COMPUTED_VALUE"""),1003597.0)</f>
        <v>1003597</v>
      </c>
      <c r="C2260" s="9">
        <f>IFERROR(__xludf.DUMMYFUNCTION("""COMPUTED_VALUE"""),87128.0)</f>
        <v>87128</v>
      </c>
      <c r="D2260" s="10" t="str">
        <f>IFERROR(__xludf.DUMMYFUNCTION("""COMPUTED_VALUE"""),"Vive le bio")</f>
        <v>Vive le bio</v>
      </c>
      <c r="E2260" s="10"/>
      <c r="F2260" s="9">
        <f>IFERROR(__xludf.DUMMYFUNCTION("""COMPUTED_VALUE"""),10.4444444444444)</f>
        <v>10.44444444</v>
      </c>
      <c r="G2260" s="9">
        <f>IFERROR(__xludf.DUMMYFUNCTION("""COMPUTED_VALUE"""),9.4)</f>
        <v>9.4</v>
      </c>
      <c r="H2260" s="9">
        <f>IFERROR(__xludf.DUMMYFUNCTION("""COMPUTED_VALUE"""),4.0)</f>
        <v>4</v>
      </c>
      <c r="I2260" s="9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</row>
    <row r="2261" ht="15.75" customHeight="1">
      <c r="A2261" s="11">
        <f>IFERROR(__xludf.DUMMYFUNCTION("""COMPUTED_VALUE"""),44471.0)</f>
        <v>44471</v>
      </c>
      <c r="B2261" s="9">
        <f>IFERROR(__xludf.DUMMYFUNCTION("""COMPUTED_VALUE"""),1003597.0)</f>
        <v>1003597</v>
      </c>
      <c r="C2261" s="9">
        <f>IFERROR(__xludf.DUMMYFUNCTION("""COMPUTED_VALUE"""),5526.0)</f>
        <v>5526</v>
      </c>
      <c r="D2261" s="9"/>
      <c r="E2261" s="9"/>
      <c r="F2261" s="9">
        <f>IFERROR(__xludf.DUMMYFUNCTION("""COMPUTED_VALUE"""),18.56)</f>
        <v>18.56</v>
      </c>
      <c r="G2261" s="9">
        <f>IFERROR(__xludf.DUMMYFUNCTION("""COMPUTED_VALUE"""),18.56)</f>
        <v>18.56</v>
      </c>
      <c r="H2261" s="9">
        <f>IFERROR(__xludf.DUMMYFUNCTION("""COMPUTED_VALUE"""),4.0)</f>
        <v>4</v>
      </c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</row>
    <row r="2262" ht="15.75" customHeight="1">
      <c r="A2262" s="11">
        <f>IFERROR(__xludf.DUMMYFUNCTION("""COMPUTED_VALUE"""),44471.0)</f>
        <v>44471</v>
      </c>
      <c r="B2262" s="9">
        <f>IFERROR(__xludf.DUMMYFUNCTION("""COMPUTED_VALUE"""),1003597.0)</f>
        <v>1003597</v>
      </c>
      <c r="C2262" s="9">
        <f>IFERROR(__xludf.DUMMYFUNCTION("""COMPUTED_VALUE"""),82368.0)</f>
        <v>82368</v>
      </c>
      <c r="D2262" s="10" t="str">
        <f>IFERROR(__xludf.DUMMYFUNCTION("""COMPUTED_VALUE"""),"DLC courtes")</f>
        <v>DLC courtes</v>
      </c>
      <c r="E2262" s="10"/>
      <c r="F2262" s="9">
        <f>IFERROR(__xludf.DUMMYFUNCTION("""COMPUTED_VALUE"""),9.9)</f>
        <v>9.9</v>
      </c>
      <c r="G2262" s="9">
        <f>IFERROR(__xludf.DUMMYFUNCTION("""COMPUTED_VALUE"""),4.95)</f>
        <v>4.95</v>
      </c>
      <c r="H2262" s="9">
        <f>IFERROR(__xludf.DUMMYFUNCTION("""COMPUTED_VALUE"""),4.0)</f>
        <v>4</v>
      </c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</row>
    <row r="2263" ht="15.75" customHeight="1">
      <c r="A2263" s="11">
        <f>IFERROR(__xludf.DUMMYFUNCTION("""COMPUTED_VALUE"""),44471.0)</f>
        <v>44471</v>
      </c>
      <c r="B2263" s="9">
        <f>IFERROR(__xludf.DUMMYFUNCTION("""COMPUTED_VALUE"""),1003597.0)</f>
        <v>1003597</v>
      </c>
      <c r="C2263" s="9">
        <f>IFERROR(__xludf.DUMMYFUNCTION("""COMPUTED_VALUE"""),115133.0)</f>
        <v>115133</v>
      </c>
      <c r="D2263" s="10" t="str">
        <f>IFERROR(__xludf.DUMMYFUNCTION("""COMPUTED_VALUE"""),"Offre speciale")</f>
        <v>Offre speciale</v>
      </c>
      <c r="E2263" s="10"/>
      <c r="F2263" s="9">
        <f>IFERROR(__xludf.DUMMYFUNCTION("""COMPUTED_VALUE"""),24.5444444444444)</f>
        <v>24.54444444</v>
      </c>
      <c r="G2263" s="9">
        <f>IFERROR(__xludf.DUMMYFUNCTION("""COMPUTED_VALUE"""),22.09)</f>
        <v>22.09</v>
      </c>
      <c r="H2263" s="9">
        <f>IFERROR(__xludf.DUMMYFUNCTION("""COMPUTED_VALUE"""),8.0)</f>
        <v>8</v>
      </c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</row>
    <row r="2264" ht="15.75" customHeight="1">
      <c r="A2264" s="11">
        <f>IFERROR(__xludf.DUMMYFUNCTION("""COMPUTED_VALUE"""),44471.0)</f>
        <v>44471</v>
      </c>
      <c r="B2264" s="9">
        <f>IFERROR(__xludf.DUMMYFUNCTION("""COMPUTED_VALUE"""),1003597.0)</f>
        <v>1003597</v>
      </c>
      <c r="C2264" s="9">
        <f>IFERROR(__xludf.DUMMYFUNCTION("""COMPUTED_VALUE"""),90929.0)</f>
        <v>90929</v>
      </c>
      <c r="D2264" s="9"/>
      <c r="E2264" s="9"/>
      <c r="F2264" s="9">
        <f>IFERROR(__xludf.DUMMYFUNCTION("""COMPUTED_VALUE"""),18.87)</f>
        <v>18.87</v>
      </c>
      <c r="G2264" s="9">
        <f>IFERROR(__xludf.DUMMYFUNCTION("""COMPUTED_VALUE"""),18.87)</f>
        <v>18.87</v>
      </c>
      <c r="H2264" s="9">
        <f>IFERROR(__xludf.DUMMYFUNCTION("""COMPUTED_VALUE"""),10.0)</f>
        <v>10</v>
      </c>
      <c r="I2264" s="9"/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</row>
    <row r="2265" ht="15.75" customHeight="1">
      <c r="A2265" s="11">
        <f>IFERROR(__xludf.DUMMYFUNCTION("""COMPUTED_VALUE"""),44471.0)</f>
        <v>44471</v>
      </c>
      <c r="B2265" s="9">
        <f>IFERROR(__xludf.DUMMYFUNCTION("""COMPUTED_VALUE"""),1003598.0)</f>
        <v>1003598</v>
      </c>
      <c r="C2265" s="9">
        <f>IFERROR(__xludf.DUMMYFUNCTION("""COMPUTED_VALUE"""),87839.0)</f>
        <v>87839</v>
      </c>
      <c r="D2265" s="9"/>
      <c r="E2265" s="9"/>
      <c r="F2265" s="9">
        <f>IFERROR(__xludf.DUMMYFUNCTION("""COMPUTED_VALUE"""),8.81)</f>
        <v>8.81</v>
      </c>
      <c r="G2265" s="9">
        <f>IFERROR(__xludf.DUMMYFUNCTION("""COMPUTED_VALUE"""),8.81)</f>
        <v>8.81</v>
      </c>
      <c r="H2265" s="9">
        <f>IFERROR(__xludf.DUMMYFUNCTION("""COMPUTED_VALUE"""),1.0)</f>
        <v>1</v>
      </c>
      <c r="I2265" s="9"/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</row>
    <row r="2266" ht="15.75" customHeight="1">
      <c r="A2266" s="11">
        <f>IFERROR(__xludf.DUMMYFUNCTION("""COMPUTED_VALUE"""),44471.0)</f>
        <v>44471</v>
      </c>
      <c r="B2266" s="9">
        <f>IFERROR(__xludf.DUMMYFUNCTION("""COMPUTED_VALUE"""),1003598.0)</f>
        <v>1003598</v>
      </c>
      <c r="C2266" s="9">
        <f>IFERROR(__xludf.DUMMYFUNCTION("""COMPUTED_VALUE"""),117445.0)</f>
        <v>117445</v>
      </c>
      <c r="D2266" s="9"/>
      <c r="E2266" s="9"/>
      <c r="F2266" s="9">
        <f>IFERROR(__xludf.DUMMYFUNCTION("""COMPUTED_VALUE"""),9.3)</f>
        <v>9.3</v>
      </c>
      <c r="G2266" s="9">
        <f>IFERROR(__xludf.DUMMYFUNCTION("""COMPUTED_VALUE"""),9.3)</f>
        <v>9.3</v>
      </c>
      <c r="H2266" s="9">
        <f>IFERROR(__xludf.DUMMYFUNCTION("""COMPUTED_VALUE"""),1.0)</f>
        <v>1</v>
      </c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</row>
    <row r="2267" ht="15.75" customHeight="1">
      <c r="A2267" s="11">
        <f>IFERROR(__xludf.DUMMYFUNCTION("""COMPUTED_VALUE"""),44471.0)</f>
        <v>44471</v>
      </c>
      <c r="B2267" s="9">
        <f>IFERROR(__xludf.DUMMYFUNCTION("""COMPUTED_VALUE"""),1003598.0)</f>
        <v>1003598</v>
      </c>
      <c r="C2267" s="9">
        <f>IFERROR(__xludf.DUMMYFUNCTION("""COMPUTED_VALUE"""),89130.0)</f>
        <v>89130</v>
      </c>
      <c r="D2267" s="9"/>
      <c r="E2267" s="9"/>
      <c r="F2267" s="9">
        <f>IFERROR(__xludf.DUMMYFUNCTION("""COMPUTED_VALUE"""),3.98)</f>
        <v>3.98</v>
      </c>
      <c r="G2267" s="9">
        <f>IFERROR(__xludf.DUMMYFUNCTION("""COMPUTED_VALUE"""),3.98)</f>
        <v>3.98</v>
      </c>
      <c r="H2267" s="9">
        <f>IFERROR(__xludf.DUMMYFUNCTION("""COMPUTED_VALUE"""),1.0)</f>
        <v>1</v>
      </c>
      <c r="I2267" s="9"/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</row>
    <row r="2268" ht="15.75" customHeight="1">
      <c r="A2268" s="11">
        <f>IFERROR(__xludf.DUMMYFUNCTION("""COMPUTED_VALUE"""),44471.0)</f>
        <v>44471</v>
      </c>
      <c r="B2268" s="9">
        <f>IFERROR(__xludf.DUMMYFUNCTION("""COMPUTED_VALUE"""),1003598.0)</f>
        <v>1003598</v>
      </c>
      <c r="C2268" s="9">
        <f>IFERROR(__xludf.DUMMYFUNCTION("""COMPUTED_VALUE"""),6026.0)</f>
        <v>6026</v>
      </c>
      <c r="D2268" s="9"/>
      <c r="E2268" s="9"/>
      <c r="F2268" s="9">
        <f>IFERROR(__xludf.DUMMYFUNCTION("""COMPUTED_VALUE"""),10.93)</f>
        <v>10.93</v>
      </c>
      <c r="G2268" s="9">
        <f>IFERROR(__xludf.DUMMYFUNCTION("""COMPUTED_VALUE"""),10.93)</f>
        <v>10.93</v>
      </c>
      <c r="H2268" s="9">
        <f>IFERROR(__xludf.DUMMYFUNCTION("""COMPUTED_VALUE"""),2.0)</f>
        <v>2</v>
      </c>
      <c r="I2268" s="9"/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</row>
    <row r="2269" ht="15.75" customHeight="1">
      <c r="A2269" s="11">
        <f>IFERROR(__xludf.DUMMYFUNCTION("""COMPUTED_VALUE"""),44471.0)</f>
        <v>44471</v>
      </c>
      <c r="B2269" s="9">
        <f>IFERROR(__xludf.DUMMYFUNCTION("""COMPUTED_VALUE"""),1003598.0)</f>
        <v>1003598</v>
      </c>
      <c r="C2269" s="9">
        <f>IFERROR(__xludf.DUMMYFUNCTION("""COMPUTED_VALUE"""),47431.0)</f>
        <v>47431</v>
      </c>
      <c r="D2269" s="9"/>
      <c r="E2269" s="9"/>
      <c r="F2269" s="9">
        <f>IFERROR(__xludf.DUMMYFUNCTION("""COMPUTED_VALUE"""),8.8)</f>
        <v>8.8</v>
      </c>
      <c r="G2269" s="9">
        <f>IFERROR(__xludf.DUMMYFUNCTION("""COMPUTED_VALUE"""),8.8)</f>
        <v>8.8</v>
      </c>
      <c r="H2269" s="9">
        <f>IFERROR(__xludf.DUMMYFUNCTION("""COMPUTED_VALUE"""),2.0)</f>
        <v>2</v>
      </c>
      <c r="I2269" s="9"/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</row>
    <row r="2270" ht="15.75" customHeight="1">
      <c r="A2270" s="11">
        <f>IFERROR(__xludf.DUMMYFUNCTION("""COMPUTED_VALUE"""),44471.0)</f>
        <v>44471</v>
      </c>
      <c r="B2270" s="9">
        <f>IFERROR(__xludf.DUMMYFUNCTION("""COMPUTED_VALUE"""),1003599.0)</f>
        <v>1003599</v>
      </c>
      <c r="C2270" s="9">
        <f>IFERROR(__xludf.DUMMYFUNCTION("""COMPUTED_VALUE"""),129432.0)</f>
        <v>129432</v>
      </c>
      <c r="D2270" s="9"/>
      <c r="E2270" s="9"/>
      <c r="F2270" s="9">
        <f>IFERROR(__xludf.DUMMYFUNCTION("""COMPUTED_VALUE"""),27.04)</f>
        <v>27.04</v>
      </c>
      <c r="G2270" s="9">
        <f>IFERROR(__xludf.DUMMYFUNCTION("""COMPUTED_VALUE"""),27.04)</f>
        <v>27.04</v>
      </c>
      <c r="H2270" s="9">
        <f>IFERROR(__xludf.DUMMYFUNCTION("""COMPUTED_VALUE"""),1.0)</f>
        <v>1</v>
      </c>
      <c r="I2270" s="9"/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</row>
    <row r="2271" ht="15.75" customHeight="1">
      <c r="A2271" s="11">
        <f>IFERROR(__xludf.DUMMYFUNCTION("""COMPUTED_VALUE"""),44471.0)</f>
        <v>44471</v>
      </c>
      <c r="B2271" s="9">
        <f>IFERROR(__xludf.DUMMYFUNCTION("""COMPUTED_VALUE"""),1003601.0)</f>
        <v>1003601</v>
      </c>
      <c r="C2271" s="9">
        <f>IFERROR(__xludf.DUMMYFUNCTION("""COMPUTED_VALUE"""),109971.0)</f>
        <v>109971</v>
      </c>
      <c r="D2271" s="10" t="str">
        <f>IFERROR(__xludf.DUMMYFUNCTION("""COMPUTED_VALUE"""),"Carryboo soin bebe 2021")</f>
        <v>Carryboo soin bebe 2021</v>
      </c>
      <c r="E2271" s="10" t="str">
        <f>IFERROR(__xludf.DUMMYFUNCTION("""COMPUTED_VALUE"""),"GREENRELAIS")</f>
        <v>GREENRELAIS</v>
      </c>
      <c r="F2271" s="10">
        <f>IFERROR(__xludf.DUMMYFUNCTION("""COMPUTED_VALUE"""),35.8666666666666)</f>
        <v>35.86666667</v>
      </c>
      <c r="G2271" s="9">
        <f>IFERROR(__xludf.DUMMYFUNCTION("""COMPUTED_VALUE"""),26.9)</f>
        <v>26.9</v>
      </c>
      <c r="H2271" s="9">
        <f>IFERROR(__xludf.DUMMYFUNCTION("""COMPUTED_VALUE"""),6.0)</f>
        <v>6</v>
      </c>
      <c r="I2271" s="9"/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</row>
    <row r="2272" ht="15.75" customHeight="1">
      <c r="A2272" s="11">
        <f>IFERROR(__xludf.DUMMYFUNCTION("""COMPUTED_VALUE"""),44471.0)</f>
        <v>44471</v>
      </c>
      <c r="B2272" s="9">
        <f>IFERROR(__xludf.DUMMYFUNCTION("""COMPUTED_VALUE"""),1003601.0)</f>
        <v>1003601</v>
      </c>
      <c r="C2272" s="9">
        <f>IFERROR(__xludf.DUMMYFUNCTION("""COMPUTED_VALUE"""),109966.0)</f>
        <v>109966</v>
      </c>
      <c r="D2272" s="10" t="str">
        <f>IFERROR(__xludf.DUMMYFUNCTION("""COMPUTED_VALUE"""),"Carryboo soin bebe 2021")</f>
        <v>Carryboo soin bebe 2021</v>
      </c>
      <c r="E2272" s="10" t="str">
        <f>IFERROR(__xludf.DUMMYFUNCTION("""COMPUTED_VALUE"""),"GREENRELAIS")</f>
        <v>GREENRELAIS</v>
      </c>
      <c r="F2272" s="10">
        <f>IFERROR(__xludf.DUMMYFUNCTION("""COMPUTED_VALUE"""),54.7466666666666)</f>
        <v>54.74666667</v>
      </c>
      <c r="G2272" s="9">
        <f>IFERROR(__xludf.DUMMYFUNCTION("""COMPUTED_VALUE"""),41.06)</f>
        <v>41.06</v>
      </c>
      <c r="H2272" s="9">
        <f>IFERROR(__xludf.DUMMYFUNCTION("""COMPUTED_VALUE"""),8.0)</f>
        <v>8</v>
      </c>
      <c r="I2272" s="9"/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</row>
    <row r="2273" ht="15.75" customHeight="1">
      <c r="A2273" s="11">
        <f>IFERROR(__xludf.DUMMYFUNCTION("""COMPUTED_VALUE"""),44471.0)</f>
        <v>44471</v>
      </c>
      <c r="B2273" s="9">
        <f>IFERROR(__xludf.DUMMYFUNCTION("""COMPUTED_VALUE"""),1003602.0)</f>
        <v>1003602</v>
      </c>
      <c r="C2273" s="9">
        <f>IFERROR(__xludf.DUMMYFUNCTION("""COMPUTED_VALUE"""),87839.0)</f>
        <v>87839</v>
      </c>
      <c r="D2273" s="9"/>
      <c r="E2273" s="9"/>
      <c r="F2273" s="9">
        <f>IFERROR(__xludf.DUMMYFUNCTION("""COMPUTED_VALUE"""),8.81)</f>
        <v>8.81</v>
      </c>
      <c r="G2273" s="9">
        <f>IFERROR(__xludf.DUMMYFUNCTION("""COMPUTED_VALUE"""),8.81)</f>
        <v>8.81</v>
      </c>
      <c r="H2273" s="9">
        <f>IFERROR(__xludf.DUMMYFUNCTION("""COMPUTED_VALUE"""),1.0)</f>
        <v>1</v>
      </c>
      <c r="I2273" s="9"/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</row>
    <row r="2274" ht="15.75" customHeight="1">
      <c r="A2274" s="11">
        <f>IFERROR(__xludf.DUMMYFUNCTION("""COMPUTED_VALUE"""),44471.0)</f>
        <v>44471</v>
      </c>
      <c r="B2274" s="9">
        <f>IFERROR(__xludf.DUMMYFUNCTION("""COMPUTED_VALUE"""),1003602.0)</f>
        <v>1003602</v>
      </c>
      <c r="C2274" s="9">
        <f>IFERROR(__xludf.DUMMYFUNCTION("""COMPUTED_VALUE"""),1297.0)</f>
        <v>1297</v>
      </c>
      <c r="D2274" s="9"/>
      <c r="E2274" s="9"/>
      <c r="F2274" s="9">
        <f>IFERROR(__xludf.DUMMYFUNCTION("""COMPUTED_VALUE"""),6.82)</f>
        <v>6.82</v>
      </c>
      <c r="G2274" s="9">
        <f>IFERROR(__xludf.DUMMYFUNCTION("""COMPUTED_VALUE"""),6.82)</f>
        <v>6.82</v>
      </c>
      <c r="H2274" s="9">
        <f>IFERROR(__xludf.DUMMYFUNCTION("""COMPUTED_VALUE"""),1.0)</f>
        <v>1</v>
      </c>
      <c r="I2274" s="9"/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</row>
    <row r="2275" ht="15.75" customHeight="1">
      <c r="A2275" s="11">
        <f>IFERROR(__xludf.DUMMYFUNCTION("""COMPUTED_VALUE"""),44471.0)</f>
        <v>44471</v>
      </c>
      <c r="B2275" s="9">
        <f>IFERROR(__xludf.DUMMYFUNCTION("""COMPUTED_VALUE"""),1003602.0)</f>
        <v>1003602</v>
      </c>
      <c r="C2275" s="9">
        <f>IFERROR(__xludf.DUMMYFUNCTION("""COMPUTED_VALUE"""),118299.0)</f>
        <v>118299</v>
      </c>
      <c r="D2275" s="10" t="str">
        <f>IFERROR(__xludf.DUMMYFUNCTION("""COMPUTED_VALUE"""),"Vive le bio")</f>
        <v>Vive le bio</v>
      </c>
      <c r="E2275" s="10"/>
      <c r="F2275" s="9">
        <f>IFERROR(__xludf.DUMMYFUNCTION("""COMPUTED_VALUE"""),10.4222222222222)</f>
        <v>10.42222222</v>
      </c>
      <c r="G2275" s="9">
        <f>IFERROR(__xludf.DUMMYFUNCTION("""COMPUTED_VALUE"""),9.38)</f>
        <v>9.38</v>
      </c>
      <c r="H2275" s="9">
        <f>IFERROR(__xludf.DUMMYFUNCTION("""COMPUTED_VALUE"""),1.0)</f>
        <v>1</v>
      </c>
      <c r="I2275" s="9"/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</row>
    <row r="2276" ht="15.75" customHeight="1">
      <c r="A2276" s="11">
        <f>IFERROR(__xludf.DUMMYFUNCTION("""COMPUTED_VALUE"""),44471.0)</f>
        <v>44471</v>
      </c>
      <c r="B2276" s="9">
        <f>IFERROR(__xludf.DUMMYFUNCTION("""COMPUTED_VALUE"""),1003602.0)</f>
        <v>1003602</v>
      </c>
      <c r="C2276" s="9">
        <f>IFERROR(__xludf.DUMMYFUNCTION("""COMPUTED_VALUE"""),109483.0)</f>
        <v>109483</v>
      </c>
      <c r="D2276" s="10" t="str">
        <f>IFERROR(__xludf.DUMMYFUNCTION("""COMPUTED_VALUE"""),"Vive le bio")</f>
        <v>Vive le bio</v>
      </c>
      <c r="E2276" s="10"/>
      <c r="F2276" s="9">
        <f>IFERROR(__xludf.DUMMYFUNCTION("""COMPUTED_VALUE"""),3.19999999999999)</f>
        <v>3.2</v>
      </c>
      <c r="G2276" s="9">
        <f>IFERROR(__xludf.DUMMYFUNCTION("""COMPUTED_VALUE"""),2.88)</f>
        <v>2.88</v>
      </c>
      <c r="H2276" s="9">
        <f>IFERROR(__xludf.DUMMYFUNCTION("""COMPUTED_VALUE"""),1.0)</f>
        <v>1</v>
      </c>
      <c r="I2276" s="9"/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</row>
    <row r="2277" ht="15.75" customHeight="1">
      <c r="A2277" s="11">
        <f>IFERROR(__xludf.DUMMYFUNCTION("""COMPUTED_VALUE"""),44471.0)</f>
        <v>44471</v>
      </c>
      <c r="B2277" s="9">
        <f>IFERROR(__xludf.DUMMYFUNCTION("""COMPUTED_VALUE"""),1003602.0)</f>
        <v>1003602</v>
      </c>
      <c r="C2277" s="9">
        <f>IFERROR(__xludf.DUMMYFUNCTION("""COMPUTED_VALUE"""),72319.0)</f>
        <v>72319</v>
      </c>
      <c r="D2277" s="9"/>
      <c r="E2277" s="9"/>
      <c r="F2277" s="9">
        <f>IFERROR(__xludf.DUMMYFUNCTION("""COMPUTED_VALUE"""),8.65)</f>
        <v>8.65</v>
      </c>
      <c r="G2277" s="9">
        <f>IFERROR(__xludf.DUMMYFUNCTION("""COMPUTED_VALUE"""),8.65)</f>
        <v>8.65</v>
      </c>
      <c r="H2277" s="9">
        <f>IFERROR(__xludf.DUMMYFUNCTION("""COMPUTED_VALUE"""),1.0)</f>
        <v>1</v>
      </c>
      <c r="I2277" s="9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</row>
    <row r="2278" ht="15.75" customHeight="1">
      <c r="A2278" s="11">
        <f>IFERROR(__xludf.DUMMYFUNCTION("""COMPUTED_VALUE"""),44471.0)</f>
        <v>44471</v>
      </c>
      <c r="B2278" s="9">
        <f>IFERROR(__xludf.DUMMYFUNCTION("""COMPUTED_VALUE"""),1003602.0)</f>
        <v>1003602</v>
      </c>
      <c r="C2278" s="9">
        <f>IFERROR(__xludf.DUMMYFUNCTION("""COMPUTED_VALUE"""),45597.0)</f>
        <v>45597</v>
      </c>
      <c r="D2278" s="9"/>
      <c r="E2278" s="9"/>
      <c r="F2278" s="9">
        <f>IFERROR(__xludf.DUMMYFUNCTION("""COMPUTED_VALUE"""),8.65)</f>
        <v>8.65</v>
      </c>
      <c r="G2278" s="9">
        <f>IFERROR(__xludf.DUMMYFUNCTION("""COMPUTED_VALUE"""),8.65)</f>
        <v>8.65</v>
      </c>
      <c r="H2278" s="9">
        <f>IFERROR(__xludf.DUMMYFUNCTION("""COMPUTED_VALUE"""),1.0)</f>
        <v>1</v>
      </c>
      <c r="I2278" s="9"/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</row>
    <row r="2279" ht="15.75" customHeight="1">
      <c r="A2279" s="11">
        <f>IFERROR(__xludf.DUMMYFUNCTION("""COMPUTED_VALUE"""),44471.0)</f>
        <v>44471</v>
      </c>
      <c r="B2279" s="9">
        <f>IFERROR(__xludf.DUMMYFUNCTION("""COMPUTED_VALUE"""),1003602.0)</f>
        <v>1003602</v>
      </c>
      <c r="C2279" s="9">
        <f>IFERROR(__xludf.DUMMYFUNCTION("""COMPUTED_VALUE"""),45594.0)</f>
        <v>45594</v>
      </c>
      <c r="D2279" s="9"/>
      <c r="E2279" s="9"/>
      <c r="F2279" s="9">
        <f>IFERROR(__xludf.DUMMYFUNCTION("""COMPUTED_VALUE"""),8.65)</f>
        <v>8.65</v>
      </c>
      <c r="G2279" s="9">
        <f>IFERROR(__xludf.DUMMYFUNCTION("""COMPUTED_VALUE"""),8.65)</f>
        <v>8.65</v>
      </c>
      <c r="H2279" s="9">
        <f>IFERROR(__xludf.DUMMYFUNCTION("""COMPUTED_VALUE"""),1.0)</f>
        <v>1</v>
      </c>
      <c r="I2279" s="9"/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</row>
    <row r="2280" ht="15.75" customHeight="1">
      <c r="A2280" s="11">
        <f>IFERROR(__xludf.DUMMYFUNCTION("""COMPUTED_VALUE"""),44471.0)</f>
        <v>44471</v>
      </c>
      <c r="B2280" s="9">
        <f>IFERROR(__xludf.DUMMYFUNCTION("""COMPUTED_VALUE"""),1003602.0)</f>
        <v>1003602</v>
      </c>
      <c r="C2280" s="9">
        <f>IFERROR(__xludf.DUMMYFUNCTION("""COMPUTED_VALUE"""),9138.0)</f>
        <v>9138</v>
      </c>
      <c r="D2280" s="9"/>
      <c r="E2280" s="9"/>
      <c r="F2280" s="9">
        <f>IFERROR(__xludf.DUMMYFUNCTION("""COMPUTED_VALUE"""),1.37)</f>
        <v>1.37</v>
      </c>
      <c r="G2280" s="9">
        <f>IFERROR(__xludf.DUMMYFUNCTION("""COMPUTED_VALUE"""),1.37)</f>
        <v>1.37</v>
      </c>
      <c r="H2280" s="9">
        <f>IFERROR(__xludf.DUMMYFUNCTION("""COMPUTED_VALUE"""),1.0)</f>
        <v>1</v>
      </c>
      <c r="I2280" s="9"/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</row>
    <row r="2281" ht="15.75" customHeight="1">
      <c r="A2281" s="11">
        <f>IFERROR(__xludf.DUMMYFUNCTION("""COMPUTED_VALUE"""),44471.0)</f>
        <v>44471</v>
      </c>
      <c r="B2281" s="9">
        <f>IFERROR(__xludf.DUMMYFUNCTION("""COMPUTED_VALUE"""),1003602.0)</f>
        <v>1003602</v>
      </c>
      <c r="C2281" s="9">
        <f>IFERROR(__xludf.DUMMYFUNCTION("""COMPUTED_VALUE"""),103604.0)</f>
        <v>103604</v>
      </c>
      <c r="D2281" s="9"/>
      <c r="E2281" s="9"/>
      <c r="F2281" s="9">
        <f>IFERROR(__xludf.DUMMYFUNCTION("""COMPUTED_VALUE"""),14.5)</f>
        <v>14.5</v>
      </c>
      <c r="G2281" s="9">
        <f>IFERROR(__xludf.DUMMYFUNCTION("""COMPUTED_VALUE"""),14.5)</f>
        <v>14.5</v>
      </c>
      <c r="H2281" s="9">
        <f>IFERROR(__xludf.DUMMYFUNCTION("""COMPUTED_VALUE"""),6.0)</f>
        <v>6</v>
      </c>
      <c r="I2281" s="9"/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</row>
    <row r="2282" ht="15.75" customHeight="1">
      <c r="A2282" s="11">
        <f>IFERROR(__xludf.DUMMYFUNCTION("""COMPUTED_VALUE"""),44471.0)</f>
        <v>44471</v>
      </c>
      <c r="B2282" s="9">
        <f>IFERROR(__xludf.DUMMYFUNCTION("""COMPUTED_VALUE"""),1003602.0)</f>
        <v>1003602</v>
      </c>
      <c r="C2282" s="9">
        <f>IFERROR(__xludf.DUMMYFUNCTION("""COMPUTED_VALUE"""),103592.0)</f>
        <v>103592</v>
      </c>
      <c r="D2282" s="10" t="str">
        <f>IFERROR(__xludf.DUMMYFUNCTION("""COMPUTED_VALUE"""),"Love &amp; Green Couches et Culottes sept 2021")</f>
        <v>Love &amp; Green Couches et Culottes sept 2021</v>
      </c>
      <c r="E2282" s="10"/>
      <c r="F2282" s="9">
        <f>IFERROR(__xludf.DUMMYFUNCTION("""COMPUTED_VALUE"""),124.042857142857)</f>
        <v>124.0428571</v>
      </c>
      <c r="G2282" s="9">
        <f>IFERROR(__xludf.DUMMYFUNCTION("""COMPUTED_VALUE"""),86.83)</f>
        <v>86.83</v>
      </c>
      <c r="H2282" s="9">
        <f>IFERROR(__xludf.DUMMYFUNCTION("""COMPUTED_VALUE"""),8.0)</f>
        <v>8</v>
      </c>
      <c r="I2282" s="9"/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</row>
    <row r="2283" ht="15.75" customHeight="1">
      <c r="A2283" s="11">
        <f>IFERROR(__xludf.DUMMYFUNCTION("""COMPUTED_VALUE"""),44471.0)</f>
        <v>44471</v>
      </c>
      <c r="B2283" s="9">
        <f>IFERROR(__xludf.DUMMYFUNCTION("""COMPUTED_VALUE"""),1003603.0)</f>
        <v>1003603</v>
      </c>
      <c r="C2283" s="9">
        <f>IFERROR(__xludf.DUMMYFUNCTION("""COMPUTED_VALUE"""),90669.0)</f>
        <v>90669</v>
      </c>
      <c r="D2283" s="9"/>
      <c r="E2283" s="9"/>
      <c r="F2283" s="9">
        <f>IFERROR(__xludf.DUMMYFUNCTION("""COMPUTED_VALUE"""),3.0)</f>
        <v>3</v>
      </c>
      <c r="G2283" s="9">
        <f>IFERROR(__xludf.DUMMYFUNCTION("""COMPUTED_VALUE"""),3.0)</f>
        <v>3</v>
      </c>
      <c r="H2283" s="9">
        <f>IFERROR(__xludf.DUMMYFUNCTION("""COMPUTED_VALUE"""),1.0)</f>
        <v>1</v>
      </c>
      <c r="I2283" s="9"/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</row>
    <row r="2284" ht="15.75" customHeight="1">
      <c r="A2284" s="11">
        <f>IFERROR(__xludf.DUMMYFUNCTION("""COMPUTED_VALUE"""),44471.0)</f>
        <v>44471</v>
      </c>
      <c r="B2284" s="9">
        <f>IFERROR(__xludf.DUMMYFUNCTION("""COMPUTED_VALUE"""),1003603.0)</f>
        <v>1003603</v>
      </c>
      <c r="C2284" s="9">
        <f>IFERROR(__xludf.DUMMYFUNCTION("""COMPUTED_VALUE"""),194741.0)</f>
        <v>194741</v>
      </c>
      <c r="D2284" s="9"/>
      <c r="E2284" s="9"/>
      <c r="F2284" s="9">
        <f>IFERROR(__xludf.DUMMYFUNCTION("""COMPUTED_VALUE"""),3.38)</f>
        <v>3.38</v>
      </c>
      <c r="G2284" s="9">
        <f>IFERROR(__xludf.DUMMYFUNCTION("""COMPUTED_VALUE"""),3.38)</f>
        <v>3.38</v>
      </c>
      <c r="H2284" s="9">
        <f>IFERROR(__xludf.DUMMYFUNCTION("""COMPUTED_VALUE"""),1.0)</f>
        <v>1</v>
      </c>
      <c r="I2284" s="9"/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</row>
    <row r="2285" ht="15.75" customHeight="1">
      <c r="A2285" s="11">
        <f>IFERROR(__xludf.DUMMYFUNCTION("""COMPUTED_VALUE"""),44471.0)</f>
        <v>44471</v>
      </c>
      <c r="B2285" s="9">
        <f>IFERROR(__xludf.DUMMYFUNCTION("""COMPUTED_VALUE"""),1003603.0)</f>
        <v>1003603</v>
      </c>
      <c r="C2285" s="9">
        <f>IFERROR(__xludf.DUMMYFUNCTION("""COMPUTED_VALUE"""),121709.0)</f>
        <v>121709</v>
      </c>
      <c r="D2285" s="9"/>
      <c r="E2285" s="9"/>
      <c r="F2285" s="9">
        <f>IFERROR(__xludf.DUMMYFUNCTION("""COMPUTED_VALUE"""),7.79)</f>
        <v>7.79</v>
      </c>
      <c r="G2285" s="9">
        <f>IFERROR(__xludf.DUMMYFUNCTION("""COMPUTED_VALUE"""),7.79)</f>
        <v>7.79</v>
      </c>
      <c r="H2285" s="9">
        <f>IFERROR(__xludf.DUMMYFUNCTION("""COMPUTED_VALUE"""),1.0)</f>
        <v>1</v>
      </c>
      <c r="I2285" s="9"/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</row>
    <row r="2286" ht="15.75" customHeight="1">
      <c r="A2286" s="11">
        <f>IFERROR(__xludf.DUMMYFUNCTION("""COMPUTED_VALUE"""),44471.0)</f>
        <v>44471</v>
      </c>
      <c r="B2286" s="9">
        <f>IFERROR(__xludf.DUMMYFUNCTION("""COMPUTED_VALUE"""),1003603.0)</f>
        <v>1003603</v>
      </c>
      <c r="C2286" s="9">
        <f>IFERROR(__xludf.DUMMYFUNCTION("""COMPUTED_VALUE"""),77601.0)</f>
        <v>77601</v>
      </c>
      <c r="D2286" s="9"/>
      <c r="E2286" s="9"/>
      <c r="F2286" s="9">
        <f>IFERROR(__xludf.DUMMYFUNCTION("""COMPUTED_VALUE"""),4.55)</f>
        <v>4.55</v>
      </c>
      <c r="G2286" s="9">
        <f>IFERROR(__xludf.DUMMYFUNCTION("""COMPUTED_VALUE"""),4.55)</f>
        <v>4.55</v>
      </c>
      <c r="H2286" s="9">
        <f>IFERROR(__xludf.DUMMYFUNCTION("""COMPUTED_VALUE"""),1.0)</f>
        <v>1</v>
      </c>
      <c r="I2286" s="9"/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</row>
    <row r="2287" ht="15.75" customHeight="1">
      <c r="A2287" s="11">
        <f>IFERROR(__xludf.DUMMYFUNCTION("""COMPUTED_VALUE"""),44471.0)</f>
        <v>44471</v>
      </c>
      <c r="B2287" s="9">
        <f>IFERROR(__xludf.DUMMYFUNCTION("""COMPUTED_VALUE"""),1003603.0)</f>
        <v>1003603</v>
      </c>
      <c r="C2287" s="9">
        <f>IFERROR(__xludf.DUMMYFUNCTION("""COMPUTED_VALUE"""),68403.0)</f>
        <v>68403</v>
      </c>
      <c r="D2287" s="9"/>
      <c r="E2287" s="9"/>
      <c r="F2287" s="9">
        <f>IFERROR(__xludf.DUMMYFUNCTION("""COMPUTED_VALUE"""),1.89)</f>
        <v>1.89</v>
      </c>
      <c r="G2287" s="9">
        <f>IFERROR(__xludf.DUMMYFUNCTION("""COMPUTED_VALUE"""),1.89)</f>
        <v>1.89</v>
      </c>
      <c r="H2287" s="9">
        <f>IFERROR(__xludf.DUMMYFUNCTION("""COMPUTED_VALUE"""),1.0)</f>
        <v>1</v>
      </c>
      <c r="I2287" s="9"/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</row>
    <row r="2288" ht="15.75" customHeight="1">
      <c r="A2288" s="11">
        <f>IFERROR(__xludf.DUMMYFUNCTION("""COMPUTED_VALUE"""),44471.0)</f>
        <v>44471</v>
      </c>
      <c r="B2288" s="9">
        <f>IFERROR(__xludf.DUMMYFUNCTION("""COMPUTED_VALUE"""),1003603.0)</f>
        <v>1003603</v>
      </c>
      <c r="C2288" s="9">
        <f>IFERROR(__xludf.DUMMYFUNCTION("""COMPUTED_VALUE"""),68374.0)</f>
        <v>68374</v>
      </c>
      <c r="D2288" s="9"/>
      <c r="E2288" s="9"/>
      <c r="F2288" s="9">
        <f>IFERROR(__xludf.DUMMYFUNCTION("""COMPUTED_VALUE"""),2.16)</f>
        <v>2.16</v>
      </c>
      <c r="G2288" s="9">
        <f>IFERROR(__xludf.DUMMYFUNCTION("""COMPUTED_VALUE"""),2.16)</f>
        <v>2.16</v>
      </c>
      <c r="H2288" s="9">
        <f>IFERROR(__xludf.DUMMYFUNCTION("""COMPUTED_VALUE"""),1.0)</f>
        <v>1</v>
      </c>
      <c r="I2288" s="9"/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</row>
    <row r="2289" ht="15.75" customHeight="1">
      <c r="A2289" s="11">
        <f>IFERROR(__xludf.DUMMYFUNCTION("""COMPUTED_VALUE"""),44471.0)</f>
        <v>44471</v>
      </c>
      <c r="B2289" s="9">
        <f>IFERROR(__xludf.DUMMYFUNCTION("""COMPUTED_VALUE"""),1003603.0)</f>
        <v>1003603</v>
      </c>
      <c r="C2289" s="9">
        <f>IFERROR(__xludf.DUMMYFUNCTION("""COMPUTED_VALUE"""),5531.0)</f>
        <v>5531</v>
      </c>
      <c r="D2289" s="9"/>
      <c r="E2289" s="9"/>
      <c r="F2289" s="9">
        <f>IFERROR(__xludf.DUMMYFUNCTION("""COMPUTED_VALUE"""),2.66)</f>
        <v>2.66</v>
      </c>
      <c r="G2289" s="9">
        <f>IFERROR(__xludf.DUMMYFUNCTION("""COMPUTED_VALUE"""),2.66)</f>
        <v>2.66</v>
      </c>
      <c r="H2289" s="9">
        <f>IFERROR(__xludf.DUMMYFUNCTION("""COMPUTED_VALUE"""),1.0)</f>
        <v>1</v>
      </c>
      <c r="I2289" s="9"/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</row>
    <row r="2290" ht="15.75" customHeight="1">
      <c r="A2290" s="11">
        <f>IFERROR(__xludf.DUMMYFUNCTION("""COMPUTED_VALUE"""),44471.0)</f>
        <v>44471</v>
      </c>
      <c r="B2290" s="9">
        <f>IFERROR(__xludf.DUMMYFUNCTION("""COMPUTED_VALUE"""),1003603.0)</f>
        <v>1003603</v>
      </c>
      <c r="C2290" s="9">
        <f>IFERROR(__xludf.DUMMYFUNCTION("""COMPUTED_VALUE"""),68329.0)</f>
        <v>68329</v>
      </c>
      <c r="D2290" s="9"/>
      <c r="E2290" s="9"/>
      <c r="F2290" s="9">
        <f>IFERROR(__xludf.DUMMYFUNCTION("""COMPUTED_VALUE"""),1.09)</f>
        <v>1.09</v>
      </c>
      <c r="G2290" s="9">
        <f>IFERROR(__xludf.DUMMYFUNCTION("""COMPUTED_VALUE"""),1.09)</f>
        <v>1.09</v>
      </c>
      <c r="H2290" s="9">
        <f>IFERROR(__xludf.DUMMYFUNCTION("""COMPUTED_VALUE"""),1.0)</f>
        <v>1</v>
      </c>
      <c r="I2290" s="9"/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</row>
    <row r="2291" ht="15.75" customHeight="1">
      <c r="A2291" s="11">
        <f>IFERROR(__xludf.DUMMYFUNCTION("""COMPUTED_VALUE"""),44471.0)</f>
        <v>44471</v>
      </c>
      <c r="B2291" s="9">
        <f>IFERROR(__xludf.DUMMYFUNCTION("""COMPUTED_VALUE"""),1003603.0)</f>
        <v>1003603</v>
      </c>
      <c r="C2291" s="9">
        <f>IFERROR(__xludf.DUMMYFUNCTION("""COMPUTED_VALUE"""),115133.0)</f>
        <v>115133</v>
      </c>
      <c r="D2291" s="10" t="str">
        <f>IFERROR(__xludf.DUMMYFUNCTION("""COMPUTED_VALUE"""),"Offre speciale")</f>
        <v>Offre speciale</v>
      </c>
      <c r="E2291" s="10"/>
      <c r="F2291" s="9">
        <f>IFERROR(__xludf.DUMMYFUNCTION("""COMPUTED_VALUE"""),3.06666666666666)</f>
        <v>3.066666667</v>
      </c>
      <c r="G2291" s="9">
        <f>IFERROR(__xludf.DUMMYFUNCTION("""COMPUTED_VALUE"""),2.76)</f>
        <v>2.76</v>
      </c>
      <c r="H2291" s="9">
        <f>IFERROR(__xludf.DUMMYFUNCTION("""COMPUTED_VALUE"""),1.0)</f>
        <v>1</v>
      </c>
      <c r="I2291" s="9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</row>
    <row r="2292" ht="15.75" customHeight="1">
      <c r="A2292" s="11">
        <f>IFERROR(__xludf.DUMMYFUNCTION("""COMPUTED_VALUE"""),44471.0)</f>
        <v>44471</v>
      </c>
      <c r="B2292" s="9">
        <f>IFERROR(__xludf.DUMMYFUNCTION("""COMPUTED_VALUE"""),1003603.0)</f>
        <v>1003603</v>
      </c>
      <c r="C2292" s="9">
        <f>IFERROR(__xludf.DUMMYFUNCTION("""COMPUTED_VALUE"""),77441.0)</f>
        <v>77441</v>
      </c>
      <c r="D2292" s="9"/>
      <c r="E2292" s="9"/>
      <c r="F2292" s="9">
        <f>IFERROR(__xludf.DUMMYFUNCTION("""COMPUTED_VALUE"""),2.7)</f>
        <v>2.7</v>
      </c>
      <c r="G2292" s="9">
        <f>IFERROR(__xludf.DUMMYFUNCTION("""COMPUTED_VALUE"""),2.7)</f>
        <v>2.7</v>
      </c>
      <c r="H2292" s="9">
        <f>IFERROR(__xludf.DUMMYFUNCTION("""COMPUTED_VALUE"""),1.0)</f>
        <v>1</v>
      </c>
      <c r="I2292" s="9"/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</row>
    <row r="2293" ht="15.75" customHeight="1">
      <c r="A2293" s="11">
        <f>IFERROR(__xludf.DUMMYFUNCTION("""COMPUTED_VALUE"""),44471.0)</f>
        <v>44471</v>
      </c>
      <c r="B2293" s="9">
        <f>IFERROR(__xludf.DUMMYFUNCTION("""COMPUTED_VALUE"""),1003603.0)</f>
        <v>1003603</v>
      </c>
      <c r="C2293" s="9">
        <f>IFERROR(__xludf.DUMMYFUNCTION("""COMPUTED_VALUE"""),112082.0)</f>
        <v>112082</v>
      </c>
      <c r="D2293" s="10" t="str">
        <f>IFERROR(__xludf.DUMMYFUNCTION("""COMPUTED_VALUE"""),"Offre speciale")</f>
        <v>Offre speciale</v>
      </c>
      <c r="E2293" s="10"/>
      <c r="F2293" s="9">
        <f>IFERROR(__xludf.DUMMYFUNCTION("""COMPUTED_VALUE"""),0.977777777777777)</f>
        <v>0.9777777778</v>
      </c>
      <c r="G2293" s="9">
        <f>IFERROR(__xludf.DUMMYFUNCTION("""COMPUTED_VALUE"""),0.88)</f>
        <v>0.88</v>
      </c>
      <c r="H2293" s="9">
        <f>IFERROR(__xludf.DUMMYFUNCTION("""COMPUTED_VALUE"""),1.0)</f>
        <v>1</v>
      </c>
      <c r="I2293" s="9"/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</row>
    <row r="2294" ht="15.75" customHeight="1">
      <c r="A2294" s="11">
        <f>IFERROR(__xludf.DUMMYFUNCTION("""COMPUTED_VALUE"""),44471.0)</f>
        <v>44471</v>
      </c>
      <c r="B2294" s="9">
        <f>IFERROR(__xludf.DUMMYFUNCTION("""COMPUTED_VALUE"""),1003603.0)</f>
        <v>1003603</v>
      </c>
      <c r="C2294" s="9">
        <f>IFERROR(__xludf.DUMMYFUNCTION("""COMPUTED_VALUE"""),109185.0)</f>
        <v>109185</v>
      </c>
      <c r="D2294" s="9"/>
      <c r="E2294" s="9"/>
      <c r="F2294" s="9">
        <f>IFERROR(__xludf.DUMMYFUNCTION("""COMPUTED_VALUE"""),9.67)</f>
        <v>9.67</v>
      </c>
      <c r="G2294" s="9">
        <f>IFERROR(__xludf.DUMMYFUNCTION("""COMPUTED_VALUE"""),9.67)</f>
        <v>9.67</v>
      </c>
      <c r="H2294" s="9">
        <f>IFERROR(__xludf.DUMMYFUNCTION("""COMPUTED_VALUE"""),1.0)</f>
        <v>1</v>
      </c>
      <c r="I2294" s="9"/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</row>
    <row r="2295" ht="15.75" customHeight="1">
      <c r="A2295" s="11">
        <f>IFERROR(__xludf.DUMMYFUNCTION("""COMPUTED_VALUE"""),44471.0)</f>
        <v>44471</v>
      </c>
      <c r="B2295" s="9">
        <f>IFERROR(__xludf.DUMMYFUNCTION("""COMPUTED_VALUE"""),1003603.0)</f>
        <v>1003603</v>
      </c>
      <c r="C2295" s="9">
        <f>IFERROR(__xludf.DUMMYFUNCTION("""COMPUTED_VALUE"""),119431.0)</f>
        <v>119431</v>
      </c>
      <c r="D2295" s="9"/>
      <c r="E2295" s="9"/>
      <c r="F2295" s="9">
        <f>IFERROR(__xludf.DUMMYFUNCTION("""COMPUTED_VALUE"""),2.98)</f>
        <v>2.98</v>
      </c>
      <c r="G2295" s="9">
        <f>IFERROR(__xludf.DUMMYFUNCTION("""COMPUTED_VALUE"""),2.98)</f>
        <v>2.98</v>
      </c>
      <c r="H2295" s="9">
        <f>IFERROR(__xludf.DUMMYFUNCTION("""COMPUTED_VALUE"""),1.0)</f>
        <v>1</v>
      </c>
      <c r="I2295" s="9"/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</row>
    <row r="2296" ht="15.75" customHeight="1">
      <c r="A2296" s="11">
        <f>IFERROR(__xludf.DUMMYFUNCTION("""COMPUTED_VALUE"""),44471.0)</f>
        <v>44471</v>
      </c>
      <c r="B2296" s="9">
        <f>IFERROR(__xludf.DUMMYFUNCTION("""COMPUTED_VALUE"""),1003603.0)</f>
        <v>1003603</v>
      </c>
      <c r="C2296" s="9">
        <f>IFERROR(__xludf.DUMMYFUNCTION("""COMPUTED_VALUE"""),71420.0)</f>
        <v>71420</v>
      </c>
      <c r="D2296" s="9"/>
      <c r="E2296" s="9"/>
      <c r="F2296" s="9">
        <f>IFERROR(__xludf.DUMMYFUNCTION("""COMPUTED_VALUE"""),3.48)</f>
        <v>3.48</v>
      </c>
      <c r="G2296" s="9">
        <f>IFERROR(__xludf.DUMMYFUNCTION("""COMPUTED_VALUE"""),3.48)</f>
        <v>3.48</v>
      </c>
      <c r="H2296" s="9">
        <f>IFERROR(__xludf.DUMMYFUNCTION("""COMPUTED_VALUE"""),1.0)</f>
        <v>1</v>
      </c>
      <c r="I2296" s="9"/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</row>
    <row r="2297" ht="15.75" customHeight="1">
      <c r="A2297" s="11">
        <f>IFERROR(__xludf.DUMMYFUNCTION("""COMPUTED_VALUE"""),44471.0)</f>
        <v>44471</v>
      </c>
      <c r="B2297" s="9">
        <f>IFERROR(__xludf.DUMMYFUNCTION("""COMPUTED_VALUE"""),1003603.0)</f>
        <v>1003603</v>
      </c>
      <c r="C2297" s="9">
        <f>IFERROR(__xludf.DUMMYFUNCTION("""COMPUTED_VALUE"""),68413.0)</f>
        <v>68413</v>
      </c>
      <c r="D2297" s="9"/>
      <c r="E2297" s="9"/>
      <c r="F2297" s="9">
        <f>IFERROR(__xludf.DUMMYFUNCTION("""COMPUTED_VALUE"""),2.11)</f>
        <v>2.11</v>
      </c>
      <c r="G2297" s="9">
        <f>IFERROR(__xludf.DUMMYFUNCTION("""COMPUTED_VALUE"""),2.11)</f>
        <v>2.11</v>
      </c>
      <c r="H2297" s="9">
        <f>IFERROR(__xludf.DUMMYFUNCTION("""COMPUTED_VALUE"""),1.0)</f>
        <v>1</v>
      </c>
      <c r="I2297" s="9"/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</row>
    <row r="2298" ht="15.75" customHeight="1">
      <c r="A2298" s="11">
        <f>IFERROR(__xludf.DUMMYFUNCTION("""COMPUTED_VALUE"""),44471.0)</f>
        <v>44471</v>
      </c>
      <c r="B2298" s="9">
        <f>IFERROR(__xludf.DUMMYFUNCTION("""COMPUTED_VALUE"""),1003603.0)</f>
        <v>1003603</v>
      </c>
      <c r="C2298" s="9">
        <f>IFERROR(__xludf.DUMMYFUNCTION("""COMPUTED_VALUE"""),158667.0)</f>
        <v>158667</v>
      </c>
      <c r="D2298" s="9"/>
      <c r="E2298" s="9"/>
      <c r="F2298" s="9">
        <f>IFERROR(__xludf.DUMMYFUNCTION("""COMPUTED_VALUE"""),3.99)</f>
        <v>3.99</v>
      </c>
      <c r="G2298" s="9">
        <f>IFERROR(__xludf.DUMMYFUNCTION("""COMPUTED_VALUE"""),3.99)</f>
        <v>3.99</v>
      </c>
      <c r="H2298" s="9">
        <f>IFERROR(__xludf.DUMMYFUNCTION("""COMPUTED_VALUE"""),1.0)</f>
        <v>1</v>
      </c>
      <c r="I2298" s="9"/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</row>
    <row r="2299" ht="15.75" customHeight="1">
      <c r="A2299" s="11">
        <f>IFERROR(__xludf.DUMMYFUNCTION("""COMPUTED_VALUE"""),44471.0)</f>
        <v>44471</v>
      </c>
      <c r="B2299" s="9">
        <f>IFERROR(__xludf.DUMMYFUNCTION("""COMPUTED_VALUE"""),1003604.0)</f>
        <v>1003604</v>
      </c>
      <c r="C2299" s="9">
        <f>IFERROR(__xludf.DUMMYFUNCTION("""COMPUTED_VALUE"""),200582.0)</f>
        <v>200582</v>
      </c>
      <c r="D2299" s="9"/>
      <c r="E2299" s="9"/>
      <c r="F2299" s="9">
        <f>IFERROR(__xludf.DUMMYFUNCTION("""COMPUTED_VALUE"""),7.84)</f>
        <v>7.84</v>
      </c>
      <c r="G2299" s="9">
        <f>IFERROR(__xludf.DUMMYFUNCTION("""COMPUTED_VALUE"""),7.84)</f>
        <v>7.84</v>
      </c>
      <c r="H2299" s="9">
        <f>IFERROR(__xludf.DUMMYFUNCTION("""COMPUTED_VALUE"""),1.0)</f>
        <v>1</v>
      </c>
      <c r="I2299" s="9"/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</row>
    <row r="2300" ht="15.75" customHeight="1">
      <c r="A2300" s="11">
        <f>IFERROR(__xludf.DUMMYFUNCTION("""COMPUTED_VALUE"""),44471.0)</f>
        <v>44471</v>
      </c>
      <c r="B2300" s="9">
        <f>IFERROR(__xludf.DUMMYFUNCTION("""COMPUTED_VALUE"""),1003604.0)</f>
        <v>1003604</v>
      </c>
      <c r="C2300" s="9">
        <f>IFERROR(__xludf.DUMMYFUNCTION("""COMPUTED_VALUE"""),187346.0)</f>
        <v>187346</v>
      </c>
      <c r="D2300" s="9"/>
      <c r="E2300" s="9"/>
      <c r="F2300" s="9">
        <f>IFERROR(__xludf.DUMMYFUNCTION("""COMPUTED_VALUE"""),10.43)</f>
        <v>10.43</v>
      </c>
      <c r="G2300" s="9">
        <f>IFERROR(__xludf.DUMMYFUNCTION("""COMPUTED_VALUE"""),10.43)</f>
        <v>10.43</v>
      </c>
      <c r="H2300" s="9">
        <f>IFERROR(__xludf.DUMMYFUNCTION("""COMPUTED_VALUE"""),1.0)</f>
        <v>1</v>
      </c>
      <c r="I2300" s="9"/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</row>
    <row r="2301" ht="15.75" customHeight="1">
      <c r="A2301" s="11">
        <f>IFERROR(__xludf.DUMMYFUNCTION("""COMPUTED_VALUE"""),44471.0)</f>
        <v>44471</v>
      </c>
      <c r="B2301" s="9">
        <f>IFERROR(__xludf.DUMMYFUNCTION("""COMPUTED_VALUE"""),1003604.0)</f>
        <v>1003604</v>
      </c>
      <c r="C2301" s="9">
        <f>IFERROR(__xludf.DUMMYFUNCTION("""COMPUTED_VALUE"""),117150.0)</f>
        <v>117150</v>
      </c>
      <c r="D2301" s="9"/>
      <c r="E2301" s="9"/>
      <c r="F2301" s="9">
        <f>IFERROR(__xludf.DUMMYFUNCTION("""COMPUTED_VALUE"""),8.07)</f>
        <v>8.07</v>
      </c>
      <c r="G2301" s="9">
        <f>IFERROR(__xludf.DUMMYFUNCTION("""COMPUTED_VALUE"""),8.07)</f>
        <v>8.07</v>
      </c>
      <c r="H2301" s="9">
        <f>IFERROR(__xludf.DUMMYFUNCTION("""COMPUTED_VALUE"""),1.0)</f>
        <v>1</v>
      </c>
      <c r="I2301" s="9"/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</row>
    <row r="2302" ht="15.75" customHeight="1">
      <c r="A2302" s="11">
        <f>IFERROR(__xludf.DUMMYFUNCTION("""COMPUTED_VALUE"""),44471.0)</f>
        <v>44471</v>
      </c>
      <c r="B2302" s="9">
        <f>IFERROR(__xludf.DUMMYFUNCTION("""COMPUTED_VALUE"""),1003604.0)</f>
        <v>1003604</v>
      </c>
      <c r="C2302" s="9">
        <f>IFERROR(__xludf.DUMMYFUNCTION("""COMPUTED_VALUE"""),200581.0)</f>
        <v>200581</v>
      </c>
      <c r="D2302" s="9"/>
      <c r="E2302" s="9"/>
      <c r="F2302" s="9">
        <f>IFERROR(__xludf.DUMMYFUNCTION("""COMPUTED_VALUE"""),6.46)</f>
        <v>6.46</v>
      </c>
      <c r="G2302" s="9">
        <f>IFERROR(__xludf.DUMMYFUNCTION("""COMPUTED_VALUE"""),6.46)</f>
        <v>6.46</v>
      </c>
      <c r="H2302" s="9">
        <f>IFERROR(__xludf.DUMMYFUNCTION("""COMPUTED_VALUE"""),1.0)</f>
        <v>1</v>
      </c>
      <c r="I2302" s="9"/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</row>
    <row r="2303" ht="15.75" customHeight="1">
      <c r="A2303" s="11">
        <f>IFERROR(__xludf.DUMMYFUNCTION("""COMPUTED_VALUE"""),44471.0)</f>
        <v>44471</v>
      </c>
      <c r="B2303" s="9">
        <f>IFERROR(__xludf.DUMMYFUNCTION("""COMPUTED_VALUE"""),1003604.0)</f>
        <v>1003604</v>
      </c>
      <c r="C2303" s="9">
        <f>IFERROR(__xludf.DUMMYFUNCTION("""COMPUTED_VALUE"""),79818.0)</f>
        <v>79818</v>
      </c>
      <c r="D2303" s="9"/>
      <c r="E2303" s="9"/>
      <c r="F2303" s="9">
        <f>IFERROR(__xludf.DUMMYFUNCTION("""COMPUTED_VALUE"""),17.14)</f>
        <v>17.14</v>
      </c>
      <c r="G2303" s="9">
        <f>IFERROR(__xludf.DUMMYFUNCTION("""COMPUTED_VALUE"""),17.14)</f>
        <v>17.14</v>
      </c>
      <c r="H2303" s="9">
        <f>IFERROR(__xludf.DUMMYFUNCTION("""COMPUTED_VALUE"""),3.0)</f>
        <v>3</v>
      </c>
      <c r="I2303" s="9"/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</row>
    <row r="2304" ht="15.75" customHeight="1">
      <c r="A2304" s="11">
        <f>IFERROR(__xludf.DUMMYFUNCTION("""COMPUTED_VALUE"""),44471.0)</f>
        <v>44471</v>
      </c>
      <c r="B2304" s="9">
        <f>IFERROR(__xludf.DUMMYFUNCTION("""COMPUTED_VALUE"""),1003605.0)</f>
        <v>1003605</v>
      </c>
      <c r="C2304" s="9">
        <f>IFERROR(__xludf.DUMMYFUNCTION("""COMPUTED_VALUE"""),139299.0)</f>
        <v>139299</v>
      </c>
      <c r="D2304" s="9"/>
      <c r="E2304" s="9"/>
      <c r="F2304" s="9">
        <f>IFERROR(__xludf.DUMMYFUNCTION("""COMPUTED_VALUE"""),4.73)</f>
        <v>4.73</v>
      </c>
      <c r="G2304" s="9">
        <f>IFERROR(__xludf.DUMMYFUNCTION("""COMPUTED_VALUE"""),4.73)</f>
        <v>4.73</v>
      </c>
      <c r="H2304" s="9">
        <f>IFERROR(__xludf.DUMMYFUNCTION("""COMPUTED_VALUE"""),2.0)</f>
        <v>2</v>
      </c>
      <c r="I2304" s="9"/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</row>
    <row r="2305" ht="15.75" customHeight="1">
      <c r="A2305" s="11">
        <f>IFERROR(__xludf.DUMMYFUNCTION("""COMPUTED_VALUE"""),44471.0)</f>
        <v>44471</v>
      </c>
      <c r="B2305" s="9">
        <f>IFERROR(__xludf.DUMMYFUNCTION("""COMPUTED_VALUE"""),1003605.0)</f>
        <v>1003605</v>
      </c>
      <c r="C2305" s="9">
        <f>IFERROR(__xludf.DUMMYFUNCTION("""COMPUTED_VALUE"""),114935.0)</f>
        <v>114935</v>
      </c>
      <c r="D2305" s="9"/>
      <c r="E2305" s="9"/>
      <c r="F2305" s="9">
        <f>IFERROR(__xludf.DUMMYFUNCTION("""COMPUTED_VALUE"""),3.88)</f>
        <v>3.88</v>
      </c>
      <c r="G2305" s="9">
        <f>IFERROR(__xludf.DUMMYFUNCTION("""COMPUTED_VALUE"""),3.88)</f>
        <v>3.88</v>
      </c>
      <c r="H2305" s="9">
        <f>IFERROR(__xludf.DUMMYFUNCTION("""COMPUTED_VALUE"""),3.0)</f>
        <v>3</v>
      </c>
      <c r="I2305" s="9"/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</row>
    <row r="2306" ht="15.75" customHeight="1">
      <c r="A2306" s="11">
        <f>IFERROR(__xludf.DUMMYFUNCTION("""COMPUTED_VALUE"""),44471.0)</f>
        <v>44471</v>
      </c>
      <c r="B2306" s="9">
        <f>IFERROR(__xludf.DUMMYFUNCTION("""COMPUTED_VALUE"""),1003605.0)</f>
        <v>1003605</v>
      </c>
      <c r="C2306" s="9">
        <f>IFERROR(__xludf.DUMMYFUNCTION("""COMPUTED_VALUE"""),114936.0)</f>
        <v>114936</v>
      </c>
      <c r="D2306" s="9"/>
      <c r="E2306" s="9"/>
      <c r="F2306" s="9">
        <f>IFERROR(__xludf.DUMMYFUNCTION("""COMPUTED_VALUE"""),3.88)</f>
        <v>3.88</v>
      </c>
      <c r="G2306" s="9">
        <f>IFERROR(__xludf.DUMMYFUNCTION("""COMPUTED_VALUE"""),3.88)</f>
        <v>3.88</v>
      </c>
      <c r="H2306" s="9">
        <f>IFERROR(__xludf.DUMMYFUNCTION("""COMPUTED_VALUE"""),3.0)</f>
        <v>3</v>
      </c>
      <c r="I2306" s="9"/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</row>
    <row r="2307" ht="15.75" customHeight="1">
      <c r="A2307" s="11">
        <f>IFERROR(__xludf.DUMMYFUNCTION("""COMPUTED_VALUE"""),44471.0)</f>
        <v>44471</v>
      </c>
      <c r="B2307" s="9">
        <f>IFERROR(__xludf.DUMMYFUNCTION("""COMPUTED_VALUE"""),1003605.0)</f>
        <v>1003605</v>
      </c>
      <c r="C2307" s="9">
        <f>IFERROR(__xludf.DUMMYFUNCTION("""COMPUTED_VALUE"""),110770.0)</f>
        <v>110770</v>
      </c>
      <c r="D2307" s="9"/>
      <c r="E2307" s="9"/>
      <c r="F2307" s="9">
        <f>IFERROR(__xludf.DUMMYFUNCTION("""COMPUTED_VALUE"""),3.79)</f>
        <v>3.79</v>
      </c>
      <c r="G2307" s="9">
        <f>IFERROR(__xludf.DUMMYFUNCTION("""COMPUTED_VALUE"""),3.79)</f>
        <v>3.79</v>
      </c>
      <c r="H2307" s="9">
        <f>IFERROR(__xludf.DUMMYFUNCTION("""COMPUTED_VALUE"""),3.0)</f>
        <v>3</v>
      </c>
      <c r="I2307" s="9"/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</row>
    <row r="2308" ht="15.75" customHeight="1">
      <c r="A2308" s="11">
        <f>IFERROR(__xludf.DUMMYFUNCTION("""COMPUTED_VALUE"""),44471.0)</f>
        <v>44471</v>
      </c>
      <c r="B2308" s="9">
        <f>IFERROR(__xludf.DUMMYFUNCTION("""COMPUTED_VALUE"""),1003605.0)</f>
        <v>1003605</v>
      </c>
      <c r="C2308" s="9">
        <f>IFERROR(__xludf.DUMMYFUNCTION("""COMPUTED_VALUE"""),110764.0)</f>
        <v>110764</v>
      </c>
      <c r="D2308" s="9"/>
      <c r="E2308" s="9"/>
      <c r="F2308" s="9">
        <f>IFERROR(__xludf.DUMMYFUNCTION("""COMPUTED_VALUE"""),3.79)</f>
        <v>3.79</v>
      </c>
      <c r="G2308" s="9">
        <f>IFERROR(__xludf.DUMMYFUNCTION("""COMPUTED_VALUE"""),3.79)</f>
        <v>3.79</v>
      </c>
      <c r="H2308" s="9">
        <f>IFERROR(__xludf.DUMMYFUNCTION("""COMPUTED_VALUE"""),3.0)</f>
        <v>3</v>
      </c>
      <c r="I2308" s="9"/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</row>
    <row r="2309" ht="15.75" customHeight="1">
      <c r="A2309" s="11">
        <f>IFERROR(__xludf.DUMMYFUNCTION("""COMPUTED_VALUE"""),44471.0)</f>
        <v>44471</v>
      </c>
      <c r="B2309" s="9">
        <f>IFERROR(__xludf.DUMMYFUNCTION("""COMPUTED_VALUE"""),1003605.0)</f>
        <v>1003605</v>
      </c>
      <c r="C2309" s="9">
        <f>IFERROR(__xludf.DUMMYFUNCTION("""COMPUTED_VALUE"""),112317.0)</f>
        <v>112317</v>
      </c>
      <c r="D2309" s="9"/>
      <c r="E2309" s="9"/>
      <c r="F2309" s="9">
        <f>IFERROR(__xludf.DUMMYFUNCTION("""COMPUTED_VALUE"""),3.79)</f>
        <v>3.79</v>
      </c>
      <c r="G2309" s="9">
        <f>IFERROR(__xludf.DUMMYFUNCTION("""COMPUTED_VALUE"""),3.79)</f>
        <v>3.79</v>
      </c>
      <c r="H2309" s="9">
        <f>IFERROR(__xludf.DUMMYFUNCTION("""COMPUTED_VALUE"""),3.0)</f>
        <v>3</v>
      </c>
      <c r="I2309" s="9"/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</row>
    <row r="2310" ht="15.75" customHeight="1">
      <c r="A2310" s="11">
        <f>IFERROR(__xludf.DUMMYFUNCTION("""COMPUTED_VALUE"""),44471.0)</f>
        <v>44471</v>
      </c>
      <c r="B2310" s="9">
        <f>IFERROR(__xludf.DUMMYFUNCTION("""COMPUTED_VALUE"""),1003605.0)</f>
        <v>1003605</v>
      </c>
      <c r="C2310" s="9">
        <f>IFERROR(__xludf.DUMMYFUNCTION("""COMPUTED_VALUE"""),112320.0)</f>
        <v>112320</v>
      </c>
      <c r="D2310" s="9"/>
      <c r="E2310" s="9"/>
      <c r="F2310" s="9">
        <f>IFERROR(__xludf.DUMMYFUNCTION("""COMPUTED_VALUE"""),3.85)</f>
        <v>3.85</v>
      </c>
      <c r="G2310" s="9">
        <f>IFERROR(__xludf.DUMMYFUNCTION("""COMPUTED_VALUE"""),3.85)</f>
        <v>3.85</v>
      </c>
      <c r="H2310" s="9">
        <f>IFERROR(__xludf.DUMMYFUNCTION("""COMPUTED_VALUE"""),3.0)</f>
        <v>3</v>
      </c>
      <c r="I2310" s="9"/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</row>
    <row r="2311" ht="15.75" customHeight="1">
      <c r="A2311" s="11">
        <f>IFERROR(__xludf.DUMMYFUNCTION("""COMPUTED_VALUE"""),44471.0)</f>
        <v>44471</v>
      </c>
      <c r="B2311" s="9">
        <f>IFERROR(__xludf.DUMMYFUNCTION("""COMPUTED_VALUE"""),1003605.0)</f>
        <v>1003605</v>
      </c>
      <c r="C2311" s="9">
        <f>IFERROR(__xludf.DUMMYFUNCTION("""COMPUTED_VALUE"""),112322.0)</f>
        <v>112322</v>
      </c>
      <c r="D2311" s="9"/>
      <c r="E2311" s="9"/>
      <c r="F2311" s="9">
        <f>IFERROR(__xludf.DUMMYFUNCTION("""COMPUTED_VALUE"""),3.85)</f>
        <v>3.85</v>
      </c>
      <c r="G2311" s="9">
        <f>IFERROR(__xludf.DUMMYFUNCTION("""COMPUTED_VALUE"""),3.85)</f>
        <v>3.85</v>
      </c>
      <c r="H2311" s="9">
        <f>IFERROR(__xludf.DUMMYFUNCTION("""COMPUTED_VALUE"""),3.0)</f>
        <v>3</v>
      </c>
      <c r="I2311" s="9"/>
      <c r="J2311" s="9"/>
      <c r="K2311" s="9"/>
      <c r="L2311" s="9"/>
      <c r="M2311" s="9"/>
      <c r="N2311" s="9"/>
      <c r="O2311" s="9"/>
      <c r="P2311" s="9"/>
      <c r="Q2311" s="9"/>
      <c r="R2311" s="9"/>
      <c r="S2311" s="9"/>
      <c r="T2311" s="9"/>
    </row>
    <row r="2312" ht="15.75" customHeight="1">
      <c r="A2312" s="11">
        <f>IFERROR(__xludf.DUMMYFUNCTION("""COMPUTED_VALUE"""),44471.0)</f>
        <v>44471</v>
      </c>
      <c r="B2312" s="9">
        <f>IFERROR(__xludf.DUMMYFUNCTION("""COMPUTED_VALUE"""),1003605.0)</f>
        <v>1003605</v>
      </c>
      <c r="C2312" s="9">
        <f>IFERROR(__xludf.DUMMYFUNCTION("""COMPUTED_VALUE"""),112321.0)</f>
        <v>112321</v>
      </c>
      <c r="D2312" s="9"/>
      <c r="E2312" s="9"/>
      <c r="F2312" s="9">
        <f>IFERROR(__xludf.DUMMYFUNCTION("""COMPUTED_VALUE"""),3.85)</f>
        <v>3.85</v>
      </c>
      <c r="G2312" s="9">
        <f>IFERROR(__xludf.DUMMYFUNCTION("""COMPUTED_VALUE"""),3.85)</f>
        <v>3.85</v>
      </c>
      <c r="H2312" s="9">
        <f>IFERROR(__xludf.DUMMYFUNCTION("""COMPUTED_VALUE"""),3.0)</f>
        <v>3</v>
      </c>
      <c r="I2312" s="9"/>
      <c r="J2312" s="9"/>
      <c r="K2312" s="9"/>
      <c r="L2312" s="9"/>
      <c r="M2312" s="9"/>
      <c r="N2312" s="9"/>
      <c r="O2312" s="9"/>
      <c r="P2312" s="9"/>
      <c r="Q2312" s="9"/>
      <c r="R2312" s="9"/>
      <c r="S2312" s="9"/>
      <c r="T2312" s="9"/>
    </row>
    <row r="2313" ht="15.75" customHeight="1">
      <c r="A2313" s="11">
        <f>IFERROR(__xludf.DUMMYFUNCTION("""COMPUTED_VALUE"""),44471.0)</f>
        <v>44471</v>
      </c>
      <c r="B2313" s="9">
        <f>IFERROR(__xludf.DUMMYFUNCTION("""COMPUTED_VALUE"""),1003605.0)</f>
        <v>1003605</v>
      </c>
      <c r="C2313" s="9">
        <f>IFERROR(__xludf.DUMMYFUNCTION("""COMPUTED_VALUE"""),112319.0)</f>
        <v>112319</v>
      </c>
      <c r="D2313" s="9"/>
      <c r="E2313" s="9"/>
      <c r="F2313" s="9">
        <f>IFERROR(__xludf.DUMMYFUNCTION("""COMPUTED_VALUE"""),3.85)</f>
        <v>3.85</v>
      </c>
      <c r="G2313" s="9">
        <f>IFERROR(__xludf.DUMMYFUNCTION("""COMPUTED_VALUE"""),3.85)</f>
        <v>3.85</v>
      </c>
      <c r="H2313" s="9">
        <f>IFERROR(__xludf.DUMMYFUNCTION("""COMPUTED_VALUE"""),3.0)</f>
        <v>3</v>
      </c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</row>
    <row r="2314" ht="15.75" customHeight="1">
      <c r="A2314" s="11">
        <f>IFERROR(__xludf.DUMMYFUNCTION("""COMPUTED_VALUE"""),44471.0)</f>
        <v>44471</v>
      </c>
      <c r="B2314" s="9">
        <f>IFERROR(__xludf.DUMMYFUNCTION("""COMPUTED_VALUE"""),1003605.0)</f>
        <v>1003605</v>
      </c>
      <c r="C2314" s="9">
        <f>IFERROR(__xludf.DUMMYFUNCTION("""COMPUTED_VALUE"""),112318.0)</f>
        <v>112318</v>
      </c>
      <c r="D2314" s="9"/>
      <c r="E2314" s="9"/>
      <c r="F2314" s="9">
        <f>IFERROR(__xludf.DUMMYFUNCTION("""COMPUTED_VALUE"""),3.85)</f>
        <v>3.85</v>
      </c>
      <c r="G2314" s="9">
        <f>IFERROR(__xludf.DUMMYFUNCTION("""COMPUTED_VALUE"""),3.85)</f>
        <v>3.85</v>
      </c>
      <c r="H2314" s="9">
        <f>IFERROR(__xludf.DUMMYFUNCTION("""COMPUTED_VALUE"""),3.0)</f>
        <v>3</v>
      </c>
      <c r="I2314" s="9"/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</row>
    <row r="2315" ht="15.75" customHeight="1">
      <c r="A2315" s="11">
        <f>IFERROR(__xludf.DUMMYFUNCTION("""COMPUTED_VALUE"""),44471.0)</f>
        <v>44471</v>
      </c>
      <c r="B2315" s="9">
        <f>IFERROR(__xludf.DUMMYFUNCTION("""COMPUTED_VALUE"""),1003605.0)</f>
        <v>1003605</v>
      </c>
      <c r="C2315" s="9">
        <f>IFERROR(__xludf.DUMMYFUNCTION("""COMPUTED_VALUE"""),112471.0)</f>
        <v>112471</v>
      </c>
      <c r="D2315" s="9"/>
      <c r="E2315" s="9"/>
      <c r="F2315" s="9">
        <f>IFERROR(__xludf.DUMMYFUNCTION("""COMPUTED_VALUE"""),3.85)</f>
        <v>3.85</v>
      </c>
      <c r="G2315" s="9">
        <f>IFERROR(__xludf.DUMMYFUNCTION("""COMPUTED_VALUE"""),3.85)</f>
        <v>3.85</v>
      </c>
      <c r="H2315" s="9">
        <f>IFERROR(__xludf.DUMMYFUNCTION("""COMPUTED_VALUE"""),3.0)</f>
        <v>3</v>
      </c>
      <c r="I2315" s="9"/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</row>
    <row r="2316" ht="15.75" customHeight="1">
      <c r="A2316" s="11">
        <f>IFERROR(__xludf.DUMMYFUNCTION("""COMPUTED_VALUE"""),44471.0)</f>
        <v>44471</v>
      </c>
      <c r="B2316" s="9">
        <f>IFERROR(__xludf.DUMMYFUNCTION("""COMPUTED_VALUE"""),1003605.0)</f>
        <v>1003605</v>
      </c>
      <c r="C2316" s="9">
        <f>IFERROR(__xludf.DUMMYFUNCTION("""COMPUTED_VALUE"""),112473.0)</f>
        <v>112473</v>
      </c>
      <c r="D2316" s="9"/>
      <c r="E2316" s="9"/>
      <c r="F2316" s="9">
        <f>IFERROR(__xludf.DUMMYFUNCTION("""COMPUTED_VALUE"""),3.85)</f>
        <v>3.85</v>
      </c>
      <c r="G2316" s="9">
        <f>IFERROR(__xludf.DUMMYFUNCTION("""COMPUTED_VALUE"""),3.85)</f>
        <v>3.85</v>
      </c>
      <c r="H2316" s="9">
        <f>IFERROR(__xludf.DUMMYFUNCTION("""COMPUTED_VALUE"""),3.0)</f>
        <v>3</v>
      </c>
      <c r="I2316" s="9"/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</row>
    <row r="2317" ht="15.75" customHeight="1">
      <c r="A2317" s="11">
        <f>IFERROR(__xludf.DUMMYFUNCTION("""COMPUTED_VALUE"""),44471.0)</f>
        <v>44471</v>
      </c>
      <c r="B2317" s="9">
        <f>IFERROR(__xludf.DUMMYFUNCTION("""COMPUTED_VALUE"""),1003606.0)</f>
        <v>1003606</v>
      </c>
      <c r="C2317" s="9">
        <f>IFERROR(__xludf.DUMMYFUNCTION("""COMPUTED_VALUE"""),14527.0)</f>
        <v>14527</v>
      </c>
      <c r="D2317" s="9"/>
      <c r="E2317" s="9"/>
      <c r="F2317" s="9">
        <f>IFERROR(__xludf.DUMMYFUNCTION("""COMPUTED_VALUE"""),19.04)</f>
        <v>19.04</v>
      </c>
      <c r="G2317" s="9">
        <f>IFERROR(__xludf.DUMMYFUNCTION("""COMPUTED_VALUE"""),19.04)</f>
        <v>19.04</v>
      </c>
      <c r="H2317" s="9">
        <f>IFERROR(__xludf.DUMMYFUNCTION("""COMPUTED_VALUE"""),1.0)</f>
        <v>1</v>
      </c>
      <c r="I2317" s="9"/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</row>
    <row r="2318" ht="15.75" customHeight="1">
      <c r="A2318" s="11">
        <f>IFERROR(__xludf.DUMMYFUNCTION("""COMPUTED_VALUE"""),44471.0)</f>
        <v>44471</v>
      </c>
      <c r="B2318" s="9">
        <f>IFERROR(__xludf.DUMMYFUNCTION("""COMPUTED_VALUE"""),1003606.0)</f>
        <v>1003606</v>
      </c>
      <c r="C2318" s="9">
        <f>IFERROR(__xludf.DUMMYFUNCTION("""COMPUTED_VALUE"""),9472.0)</f>
        <v>9472</v>
      </c>
      <c r="D2318" s="9"/>
      <c r="E2318" s="9"/>
      <c r="F2318" s="9">
        <f>IFERROR(__xludf.DUMMYFUNCTION("""COMPUTED_VALUE"""),2.76)</f>
        <v>2.76</v>
      </c>
      <c r="G2318" s="9">
        <f>IFERROR(__xludf.DUMMYFUNCTION("""COMPUTED_VALUE"""),2.76)</f>
        <v>2.76</v>
      </c>
      <c r="H2318" s="9">
        <f>IFERROR(__xludf.DUMMYFUNCTION("""COMPUTED_VALUE"""),1.0)</f>
        <v>1</v>
      </c>
      <c r="I2318" s="9"/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</row>
    <row r="2319" ht="15.75" customHeight="1">
      <c r="A2319" s="11">
        <f>IFERROR(__xludf.DUMMYFUNCTION("""COMPUTED_VALUE"""),44471.0)</f>
        <v>44471</v>
      </c>
      <c r="B2319" s="9">
        <f>IFERROR(__xludf.DUMMYFUNCTION("""COMPUTED_VALUE"""),1003606.0)</f>
        <v>1003606</v>
      </c>
      <c r="C2319" s="9">
        <f>IFERROR(__xludf.DUMMYFUNCTION("""COMPUTED_VALUE"""),48642.0)</f>
        <v>48642</v>
      </c>
      <c r="D2319" s="9"/>
      <c r="E2319" s="9"/>
      <c r="F2319" s="9">
        <f>IFERROR(__xludf.DUMMYFUNCTION("""COMPUTED_VALUE"""),22.2)</f>
        <v>22.2</v>
      </c>
      <c r="G2319" s="9">
        <f>IFERROR(__xludf.DUMMYFUNCTION("""COMPUTED_VALUE"""),22.2)</f>
        <v>22.2</v>
      </c>
      <c r="H2319" s="9">
        <f>IFERROR(__xludf.DUMMYFUNCTION("""COMPUTED_VALUE"""),1.0)</f>
        <v>1</v>
      </c>
      <c r="I2319" s="9"/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</row>
    <row r="2320" ht="15.75" customHeight="1">
      <c r="A2320" s="11">
        <f>IFERROR(__xludf.DUMMYFUNCTION("""COMPUTED_VALUE"""),44471.0)</f>
        <v>44471</v>
      </c>
      <c r="B2320" s="9">
        <f>IFERROR(__xludf.DUMMYFUNCTION("""COMPUTED_VALUE"""),1003606.0)</f>
        <v>1003606</v>
      </c>
      <c r="C2320" s="9">
        <f>IFERROR(__xludf.DUMMYFUNCTION("""COMPUTED_VALUE"""),44739.0)</f>
        <v>44739</v>
      </c>
      <c r="D2320" s="9"/>
      <c r="E2320" s="9"/>
      <c r="F2320" s="9">
        <f>IFERROR(__xludf.DUMMYFUNCTION("""COMPUTED_VALUE"""),3.55)</f>
        <v>3.55</v>
      </c>
      <c r="G2320" s="9">
        <f>IFERROR(__xludf.DUMMYFUNCTION("""COMPUTED_VALUE"""),3.55)</f>
        <v>3.55</v>
      </c>
      <c r="H2320" s="9">
        <f>IFERROR(__xludf.DUMMYFUNCTION("""COMPUTED_VALUE"""),1.0)</f>
        <v>1</v>
      </c>
      <c r="I2320" s="9"/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</row>
    <row r="2321" ht="15.75" customHeight="1">
      <c r="A2321" s="11">
        <f>IFERROR(__xludf.DUMMYFUNCTION("""COMPUTED_VALUE"""),44471.0)</f>
        <v>44471</v>
      </c>
      <c r="B2321" s="9">
        <f>IFERROR(__xludf.DUMMYFUNCTION("""COMPUTED_VALUE"""),1003606.0)</f>
        <v>1003606</v>
      </c>
      <c r="C2321" s="9">
        <f>IFERROR(__xludf.DUMMYFUNCTION("""COMPUTED_VALUE"""),23074.0)</f>
        <v>23074</v>
      </c>
      <c r="D2321" s="9"/>
      <c r="E2321" s="9"/>
      <c r="F2321" s="9">
        <f>IFERROR(__xludf.DUMMYFUNCTION("""COMPUTED_VALUE"""),7.19)</f>
        <v>7.19</v>
      </c>
      <c r="G2321" s="9">
        <f>IFERROR(__xludf.DUMMYFUNCTION("""COMPUTED_VALUE"""),7.19)</f>
        <v>7.19</v>
      </c>
      <c r="H2321" s="9">
        <f>IFERROR(__xludf.DUMMYFUNCTION("""COMPUTED_VALUE"""),1.0)</f>
        <v>1</v>
      </c>
      <c r="I2321" s="9"/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</row>
    <row r="2322" ht="15.75" customHeight="1">
      <c r="A2322" s="11">
        <f>IFERROR(__xludf.DUMMYFUNCTION("""COMPUTED_VALUE"""),44471.0)</f>
        <v>44471</v>
      </c>
      <c r="B2322" s="9">
        <f>IFERROR(__xludf.DUMMYFUNCTION("""COMPUTED_VALUE"""),1003606.0)</f>
        <v>1003606</v>
      </c>
      <c r="C2322" s="9">
        <f>IFERROR(__xludf.DUMMYFUNCTION("""COMPUTED_VALUE"""),72818.0)</f>
        <v>72818</v>
      </c>
      <c r="D2322" s="9"/>
      <c r="E2322" s="9"/>
      <c r="F2322" s="9">
        <f>IFERROR(__xludf.DUMMYFUNCTION("""COMPUTED_VALUE"""),1.93)</f>
        <v>1.93</v>
      </c>
      <c r="G2322" s="9">
        <f>IFERROR(__xludf.DUMMYFUNCTION("""COMPUTED_VALUE"""),1.93)</f>
        <v>1.93</v>
      </c>
      <c r="H2322" s="9">
        <f>IFERROR(__xludf.DUMMYFUNCTION("""COMPUTED_VALUE"""),1.0)</f>
        <v>1</v>
      </c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</row>
    <row r="2323" ht="15.75" customHeight="1">
      <c r="A2323" s="11">
        <f>IFERROR(__xludf.DUMMYFUNCTION("""COMPUTED_VALUE"""),44471.0)</f>
        <v>44471</v>
      </c>
      <c r="B2323" s="9">
        <f>IFERROR(__xludf.DUMMYFUNCTION("""COMPUTED_VALUE"""),1003606.0)</f>
        <v>1003606</v>
      </c>
      <c r="C2323" s="9">
        <f>IFERROR(__xludf.DUMMYFUNCTION("""COMPUTED_VALUE"""),23073.0)</f>
        <v>23073</v>
      </c>
      <c r="D2323" s="9"/>
      <c r="E2323" s="9"/>
      <c r="F2323" s="9">
        <f>IFERROR(__xludf.DUMMYFUNCTION("""COMPUTED_VALUE"""),7.24)</f>
        <v>7.24</v>
      </c>
      <c r="G2323" s="9">
        <f>IFERROR(__xludf.DUMMYFUNCTION("""COMPUTED_VALUE"""),7.24)</f>
        <v>7.24</v>
      </c>
      <c r="H2323" s="9">
        <f>IFERROR(__xludf.DUMMYFUNCTION("""COMPUTED_VALUE"""),1.0)</f>
        <v>1</v>
      </c>
      <c r="I2323" s="9"/>
      <c r="J2323" s="9"/>
      <c r="K2323" s="9"/>
      <c r="L2323" s="9"/>
      <c r="M2323" s="9"/>
      <c r="N2323" s="9"/>
      <c r="O2323" s="9"/>
      <c r="P2323" s="9"/>
      <c r="Q2323" s="9"/>
      <c r="R2323" s="9"/>
      <c r="S2323" s="9"/>
      <c r="T2323" s="9"/>
    </row>
    <row r="2324" ht="15.75" customHeight="1">
      <c r="A2324" s="11">
        <f>IFERROR(__xludf.DUMMYFUNCTION("""COMPUTED_VALUE"""),44471.0)</f>
        <v>44471</v>
      </c>
      <c r="B2324" s="9">
        <f>IFERROR(__xludf.DUMMYFUNCTION("""COMPUTED_VALUE"""),1003606.0)</f>
        <v>1003606</v>
      </c>
      <c r="C2324" s="9">
        <f>IFERROR(__xludf.DUMMYFUNCTION("""COMPUTED_VALUE"""),114656.0)</f>
        <v>114656</v>
      </c>
      <c r="D2324" s="9"/>
      <c r="E2324" s="9"/>
      <c r="F2324" s="9">
        <f>IFERROR(__xludf.DUMMYFUNCTION("""COMPUTED_VALUE"""),6.13)</f>
        <v>6.13</v>
      </c>
      <c r="G2324" s="9">
        <f>IFERROR(__xludf.DUMMYFUNCTION("""COMPUTED_VALUE"""),6.13)</f>
        <v>6.13</v>
      </c>
      <c r="H2324" s="9">
        <f>IFERROR(__xludf.DUMMYFUNCTION("""COMPUTED_VALUE"""),2.0)</f>
        <v>2</v>
      </c>
      <c r="I2324" s="9"/>
      <c r="J2324" s="9"/>
      <c r="K2324" s="9"/>
      <c r="L2324" s="9"/>
      <c r="M2324" s="9"/>
      <c r="N2324" s="9"/>
      <c r="O2324" s="9"/>
      <c r="P2324" s="9"/>
      <c r="Q2324" s="9"/>
      <c r="R2324" s="9"/>
      <c r="S2324" s="9"/>
      <c r="T2324" s="9"/>
    </row>
    <row r="2325" ht="15.75" customHeight="1">
      <c r="A2325" s="11">
        <f>IFERROR(__xludf.DUMMYFUNCTION("""COMPUTED_VALUE"""),44471.0)</f>
        <v>44471</v>
      </c>
      <c r="B2325" s="9">
        <f>IFERROR(__xludf.DUMMYFUNCTION("""COMPUTED_VALUE"""),1003606.0)</f>
        <v>1003606</v>
      </c>
      <c r="C2325" s="9">
        <f>IFERROR(__xludf.DUMMYFUNCTION("""COMPUTED_VALUE"""),77253.0)</f>
        <v>77253</v>
      </c>
      <c r="D2325" s="9"/>
      <c r="E2325" s="9"/>
      <c r="F2325" s="9">
        <f>IFERROR(__xludf.DUMMYFUNCTION("""COMPUTED_VALUE"""),3.24)</f>
        <v>3.24</v>
      </c>
      <c r="G2325" s="9">
        <f>IFERROR(__xludf.DUMMYFUNCTION("""COMPUTED_VALUE"""),3.24)</f>
        <v>3.24</v>
      </c>
      <c r="H2325" s="9">
        <f>IFERROR(__xludf.DUMMYFUNCTION("""COMPUTED_VALUE"""),2.0)</f>
        <v>2</v>
      </c>
      <c r="I2325" s="9"/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</row>
    <row r="2326" ht="15.75" customHeight="1">
      <c r="A2326" s="11">
        <f>IFERROR(__xludf.DUMMYFUNCTION("""COMPUTED_VALUE"""),44471.0)</f>
        <v>44471</v>
      </c>
      <c r="B2326" s="9">
        <f>IFERROR(__xludf.DUMMYFUNCTION("""COMPUTED_VALUE"""),1003606.0)</f>
        <v>1003606</v>
      </c>
      <c r="C2326" s="9">
        <f>IFERROR(__xludf.DUMMYFUNCTION("""COMPUTED_VALUE"""),121568.0)</f>
        <v>121568</v>
      </c>
      <c r="D2326" s="9"/>
      <c r="E2326" s="9"/>
      <c r="F2326" s="9">
        <f>IFERROR(__xludf.DUMMYFUNCTION("""COMPUTED_VALUE"""),46.82)</f>
        <v>46.82</v>
      </c>
      <c r="G2326" s="9">
        <f>IFERROR(__xludf.DUMMYFUNCTION("""COMPUTED_VALUE"""),46.82)</f>
        <v>46.82</v>
      </c>
      <c r="H2326" s="9">
        <f>IFERROR(__xludf.DUMMYFUNCTION("""COMPUTED_VALUE"""),4.0)</f>
        <v>4</v>
      </c>
      <c r="I2326" s="9"/>
      <c r="J2326" s="9"/>
      <c r="K2326" s="9"/>
      <c r="L2326" s="9"/>
      <c r="M2326" s="9"/>
      <c r="N2326" s="9"/>
      <c r="O2326" s="9"/>
      <c r="P2326" s="9"/>
      <c r="Q2326" s="9"/>
      <c r="R2326" s="9"/>
      <c r="S2326" s="9"/>
      <c r="T2326" s="9"/>
    </row>
    <row r="2327" ht="15.75" customHeight="1">
      <c r="A2327" s="11">
        <f>IFERROR(__xludf.DUMMYFUNCTION("""COMPUTED_VALUE"""),44471.0)</f>
        <v>44471</v>
      </c>
      <c r="B2327" s="9">
        <f>IFERROR(__xludf.DUMMYFUNCTION("""COMPUTED_VALUE"""),1003606.0)</f>
        <v>1003606</v>
      </c>
      <c r="C2327" s="9">
        <f>IFERROR(__xludf.DUMMYFUNCTION("""COMPUTED_VALUE"""),112190.0)</f>
        <v>112190</v>
      </c>
      <c r="D2327" s="9"/>
      <c r="E2327" s="9"/>
      <c r="F2327" s="9">
        <f>IFERROR(__xludf.DUMMYFUNCTION("""COMPUTED_VALUE"""),15.28)</f>
        <v>15.28</v>
      </c>
      <c r="G2327" s="9">
        <f>IFERROR(__xludf.DUMMYFUNCTION("""COMPUTED_VALUE"""),15.28)</f>
        <v>15.28</v>
      </c>
      <c r="H2327" s="9">
        <f>IFERROR(__xludf.DUMMYFUNCTION("""COMPUTED_VALUE"""),4.0)</f>
        <v>4</v>
      </c>
      <c r="I2327" s="9"/>
      <c r="J2327" s="9"/>
      <c r="K2327" s="9"/>
      <c r="L2327" s="9"/>
      <c r="M2327" s="9"/>
      <c r="N2327" s="9"/>
      <c r="O2327" s="9"/>
      <c r="P2327" s="9"/>
      <c r="Q2327" s="9"/>
      <c r="R2327" s="9"/>
      <c r="S2327" s="9"/>
      <c r="T2327" s="9"/>
    </row>
    <row r="2328" ht="15.75" customHeight="1">
      <c r="A2328" s="11">
        <f>IFERROR(__xludf.DUMMYFUNCTION("""COMPUTED_VALUE"""),44471.0)</f>
        <v>44471</v>
      </c>
      <c r="B2328" s="9">
        <f>IFERROR(__xludf.DUMMYFUNCTION("""COMPUTED_VALUE"""),1003607.0)</f>
        <v>1003607</v>
      </c>
      <c r="C2328" s="9">
        <f>IFERROR(__xludf.DUMMYFUNCTION("""COMPUTED_VALUE"""),91954.0)</f>
        <v>91954</v>
      </c>
      <c r="D2328" s="9"/>
      <c r="E2328" s="10" t="str">
        <f>IFERROR(__xludf.DUMMYFUNCTION("""COMPUTED_VALUE"""),"PREMIERE")</f>
        <v>PREMIERE</v>
      </c>
      <c r="F2328" s="10">
        <f>IFERROR(__xludf.DUMMYFUNCTION("""COMPUTED_VALUE"""),23.54)</f>
        <v>23.54</v>
      </c>
      <c r="G2328" s="9">
        <f>IFERROR(__xludf.DUMMYFUNCTION("""COMPUTED_VALUE"""),23.54)</f>
        <v>23.54</v>
      </c>
      <c r="H2328" s="9">
        <f>IFERROR(__xludf.DUMMYFUNCTION("""COMPUTED_VALUE"""),1.0)</f>
        <v>1</v>
      </c>
      <c r="I2328" s="9"/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</row>
    <row r="2329" ht="15.75" customHeight="1">
      <c r="A2329" s="11">
        <f>IFERROR(__xludf.DUMMYFUNCTION("""COMPUTED_VALUE"""),44471.0)</f>
        <v>44471</v>
      </c>
      <c r="B2329" s="9">
        <f>IFERROR(__xludf.DUMMYFUNCTION("""COMPUTED_VALUE"""),1003607.0)</f>
        <v>1003607</v>
      </c>
      <c r="C2329" s="9">
        <f>IFERROR(__xludf.DUMMYFUNCTION("""COMPUTED_VALUE"""),113407.0)</f>
        <v>113407</v>
      </c>
      <c r="D2329" s="10" t="str">
        <f>IFERROR(__xludf.DUMMYFUNCTION("""COMPUTED_VALUE"""),"Vive le bio")</f>
        <v>Vive le bio</v>
      </c>
      <c r="E2329" s="10" t="str">
        <f>IFERROR(__xludf.DUMMYFUNCTION("""COMPUTED_VALUE"""),"PREMIERE")</f>
        <v>PREMIERE</v>
      </c>
      <c r="F2329" s="10">
        <f>IFERROR(__xludf.DUMMYFUNCTION("""COMPUTED_VALUE"""),9.53333333333333)</f>
        <v>9.533333333</v>
      </c>
      <c r="G2329" s="9">
        <f>IFERROR(__xludf.DUMMYFUNCTION("""COMPUTED_VALUE"""),8.58)</f>
        <v>8.58</v>
      </c>
      <c r="H2329" s="9">
        <f>IFERROR(__xludf.DUMMYFUNCTION("""COMPUTED_VALUE"""),1.0)</f>
        <v>1</v>
      </c>
      <c r="I2329" s="9"/>
      <c r="J2329" s="9"/>
      <c r="K2329" s="9"/>
      <c r="L2329" s="9"/>
      <c r="M2329" s="9"/>
      <c r="N2329" s="9"/>
      <c r="O2329" s="9"/>
      <c r="P2329" s="9"/>
      <c r="Q2329" s="9"/>
      <c r="R2329" s="9"/>
      <c r="S2329" s="9"/>
      <c r="T2329" s="9"/>
    </row>
    <row r="2330" ht="15.75" customHeight="1">
      <c r="A2330" s="11">
        <f>IFERROR(__xludf.DUMMYFUNCTION("""COMPUTED_VALUE"""),44471.0)</f>
        <v>44471</v>
      </c>
      <c r="B2330" s="9">
        <f>IFERROR(__xludf.DUMMYFUNCTION("""COMPUTED_VALUE"""),1003607.0)</f>
        <v>1003607</v>
      </c>
      <c r="C2330" s="9">
        <f>IFERROR(__xludf.DUMMYFUNCTION("""COMPUTED_VALUE"""),113626.0)</f>
        <v>113626</v>
      </c>
      <c r="D2330" s="9"/>
      <c r="E2330" s="10" t="str">
        <f>IFERROR(__xludf.DUMMYFUNCTION("""COMPUTED_VALUE"""),"PREMIERE")</f>
        <v>PREMIERE</v>
      </c>
      <c r="F2330" s="10">
        <f>IFERROR(__xludf.DUMMYFUNCTION("""COMPUTED_VALUE"""),8.9)</f>
        <v>8.9</v>
      </c>
      <c r="G2330" s="9">
        <f>IFERROR(__xludf.DUMMYFUNCTION("""COMPUTED_VALUE"""),8.9)</f>
        <v>8.9</v>
      </c>
      <c r="H2330" s="9">
        <f>IFERROR(__xludf.DUMMYFUNCTION("""COMPUTED_VALUE"""),1.0)</f>
        <v>1</v>
      </c>
      <c r="I2330" s="9"/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</row>
    <row r="2331" ht="15.75" customHeight="1">
      <c r="A2331" s="11">
        <f>IFERROR(__xludf.DUMMYFUNCTION("""COMPUTED_VALUE"""),44471.0)</f>
        <v>44471</v>
      </c>
      <c r="B2331" s="9">
        <f>IFERROR(__xludf.DUMMYFUNCTION("""COMPUTED_VALUE"""),1003608.0)</f>
        <v>1003608</v>
      </c>
      <c r="C2331" s="9">
        <f>IFERROR(__xludf.DUMMYFUNCTION("""COMPUTED_VALUE"""),182790.0)</f>
        <v>182790</v>
      </c>
      <c r="D2331" s="9"/>
      <c r="E2331" s="9"/>
      <c r="F2331" s="9">
        <f>IFERROR(__xludf.DUMMYFUNCTION("""COMPUTED_VALUE"""),14.03)</f>
        <v>14.03</v>
      </c>
      <c r="G2331" s="9">
        <f>IFERROR(__xludf.DUMMYFUNCTION("""COMPUTED_VALUE"""),14.03)</f>
        <v>14.03</v>
      </c>
      <c r="H2331" s="9">
        <f>IFERROR(__xludf.DUMMYFUNCTION("""COMPUTED_VALUE"""),5.0)</f>
        <v>5</v>
      </c>
      <c r="I2331" s="9"/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</row>
    <row r="2332" ht="15.75" customHeight="1">
      <c r="A2332" s="11">
        <f>IFERROR(__xludf.DUMMYFUNCTION("""COMPUTED_VALUE"""),44471.0)</f>
        <v>44471</v>
      </c>
      <c r="B2332" s="9">
        <f>IFERROR(__xludf.DUMMYFUNCTION("""COMPUTED_VALUE"""),1003609.0)</f>
        <v>1003609</v>
      </c>
      <c r="C2332" s="9">
        <f>IFERROR(__xludf.DUMMYFUNCTION("""COMPUTED_VALUE"""),101325.0)</f>
        <v>101325</v>
      </c>
      <c r="D2332" s="10" t="str">
        <f>IFERROR(__xludf.DUMMYFUNCTION("""COMPUTED_VALUE"""),"Carryboo soin bebe 2021")</f>
        <v>Carryboo soin bebe 2021</v>
      </c>
      <c r="E2332" s="10"/>
      <c r="F2332" s="9">
        <f>IFERROR(__xludf.DUMMYFUNCTION("""COMPUTED_VALUE"""),7.77333333333333)</f>
        <v>7.773333333</v>
      </c>
      <c r="G2332" s="9">
        <f>IFERROR(__xludf.DUMMYFUNCTION("""COMPUTED_VALUE"""),5.83)</f>
        <v>5.83</v>
      </c>
      <c r="H2332" s="9">
        <f>IFERROR(__xludf.DUMMYFUNCTION("""COMPUTED_VALUE"""),3.0)</f>
        <v>3</v>
      </c>
      <c r="I2332" s="9"/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</row>
    <row r="2333" ht="15.75" customHeight="1">
      <c r="A2333" s="11">
        <f>IFERROR(__xludf.DUMMYFUNCTION("""COMPUTED_VALUE"""),44471.0)</f>
        <v>44471</v>
      </c>
      <c r="B2333" s="9">
        <f>IFERROR(__xludf.DUMMYFUNCTION("""COMPUTED_VALUE"""),1003609.0)</f>
        <v>1003609</v>
      </c>
      <c r="C2333" s="9">
        <f>IFERROR(__xludf.DUMMYFUNCTION("""COMPUTED_VALUE"""),109985.0)</f>
        <v>109985</v>
      </c>
      <c r="D2333" s="10" t="str">
        <f>IFERROR(__xludf.DUMMYFUNCTION("""COMPUTED_VALUE"""),"Carryboo soin bebe 2021")</f>
        <v>Carryboo soin bebe 2021</v>
      </c>
      <c r="E2333" s="10"/>
      <c r="F2333" s="9">
        <f>IFERROR(__xludf.DUMMYFUNCTION("""COMPUTED_VALUE"""),7.14666666666666)</f>
        <v>7.146666667</v>
      </c>
      <c r="G2333" s="9">
        <f>IFERROR(__xludf.DUMMYFUNCTION("""COMPUTED_VALUE"""),5.36)</f>
        <v>5.36</v>
      </c>
      <c r="H2333" s="9">
        <f>IFERROR(__xludf.DUMMYFUNCTION("""COMPUTED_VALUE"""),3.0)</f>
        <v>3</v>
      </c>
      <c r="I2333" s="9"/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</row>
    <row r="2334" ht="15.75" customHeight="1">
      <c r="A2334" s="11">
        <f>IFERROR(__xludf.DUMMYFUNCTION("""COMPUTED_VALUE"""),44471.0)</f>
        <v>44471</v>
      </c>
      <c r="B2334" s="9">
        <f>IFERROR(__xludf.DUMMYFUNCTION("""COMPUTED_VALUE"""),1003609.0)</f>
        <v>1003609</v>
      </c>
      <c r="C2334" s="9">
        <f>IFERROR(__xludf.DUMMYFUNCTION("""COMPUTED_VALUE"""),101296.0)</f>
        <v>101296</v>
      </c>
      <c r="D2334" s="10" t="str">
        <f>IFERROR(__xludf.DUMMYFUNCTION("""COMPUTED_VALUE"""),"Natur'vox Carryboo couches Sept 21")</f>
        <v>Natur'vox Carryboo couches Sept 21</v>
      </c>
      <c r="E2334" s="10"/>
      <c r="F2334" s="9">
        <f>IFERROR(__xludf.DUMMYFUNCTION("""COMPUTED_VALUE"""),43.9199999999999)</f>
        <v>43.92</v>
      </c>
      <c r="G2334" s="9">
        <f>IFERROR(__xludf.DUMMYFUNCTION("""COMPUTED_VALUE"""),32.94)</f>
        <v>32.94</v>
      </c>
      <c r="H2334" s="9">
        <f>IFERROR(__xludf.DUMMYFUNCTION("""COMPUTED_VALUE"""),3.0)</f>
        <v>3</v>
      </c>
      <c r="I2334" s="9"/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</row>
    <row r="2335" ht="15.75" customHeight="1">
      <c r="A2335" s="11">
        <f>IFERROR(__xludf.DUMMYFUNCTION("""COMPUTED_VALUE"""),44471.0)</f>
        <v>44471</v>
      </c>
      <c r="B2335" s="9">
        <f>IFERROR(__xludf.DUMMYFUNCTION("""COMPUTED_VALUE"""),1003610.0)</f>
        <v>1003610</v>
      </c>
      <c r="C2335" s="9">
        <f>IFERROR(__xludf.DUMMYFUNCTION("""COMPUTED_VALUE"""),80054.0)</f>
        <v>80054</v>
      </c>
      <c r="D2335" s="9"/>
      <c r="E2335" s="9"/>
      <c r="F2335" s="9">
        <f>IFERROR(__xludf.DUMMYFUNCTION("""COMPUTED_VALUE"""),2.88)</f>
        <v>2.88</v>
      </c>
      <c r="G2335" s="9">
        <f>IFERROR(__xludf.DUMMYFUNCTION("""COMPUTED_VALUE"""),2.88)</f>
        <v>2.88</v>
      </c>
      <c r="H2335" s="9">
        <f>IFERROR(__xludf.DUMMYFUNCTION("""COMPUTED_VALUE"""),1.0)</f>
        <v>1</v>
      </c>
      <c r="I2335" s="9"/>
      <c r="J2335" s="9"/>
      <c r="K2335" s="9"/>
      <c r="L2335" s="9"/>
      <c r="M2335" s="9"/>
      <c r="N2335" s="9"/>
      <c r="O2335" s="9"/>
      <c r="P2335" s="9"/>
      <c r="Q2335" s="9"/>
      <c r="R2335" s="9"/>
      <c r="S2335" s="9"/>
      <c r="T2335" s="9"/>
    </row>
    <row r="2336" ht="15.75" customHeight="1">
      <c r="A2336" s="11">
        <f>IFERROR(__xludf.DUMMYFUNCTION("""COMPUTED_VALUE"""),44471.0)</f>
        <v>44471</v>
      </c>
      <c r="B2336" s="9">
        <f>IFERROR(__xludf.DUMMYFUNCTION("""COMPUTED_VALUE"""),1003610.0)</f>
        <v>1003610</v>
      </c>
      <c r="C2336" s="9">
        <f>IFERROR(__xludf.DUMMYFUNCTION("""COMPUTED_VALUE"""),70206.0)</f>
        <v>70206</v>
      </c>
      <c r="D2336" s="9"/>
      <c r="E2336" s="9"/>
      <c r="F2336" s="9">
        <f>IFERROR(__xludf.DUMMYFUNCTION("""COMPUTED_VALUE"""),4.78)</f>
        <v>4.78</v>
      </c>
      <c r="G2336" s="9">
        <f>IFERROR(__xludf.DUMMYFUNCTION("""COMPUTED_VALUE"""),4.78)</f>
        <v>4.78</v>
      </c>
      <c r="H2336" s="9">
        <f>IFERROR(__xludf.DUMMYFUNCTION("""COMPUTED_VALUE"""),1.0)</f>
        <v>1</v>
      </c>
      <c r="I2336" s="9"/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</row>
    <row r="2337" ht="15.75" customHeight="1">
      <c r="A2337" s="11">
        <f>IFERROR(__xludf.DUMMYFUNCTION("""COMPUTED_VALUE"""),44471.0)</f>
        <v>44471</v>
      </c>
      <c r="B2337" s="9">
        <f>IFERROR(__xludf.DUMMYFUNCTION("""COMPUTED_VALUE"""),1003610.0)</f>
        <v>1003610</v>
      </c>
      <c r="C2337" s="9">
        <f>IFERROR(__xludf.DUMMYFUNCTION("""COMPUTED_VALUE"""),81501.0)</f>
        <v>81501</v>
      </c>
      <c r="D2337" s="9"/>
      <c r="E2337" s="9"/>
      <c r="F2337" s="9">
        <f>IFERROR(__xludf.DUMMYFUNCTION("""COMPUTED_VALUE"""),8.22)</f>
        <v>8.22</v>
      </c>
      <c r="G2337" s="9">
        <f>IFERROR(__xludf.DUMMYFUNCTION("""COMPUTED_VALUE"""),8.22)</f>
        <v>8.22</v>
      </c>
      <c r="H2337" s="9">
        <f>IFERROR(__xludf.DUMMYFUNCTION("""COMPUTED_VALUE"""),1.0)</f>
        <v>1</v>
      </c>
      <c r="I2337" s="9"/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</row>
    <row r="2338" ht="15.75" customHeight="1">
      <c r="A2338" s="11">
        <f>IFERROR(__xludf.DUMMYFUNCTION("""COMPUTED_VALUE"""),44471.0)</f>
        <v>44471</v>
      </c>
      <c r="B2338" s="9">
        <f>IFERROR(__xludf.DUMMYFUNCTION("""COMPUTED_VALUE"""),1003610.0)</f>
        <v>1003610</v>
      </c>
      <c r="C2338" s="9">
        <f>IFERROR(__xludf.DUMMYFUNCTION("""COMPUTED_VALUE"""),80089.0)</f>
        <v>80089</v>
      </c>
      <c r="D2338" s="9"/>
      <c r="E2338" s="9"/>
      <c r="F2338" s="9">
        <f>IFERROR(__xludf.DUMMYFUNCTION("""COMPUTED_VALUE"""),3.72)</f>
        <v>3.72</v>
      </c>
      <c r="G2338" s="9">
        <f>IFERROR(__xludf.DUMMYFUNCTION("""COMPUTED_VALUE"""),3.72)</f>
        <v>3.72</v>
      </c>
      <c r="H2338" s="9">
        <f>IFERROR(__xludf.DUMMYFUNCTION("""COMPUTED_VALUE"""),1.0)</f>
        <v>1</v>
      </c>
      <c r="I2338" s="9"/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</row>
    <row r="2339" ht="15.75" customHeight="1">
      <c r="A2339" s="11">
        <f>IFERROR(__xludf.DUMMYFUNCTION("""COMPUTED_VALUE"""),44471.0)</f>
        <v>44471</v>
      </c>
      <c r="B2339" s="9">
        <f>IFERROR(__xludf.DUMMYFUNCTION("""COMPUTED_VALUE"""),1003610.0)</f>
        <v>1003610</v>
      </c>
      <c r="C2339" s="9">
        <f>IFERROR(__xludf.DUMMYFUNCTION("""COMPUTED_VALUE"""),107256.0)</f>
        <v>107256</v>
      </c>
      <c r="D2339" s="9"/>
      <c r="E2339" s="9"/>
      <c r="F2339" s="9">
        <f>IFERROR(__xludf.DUMMYFUNCTION("""COMPUTED_VALUE"""),7.31)</f>
        <v>7.31</v>
      </c>
      <c r="G2339" s="9">
        <f>IFERROR(__xludf.DUMMYFUNCTION("""COMPUTED_VALUE"""),7.31)</f>
        <v>7.31</v>
      </c>
      <c r="H2339" s="9">
        <f>IFERROR(__xludf.DUMMYFUNCTION("""COMPUTED_VALUE"""),3.0)</f>
        <v>3</v>
      </c>
      <c r="I2339" s="9"/>
      <c r="J2339" s="9"/>
      <c r="K2339" s="9"/>
      <c r="L2339" s="9"/>
      <c r="M2339" s="9"/>
      <c r="N2339" s="9"/>
      <c r="O2339" s="9"/>
      <c r="P2339" s="9"/>
      <c r="Q2339" s="9"/>
      <c r="R2339" s="9"/>
      <c r="S2339" s="9"/>
      <c r="T2339" s="9"/>
    </row>
    <row r="2340" ht="15.75" customHeight="1">
      <c r="A2340" s="11">
        <f>IFERROR(__xludf.DUMMYFUNCTION("""COMPUTED_VALUE"""),44471.0)</f>
        <v>44471</v>
      </c>
      <c r="B2340" s="9">
        <f>IFERROR(__xludf.DUMMYFUNCTION("""COMPUTED_VALUE"""),1003611.0)</f>
        <v>1003611</v>
      </c>
      <c r="C2340" s="9">
        <f>IFERROR(__xludf.DUMMYFUNCTION("""COMPUTED_VALUE"""),102816.0)</f>
        <v>102816</v>
      </c>
      <c r="D2340" s="10" t="str">
        <f>IFERROR(__xludf.DUMMYFUNCTION("""COMPUTED_VALUE"""),"Vive le bio")</f>
        <v>Vive le bio</v>
      </c>
      <c r="E2340" s="10" t="str">
        <f>IFERROR(__xludf.DUMMYFUNCTION("""COMPUTED_VALUE"""),"PREMIERE")</f>
        <v>PREMIERE</v>
      </c>
      <c r="F2340" s="10">
        <f>IFERROR(__xludf.DUMMYFUNCTION("""COMPUTED_VALUE"""),48.0333333333333)</f>
        <v>48.03333333</v>
      </c>
      <c r="G2340" s="9">
        <f>IFERROR(__xludf.DUMMYFUNCTION("""COMPUTED_VALUE"""),43.23)</f>
        <v>43.23</v>
      </c>
      <c r="H2340" s="9">
        <f>IFERROR(__xludf.DUMMYFUNCTION("""COMPUTED_VALUE"""),1.0)</f>
        <v>1</v>
      </c>
      <c r="I2340" s="9"/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</row>
    <row r="2341" ht="15.75" customHeight="1">
      <c r="A2341" s="11">
        <f>IFERROR(__xludf.DUMMYFUNCTION("""COMPUTED_VALUE"""),44471.0)</f>
        <v>44471</v>
      </c>
      <c r="B2341" s="9">
        <f>IFERROR(__xludf.DUMMYFUNCTION("""COMPUTED_VALUE"""),1003613.0)</f>
        <v>1003613</v>
      </c>
      <c r="C2341" s="9">
        <f>IFERROR(__xludf.DUMMYFUNCTION("""COMPUTED_VALUE"""),76363.0)</f>
        <v>76363</v>
      </c>
      <c r="D2341" s="9"/>
      <c r="E2341" s="10" t="str">
        <f>IFERROR(__xludf.DUMMYFUNCTION("""COMPUTED_VALUE"""),"GREENRELAIS")</f>
        <v>GREENRELAIS</v>
      </c>
      <c r="F2341" s="10">
        <f>IFERROR(__xludf.DUMMYFUNCTION("""COMPUTED_VALUE"""),5.04)</f>
        <v>5.04</v>
      </c>
      <c r="G2341" s="9">
        <f>IFERROR(__xludf.DUMMYFUNCTION("""COMPUTED_VALUE"""),5.04)</f>
        <v>5.04</v>
      </c>
      <c r="H2341" s="9">
        <f>IFERROR(__xludf.DUMMYFUNCTION("""COMPUTED_VALUE"""),2.0)</f>
        <v>2</v>
      </c>
      <c r="I2341" s="9"/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</row>
    <row r="2342" ht="15.75" customHeight="1">
      <c r="A2342" s="11">
        <f>IFERROR(__xludf.DUMMYFUNCTION("""COMPUTED_VALUE"""),44471.0)</f>
        <v>44471</v>
      </c>
      <c r="B2342" s="9">
        <f>IFERROR(__xludf.DUMMYFUNCTION("""COMPUTED_VALUE"""),1003613.0)</f>
        <v>1003613</v>
      </c>
      <c r="C2342" s="9">
        <f>IFERROR(__xludf.DUMMYFUNCTION("""COMPUTED_VALUE"""),76601.0)</f>
        <v>76601</v>
      </c>
      <c r="D2342" s="9"/>
      <c r="E2342" s="10" t="str">
        <f>IFERROR(__xludf.DUMMYFUNCTION("""COMPUTED_VALUE"""),"GREENRELAIS")</f>
        <v>GREENRELAIS</v>
      </c>
      <c r="F2342" s="10">
        <f>IFERROR(__xludf.DUMMYFUNCTION("""COMPUTED_VALUE"""),3.9)</f>
        <v>3.9</v>
      </c>
      <c r="G2342" s="9">
        <f>IFERROR(__xludf.DUMMYFUNCTION("""COMPUTED_VALUE"""),3.9)</f>
        <v>3.9</v>
      </c>
      <c r="H2342" s="9">
        <f>IFERROR(__xludf.DUMMYFUNCTION("""COMPUTED_VALUE"""),2.0)</f>
        <v>2</v>
      </c>
      <c r="I2342" s="9"/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</row>
    <row r="2343" ht="15.75" customHeight="1">
      <c r="A2343" s="11">
        <f>IFERROR(__xludf.DUMMYFUNCTION("""COMPUTED_VALUE"""),44471.0)</f>
        <v>44471</v>
      </c>
      <c r="B2343" s="9">
        <f>IFERROR(__xludf.DUMMYFUNCTION("""COMPUTED_VALUE"""),1003613.0)</f>
        <v>1003613</v>
      </c>
      <c r="C2343" s="9">
        <f>IFERROR(__xludf.DUMMYFUNCTION("""COMPUTED_VALUE"""),73951.0)</f>
        <v>73951</v>
      </c>
      <c r="D2343" s="9"/>
      <c r="E2343" s="10" t="str">
        <f>IFERROR(__xludf.DUMMYFUNCTION("""COMPUTED_VALUE"""),"GREENRELAIS")</f>
        <v>GREENRELAIS</v>
      </c>
      <c r="F2343" s="10">
        <f>IFERROR(__xludf.DUMMYFUNCTION("""COMPUTED_VALUE"""),3.67)</f>
        <v>3.67</v>
      </c>
      <c r="G2343" s="9">
        <f>IFERROR(__xludf.DUMMYFUNCTION("""COMPUTED_VALUE"""),3.67)</f>
        <v>3.67</v>
      </c>
      <c r="H2343" s="9">
        <f>IFERROR(__xludf.DUMMYFUNCTION("""COMPUTED_VALUE"""),2.0)</f>
        <v>2</v>
      </c>
      <c r="I2343" s="9"/>
      <c r="J2343" s="9"/>
      <c r="K2343" s="9"/>
      <c r="L2343" s="9"/>
      <c r="M2343" s="9"/>
      <c r="N2343" s="9"/>
      <c r="O2343" s="9"/>
      <c r="P2343" s="9"/>
      <c r="Q2343" s="9"/>
      <c r="R2343" s="9"/>
      <c r="S2343" s="9"/>
      <c r="T2343" s="9"/>
    </row>
    <row r="2344" ht="15.75" customHeight="1">
      <c r="A2344" s="11">
        <f>IFERROR(__xludf.DUMMYFUNCTION("""COMPUTED_VALUE"""),44471.0)</f>
        <v>44471</v>
      </c>
      <c r="B2344" s="9">
        <f>IFERROR(__xludf.DUMMYFUNCTION("""COMPUTED_VALUE"""),1003613.0)</f>
        <v>1003613</v>
      </c>
      <c r="C2344" s="9">
        <f>IFERROR(__xludf.DUMMYFUNCTION("""COMPUTED_VALUE"""),5601.0)</f>
        <v>5601</v>
      </c>
      <c r="D2344" s="9"/>
      <c r="E2344" s="10" t="str">
        <f>IFERROR(__xludf.DUMMYFUNCTION("""COMPUTED_VALUE"""),"GREENRELAIS")</f>
        <v>GREENRELAIS</v>
      </c>
      <c r="F2344" s="10">
        <f>IFERROR(__xludf.DUMMYFUNCTION("""COMPUTED_VALUE"""),6.34)</f>
        <v>6.34</v>
      </c>
      <c r="G2344" s="9">
        <f>IFERROR(__xludf.DUMMYFUNCTION("""COMPUTED_VALUE"""),6.34)</f>
        <v>6.34</v>
      </c>
      <c r="H2344" s="9">
        <f>IFERROR(__xludf.DUMMYFUNCTION("""COMPUTED_VALUE"""),2.0)</f>
        <v>2</v>
      </c>
      <c r="I2344" s="9"/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</row>
    <row r="2345" ht="15.75" customHeight="1">
      <c r="A2345" s="11">
        <f>IFERROR(__xludf.DUMMYFUNCTION("""COMPUTED_VALUE"""),44471.0)</f>
        <v>44471</v>
      </c>
      <c r="B2345" s="9">
        <f>IFERROR(__xludf.DUMMYFUNCTION("""COMPUTED_VALUE"""),1003613.0)</f>
        <v>1003613</v>
      </c>
      <c r="C2345" s="9">
        <f>IFERROR(__xludf.DUMMYFUNCTION("""COMPUTED_VALUE"""),102720.0)</f>
        <v>102720</v>
      </c>
      <c r="D2345" s="9"/>
      <c r="E2345" s="10" t="str">
        <f>IFERROR(__xludf.DUMMYFUNCTION("""COMPUTED_VALUE"""),"GREENRELAIS")</f>
        <v>GREENRELAIS</v>
      </c>
      <c r="F2345" s="10">
        <f>IFERROR(__xludf.DUMMYFUNCTION("""COMPUTED_VALUE"""),16.65)</f>
        <v>16.65</v>
      </c>
      <c r="G2345" s="9">
        <f>IFERROR(__xludf.DUMMYFUNCTION("""COMPUTED_VALUE"""),16.65)</f>
        <v>16.65</v>
      </c>
      <c r="H2345" s="9">
        <f>IFERROR(__xludf.DUMMYFUNCTION("""COMPUTED_VALUE"""),4.0)</f>
        <v>4</v>
      </c>
      <c r="I2345" s="9"/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</row>
    <row r="2346" ht="15.75" customHeight="1">
      <c r="A2346" s="11">
        <f>IFERROR(__xludf.DUMMYFUNCTION("""COMPUTED_VALUE"""),44471.0)</f>
        <v>44471</v>
      </c>
      <c r="B2346" s="9">
        <f>IFERROR(__xludf.DUMMYFUNCTION("""COMPUTED_VALUE"""),1003613.0)</f>
        <v>1003613</v>
      </c>
      <c r="C2346" s="9">
        <f>IFERROR(__xludf.DUMMYFUNCTION("""COMPUTED_VALUE"""),114946.0)</f>
        <v>114946</v>
      </c>
      <c r="D2346" s="9"/>
      <c r="E2346" s="10" t="str">
        <f>IFERROR(__xludf.DUMMYFUNCTION("""COMPUTED_VALUE"""),"GREENRELAIS")</f>
        <v>GREENRELAIS</v>
      </c>
      <c r="F2346" s="10">
        <f>IFERROR(__xludf.DUMMYFUNCTION("""COMPUTED_VALUE"""),11.83)</f>
        <v>11.83</v>
      </c>
      <c r="G2346" s="9">
        <f>IFERROR(__xludf.DUMMYFUNCTION("""COMPUTED_VALUE"""),11.83)</f>
        <v>11.83</v>
      </c>
      <c r="H2346" s="9">
        <f>IFERROR(__xludf.DUMMYFUNCTION("""COMPUTED_VALUE"""),5.0)</f>
        <v>5</v>
      </c>
      <c r="I2346" s="9"/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</row>
    <row r="2347" ht="15.75" customHeight="1">
      <c r="A2347" s="11">
        <f>IFERROR(__xludf.DUMMYFUNCTION("""COMPUTED_VALUE"""),44471.0)</f>
        <v>44471</v>
      </c>
      <c r="B2347" s="9">
        <f>IFERROR(__xludf.DUMMYFUNCTION("""COMPUTED_VALUE"""),1003613.0)</f>
        <v>1003613</v>
      </c>
      <c r="C2347" s="9">
        <f>IFERROR(__xludf.DUMMYFUNCTION("""COMPUTED_VALUE"""),91264.0)</f>
        <v>91264</v>
      </c>
      <c r="D2347" s="9"/>
      <c r="E2347" s="10" t="str">
        <f>IFERROR(__xludf.DUMMYFUNCTION("""COMPUTED_VALUE"""),"GREENRELAIS")</f>
        <v>GREENRELAIS</v>
      </c>
      <c r="F2347" s="10">
        <f>IFERROR(__xludf.DUMMYFUNCTION("""COMPUTED_VALUE"""),11.93)</f>
        <v>11.93</v>
      </c>
      <c r="G2347" s="9">
        <f>IFERROR(__xludf.DUMMYFUNCTION("""COMPUTED_VALUE"""),11.93)</f>
        <v>11.93</v>
      </c>
      <c r="H2347" s="9">
        <f>IFERROR(__xludf.DUMMYFUNCTION("""COMPUTED_VALUE"""),5.0)</f>
        <v>5</v>
      </c>
      <c r="I2347" s="9"/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</row>
    <row r="2348" ht="15.75" customHeight="1">
      <c r="A2348" s="11">
        <f>IFERROR(__xludf.DUMMYFUNCTION("""COMPUTED_VALUE"""),44471.0)</f>
        <v>44471</v>
      </c>
      <c r="B2348" s="9">
        <f>IFERROR(__xludf.DUMMYFUNCTION("""COMPUTED_VALUE"""),1003614.0)</f>
        <v>1003614</v>
      </c>
      <c r="C2348" s="9">
        <f>IFERROR(__xludf.DUMMYFUNCTION("""COMPUTED_VALUE"""),119824.0)</f>
        <v>119824</v>
      </c>
      <c r="D2348" s="9"/>
      <c r="E2348" s="9"/>
      <c r="F2348" s="9">
        <f>IFERROR(__xludf.DUMMYFUNCTION("""COMPUTED_VALUE"""),17.48)</f>
        <v>17.48</v>
      </c>
      <c r="G2348" s="9">
        <f>IFERROR(__xludf.DUMMYFUNCTION("""COMPUTED_VALUE"""),17.48)</f>
        <v>17.48</v>
      </c>
      <c r="H2348" s="9">
        <f>IFERROR(__xludf.DUMMYFUNCTION("""COMPUTED_VALUE"""),1.0)</f>
        <v>1</v>
      </c>
      <c r="I2348" s="9"/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</row>
    <row r="2349" ht="15.75" customHeight="1">
      <c r="A2349" s="11">
        <f>IFERROR(__xludf.DUMMYFUNCTION("""COMPUTED_VALUE"""),44471.0)</f>
        <v>44471</v>
      </c>
      <c r="B2349" s="9">
        <f>IFERROR(__xludf.DUMMYFUNCTION("""COMPUTED_VALUE"""),1003615.0)</f>
        <v>1003615</v>
      </c>
      <c r="C2349" s="9">
        <f>IFERROR(__xludf.DUMMYFUNCTION("""COMPUTED_VALUE"""),5485.0)</f>
        <v>5485</v>
      </c>
      <c r="D2349" s="9"/>
      <c r="E2349" s="10" t="str">
        <f>IFERROR(__xludf.DUMMYFUNCTION("""COMPUTED_VALUE"""),"GREENRELAIS")</f>
        <v>GREENRELAIS</v>
      </c>
      <c r="F2349" s="10">
        <f>IFERROR(__xludf.DUMMYFUNCTION("""COMPUTED_VALUE"""),59.94)</f>
        <v>59.94</v>
      </c>
      <c r="G2349" s="9">
        <f>IFERROR(__xludf.DUMMYFUNCTION("""COMPUTED_VALUE"""),59.94)</f>
        <v>59.94</v>
      </c>
      <c r="H2349" s="9">
        <f>IFERROR(__xludf.DUMMYFUNCTION("""COMPUTED_VALUE"""),8.0)</f>
        <v>8</v>
      </c>
      <c r="I2349" s="9"/>
      <c r="J2349" s="9"/>
      <c r="K2349" s="9"/>
      <c r="L2349" s="9"/>
      <c r="M2349" s="9"/>
      <c r="N2349" s="9"/>
      <c r="O2349" s="9"/>
      <c r="P2349" s="9"/>
      <c r="Q2349" s="9"/>
      <c r="R2349" s="9"/>
      <c r="S2349" s="9"/>
      <c r="T2349" s="9"/>
    </row>
    <row r="2350" ht="15.75" customHeight="1">
      <c r="A2350" s="11">
        <f>IFERROR(__xludf.DUMMYFUNCTION("""COMPUTED_VALUE"""),44471.0)</f>
        <v>44471</v>
      </c>
      <c r="B2350" s="9">
        <f>IFERROR(__xludf.DUMMYFUNCTION("""COMPUTED_VALUE"""),1003616.0)</f>
        <v>1003616</v>
      </c>
      <c r="C2350" s="9">
        <f>IFERROR(__xludf.DUMMYFUNCTION("""COMPUTED_VALUE"""),47514.0)</f>
        <v>47514</v>
      </c>
      <c r="D2350" s="9"/>
      <c r="E2350" s="10" t="str">
        <f>IFERROR(__xludf.DUMMYFUNCTION("""COMPUTED_VALUE"""),"PREMIERE")</f>
        <v>PREMIERE</v>
      </c>
      <c r="F2350" s="10">
        <f>IFERROR(__xludf.DUMMYFUNCTION("""COMPUTED_VALUE"""),7.29)</f>
        <v>7.29</v>
      </c>
      <c r="G2350" s="9">
        <f>IFERROR(__xludf.DUMMYFUNCTION("""COMPUTED_VALUE"""),7.29)</f>
        <v>7.29</v>
      </c>
      <c r="H2350" s="9">
        <f>IFERROR(__xludf.DUMMYFUNCTION("""COMPUTED_VALUE"""),1.0)</f>
        <v>1</v>
      </c>
      <c r="I2350" s="9"/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</row>
    <row r="2351" ht="15.75" customHeight="1">
      <c r="A2351" s="11">
        <f>IFERROR(__xludf.DUMMYFUNCTION("""COMPUTED_VALUE"""),44471.0)</f>
        <v>44471</v>
      </c>
      <c r="B2351" s="9">
        <f>IFERROR(__xludf.DUMMYFUNCTION("""COMPUTED_VALUE"""),1003616.0)</f>
        <v>1003616</v>
      </c>
      <c r="C2351" s="9">
        <f>IFERROR(__xludf.DUMMYFUNCTION("""COMPUTED_VALUE"""),5807.0)</f>
        <v>5807</v>
      </c>
      <c r="D2351" s="9"/>
      <c r="E2351" s="10" t="str">
        <f>IFERROR(__xludf.DUMMYFUNCTION("""COMPUTED_VALUE"""),"PREMIERE")</f>
        <v>PREMIERE</v>
      </c>
      <c r="F2351" s="10">
        <f>IFERROR(__xludf.DUMMYFUNCTION("""COMPUTED_VALUE"""),5.3)</f>
        <v>5.3</v>
      </c>
      <c r="G2351" s="9">
        <f>IFERROR(__xludf.DUMMYFUNCTION("""COMPUTED_VALUE"""),5.3)</f>
        <v>5.3</v>
      </c>
      <c r="H2351" s="9">
        <f>IFERROR(__xludf.DUMMYFUNCTION("""COMPUTED_VALUE"""),1.0)</f>
        <v>1</v>
      </c>
      <c r="I2351" s="9"/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</row>
    <row r="2352" ht="15.75" customHeight="1">
      <c r="A2352" s="11">
        <f>IFERROR(__xludf.DUMMYFUNCTION("""COMPUTED_VALUE"""),44471.0)</f>
        <v>44471</v>
      </c>
      <c r="B2352" s="9">
        <f>IFERROR(__xludf.DUMMYFUNCTION("""COMPUTED_VALUE"""),1003616.0)</f>
        <v>1003616</v>
      </c>
      <c r="C2352" s="9">
        <f>IFERROR(__xludf.DUMMYFUNCTION("""COMPUTED_VALUE"""),119239.0)</f>
        <v>119239</v>
      </c>
      <c r="D2352" s="9"/>
      <c r="E2352" s="10" t="str">
        <f>IFERROR(__xludf.DUMMYFUNCTION("""COMPUTED_VALUE"""),"PREMIERE")</f>
        <v>PREMIERE</v>
      </c>
      <c r="F2352" s="10">
        <f>IFERROR(__xludf.DUMMYFUNCTION("""COMPUTED_VALUE"""),2.66)</f>
        <v>2.66</v>
      </c>
      <c r="G2352" s="9">
        <f>IFERROR(__xludf.DUMMYFUNCTION("""COMPUTED_VALUE"""),2.66)</f>
        <v>2.66</v>
      </c>
      <c r="H2352" s="9">
        <f>IFERROR(__xludf.DUMMYFUNCTION("""COMPUTED_VALUE"""),1.0)</f>
        <v>1</v>
      </c>
      <c r="I2352" s="9"/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</row>
    <row r="2353" ht="15.75" customHeight="1">
      <c r="A2353" s="11">
        <f>IFERROR(__xludf.DUMMYFUNCTION("""COMPUTED_VALUE"""),44471.0)</f>
        <v>44471</v>
      </c>
      <c r="B2353" s="9">
        <f>IFERROR(__xludf.DUMMYFUNCTION("""COMPUTED_VALUE"""),1003616.0)</f>
        <v>1003616</v>
      </c>
      <c r="C2353" s="9">
        <f>IFERROR(__xludf.DUMMYFUNCTION("""COMPUTED_VALUE"""),18115.0)</f>
        <v>18115</v>
      </c>
      <c r="D2353" s="9"/>
      <c r="E2353" s="10" t="str">
        <f>IFERROR(__xludf.DUMMYFUNCTION("""COMPUTED_VALUE"""),"PREMIERE")</f>
        <v>PREMIERE</v>
      </c>
      <c r="F2353" s="10">
        <f>IFERROR(__xludf.DUMMYFUNCTION("""COMPUTED_VALUE"""),3.79)</f>
        <v>3.79</v>
      </c>
      <c r="G2353" s="9">
        <f>IFERROR(__xludf.DUMMYFUNCTION("""COMPUTED_VALUE"""),3.79)</f>
        <v>3.79</v>
      </c>
      <c r="H2353" s="9">
        <f>IFERROR(__xludf.DUMMYFUNCTION("""COMPUTED_VALUE"""),1.0)</f>
        <v>1</v>
      </c>
      <c r="I2353" s="9"/>
      <c r="J2353" s="9"/>
      <c r="K2353" s="9"/>
      <c r="L2353" s="9"/>
      <c r="M2353" s="9"/>
      <c r="N2353" s="9"/>
      <c r="O2353" s="9"/>
      <c r="P2353" s="9"/>
      <c r="Q2353" s="9"/>
      <c r="R2353" s="9"/>
      <c r="S2353" s="9"/>
      <c r="T2353" s="9"/>
    </row>
    <row r="2354" ht="15.75" customHeight="1">
      <c r="A2354" s="11">
        <f>IFERROR(__xludf.DUMMYFUNCTION("""COMPUTED_VALUE"""),44471.0)</f>
        <v>44471</v>
      </c>
      <c r="B2354" s="9">
        <f>IFERROR(__xludf.DUMMYFUNCTION("""COMPUTED_VALUE"""),1003616.0)</f>
        <v>1003616</v>
      </c>
      <c r="C2354" s="9">
        <f>IFERROR(__xludf.DUMMYFUNCTION("""COMPUTED_VALUE"""),72247.0)</f>
        <v>72247</v>
      </c>
      <c r="D2354" s="10" t="str">
        <f>IFERROR(__xludf.DUMMYFUNCTION("""COMPUTED_VALUE"""),"Vive le bio")</f>
        <v>Vive le bio</v>
      </c>
      <c r="E2354" s="10" t="str">
        <f>IFERROR(__xludf.DUMMYFUNCTION("""COMPUTED_VALUE"""),"PREMIERE")</f>
        <v>PREMIERE</v>
      </c>
      <c r="F2354" s="10">
        <f>IFERROR(__xludf.DUMMYFUNCTION("""COMPUTED_VALUE"""),11.1666666666666)</f>
        <v>11.16666667</v>
      </c>
      <c r="G2354" s="9">
        <f>IFERROR(__xludf.DUMMYFUNCTION("""COMPUTED_VALUE"""),10.05)</f>
        <v>10.05</v>
      </c>
      <c r="H2354" s="9">
        <f>IFERROR(__xludf.DUMMYFUNCTION("""COMPUTED_VALUE"""),1.0)</f>
        <v>1</v>
      </c>
      <c r="I2354" s="9"/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</row>
    <row r="2355" ht="15.75" customHeight="1">
      <c r="A2355" s="11">
        <f>IFERROR(__xludf.DUMMYFUNCTION("""COMPUTED_VALUE"""),44471.0)</f>
        <v>44471</v>
      </c>
      <c r="B2355" s="9">
        <f>IFERROR(__xludf.DUMMYFUNCTION("""COMPUTED_VALUE"""),1003616.0)</f>
        <v>1003616</v>
      </c>
      <c r="C2355" s="9">
        <f>IFERROR(__xludf.DUMMYFUNCTION("""COMPUTED_VALUE"""),46482.0)</f>
        <v>46482</v>
      </c>
      <c r="D2355" s="9"/>
      <c r="E2355" s="10" t="str">
        <f>IFERROR(__xludf.DUMMYFUNCTION("""COMPUTED_VALUE"""),"PREMIERE")</f>
        <v>PREMIERE</v>
      </c>
      <c r="F2355" s="10">
        <f>IFERROR(__xludf.DUMMYFUNCTION("""COMPUTED_VALUE"""),3.67)</f>
        <v>3.67</v>
      </c>
      <c r="G2355" s="9">
        <f>IFERROR(__xludf.DUMMYFUNCTION("""COMPUTED_VALUE"""),3.67)</f>
        <v>3.67</v>
      </c>
      <c r="H2355" s="9">
        <f>IFERROR(__xludf.DUMMYFUNCTION("""COMPUTED_VALUE"""),1.0)</f>
        <v>1</v>
      </c>
      <c r="I2355" s="9"/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</row>
    <row r="2356" ht="15.75" customHeight="1">
      <c r="A2356" s="11">
        <f>IFERROR(__xludf.DUMMYFUNCTION("""COMPUTED_VALUE"""),44471.0)</f>
        <v>44471</v>
      </c>
      <c r="B2356" s="9">
        <f>IFERROR(__xludf.DUMMYFUNCTION("""COMPUTED_VALUE"""),1003616.0)</f>
        <v>1003616</v>
      </c>
      <c r="C2356" s="9">
        <f>IFERROR(__xludf.DUMMYFUNCTION("""COMPUTED_VALUE"""),76671.0)</f>
        <v>76671</v>
      </c>
      <c r="D2356" s="10" t="str">
        <f>IFERROR(__xludf.DUMMYFUNCTION("""COMPUTED_VALUE"""),"Vive le bio")</f>
        <v>Vive le bio</v>
      </c>
      <c r="E2356" s="10" t="str">
        <f>IFERROR(__xludf.DUMMYFUNCTION("""COMPUTED_VALUE"""),"PREMIERE")</f>
        <v>PREMIERE</v>
      </c>
      <c r="F2356" s="10">
        <f>IFERROR(__xludf.DUMMYFUNCTION("""COMPUTED_VALUE"""),1.54444444444444)</f>
        <v>1.544444444</v>
      </c>
      <c r="G2356" s="9">
        <f>IFERROR(__xludf.DUMMYFUNCTION("""COMPUTED_VALUE"""),1.39)</f>
        <v>1.39</v>
      </c>
      <c r="H2356" s="9">
        <f>IFERROR(__xludf.DUMMYFUNCTION("""COMPUTED_VALUE"""),1.0)</f>
        <v>1</v>
      </c>
      <c r="I2356" s="9"/>
      <c r="J2356" s="9"/>
      <c r="K2356" s="9"/>
      <c r="L2356" s="9"/>
      <c r="M2356" s="9"/>
      <c r="N2356" s="9"/>
      <c r="O2356" s="9"/>
      <c r="P2356" s="9"/>
      <c r="Q2356" s="9"/>
      <c r="R2356" s="9"/>
      <c r="S2356" s="9"/>
      <c r="T2356" s="9"/>
    </row>
    <row r="2357" ht="15.75" customHeight="1">
      <c r="A2357" s="11">
        <f>IFERROR(__xludf.DUMMYFUNCTION("""COMPUTED_VALUE"""),44471.0)</f>
        <v>44471</v>
      </c>
      <c r="B2357" s="9">
        <f>IFERROR(__xludf.DUMMYFUNCTION("""COMPUTED_VALUE"""),1003616.0)</f>
        <v>1003616</v>
      </c>
      <c r="C2357" s="9">
        <f>IFERROR(__xludf.DUMMYFUNCTION("""COMPUTED_VALUE"""),91355.0)</f>
        <v>91355</v>
      </c>
      <c r="D2357" s="9"/>
      <c r="E2357" s="10" t="str">
        <f>IFERROR(__xludf.DUMMYFUNCTION("""COMPUTED_VALUE"""),"PREMIERE")</f>
        <v>PREMIERE</v>
      </c>
      <c r="F2357" s="10">
        <f>IFERROR(__xludf.DUMMYFUNCTION("""COMPUTED_VALUE"""),1.53)</f>
        <v>1.53</v>
      </c>
      <c r="G2357" s="9">
        <f>IFERROR(__xludf.DUMMYFUNCTION("""COMPUTED_VALUE"""),1.53)</f>
        <v>1.53</v>
      </c>
      <c r="H2357" s="9">
        <f>IFERROR(__xludf.DUMMYFUNCTION("""COMPUTED_VALUE"""),1.0)</f>
        <v>1</v>
      </c>
      <c r="I2357" s="9"/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</row>
    <row r="2358" ht="15.75" customHeight="1">
      <c r="A2358" s="11">
        <f>IFERROR(__xludf.DUMMYFUNCTION("""COMPUTED_VALUE"""),44471.0)</f>
        <v>44471</v>
      </c>
      <c r="B2358" s="9">
        <f>IFERROR(__xludf.DUMMYFUNCTION("""COMPUTED_VALUE"""),1003616.0)</f>
        <v>1003616</v>
      </c>
      <c r="C2358" s="9">
        <f>IFERROR(__xludf.DUMMYFUNCTION("""COMPUTED_VALUE"""),158661.0)</f>
        <v>158661</v>
      </c>
      <c r="D2358" s="9"/>
      <c r="E2358" s="10" t="str">
        <f>IFERROR(__xludf.DUMMYFUNCTION("""COMPUTED_VALUE"""),"PREMIERE")</f>
        <v>PREMIERE</v>
      </c>
      <c r="F2358" s="10">
        <f>IFERROR(__xludf.DUMMYFUNCTION("""COMPUTED_VALUE"""),11.51)</f>
        <v>11.51</v>
      </c>
      <c r="G2358" s="9">
        <f>IFERROR(__xludf.DUMMYFUNCTION("""COMPUTED_VALUE"""),11.51)</f>
        <v>11.51</v>
      </c>
      <c r="H2358" s="9">
        <f>IFERROR(__xludf.DUMMYFUNCTION("""COMPUTED_VALUE"""),1.0)</f>
        <v>1</v>
      </c>
      <c r="I2358" s="9"/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</row>
    <row r="2359" ht="15.75" customHeight="1">
      <c r="A2359" s="11">
        <f>IFERROR(__xludf.DUMMYFUNCTION("""COMPUTED_VALUE"""),44471.0)</f>
        <v>44471</v>
      </c>
      <c r="B2359" s="9">
        <f>IFERROR(__xludf.DUMMYFUNCTION("""COMPUTED_VALUE"""),1003616.0)</f>
        <v>1003616</v>
      </c>
      <c r="C2359" s="9">
        <f>IFERROR(__xludf.DUMMYFUNCTION("""COMPUTED_VALUE"""),90923.0)</f>
        <v>90923</v>
      </c>
      <c r="D2359" s="10" t="str">
        <f>IFERROR(__xludf.DUMMYFUNCTION("""COMPUTED_VALUE"""),"Offre speciale")</f>
        <v>Offre speciale</v>
      </c>
      <c r="E2359" s="10" t="str">
        <f>IFERROR(__xludf.DUMMYFUNCTION("""COMPUTED_VALUE"""),"PREMIERE")</f>
        <v>PREMIERE</v>
      </c>
      <c r="F2359" s="10">
        <f>IFERROR(__xludf.DUMMYFUNCTION("""COMPUTED_VALUE"""),4.01136363636363)</f>
        <v>4.011363636</v>
      </c>
      <c r="G2359" s="9">
        <f>IFERROR(__xludf.DUMMYFUNCTION("""COMPUTED_VALUE"""),3.53)</f>
        <v>3.53</v>
      </c>
      <c r="H2359" s="9">
        <f>IFERROR(__xludf.DUMMYFUNCTION("""COMPUTED_VALUE"""),1.0)</f>
        <v>1</v>
      </c>
      <c r="I2359" s="9"/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</row>
    <row r="2360" ht="15.75" customHeight="1">
      <c r="A2360" s="11">
        <f>IFERROR(__xludf.DUMMYFUNCTION("""COMPUTED_VALUE"""),44471.0)</f>
        <v>44471</v>
      </c>
      <c r="B2360" s="9">
        <f>IFERROR(__xludf.DUMMYFUNCTION("""COMPUTED_VALUE"""),1003616.0)</f>
        <v>1003616</v>
      </c>
      <c r="C2360" s="9">
        <f>IFERROR(__xludf.DUMMYFUNCTION("""COMPUTED_VALUE"""),76365.0)</f>
        <v>76365</v>
      </c>
      <c r="D2360" s="9"/>
      <c r="E2360" s="10" t="str">
        <f>IFERROR(__xludf.DUMMYFUNCTION("""COMPUTED_VALUE"""),"PREMIERE")</f>
        <v>PREMIERE</v>
      </c>
      <c r="F2360" s="10">
        <f>IFERROR(__xludf.DUMMYFUNCTION("""COMPUTED_VALUE"""),2.08)</f>
        <v>2.08</v>
      </c>
      <c r="G2360" s="9">
        <f>IFERROR(__xludf.DUMMYFUNCTION("""COMPUTED_VALUE"""),2.08)</f>
        <v>2.08</v>
      </c>
      <c r="H2360" s="9">
        <f>IFERROR(__xludf.DUMMYFUNCTION("""COMPUTED_VALUE"""),1.0)</f>
        <v>1</v>
      </c>
      <c r="I2360" s="9"/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</row>
    <row r="2361" ht="15.75" customHeight="1">
      <c r="A2361" s="11">
        <f>IFERROR(__xludf.DUMMYFUNCTION("""COMPUTED_VALUE"""),44471.0)</f>
        <v>44471</v>
      </c>
      <c r="B2361" s="9">
        <f>IFERROR(__xludf.DUMMYFUNCTION("""COMPUTED_VALUE"""),1003616.0)</f>
        <v>1003616</v>
      </c>
      <c r="C2361" s="9">
        <f>IFERROR(__xludf.DUMMYFUNCTION("""COMPUTED_VALUE"""),117148.0)</f>
        <v>117148</v>
      </c>
      <c r="D2361" s="9"/>
      <c r="E2361" s="10" t="str">
        <f>IFERROR(__xludf.DUMMYFUNCTION("""COMPUTED_VALUE"""),"PREMIERE")</f>
        <v>PREMIERE</v>
      </c>
      <c r="F2361" s="10">
        <f>IFERROR(__xludf.DUMMYFUNCTION("""COMPUTED_VALUE"""),2.08)</f>
        <v>2.08</v>
      </c>
      <c r="G2361" s="9">
        <f>IFERROR(__xludf.DUMMYFUNCTION("""COMPUTED_VALUE"""),2.08)</f>
        <v>2.08</v>
      </c>
      <c r="H2361" s="9">
        <f>IFERROR(__xludf.DUMMYFUNCTION("""COMPUTED_VALUE"""),1.0)</f>
        <v>1</v>
      </c>
      <c r="I2361" s="9"/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</row>
    <row r="2362" ht="15.75" customHeight="1">
      <c r="A2362" s="11">
        <f>IFERROR(__xludf.DUMMYFUNCTION("""COMPUTED_VALUE"""),44471.0)</f>
        <v>44471</v>
      </c>
      <c r="B2362" s="9">
        <f>IFERROR(__xludf.DUMMYFUNCTION("""COMPUTED_VALUE"""),1003616.0)</f>
        <v>1003616</v>
      </c>
      <c r="C2362" s="9">
        <f>IFERROR(__xludf.DUMMYFUNCTION("""COMPUTED_VALUE"""),9205.0)</f>
        <v>9205</v>
      </c>
      <c r="D2362" s="9"/>
      <c r="E2362" s="10" t="str">
        <f>IFERROR(__xludf.DUMMYFUNCTION("""COMPUTED_VALUE"""),"PREMIERE")</f>
        <v>PREMIERE</v>
      </c>
      <c r="F2362" s="10">
        <f>IFERROR(__xludf.DUMMYFUNCTION("""COMPUTED_VALUE"""),2.22)</f>
        <v>2.22</v>
      </c>
      <c r="G2362" s="9">
        <f>IFERROR(__xludf.DUMMYFUNCTION("""COMPUTED_VALUE"""),2.22)</f>
        <v>2.22</v>
      </c>
      <c r="H2362" s="9">
        <f>IFERROR(__xludf.DUMMYFUNCTION("""COMPUTED_VALUE"""),1.0)</f>
        <v>1</v>
      </c>
      <c r="I2362" s="9"/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</row>
    <row r="2363" ht="15.75" customHeight="1">
      <c r="A2363" s="11">
        <f>IFERROR(__xludf.DUMMYFUNCTION("""COMPUTED_VALUE"""),44471.0)</f>
        <v>44471</v>
      </c>
      <c r="B2363" s="9">
        <f>IFERROR(__xludf.DUMMYFUNCTION("""COMPUTED_VALUE"""),1003616.0)</f>
        <v>1003616</v>
      </c>
      <c r="C2363" s="9">
        <f>IFERROR(__xludf.DUMMYFUNCTION("""COMPUTED_VALUE"""),117218.0)</f>
        <v>117218</v>
      </c>
      <c r="D2363" s="9"/>
      <c r="E2363" s="10" t="str">
        <f>IFERROR(__xludf.DUMMYFUNCTION("""COMPUTED_VALUE"""),"PREMIERE")</f>
        <v>PREMIERE</v>
      </c>
      <c r="F2363" s="10">
        <f>IFERROR(__xludf.DUMMYFUNCTION("""COMPUTED_VALUE"""),3.24)</f>
        <v>3.24</v>
      </c>
      <c r="G2363" s="9">
        <f>IFERROR(__xludf.DUMMYFUNCTION("""COMPUTED_VALUE"""),3.24)</f>
        <v>3.24</v>
      </c>
      <c r="H2363" s="9">
        <f>IFERROR(__xludf.DUMMYFUNCTION("""COMPUTED_VALUE"""),1.0)</f>
        <v>1</v>
      </c>
      <c r="I2363" s="9"/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</row>
    <row r="2364" ht="15.75" customHeight="1">
      <c r="A2364" s="11">
        <f>IFERROR(__xludf.DUMMYFUNCTION("""COMPUTED_VALUE"""),44471.0)</f>
        <v>44471</v>
      </c>
      <c r="B2364" s="9">
        <f>IFERROR(__xludf.DUMMYFUNCTION("""COMPUTED_VALUE"""),1003616.0)</f>
        <v>1003616</v>
      </c>
      <c r="C2364" s="9">
        <f>IFERROR(__xludf.DUMMYFUNCTION("""COMPUTED_VALUE"""),112194.0)</f>
        <v>112194</v>
      </c>
      <c r="D2364" s="9"/>
      <c r="E2364" s="10" t="str">
        <f>IFERROR(__xludf.DUMMYFUNCTION("""COMPUTED_VALUE"""),"PREMIERE")</f>
        <v>PREMIERE</v>
      </c>
      <c r="F2364" s="10">
        <f>IFERROR(__xludf.DUMMYFUNCTION("""COMPUTED_VALUE"""),2.12)</f>
        <v>2.12</v>
      </c>
      <c r="G2364" s="9">
        <f>IFERROR(__xludf.DUMMYFUNCTION("""COMPUTED_VALUE"""),2.12)</f>
        <v>2.12</v>
      </c>
      <c r="H2364" s="9">
        <f>IFERROR(__xludf.DUMMYFUNCTION("""COMPUTED_VALUE"""),1.0)</f>
        <v>1</v>
      </c>
      <c r="I2364" s="9"/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</row>
    <row r="2365" ht="15.75" customHeight="1">
      <c r="A2365" s="11">
        <f>IFERROR(__xludf.DUMMYFUNCTION("""COMPUTED_VALUE"""),44471.0)</f>
        <v>44471</v>
      </c>
      <c r="B2365" s="9">
        <f>IFERROR(__xludf.DUMMYFUNCTION("""COMPUTED_VALUE"""),1003616.0)</f>
        <v>1003616</v>
      </c>
      <c r="C2365" s="9">
        <f>IFERROR(__xludf.DUMMYFUNCTION("""COMPUTED_VALUE"""),88268.0)</f>
        <v>88268</v>
      </c>
      <c r="D2365" s="9"/>
      <c r="E2365" s="10" t="str">
        <f>IFERROR(__xludf.DUMMYFUNCTION("""COMPUTED_VALUE"""),"PREMIERE")</f>
        <v>PREMIERE</v>
      </c>
      <c r="F2365" s="10">
        <f>IFERROR(__xludf.DUMMYFUNCTION("""COMPUTED_VALUE"""),1.06)</f>
        <v>1.06</v>
      </c>
      <c r="G2365" s="9">
        <f>IFERROR(__xludf.DUMMYFUNCTION("""COMPUTED_VALUE"""),1.06)</f>
        <v>1.06</v>
      </c>
      <c r="H2365" s="9">
        <f>IFERROR(__xludf.DUMMYFUNCTION("""COMPUTED_VALUE"""),1.0)</f>
        <v>1</v>
      </c>
      <c r="I2365" s="9"/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</row>
    <row r="2366" ht="15.75" customHeight="1">
      <c r="A2366" s="11">
        <f>IFERROR(__xludf.DUMMYFUNCTION("""COMPUTED_VALUE"""),44471.0)</f>
        <v>44471</v>
      </c>
      <c r="B2366" s="9">
        <f>IFERROR(__xludf.DUMMYFUNCTION("""COMPUTED_VALUE"""),1003616.0)</f>
        <v>1003616</v>
      </c>
      <c r="C2366" s="9">
        <f>IFERROR(__xludf.DUMMYFUNCTION("""COMPUTED_VALUE"""),77326.0)</f>
        <v>77326</v>
      </c>
      <c r="D2366" s="9"/>
      <c r="E2366" s="10" t="str">
        <f>IFERROR(__xludf.DUMMYFUNCTION("""COMPUTED_VALUE"""),"PREMIERE")</f>
        <v>PREMIERE</v>
      </c>
      <c r="F2366" s="10">
        <f>IFERROR(__xludf.DUMMYFUNCTION("""COMPUTED_VALUE"""),8.47)</f>
        <v>8.47</v>
      </c>
      <c r="G2366" s="9">
        <f>IFERROR(__xludf.DUMMYFUNCTION("""COMPUTED_VALUE"""),8.47)</f>
        <v>8.47</v>
      </c>
      <c r="H2366" s="9">
        <f>IFERROR(__xludf.DUMMYFUNCTION("""COMPUTED_VALUE"""),3.0)</f>
        <v>3</v>
      </c>
      <c r="I2366" s="9"/>
      <c r="J2366" s="9"/>
      <c r="K2366" s="9"/>
      <c r="L2366" s="9"/>
      <c r="M2366" s="9"/>
      <c r="N2366" s="9"/>
      <c r="O2366" s="9"/>
      <c r="P2366" s="9"/>
      <c r="Q2366" s="9"/>
      <c r="R2366" s="9"/>
      <c r="S2366" s="9"/>
      <c r="T2366" s="9"/>
    </row>
    <row r="2367" ht="15.75" customHeight="1">
      <c r="A2367" s="11">
        <f>IFERROR(__xludf.DUMMYFUNCTION("""COMPUTED_VALUE"""),44471.0)</f>
        <v>44471</v>
      </c>
      <c r="B2367" s="9">
        <f>IFERROR(__xludf.DUMMYFUNCTION("""COMPUTED_VALUE"""),1003617.0)</f>
        <v>1003617</v>
      </c>
      <c r="C2367" s="9">
        <f>IFERROR(__xludf.DUMMYFUNCTION("""COMPUTED_VALUE"""),117748.0)</f>
        <v>117748</v>
      </c>
      <c r="D2367" s="9"/>
      <c r="E2367" s="9"/>
      <c r="F2367" s="9">
        <f>IFERROR(__xludf.DUMMYFUNCTION("""COMPUTED_VALUE"""),13.54)</f>
        <v>13.54</v>
      </c>
      <c r="G2367" s="9">
        <f>IFERROR(__xludf.DUMMYFUNCTION("""COMPUTED_VALUE"""),13.54)</f>
        <v>13.54</v>
      </c>
      <c r="H2367" s="9">
        <f>IFERROR(__xludf.DUMMYFUNCTION("""COMPUTED_VALUE"""),1.0)</f>
        <v>1</v>
      </c>
      <c r="I2367" s="9"/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</row>
    <row r="2368" ht="15.75" customHeight="1">
      <c r="A2368" s="11">
        <f>IFERROR(__xludf.DUMMYFUNCTION("""COMPUTED_VALUE"""),44471.0)</f>
        <v>44471</v>
      </c>
      <c r="B2368" s="9">
        <f>IFERROR(__xludf.DUMMYFUNCTION("""COMPUTED_VALUE"""),1003617.0)</f>
        <v>1003617</v>
      </c>
      <c r="C2368" s="9">
        <f>IFERROR(__xludf.DUMMYFUNCTION("""COMPUTED_VALUE"""),121616.0)</f>
        <v>121616</v>
      </c>
      <c r="D2368" s="9"/>
      <c r="E2368" s="9"/>
      <c r="F2368" s="9">
        <f>IFERROR(__xludf.DUMMYFUNCTION("""COMPUTED_VALUE"""),3.39)</f>
        <v>3.39</v>
      </c>
      <c r="G2368" s="9">
        <f>IFERROR(__xludf.DUMMYFUNCTION("""COMPUTED_VALUE"""),3.39)</f>
        <v>3.39</v>
      </c>
      <c r="H2368" s="9">
        <f>IFERROR(__xludf.DUMMYFUNCTION("""COMPUTED_VALUE"""),1.0)</f>
        <v>1</v>
      </c>
      <c r="I2368" s="9"/>
      <c r="J2368" s="9"/>
      <c r="K2368" s="9"/>
      <c r="L2368" s="9"/>
      <c r="M2368" s="9"/>
      <c r="N2368" s="9"/>
      <c r="O2368" s="9"/>
      <c r="P2368" s="9"/>
      <c r="Q2368" s="9"/>
      <c r="R2368" s="9"/>
      <c r="S2368" s="9"/>
      <c r="T2368" s="9"/>
    </row>
    <row r="2369" ht="15.75" customHeight="1">
      <c r="A2369" s="11">
        <f>IFERROR(__xludf.DUMMYFUNCTION("""COMPUTED_VALUE"""),44471.0)</f>
        <v>44471</v>
      </c>
      <c r="B2369" s="9">
        <f>IFERROR(__xludf.DUMMYFUNCTION("""COMPUTED_VALUE"""),1003617.0)</f>
        <v>1003617</v>
      </c>
      <c r="C2369" s="9">
        <f>IFERROR(__xludf.DUMMYFUNCTION("""COMPUTED_VALUE"""),188351.0)</f>
        <v>188351</v>
      </c>
      <c r="D2369" s="9"/>
      <c r="E2369" s="9"/>
      <c r="F2369" s="9">
        <f>IFERROR(__xludf.DUMMYFUNCTION("""COMPUTED_VALUE"""),6.87)</f>
        <v>6.87</v>
      </c>
      <c r="G2369" s="9">
        <f>IFERROR(__xludf.DUMMYFUNCTION("""COMPUTED_VALUE"""),6.87)</f>
        <v>6.87</v>
      </c>
      <c r="H2369" s="9">
        <f>IFERROR(__xludf.DUMMYFUNCTION("""COMPUTED_VALUE"""),1.0)</f>
        <v>1</v>
      </c>
      <c r="I2369" s="9"/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</row>
    <row r="2370" ht="15.75" customHeight="1">
      <c r="A2370" s="11">
        <f>IFERROR(__xludf.DUMMYFUNCTION("""COMPUTED_VALUE"""),44471.0)</f>
        <v>44471</v>
      </c>
      <c r="B2370" s="9">
        <f>IFERROR(__xludf.DUMMYFUNCTION("""COMPUTED_VALUE"""),1003617.0)</f>
        <v>1003617</v>
      </c>
      <c r="C2370" s="9">
        <f>IFERROR(__xludf.DUMMYFUNCTION("""COMPUTED_VALUE"""),188368.0)</f>
        <v>188368</v>
      </c>
      <c r="D2370" s="9"/>
      <c r="E2370" s="9"/>
      <c r="F2370" s="9">
        <f>IFERROR(__xludf.DUMMYFUNCTION("""COMPUTED_VALUE"""),6.87)</f>
        <v>6.87</v>
      </c>
      <c r="G2370" s="9">
        <f>IFERROR(__xludf.DUMMYFUNCTION("""COMPUTED_VALUE"""),6.87)</f>
        <v>6.87</v>
      </c>
      <c r="H2370" s="9">
        <f>IFERROR(__xludf.DUMMYFUNCTION("""COMPUTED_VALUE"""),1.0)</f>
        <v>1</v>
      </c>
      <c r="I2370" s="9"/>
      <c r="J2370" s="9"/>
      <c r="K2370" s="9"/>
      <c r="L2370" s="9"/>
      <c r="M2370" s="9"/>
      <c r="N2370" s="9"/>
      <c r="O2370" s="9"/>
      <c r="P2370" s="9"/>
      <c r="Q2370" s="9"/>
      <c r="R2370" s="9"/>
      <c r="S2370" s="9"/>
      <c r="T2370" s="9"/>
    </row>
    <row r="2371" ht="15.75" customHeight="1">
      <c r="A2371" s="11">
        <f>IFERROR(__xludf.DUMMYFUNCTION("""COMPUTED_VALUE"""),44471.0)</f>
        <v>44471</v>
      </c>
      <c r="B2371" s="9">
        <f>IFERROR(__xludf.DUMMYFUNCTION("""COMPUTED_VALUE"""),1003617.0)</f>
        <v>1003617</v>
      </c>
      <c r="C2371" s="9">
        <f>IFERROR(__xludf.DUMMYFUNCTION("""COMPUTED_VALUE"""),188352.0)</f>
        <v>188352</v>
      </c>
      <c r="D2371" s="9"/>
      <c r="E2371" s="9"/>
      <c r="F2371" s="9">
        <f>IFERROR(__xludf.DUMMYFUNCTION("""COMPUTED_VALUE"""),8.49)</f>
        <v>8.49</v>
      </c>
      <c r="G2371" s="9">
        <f>IFERROR(__xludf.DUMMYFUNCTION("""COMPUTED_VALUE"""),8.49)</f>
        <v>8.49</v>
      </c>
      <c r="H2371" s="9">
        <f>IFERROR(__xludf.DUMMYFUNCTION("""COMPUTED_VALUE"""),1.0)</f>
        <v>1</v>
      </c>
      <c r="I2371" s="9"/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</row>
    <row r="2372" ht="15.75" customHeight="1">
      <c r="A2372" s="11">
        <f>IFERROR(__xludf.DUMMYFUNCTION("""COMPUTED_VALUE"""),44471.0)</f>
        <v>44471</v>
      </c>
      <c r="B2372" s="9">
        <f>IFERROR(__xludf.DUMMYFUNCTION("""COMPUTED_VALUE"""),1003617.0)</f>
        <v>1003617</v>
      </c>
      <c r="C2372" s="9">
        <f>IFERROR(__xludf.DUMMYFUNCTION("""COMPUTED_VALUE"""),44533.0)</f>
        <v>44533</v>
      </c>
      <c r="D2372" s="9"/>
      <c r="E2372" s="9"/>
      <c r="F2372" s="9">
        <f>IFERROR(__xludf.DUMMYFUNCTION("""COMPUTED_VALUE"""),6.55)</f>
        <v>6.55</v>
      </c>
      <c r="G2372" s="9">
        <f>IFERROR(__xludf.DUMMYFUNCTION("""COMPUTED_VALUE"""),6.55)</f>
        <v>6.55</v>
      </c>
      <c r="H2372" s="9">
        <f>IFERROR(__xludf.DUMMYFUNCTION("""COMPUTED_VALUE"""),3.0)</f>
        <v>3</v>
      </c>
      <c r="I2372" s="9"/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</row>
    <row r="2373" ht="15.75" customHeight="1">
      <c r="A2373" s="11">
        <f>IFERROR(__xludf.DUMMYFUNCTION("""COMPUTED_VALUE"""),44471.0)</f>
        <v>44471</v>
      </c>
      <c r="B2373" s="9">
        <f>IFERROR(__xludf.DUMMYFUNCTION("""COMPUTED_VALUE"""),1003617.0)</f>
        <v>1003617</v>
      </c>
      <c r="C2373" s="9">
        <f>IFERROR(__xludf.DUMMYFUNCTION("""COMPUTED_VALUE"""),101565.0)</f>
        <v>101565</v>
      </c>
      <c r="D2373" s="9"/>
      <c r="E2373" s="9"/>
      <c r="F2373" s="9">
        <f>IFERROR(__xludf.DUMMYFUNCTION("""COMPUTED_VALUE"""),10.83)</f>
        <v>10.83</v>
      </c>
      <c r="G2373" s="9">
        <f>IFERROR(__xludf.DUMMYFUNCTION("""COMPUTED_VALUE"""),10.83)</f>
        <v>10.83</v>
      </c>
      <c r="H2373" s="9">
        <f>IFERROR(__xludf.DUMMYFUNCTION("""COMPUTED_VALUE"""),4.0)</f>
        <v>4</v>
      </c>
      <c r="I2373" s="9"/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</row>
    <row r="2374" ht="15.75" customHeight="1">
      <c r="A2374" s="11">
        <f>IFERROR(__xludf.DUMMYFUNCTION("""COMPUTED_VALUE"""),44471.0)</f>
        <v>44471</v>
      </c>
      <c r="B2374" s="9">
        <f>IFERROR(__xludf.DUMMYFUNCTION("""COMPUTED_VALUE"""),1003617.0)</f>
        <v>1003617</v>
      </c>
      <c r="C2374" s="9">
        <f>IFERROR(__xludf.DUMMYFUNCTION("""COMPUTED_VALUE"""),101563.0)</f>
        <v>101563</v>
      </c>
      <c r="D2374" s="9"/>
      <c r="E2374" s="9"/>
      <c r="F2374" s="9">
        <f>IFERROR(__xludf.DUMMYFUNCTION("""COMPUTED_VALUE"""),10.83)</f>
        <v>10.83</v>
      </c>
      <c r="G2374" s="9">
        <f>IFERROR(__xludf.DUMMYFUNCTION("""COMPUTED_VALUE"""),10.83)</f>
        <v>10.83</v>
      </c>
      <c r="H2374" s="9">
        <f>IFERROR(__xludf.DUMMYFUNCTION("""COMPUTED_VALUE"""),4.0)</f>
        <v>4</v>
      </c>
      <c r="I2374" s="9"/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</row>
    <row r="2375" ht="15.75" customHeight="1">
      <c r="A2375" s="11">
        <f>IFERROR(__xludf.DUMMYFUNCTION("""COMPUTED_VALUE"""),44471.0)</f>
        <v>44471</v>
      </c>
      <c r="B2375" s="9">
        <f>IFERROR(__xludf.DUMMYFUNCTION("""COMPUTED_VALUE"""),1003618.0)</f>
        <v>1003618</v>
      </c>
      <c r="C2375" s="9">
        <f>IFERROR(__xludf.DUMMYFUNCTION("""COMPUTED_VALUE"""),182193.0)</f>
        <v>182193</v>
      </c>
      <c r="D2375" s="9"/>
      <c r="E2375" s="10" t="str">
        <f>IFERROR(__xludf.DUMMYFUNCTION("""COMPUTED_VALUE"""),"PREMIERE")</f>
        <v>PREMIERE</v>
      </c>
      <c r="F2375" s="10">
        <f>IFERROR(__xludf.DUMMYFUNCTION("""COMPUTED_VALUE"""),5.54)</f>
        <v>5.54</v>
      </c>
      <c r="G2375" s="9">
        <f>IFERROR(__xludf.DUMMYFUNCTION("""COMPUTED_VALUE"""),5.54)</f>
        <v>5.54</v>
      </c>
      <c r="H2375" s="9">
        <f>IFERROR(__xludf.DUMMYFUNCTION("""COMPUTED_VALUE"""),1.0)</f>
        <v>1</v>
      </c>
      <c r="I2375" s="9"/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</row>
    <row r="2376" ht="15.75" customHeight="1">
      <c r="A2376" s="11">
        <f>IFERROR(__xludf.DUMMYFUNCTION("""COMPUTED_VALUE"""),44471.0)</f>
        <v>44471</v>
      </c>
      <c r="B2376" s="9">
        <f>IFERROR(__xludf.DUMMYFUNCTION("""COMPUTED_VALUE"""),1003618.0)</f>
        <v>1003618</v>
      </c>
      <c r="C2376" s="9">
        <f>IFERROR(__xludf.DUMMYFUNCTION("""COMPUTED_VALUE"""),147256.0)</f>
        <v>147256</v>
      </c>
      <c r="D2376" s="9"/>
      <c r="E2376" s="10" t="str">
        <f>IFERROR(__xludf.DUMMYFUNCTION("""COMPUTED_VALUE"""),"PREMIERE")</f>
        <v>PREMIERE</v>
      </c>
      <c r="F2376" s="10">
        <f>IFERROR(__xludf.DUMMYFUNCTION("""COMPUTED_VALUE"""),4.56)</f>
        <v>4.56</v>
      </c>
      <c r="G2376" s="9">
        <f>IFERROR(__xludf.DUMMYFUNCTION("""COMPUTED_VALUE"""),4.56)</f>
        <v>4.56</v>
      </c>
      <c r="H2376" s="9">
        <f>IFERROR(__xludf.DUMMYFUNCTION("""COMPUTED_VALUE"""),1.0)</f>
        <v>1</v>
      </c>
      <c r="I2376" s="9"/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</row>
    <row r="2377" ht="15.75" customHeight="1">
      <c r="A2377" s="11">
        <f>IFERROR(__xludf.DUMMYFUNCTION("""COMPUTED_VALUE"""),44471.0)</f>
        <v>44471</v>
      </c>
      <c r="B2377" s="9">
        <f>IFERROR(__xludf.DUMMYFUNCTION("""COMPUTED_VALUE"""),1003618.0)</f>
        <v>1003618</v>
      </c>
      <c r="C2377" s="9">
        <f>IFERROR(__xludf.DUMMYFUNCTION("""COMPUTED_VALUE"""),147255.0)</f>
        <v>147255</v>
      </c>
      <c r="D2377" s="9"/>
      <c r="E2377" s="10" t="str">
        <f>IFERROR(__xludf.DUMMYFUNCTION("""COMPUTED_VALUE"""),"PREMIERE")</f>
        <v>PREMIERE</v>
      </c>
      <c r="F2377" s="10">
        <f>IFERROR(__xludf.DUMMYFUNCTION("""COMPUTED_VALUE"""),4.56)</f>
        <v>4.56</v>
      </c>
      <c r="G2377" s="9">
        <f>IFERROR(__xludf.DUMMYFUNCTION("""COMPUTED_VALUE"""),4.56)</f>
        <v>4.56</v>
      </c>
      <c r="H2377" s="9">
        <f>IFERROR(__xludf.DUMMYFUNCTION("""COMPUTED_VALUE"""),1.0)</f>
        <v>1</v>
      </c>
      <c r="I2377" s="9"/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</row>
    <row r="2378" ht="15.75" customHeight="1">
      <c r="A2378" s="11">
        <f>IFERROR(__xludf.DUMMYFUNCTION("""COMPUTED_VALUE"""),44471.0)</f>
        <v>44471</v>
      </c>
      <c r="B2378" s="9">
        <f>IFERROR(__xludf.DUMMYFUNCTION("""COMPUTED_VALUE"""),1003618.0)</f>
        <v>1003618</v>
      </c>
      <c r="C2378" s="9">
        <f>IFERROR(__xludf.DUMMYFUNCTION("""COMPUTED_VALUE"""),182194.0)</f>
        <v>182194</v>
      </c>
      <c r="D2378" s="9"/>
      <c r="E2378" s="10" t="str">
        <f>IFERROR(__xludf.DUMMYFUNCTION("""COMPUTED_VALUE"""),"PREMIERE")</f>
        <v>PREMIERE</v>
      </c>
      <c r="F2378" s="10">
        <f>IFERROR(__xludf.DUMMYFUNCTION("""COMPUTED_VALUE"""),5.33)</f>
        <v>5.33</v>
      </c>
      <c r="G2378" s="9">
        <f>IFERROR(__xludf.DUMMYFUNCTION("""COMPUTED_VALUE"""),5.33)</f>
        <v>5.33</v>
      </c>
      <c r="H2378" s="9">
        <f>IFERROR(__xludf.DUMMYFUNCTION("""COMPUTED_VALUE"""),1.0)</f>
        <v>1</v>
      </c>
      <c r="I2378" s="9"/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</row>
    <row r="2379" ht="15.75" customHeight="1">
      <c r="A2379" s="11">
        <f>IFERROR(__xludf.DUMMYFUNCTION("""COMPUTED_VALUE"""),44471.0)</f>
        <v>44471</v>
      </c>
      <c r="B2379" s="9">
        <f>IFERROR(__xludf.DUMMYFUNCTION("""COMPUTED_VALUE"""),1003618.0)</f>
        <v>1003618</v>
      </c>
      <c r="C2379" s="9">
        <f>IFERROR(__xludf.DUMMYFUNCTION("""COMPUTED_VALUE"""),46979.0)</f>
        <v>46979</v>
      </c>
      <c r="D2379" s="9"/>
      <c r="E2379" s="10" t="str">
        <f>IFERROR(__xludf.DUMMYFUNCTION("""COMPUTED_VALUE"""),"PREMIERE")</f>
        <v>PREMIERE</v>
      </c>
      <c r="F2379" s="10">
        <f>IFERROR(__xludf.DUMMYFUNCTION("""COMPUTED_VALUE"""),6.94)</f>
        <v>6.94</v>
      </c>
      <c r="G2379" s="9">
        <f>IFERROR(__xludf.DUMMYFUNCTION("""COMPUTED_VALUE"""),6.94)</f>
        <v>6.94</v>
      </c>
      <c r="H2379" s="9">
        <f>IFERROR(__xludf.DUMMYFUNCTION("""COMPUTED_VALUE"""),1.0)</f>
        <v>1</v>
      </c>
      <c r="I2379" s="9"/>
      <c r="J2379" s="9"/>
      <c r="K2379" s="9"/>
      <c r="L2379" s="9"/>
      <c r="M2379" s="9"/>
      <c r="N2379" s="9"/>
      <c r="O2379" s="9"/>
      <c r="P2379" s="9"/>
      <c r="Q2379" s="9"/>
      <c r="R2379" s="9"/>
      <c r="S2379" s="9"/>
      <c r="T2379" s="9"/>
    </row>
    <row r="2380" ht="15.75" customHeight="1">
      <c r="A2380" s="11">
        <f>IFERROR(__xludf.DUMMYFUNCTION("""COMPUTED_VALUE"""),44471.0)</f>
        <v>44471</v>
      </c>
      <c r="B2380" s="9">
        <f>IFERROR(__xludf.DUMMYFUNCTION("""COMPUTED_VALUE"""),1003618.0)</f>
        <v>1003618</v>
      </c>
      <c r="C2380" s="9">
        <f>IFERROR(__xludf.DUMMYFUNCTION("""COMPUTED_VALUE"""),120692.0)</f>
        <v>120692</v>
      </c>
      <c r="D2380" s="10" t="str">
        <f>IFERROR(__xludf.DUMMYFUNCTION("""COMPUTED_VALUE"""),"Vive le bio")</f>
        <v>Vive le bio</v>
      </c>
      <c r="E2380" s="10" t="str">
        <f>IFERROR(__xludf.DUMMYFUNCTION("""COMPUTED_VALUE"""),"PREMIERE")</f>
        <v>PREMIERE</v>
      </c>
      <c r="F2380" s="10">
        <f>IFERROR(__xludf.DUMMYFUNCTION("""COMPUTED_VALUE"""),7.27777777777777)</f>
        <v>7.277777778</v>
      </c>
      <c r="G2380" s="9">
        <f>IFERROR(__xludf.DUMMYFUNCTION("""COMPUTED_VALUE"""),6.55)</f>
        <v>6.55</v>
      </c>
      <c r="H2380" s="9">
        <f>IFERROR(__xludf.DUMMYFUNCTION("""COMPUTED_VALUE"""),1.0)</f>
        <v>1</v>
      </c>
      <c r="I2380" s="9"/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</row>
    <row r="2381" ht="15.75" customHeight="1">
      <c r="A2381" s="11">
        <f>IFERROR(__xludf.DUMMYFUNCTION("""COMPUTED_VALUE"""),44471.0)</f>
        <v>44471</v>
      </c>
      <c r="B2381" s="9">
        <f>IFERROR(__xludf.DUMMYFUNCTION("""COMPUTED_VALUE"""),1003619.0)</f>
        <v>1003619</v>
      </c>
      <c r="C2381" s="9">
        <f>IFERROR(__xludf.DUMMYFUNCTION("""COMPUTED_VALUE"""),47388.0)</f>
        <v>47388</v>
      </c>
      <c r="D2381" s="9"/>
      <c r="E2381" s="10" t="str">
        <f>IFERROR(__xludf.DUMMYFUNCTION("""COMPUTED_VALUE"""),"PREMIERE")</f>
        <v>PREMIERE</v>
      </c>
      <c r="F2381" s="10">
        <f>IFERROR(__xludf.DUMMYFUNCTION("""COMPUTED_VALUE"""),2.77)</f>
        <v>2.77</v>
      </c>
      <c r="G2381" s="9">
        <f>IFERROR(__xludf.DUMMYFUNCTION("""COMPUTED_VALUE"""),2.77)</f>
        <v>2.77</v>
      </c>
      <c r="H2381" s="9">
        <f>IFERROR(__xludf.DUMMYFUNCTION("""COMPUTED_VALUE"""),1.0)</f>
        <v>1</v>
      </c>
      <c r="I2381" s="9"/>
      <c r="J2381" s="9"/>
      <c r="K2381" s="9"/>
      <c r="L2381" s="9"/>
      <c r="M2381" s="9"/>
      <c r="N2381" s="9"/>
      <c r="O2381" s="9"/>
      <c r="P2381" s="9"/>
      <c r="Q2381" s="9"/>
      <c r="R2381" s="9"/>
      <c r="S2381" s="9"/>
      <c r="T2381" s="9"/>
    </row>
    <row r="2382" ht="15.75" customHeight="1">
      <c r="A2382" s="11">
        <f>IFERROR(__xludf.DUMMYFUNCTION("""COMPUTED_VALUE"""),44471.0)</f>
        <v>44471</v>
      </c>
      <c r="B2382" s="9">
        <f>IFERROR(__xludf.DUMMYFUNCTION("""COMPUTED_VALUE"""),1003619.0)</f>
        <v>1003619</v>
      </c>
      <c r="C2382" s="9">
        <f>IFERROR(__xludf.DUMMYFUNCTION("""COMPUTED_VALUE"""),181989.0)</f>
        <v>181989</v>
      </c>
      <c r="D2382" s="9"/>
      <c r="E2382" s="10" t="str">
        <f>IFERROR(__xludf.DUMMYFUNCTION("""COMPUTED_VALUE"""),"PREMIERE")</f>
        <v>PREMIERE</v>
      </c>
      <c r="F2382" s="10">
        <f>IFERROR(__xludf.DUMMYFUNCTION("""COMPUTED_VALUE"""),13.08)</f>
        <v>13.08</v>
      </c>
      <c r="G2382" s="9">
        <f>IFERROR(__xludf.DUMMYFUNCTION("""COMPUTED_VALUE"""),13.08)</f>
        <v>13.08</v>
      </c>
      <c r="H2382" s="9">
        <f>IFERROR(__xludf.DUMMYFUNCTION("""COMPUTED_VALUE"""),1.0)</f>
        <v>1</v>
      </c>
      <c r="I2382" s="9"/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</row>
    <row r="2383" ht="15.75" customHeight="1">
      <c r="A2383" s="11">
        <f>IFERROR(__xludf.DUMMYFUNCTION("""COMPUTED_VALUE"""),44471.0)</f>
        <v>44471</v>
      </c>
      <c r="B2383" s="9">
        <f>IFERROR(__xludf.DUMMYFUNCTION("""COMPUTED_VALUE"""),1003619.0)</f>
        <v>1003619</v>
      </c>
      <c r="C2383" s="9">
        <f>IFERROR(__xludf.DUMMYFUNCTION("""COMPUTED_VALUE"""),103604.0)</f>
        <v>103604</v>
      </c>
      <c r="D2383" s="9"/>
      <c r="E2383" s="10" t="str">
        <f>IFERROR(__xludf.DUMMYFUNCTION("""COMPUTED_VALUE"""),"PREMIERE")</f>
        <v>PREMIERE</v>
      </c>
      <c r="F2383" s="10">
        <f>IFERROR(__xludf.DUMMYFUNCTION("""COMPUTED_VALUE"""),2.44)</f>
        <v>2.44</v>
      </c>
      <c r="G2383" s="9">
        <f>IFERROR(__xludf.DUMMYFUNCTION("""COMPUTED_VALUE"""),2.44)</f>
        <v>2.44</v>
      </c>
      <c r="H2383" s="9">
        <f>IFERROR(__xludf.DUMMYFUNCTION("""COMPUTED_VALUE"""),1.0)</f>
        <v>1</v>
      </c>
      <c r="I2383" s="9"/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</row>
    <row r="2384" ht="15.75" customHeight="1">
      <c r="A2384" s="11">
        <f>IFERROR(__xludf.DUMMYFUNCTION("""COMPUTED_VALUE"""),44471.0)</f>
        <v>44471</v>
      </c>
      <c r="B2384" s="9">
        <f>IFERROR(__xludf.DUMMYFUNCTION("""COMPUTED_VALUE"""),1003619.0)</f>
        <v>1003619</v>
      </c>
      <c r="C2384" s="9">
        <f>IFERROR(__xludf.DUMMYFUNCTION("""COMPUTED_VALUE"""),85734.0)</f>
        <v>85734</v>
      </c>
      <c r="D2384" s="9"/>
      <c r="E2384" s="10" t="str">
        <f>IFERROR(__xludf.DUMMYFUNCTION("""COMPUTED_VALUE"""),"PREMIERE")</f>
        <v>PREMIERE</v>
      </c>
      <c r="F2384" s="10">
        <f>IFERROR(__xludf.DUMMYFUNCTION("""COMPUTED_VALUE"""),5.18)</f>
        <v>5.18</v>
      </c>
      <c r="G2384" s="9">
        <f>IFERROR(__xludf.DUMMYFUNCTION("""COMPUTED_VALUE"""),5.18)</f>
        <v>5.18</v>
      </c>
      <c r="H2384" s="9">
        <f>IFERROR(__xludf.DUMMYFUNCTION("""COMPUTED_VALUE"""),1.0)</f>
        <v>1</v>
      </c>
      <c r="I2384" s="9"/>
      <c r="J2384" s="9"/>
      <c r="K2384" s="9"/>
      <c r="L2384" s="9"/>
      <c r="M2384" s="9"/>
      <c r="N2384" s="9"/>
      <c r="O2384" s="9"/>
      <c r="P2384" s="9"/>
      <c r="Q2384" s="9"/>
      <c r="R2384" s="9"/>
      <c r="S2384" s="9"/>
      <c r="T2384" s="9"/>
    </row>
    <row r="2385" ht="15.75" customHeight="1">
      <c r="A2385" s="11">
        <f>IFERROR(__xludf.DUMMYFUNCTION("""COMPUTED_VALUE"""),44471.0)</f>
        <v>44471</v>
      </c>
      <c r="B2385" s="9">
        <f>IFERROR(__xludf.DUMMYFUNCTION("""COMPUTED_VALUE"""),1003619.0)</f>
        <v>1003619</v>
      </c>
      <c r="C2385" s="9">
        <f>IFERROR(__xludf.DUMMYFUNCTION("""COMPUTED_VALUE"""),109273.0)</f>
        <v>109273</v>
      </c>
      <c r="D2385" s="10" t="str">
        <f>IFERROR(__xludf.DUMMYFUNCTION("""COMPUTED_VALUE"""),"Offre Speciale")</f>
        <v>Offre Speciale</v>
      </c>
      <c r="E2385" s="10" t="str">
        <f>IFERROR(__xludf.DUMMYFUNCTION("""COMPUTED_VALUE"""),"PREMIERE")</f>
        <v>PREMIERE</v>
      </c>
      <c r="F2385" s="10">
        <f>IFERROR(__xludf.DUMMYFUNCTION("""COMPUTED_VALUE"""),7.46666666666666)</f>
        <v>7.466666667</v>
      </c>
      <c r="G2385" s="9">
        <f>IFERROR(__xludf.DUMMYFUNCTION("""COMPUTED_VALUE"""),6.72)</f>
        <v>6.72</v>
      </c>
      <c r="H2385" s="9">
        <f>IFERROR(__xludf.DUMMYFUNCTION("""COMPUTED_VALUE"""),2.0)</f>
        <v>2</v>
      </c>
      <c r="I2385" s="9"/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</row>
    <row r="2386" ht="15.75" customHeight="1">
      <c r="A2386" s="11">
        <f>IFERROR(__xludf.DUMMYFUNCTION("""COMPUTED_VALUE"""),44471.0)</f>
        <v>44471</v>
      </c>
      <c r="B2386" s="9">
        <f>IFERROR(__xludf.DUMMYFUNCTION("""COMPUTED_VALUE"""),1003619.0)</f>
        <v>1003619</v>
      </c>
      <c r="C2386" s="9">
        <f>IFERROR(__xludf.DUMMYFUNCTION("""COMPUTED_VALUE"""),85159.0)</f>
        <v>85159</v>
      </c>
      <c r="D2386" s="9"/>
      <c r="E2386" s="10" t="str">
        <f>IFERROR(__xludf.DUMMYFUNCTION("""COMPUTED_VALUE"""),"PREMIERE")</f>
        <v>PREMIERE</v>
      </c>
      <c r="F2386" s="10">
        <f>IFERROR(__xludf.DUMMYFUNCTION("""COMPUTED_VALUE"""),8.06)</f>
        <v>8.06</v>
      </c>
      <c r="G2386" s="9">
        <f>IFERROR(__xludf.DUMMYFUNCTION("""COMPUTED_VALUE"""),8.06)</f>
        <v>8.06</v>
      </c>
      <c r="H2386" s="9">
        <f>IFERROR(__xludf.DUMMYFUNCTION("""COMPUTED_VALUE"""),3.0)</f>
        <v>3</v>
      </c>
      <c r="I2386" s="9"/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</row>
    <row r="2387" ht="15.75" customHeight="1">
      <c r="A2387" s="11">
        <f>IFERROR(__xludf.DUMMYFUNCTION("""COMPUTED_VALUE"""),44471.0)</f>
        <v>44471</v>
      </c>
      <c r="B2387" s="9">
        <f>IFERROR(__xludf.DUMMYFUNCTION("""COMPUTED_VALUE"""),1003620.0)</f>
        <v>1003620</v>
      </c>
      <c r="C2387" s="9">
        <f>IFERROR(__xludf.DUMMYFUNCTION("""COMPUTED_VALUE"""),43944.0)</f>
        <v>43944</v>
      </c>
      <c r="D2387" s="9"/>
      <c r="E2387" s="9"/>
      <c r="F2387" s="9">
        <f>IFERROR(__xludf.DUMMYFUNCTION("""COMPUTED_VALUE"""),16.54)</f>
        <v>16.54</v>
      </c>
      <c r="G2387" s="9">
        <f>IFERROR(__xludf.DUMMYFUNCTION("""COMPUTED_VALUE"""),16.54)</f>
        <v>16.54</v>
      </c>
      <c r="H2387" s="9">
        <f>IFERROR(__xludf.DUMMYFUNCTION("""COMPUTED_VALUE"""),1.0)</f>
        <v>1</v>
      </c>
      <c r="I2387" s="9"/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</row>
    <row r="2388" ht="15.75" customHeight="1">
      <c r="A2388" s="11">
        <f>IFERROR(__xludf.DUMMYFUNCTION("""COMPUTED_VALUE"""),44471.0)</f>
        <v>44471</v>
      </c>
      <c r="B2388" s="9">
        <f>IFERROR(__xludf.DUMMYFUNCTION("""COMPUTED_VALUE"""),1003620.0)</f>
        <v>1003620</v>
      </c>
      <c r="C2388" s="9">
        <f>IFERROR(__xludf.DUMMYFUNCTION("""COMPUTED_VALUE"""),101325.0)</f>
        <v>101325</v>
      </c>
      <c r="D2388" s="10" t="str">
        <f>IFERROR(__xludf.DUMMYFUNCTION("""COMPUTED_VALUE"""),"Carryboo soin bebe 2021")</f>
        <v>Carryboo soin bebe 2021</v>
      </c>
      <c r="E2388" s="10"/>
      <c r="F2388" s="9">
        <f>IFERROR(__xludf.DUMMYFUNCTION("""COMPUTED_VALUE"""),7.77333333333333)</f>
        <v>7.773333333</v>
      </c>
      <c r="G2388" s="9">
        <f>IFERROR(__xludf.DUMMYFUNCTION("""COMPUTED_VALUE"""),5.83)</f>
        <v>5.83</v>
      </c>
      <c r="H2388" s="9">
        <f>IFERROR(__xludf.DUMMYFUNCTION("""COMPUTED_VALUE"""),3.0)</f>
        <v>3</v>
      </c>
      <c r="I2388" s="9"/>
      <c r="J2388" s="9"/>
      <c r="K2388" s="9"/>
      <c r="L2388" s="9"/>
      <c r="M2388" s="9"/>
      <c r="N2388" s="9"/>
      <c r="O2388" s="9"/>
      <c r="P2388" s="9"/>
      <c r="Q2388" s="9"/>
      <c r="R2388" s="9"/>
      <c r="S2388" s="9"/>
      <c r="T2388" s="9"/>
    </row>
    <row r="2389" ht="15.75" customHeight="1">
      <c r="A2389" s="11">
        <f>IFERROR(__xludf.DUMMYFUNCTION("""COMPUTED_VALUE"""),44471.0)</f>
        <v>44471</v>
      </c>
      <c r="B2389" s="9">
        <f>IFERROR(__xludf.DUMMYFUNCTION("""COMPUTED_VALUE"""),1003620.0)</f>
        <v>1003620</v>
      </c>
      <c r="C2389" s="9">
        <f>IFERROR(__xludf.DUMMYFUNCTION("""COMPUTED_VALUE"""),101298.0)</f>
        <v>101298</v>
      </c>
      <c r="D2389" s="10" t="str">
        <f>IFERROR(__xludf.DUMMYFUNCTION("""COMPUTED_VALUE"""),"Natur'vox Carryboo couches Sept 21")</f>
        <v>Natur'vox Carryboo couches Sept 21</v>
      </c>
      <c r="E2389" s="10"/>
      <c r="F2389" s="9">
        <f>IFERROR(__xludf.DUMMYFUNCTION("""COMPUTED_VALUE"""),49.12)</f>
        <v>49.12</v>
      </c>
      <c r="G2389" s="9">
        <f>IFERROR(__xludf.DUMMYFUNCTION("""COMPUTED_VALUE"""),36.84)</f>
        <v>36.84</v>
      </c>
      <c r="H2389" s="9">
        <f>IFERROR(__xludf.DUMMYFUNCTION("""COMPUTED_VALUE"""),3.0)</f>
        <v>3</v>
      </c>
      <c r="I2389" s="9"/>
      <c r="J2389" s="9"/>
      <c r="K2389" s="9"/>
      <c r="L2389" s="9"/>
      <c r="M2389" s="9"/>
      <c r="N2389" s="9"/>
      <c r="O2389" s="9"/>
      <c r="P2389" s="9"/>
      <c r="Q2389" s="9"/>
      <c r="R2389" s="9"/>
      <c r="S2389" s="9"/>
      <c r="T2389" s="9"/>
    </row>
    <row r="2390" ht="15.75" customHeight="1">
      <c r="A2390" s="11">
        <f>IFERROR(__xludf.DUMMYFUNCTION("""COMPUTED_VALUE"""),44471.0)</f>
        <v>44471</v>
      </c>
      <c r="B2390" s="9">
        <f>IFERROR(__xludf.DUMMYFUNCTION("""COMPUTED_VALUE"""),1003621.0)</f>
        <v>1003621</v>
      </c>
      <c r="C2390" s="9">
        <f>IFERROR(__xludf.DUMMYFUNCTION("""COMPUTED_VALUE"""),108892.0)</f>
        <v>108892</v>
      </c>
      <c r="D2390" s="9"/>
      <c r="E2390" s="9"/>
      <c r="F2390" s="9">
        <f>IFERROR(__xludf.DUMMYFUNCTION("""COMPUTED_VALUE"""),2.5)</f>
        <v>2.5</v>
      </c>
      <c r="G2390" s="9">
        <f>IFERROR(__xludf.DUMMYFUNCTION("""COMPUTED_VALUE"""),2.5)</f>
        <v>2.5</v>
      </c>
      <c r="H2390" s="9">
        <f>IFERROR(__xludf.DUMMYFUNCTION("""COMPUTED_VALUE"""),1.0)</f>
        <v>1</v>
      </c>
      <c r="I2390" s="9"/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</row>
    <row r="2391" ht="15.75" customHeight="1">
      <c r="A2391" s="11">
        <f>IFERROR(__xludf.DUMMYFUNCTION("""COMPUTED_VALUE"""),44471.0)</f>
        <v>44471</v>
      </c>
      <c r="B2391" s="9">
        <f>IFERROR(__xludf.DUMMYFUNCTION("""COMPUTED_VALUE"""),1003621.0)</f>
        <v>1003621</v>
      </c>
      <c r="C2391" s="9">
        <f>IFERROR(__xludf.DUMMYFUNCTION("""COMPUTED_VALUE"""),103595.0)</f>
        <v>103595</v>
      </c>
      <c r="D2391" s="10" t="str">
        <f>IFERROR(__xludf.DUMMYFUNCTION("""COMPUTED_VALUE"""),"Love &amp; Green Couches et Culottes sept 2021")</f>
        <v>Love &amp; Green Couches et Culottes sept 2021</v>
      </c>
      <c r="E2391" s="10"/>
      <c r="F2391" s="9">
        <f>IFERROR(__xludf.DUMMYFUNCTION("""COMPUTED_VALUE"""),15.6571428571428)</f>
        <v>15.65714286</v>
      </c>
      <c r="G2391" s="9">
        <f>IFERROR(__xludf.DUMMYFUNCTION("""COMPUTED_VALUE"""),10.96)</f>
        <v>10.96</v>
      </c>
      <c r="H2391" s="9">
        <f>IFERROR(__xludf.DUMMYFUNCTION("""COMPUTED_VALUE"""),1.0)</f>
        <v>1</v>
      </c>
      <c r="I2391" s="9"/>
      <c r="J2391" s="9"/>
      <c r="K2391" s="9"/>
      <c r="L2391" s="9"/>
      <c r="M2391" s="9"/>
      <c r="N2391" s="9"/>
      <c r="O2391" s="9"/>
      <c r="P2391" s="9"/>
      <c r="Q2391" s="9"/>
      <c r="R2391" s="9"/>
      <c r="S2391" s="9"/>
      <c r="T2391" s="9"/>
    </row>
    <row r="2392" ht="15.75" customHeight="1">
      <c r="A2392" s="11">
        <f>IFERROR(__xludf.DUMMYFUNCTION("""COMPUTED_VALUE"""),44471.0)</f>
        <v>44471</v>
      </c>
      <c r="B2392" s="9">
        <f>IFERROR(__xludf.DUMMYFUNCTION("""COMPUTED_VALUE"""),1003621.0)</f>
        <v>1003621</v>
      </c>
      <c r="C2392" s="9">
        <f>IFERROR(__xludf.DUMMYFUNCTION("""COMPUTED_VALUE"""),114941.0)</f>
        <v>114941</v>
      </c>
      <c r="D2392" s="10" t="str">
        <f>IFERROR(__xludf.DUMMYFUNCTION("""COMPUTED_VALUE"""),"Vive le bio")</f>
        <v>Vive le bio</v>
      </c>
      <c r="E2392" s="10"/>
      <c r="F2392" s="9">
        <f>IFERROR(__xludf.DUMMYFUNCTION("""COMPUTED_VALUE"""),4.87777777777777)</f>
        <v>4.877777778</v>
      </c>
      <c r="G2392" s="9">
        <f>IFERROR(__xludf.DUMMYFUNCTION("""COMPUTED_VALUE"""),4.39)</f>
        <v>4.39</v>
      </c>
      <c r="H2392" s="9">
        <f>IFERROR(__xludf.DUMMYFUNCTION("""COMPUTED_VALUE"""),1.0)</f>
        <v>1</v>
      </c>
      <c r="I2392" s="9"/>
      <c r="J2392" s="9"/>
      <c r="K2392" s="9"/>
      <c r="L2392" s="9"/>
      <c r="M2392" s="9"/>
      <c r="N2392" s="9"/>
      <c r="O2392" s="9"/>
      <c r="P2392" s="9"/>
      <c r="Q2392" s="9"/>
      <c r="R2392" s="9"/>
      <c r="S2392" s="9"/>
      <c r="T2392" s="9"/>
    </row>
    <row r="2393" ht="15.75" customHeight="1">
      <c r="A2393" s="11">
        <f>IFERROR(__xludf.DUMMYFUNCTION("""COMPUTED_VALUE"""),44471.0)</f>
        <v>44471</v>
      </c>
      <c r="B2393" s="9">
        <f>IFERROR(__xludf.DUMMYFUNCTION("""COMPUTED_VALUE"""),1003621.0)</f>
        <v>1003621</v>
      </c>
      <c r="C2393" s="9">
        <f>IFERROR(__xludf.DUMMYFUNCTION("""COMPUTED_VALUE"""),159617.0)</f>
        <v>159617</v>
      </c>
      <c r="D2393" s="9"/>
      <c r="E2393" s="9"/>
      <c r="F2393" s="9">
        <f>IFERROR(__xludf.DUMMYFUNCTION("""COMPUTED_VALUE"""),2.81)</f>
        <v>2.81</v>
      </c>
      <c r="G2393" s="9">
        <f>IFERROR(__xludf.DUMMYFUNCTION("""COMPUTED_VALUE"""),2.81)</f>
        <v>2.81</v>
      </c>
      <c r="H2393" s="9">
        <f>IFERROR(__xludf.DUMMYFUNCTION("""COMPUTED_VALUE"""),1.0)</f>
        <v>1</v>
      </c>
      <c r="I2393" s="9"/>
      <c r="J2393" s="9"/>
      <c r="K2393" s="9"/>
      <c r="L2393" s="9"/>
      <c r="M2393" s="9"/>
      <c r="N2393" s="9"/>
      <c r="O2393" s="9"/>
      <c r="P2393" s="9"/>
      <c r="Q2393" s="9"/>
      <c r="R2393" s="9"/>
      <c r="S2393" s="9"/>
      <c r="T2393" s="9"/>
    </row>
    <row r="2394" ht="15.75" customHeight="1">
      <c r="A2394" s="11">
        <f>IFERROR(__xludf.DUMMYFUNCTION("""COMPUTED_VALUE"""),44471.0)</f>
        <v>44471</v>
      </c>
      <c r="B2394" s="9">
        <f>IFERROR(__xludf.DUMMYFUNCTION("""COMPUTED_VALUE"""),1003621.0)</f>
        <v>1003621</v>
      </c>
      <c r="C2394" s="9">
        <f>IFERROR(__xludf.DUMMYFUNCTION("""COMPUTED_VALUE"""),122374.0)</f>
        <v>122374</v>
      </c>
      <c r="D2394" s="9"/>
      <c r="E2394" s="9"/>
      <c r="F2394" s="9">
        <f>IFERROR(__xludf.DUMMYFUNCTION("""COMPUTED_VALUE"""),5.66)</f>
        <v>5.66</v>
      </c>
      <c r="G2394" s="9">
        <f>IFERROR(__xludf.DUMMYFUNCTION("""COMPUTED_VALUE"""),5.66)</f>
        <v>5.66</v>
      </c>
      <c r="H2394" s="9">
        <f>IFERROR(__xludf.DUMMYFUNCTION("""COMPUTED_VALUE"""),1.0)</f>
        <v>1</v>
      </c>
      <c r="I2394" s="9"/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</row>
    <row r="2395" ht="15.75" customHeight="1">
      <c r="A2395" s="11">
        <f>IFERROR(__xludf.DUMMYFUNCTION("""COMPUTED_VALUE"""),44471.0)</f>
        <v>44471</v>
      </c>
      <c r="B2395" s="9">
        <f>IFERROR(__xludf.DUMMYFUNCTION("""COMPUTED_VALUE"""),1003621.0)</f>
        <v>1003621</v>
      </c>
      <c r="C2395" s="9">
        <f>IFERROR(__xludf.DUMMYFUNCTION("""COMPUTED_VALUE"""),116277.0)</f>
        <v>116277</v>
      </c>
      <c r="D2395" s="9"/>
      <c r="E2395" s="9"/>
      <c r="F2395" s="9">
        <f>IFERROR(__xludf.DUMMYFUNCTION("""COMPUTED_VALUE"""),5.66)</f>
        <v>5.66</v>
      </c>
      <c r="G2395" s="9">
        <f>IFERROR(__xludf.DUMMYFUNCTION("""COMPUTED_VALUE"""),5.66)</f>
        <v>5.66</v>
      </c>
      <c r="H2395" s="9">
        <f>IFERROR(__xludf.DUMMYFUNCTION("""COMPUTED_VALUE"""),1.0)</f>
        <v>1</v>
      </c>
      <c r="I2395" s="9"/>
      <c r="J2395" s="9"/>
      <c r="K2395" s="9"/>
      <c r="L2395" s="9"/>
      <c r="M2395" s="9"/>
      <c r="N2395" s="9"/>
      <c r="O2395" s="9"/>
      <c r="P2395" s="9"/>
      <c r="Q2395" s="9"/>
      <c r="R2395" s="9"/>
      <c r="S2395" s="9"/>
      <c r="T2395" s="9"/>
    </row>
    <row r="2396" ht="15.75" customHeight="1">
      <c r="A2396" s="11">
        <f>IFERROR(__xludf.DUMMYFUNCTION("""COMPUTED_VALUE"""),44471.0)</f>
        <v>44471</v>
      </c>
      <c r="B2396" s="9">
        <f>IFERROR(__xludf.DUMMYFUNCTION("""COMPUTED_VALUE"""),1003621.0)</f>
        <v>1003621</v>
      </c>
      <c r="C2396" s="9">
        <f>IFERROR(__xludf.DUMMYFUNCTION("""COMPUTED_VALUE"""),111009.0)</f>
        <v>111009</v>
      </c>
      <c r="D2396" s="9"/>
      <c r="E2396" s="9"/>
      <c r="F2396" s="9">
        <f>IFERROR(__xludf.DUMMYFUNCTION("""COMPUTED_VALUE"""),8.32)</f>
        <v>8.32</v>
      </c>
      <c r="G2396" s="9">
        <f>IFERROR(__xludf.DUMMYFUNCTION("""COMPUTED_VALUE"""),8.32)</f>
        <v>8.32</v>
      </c>
      <c r="H2396" s="9">
        <f>IFERROR(__xludf.DUMMYFUNCTION("""COMPUTED_VALUE"""),1.0)</f>
        <v>1</v>
      </c>
      <c r="I2396" s="9"/>
      <c r="J2396" s="9"/>
      <c r="K2396" s="9"/>
      <c r="L2396" s="9"/>
      <c r="M2396" s="9"/>
      <c r="N2396" s="9"/>
      <c r="O2396" s="9"/>
      <c r="P2396" s="9"/>
      <c r="Q2396" s="9"/>
      <c r="R2396" s="9"/>
      <c r="S2396" s="9"/>
      <c r="T2396" s="9"/>
    </row>
    <row r="2397" ht="15.75" customHeight="1">
      <c r="A2397" s="11">
        <f>IFERROR(__xludf.DUMMYFUNCTION("""COMPUTED_VALUE"""),44471.0)</f>
        <v>44471</v>
      </c>
      <c r="B2397" s="9">
        <f>IFERROR(__xludf.DUMMYFUNCTION("""COMPUTED_VALUE"""),1003621.0)</f>
        <v>1003621</v>
      </c>
      <c r="C2397" s="9">
        <f>IFERROR(__xludf.DUMMYFUNCTION("""COMPUTED_VALUE"""),10572.0)</f>
        <v>10572</v>
      </c>
      <c r="D2397" s="9"/>
      <c r="E2397" s="9"/>
      <c r="F2397" s="9">
        <f>IFERROR(__xludf.DUMMYFUNCTION("""COMPUTED_VALUE"""),3.22)</f>
        <v>3.22</v>
      </c>
      <c r="G2397" s="9">
        <f>IFERROR(__xludf.DUMMYFUNCTION("""COMPUTED_VALUE"""),3.22)</f>
        <v>3.22</v>
      </c>
      <c r="H2397" s="9">
        <f>IFERROR(__xludf.DUMMYFUNCTION("""COMPUTED_VALUE"""),1.0)</f>
        <v>1</v>
      </c>
      <c r="I2397" s="9"/>
      <c r="J2397" s="9"/>
      <c r="K2397" s="9"/>
      <c r="L2397" s="9"/>
      <c r="M2397" s="9"/>
      <c r="N2397" s="9"/>
      <c r="O2397" s="9"/>
      <c r="P2397" s="9"/>
      <c r="Q2397" s="9"/>
      <c r="R2397" s="9"/>
      <c r="S2397" s="9"/>
      <c r="T2397" s="9"/>
    </row>
    <row r="2398" ht="15.75" customHeight="1">
      <c r="A2398" s="11">
        <f>IFERROR(__xludf.DUMMYFUNCTION("""COMPUTED_VALUE"""),44471.0)</f>
        <v>44471</v>
      </c>
      <c r="B2398" s="9">
        <f>IFERROR(__xludf.DUMMYFUNCTION("""COMPUTED_VALUE"""),1003621.0)</f>
        <v>1003621</v>
      </c>
      <c r="C2398" s="9">
        <f>IFERROR(__xludf.DUMMYFUNCTION("""COMPUTED_VALUE"""),11002.0)</f>
        <v>11002</v>
      </c>
      <c r="D2398" s="9"/>
      <c r="E2398" s="9"/>
      <c r="F2398" s="9">
        <f>IFERROR(__xludf.DUMMYFUNCTION("""COMPUTED_VALUE"""),4.2)</f>
        <v>4.2</v>
      </c>
      <c r="G2398" s="9">
        <f>IFERROR(__xludf.DUMMYFUNCTION("""COMPUTED_VALUE"""),4.2)</f>
        <v>4.2</v>
      </c>
      <c r="H2398" s="9">
        <f>IFERROR(__xludf.DUMMYFUNCTION("""COMPUTED_VALUE"""),1.0)</f>
        <v>1</v>
      </c>
      <c r="I2398" s="9"/>
      <c r="J2398" s="9"/>
      <c r="K2398" s="9"/>
      <c r="L2398" s="9"/>
      <c r="M2398" s="9"/>
      <c r="N2398" s="9"/>
      <c r="O2398" s="9"/>
      <c r="P2398" s="9"/>
      <c r="Q2398" s="9"/>
      <c r="R2398" s="9"/>
      <c r="S2398" s="9"/>
      <c r="T2398" s="9"/>
    </row>
    <row r="2399" ht="15.75" customHeight="1">
      <c r="A2399" s="11">
        <f>IFERROR(__xludf.DUMMYFUNCTION("""COMPUTED_VALUE"""),44471.0)</f>
        <v>44471</v>
      </c>
      <c r="B2399" s="9">
        <f>IFERROR(__xludf.DUMMYFUNCTION("""COMPUTED_VALUE"""),1003621.0)</f>
        <v>1003621</v>
      </c>
      <c r="C2399" s="9">
        <f>IFERROR(__xludf.DUMMYFUNCTION("""COMPUTED_VALUE"""),121695.0)</f>
        <v>121695</v>
      </c>
      <c r="D2399" s="9"/>
      <c r="E2399" s="9"/>
      <c r="F2399" s="9">
        <f>IFERROR(__xludf.DUMMYFUNCTION("""COMPUTED_VALUE"""),2.15)</f>
        <v>2.15</v>
      </c>
      <c r="G2399" s="9">
        <f>IFERROR(__xludf.DUMMYFUNCTION("""COMPUTED_VALUE"""),2.15)</f>
        <v>2.15</v>
      </c>
      <c r="H2399" s="9">
        <f>IFERROR(__xludf.DUMMYFUNCTION("""COMPUTED_VALUE"""),2.0)</f>
        <v>2</v>
      </c>
      <c r="I2399" s="9"/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</row>
    <row r="2400" ht="15.75" customHeight="1">
      <c r="A2400" s="11">
        <f>IFERROR(__xludf.DUMMYFUNCTION("""COMPUTED_VALUE"""),44471.0)</f>
        <v>44471</v>
      </c>
      <c r="B2400" s="9">
        <f>IFERROR(__xludf.DUMMYFUNCTION("""COMPUTED_VALUE"""),1003621.0)</f>
        <v>1003621</v>
      </c>
      <c r="C2400" s="9">
        <f>IFERROR(__xludf.DUMMYFUNCTION("""COMPUTED_VALUE"""),88268.0)</f>
        <v>88268</v>
      </c>
      <c r="D2400" s="9"/>
      <c r="E2400" s="9"/>
      <c r="F2400" s="9">
        <f>IFERROR(__xludf.DUMMYFUNCTION("""COMPUTED_VALUE"""),2.12)</f>
        <v>2.12</v>
      </c>
      <c r="G2400" s="9">
        <f>IFERROR(__xludf.DUMMYFUNCTION("""COMPUTED_VALUE"""),2.12)</f>
        <v>2.12</v>
      </c>
      <c r="H2400" s="9">
        <f>IFERROR(__xludf.DUMMYFUNCTION("""COMPUTED_VALUE"""),2.0)</f>
        <v>2</v>
      </c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</row>
    <row r="2401" ht="15.75" customHeight="1">
      <c r="A2401" s="11">
        <f>IFERROR(__xludf.DUMMYFUNCTION("""COMPUTED_VALUE"""),44471.0)</f>
        <v>44471</v>
      </c>
      <c r="B2401" s="9">
        <f>IFERROR(__xludf.DUMMYFUNCTION("""COMPUTED_VALUE"""),1003621.0)</f>
        <v>1003621</v>
      </c>
      <c r="C2401" s="9">
        <f>IFERROR(__xludf.DUMMYFUNCTION("""COMPUTED_VALUE"""),103592.0)</f>
        <v>103592</v>
      </c>
      <c r="D2401" s="10" t="str">
        <f>IFERROR(__xludf.DUMMYFUNCTION("""COMPUTED_VALUE"""),"Love &amp; Green Couches et Culottes sept 2021")</f>
        <v>Love &amp; Green Couches et Culottes sept 2021</v>
      </c>
      <c r="E2401" s="10"/>
      <c r="F2401" s="9">
        <f>IFERROR(__xludf.DUMMYFUNCTION("""COMPUTED_VALUE"""),62.0285714285714)</f>
        <v>62.02857143</v>
      </c>
      <c r="G2401" s="9">
        <f>IFERROR(__xludf.DUMMYFUNCTION("""COMPUTED_VALUE"""),43.42)</f>
        <v>43.42</v>
      </c>
      <c r="H2401" s="9">
        <f>IFERROR(__xludf.DUMMYFUNCTION("""COMPUTED_VALUE"""),4.0)</f>
        <v>4</v>
      </c>
      <c r="I2401" s="9"/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</row>
    <row r="2402" ht="15.75" customHeight="1">
      <c r="A2402" s="11">
        <f>IFERROR(__xludf.DUMMYFUNCTION("""COMPUTED_VALUE"""),44471.0)</f>
        <v>44471</v>
      </c>
      <c r="B2402" s="9">
        <f>IFERROR(__xludf.DUMMYFUNCTION("""COMPUTED_VALUE"""),1003622.0)</f>
        <v>1003622</v>
      </c>
      <c r="C2402" s="9">
        <f>IFERROR(__xludf.DUMMYFUNCTION("""COMPUTED_VALUE"""),71326.0)</f>
        <v>71326</v>
      </c>
      <c r="D2402" s="9"/>
      <c r="E2402" s="9"/>
      <c r="F2402" s="9">
        <f>IFERROR(__xludf.DUMMYFUNCTION("""COMPUTED_VALUE"""),22.5)</f>
        <v>22.5</v>
      </c>
      <c r="G2402" s="9">
        <f>IFERROR(__xludf.DUMMYFUNCTION("""COMPUTED_VALUE"""),22.5)</f>
        <v>22.5</v>
      </c>
      <c r="H2402" s="9">
        <f>IFERROR(__xludf.DUMMYFUNCTION("""COMPUTED_VALUE"""),1.0)</f>
        <v>1</v>
      </c>
      <c r="I2402" s="9"/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</row>
    <row r="2403" ht="15.75" customHeight="1">
      <c r="A2403" s="11">
        <f>IFERROR(__xludf.DUMMYFUNCTION("""COMPUTED_VALUE"""),44471.0)</f>
        <v>44471</v>
      </c>
      <c r="B2403" s="9">
        <f>IFERROR(__xludf.DUMMYFUNCTION("""COMPUTED_VALUE"""),1003622.0)</f>
        <v>1003622</v>
      </c>
      <c r="C2403" s="9">
        <f>IFERROR(__xludf.DUMMYFUNCTION("""COMPUTED_VALUE"""),102305.0)</f>
        <v>102305</v>
      </c>
      <c r="D2403" s="9"/>
      <c r="E2403" s="9"/>
      <c r="F2403" s="9">
        <f>IFERROR(__xludf.DUMMYFUNCTION("""COMPUTED_VALUE"""),16.54)</f>
        <v>16.54</v>
      </c>
      <c r="G2403" s="9">
        <f>IFERROR(__xludf.DUMMYFUNCTION("""COMPUTED_VALUE"""),16.54)</f>
        <v>16.54</v>
      </c>
      <c r="H2403" s="9">
        <f>IFERROR(__xludf.DUMMYFUNCTION("""COMPUTED_VALUE"""),1.0)</f>
        <v>1</v>
      </c>
      <c r="I2403" s="9"/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</row>
    <row r="2404" ht="15.75" customHeight="1">
      <c r="A2404" s="11">
        <f>IFERROR(__xludf.DUMMYFUNCTION("""COMPUTED_VALUE"""),44471.0)</f>
        <v>44471</v>
      </c>
      <c r="B2404" s="9">
        <f>IFERROR(__xludf.DUMMYFUNCTION("""COMPUTED_VALUE"""),1003622.0)</f>
        <v>1003622</v>
      </c>
      <c r="C2404" s="9">
        <f>IFERROR(__xludf.DUMMYFUNCTION("""COMPUTED_VALUE"""),85156.0)</f>
        <v>85156</v>
      </c>
      <c r="D2404" s="9"/>
      <c r="E2404" s="9"/>
      <c r="F2404" s="9">
        <f>IFERROR(__xludf.DUMMYFUNCTION("""COMPUTED_VALUE"""),3.41)</f>
        <v>3.41</v>
      </c>
      <c r="G2404" s="9">
        <f>IFERROR(__xludf.DUMMYFUNCTION("""COMPUTED_VALUE"""),3.41)</f>
        <v>3.41</v>
      </c>
      <c r="H2404" s="9">
        <f>IFERROR(__xludf.DUMMYFUNCTION("""COMPUTED_VALUE"""),1.0)</f>
        <v>1</v>
      </c>
      <c r="I2404" s="9"/>
      <c r="J2404" s="9"/>
      <c r="K2404" s="9"/>
      <c r="L2404" s="9"/>
      <c r="M2404" s="9"/>
      <c r="N2404" s="9"/>
      <c r="O2404" s="9"/>
      <c r="P2404" s="9"/>
      <c r="Q2404" s="9"/>
      <c r="R2404" s="9"/>
      <c r="S2404" s="9"/>
      <c r="T2404" s="9"/>
    </row>
    <row r="2405" ht="15.75" customHeight="1">
      <c r="A2405" s="11">
        <f>IFERROR(__xludf.DUMMYFUNCTION("""COMPUTED_VALUE"""),44471.0)</f>
        <v>44471</v>
      </c>
      <c r="B2405" s="9">
        <f>IFERROR(__xludf.DUMMYFUNCTION("""COMPUTED_VALUE"""),1003622.0)</f>
        <v>1003622</v>
      </c>
      <c r="C2405" s="9">
        <f>IFERROR(__xludf.DUMMYFUNCTION("""COMPUTED_VALUE"""),15556.0)</f>
        <v>15556</v>
      </c>
      <c r="D2405" s="9"/>
      <c r="E2405" s="9"/>
      <c r="F2405" s="9">
        <f>IFERROR(__xludf.DUMMYFUNCTION("""COMPUTED_VALUE"""),22.36)</f>
        <v>22.36</v>
      </c>
      <c r="G2405" s="9">
        <f>IFERROR(__xludf.DUMMYFUNCTION("""COMPUTED_VALUE"""),22.36)</f>
        <v>22.36</v>
      </c>
      <c r="H2405" s="9">
        <f>IFERROR(__xludf.DUMMYFUNCTION("""COMPUTED_VALUE"""),10.0)</f>
        <v>10</v>
      </c>
      <c r="I2405" s="9"/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</row>
    <row r="2406" ht="15.75" customHeight="1">
      <c r="A2406" s="11">
        <f>IFERROR(__xludf.DUMMYFUNCTION("""COMPUTED_VALUE"""),44471.0)</f>
        <v>44471</v>
      </c>
      <c r="B2406" s="9">
        <f>IFERROR(__xludf.DUMMYFUNCTION("""COMPUTED_VALUE"""),1003623.0)</f>
        <v>1003623</v>
      </c>
      <c r="C2406" s="9">
        <f>IFERROR(__xludf.DUMMYFUNCTION("""COMPUTED_VALUE"""),109308.0)</f>
        <v>109308</v>
      </c>
      <c r="D2406" s="9"/>
      <c r="E2406" s="9"/>
      <c r="F2406" s="9">
        <f>IFERROR(__xludf.DUMMYFUNCTION("""COMPUTED_VALUE"""),16.33)</f>
        <v>16.33</v>
      </c>
      <c r="G2406" s="9">
        <f>IFERROR(__xludf.DUMMYFUNCTION("""COMPUTED_VALUE"""),16.33)</f>
        <v>16.33</v>
      </c>
      <c r="H2406" s="9">
        <f>IFERROR(__xludf.DUMMYFUNCTION("""COMPUTED_VALUE"""),2.0)</f>
        <v>2</v>
      </c>
      <c r="I2406" s="9"/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</row>
    <row r="2407" ht="15.75" customHeight="1">
      <c r="A2407" s="11">
        <f>IFERROR(__xludf.DUMMYFUNCTION("""COMPUTED_VALUE"""),44471.0)</f>
        <v>44471</v>
      </c>
      <c r="B2407" s="9">
        <f>IFERROR(__xludf.DUMMYFUNCTION("""COMPUTED_VALUE"""),1003623.0)</f>
        <v>1003623</v>
      </c>
      <c r="C2407" s="9">
        <f>IFERROR(__xludf.DUMMYFUNCTION("""COMPUTED_VALUE"""),104171.0)</f>
        <v>104171</v>
      </c>
      <c r="D2407" s="9"/>
      <c r="E2407" s="9"/>
      <c r="F2407" s="9">
        <f>IFERROR(__xludf.DUMMYFUNCTION("""COMPUTED_VALUE"""),7.29)</f>
        <v>7.29</v>
      </c>
      <c r="G2407" s="9">
        <f>IFERROR(__xludf.DUMMYFUNCTION("""COMPUTED_VALUE"""),7.29)</f>
        <v>7.29</v>
      </c>
      <c r="H2407" s="9">
        <f>IFERROR(__xludf.DUMMYFUNCTION("""COMPUTED_VALUE"""),3.0)</f>
        <v>3</v>
      </c>
      <c r="I2407" s="9"/>
      <c r="J2407" s="9"/>
      <c r="K2407" s="9"/>
      <c r="L2407" s="9"/>
      <c r="M2407" s="9"/>
      <c r="N2407" s="9"/>
      <c r="O2407" s="9"/>
      <c r="P2407" s="9"/>
      <c r="Q2407" s="9"/>
      <c r="R2407" s="9"/>
      <c r="S2407" s="9"/>
      <c r="T2407" s="9"/>
    </row>
    <row r="2408" ht="15.75" customHeight="1">
      <c r="A2408" s="11">
        <f>IFERROR(__xludf.DUMMYFUNCTION("""COMPUTED_VALUE"""),44471.0)</f>
        <v>44471</v>
      </c>
      <c r="B2408" s="9">
        <f>IFERROR(__xludf.DUMMYFUNCTION("""COMPUTED_VALUE"""),1003623.0)</f>
        <v>1003623</v>
      </c>
      <c r="C2408" s="9">
        <f>IFERROR(__xludf.DUMMYFUNCTION("""COMPUTED_VALUE"""),95063.0)</f>
        <v>95063</v>
      </c>
      <c r="D2408" s="10" t="str">
        <f>IFERROR(__xludf.DUMMYFUNCTION("""COMPUTED_VALUE"""),"Offre Speciale")</f>
        <v>Offre Speciale</v>
      </c>
      <c r="E2408" s="10"/>
      <c r="F2408" s="9">
        <f>IFERROR(__xludf.DUMMYFUNCTION("""COMPUTED_VALUE"""),16.9058823529411)</f>
        <v>16.90588235</v>
      </c>
      <c r="G2408" s="9">
        <f>IFERROR(__xludf.DUMMYFUNCTION("""COMPUTED_VALUE"""),14.37)</f>
        <v>14.37</v>
      </c>
      <c r="H2408" s="9">
        <f>IFERROR(__xludf.DUMMYFUNCTION("""COMPUTED_VALUE"""),5.0)</f>
        <v>5</v>
      </c>
      <c r="I2408" s="9"/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</row>
    <row r="2409" ht="15.75" customHeight="1">
      <c r="A2409" s="11">
        <f>IFERROR(__xludf.DUMMYFUNCTION("""COMPUTED_VALUE"""),44471.0)</f>
        <v>44471</v>
      </c>
      <c r="B2409" s="9">
        <f>IFERROR(__xludf.DUMMYFUNCTION("""COMPUTED_VALUE"""),1003623.0)</f>
        <v>1003623</v>
      </c>
      <c r="C2409" s="9">
        <f>IFERROR(__xludf.DUMMYFUNCTION("""COMPUTED_VALUE"""),78421.0)</f>
        <v>78421</v>
      </c>
      <c r="D2409" s="9"/>
      <c r="E2409" s="9"/>
      <c r="F2409" s="9">
        <f>IFERROR(__xludf.DUMMYFUNCTION("""COMPUTED_VALUE"""),11.71)</f>
        <v>11.71</v>
      </c>
      <c r="G2409" s="9">
        <f>IFERROR(__xludf.DUMMYFUNCTION("""COMPUTED_VALUE"""),11.71)</f>
        <v>11.71</v>
      </c>
      <c r="H2409" s="9">
        <f>IFERROR(__xludf.DUMMYFUNCTION("""COMPUTED_VALUE"""),5.0)</f>
        <v>5</v>
      </c>
      <c r="I2409" s="9"/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</row>
    <row r="2410" ht="15.75" customHeight="1">
      <c r="A2410" s="11">
        <f>IFERROR(__xludf.DUMMYFUNCTION("""COMPUTED_VALUE"""),44471.0)</f>
        <v>44471</v>
      </c>
      <c r="B2410" s="9">
        <f>IFERROR(__xludf.DUMMYFUNCTION("""COMPUTED_VALUE"""),1003623.0)</f>
        <v>1003623</v>
      </c>
      <c r="C2410" s="9">
        <f>IFERROR(__xludf.DUMMYFUNCTION("""COMPUTED_VALUE"""),44730.0)</f>
        <v>44730</v>
      </c>
      <c r="D2410" s="9"/>
      <c r="E2410" s="9"/>
      <c r="F2410" s="9">
        <f>IFERROR(__xludf.DUMMYFUNCTION("""COMPUTED_VALUE"""),27.52)</f>
        <v>27.52</v>
      </c>
      <c r="G2410" s="9">
        <f>IFERROR(__xludf.DUMMYFUNCTION("""COMPUTED_VALUE"""),27.52)</f>
        <v>27.52</v>
      </c>
      <c r="H2410" s="9">
        <f>IFERROR(__xludf.DUMMYFUNCTION("""COMPUTED_VALUE"""),6.0)</f>
        <v>6</v>
      </c>
      <c r="I2410" s="9"/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</row>
    <row r="2411" ht="15.75" customHeight="1">
      <c r="A2411" s="11">
        <f>IFERROR(__xludf.DUMMYFUNCTION("""COMPUTED_VALUE"""),44471.0)</f>
        <v>44471</v>
      </c>
      <c r="B2411" s="9">
        <f>IFERROR(__xludf.DUMMYFUNCTION("""COMPUTED_VALUE"""),1003624.0)</f>
        <v>1003624</v>
      </c>
      <c r="C2411" s="9">
        <f>IFERROR(__xludf.DUMMYFUNCTION("""COMPUTED_VALUE"""),7358.0)</f>
        <v>7358</v>
      </c>
      <c r="D2411" s="9"/>
      <c r="E2411" s="10" t="str">
        <f>IFERROR(__xludf.DUMMYFUNCTION("""COMPUTED_VALUE"""),"PREMIERE")</f>
        <v>PREMIERE</v>
      </c>
      <c r="F2411" s="10">
        <f>IFERROR(__xludf.DUMMYFUNCTION("""COMPUTED_VALUE"""),4.25)</f>
        <v>4.25</v>
      </c>
      <c r="G2411" s="9">
        <f>IFERROR(__xludf.DUMMYFUNCTION("""COMPUTED_VALUE"""),4.25)</f>
        <v>4.25</v>
      </c>
      <c r="H2411" s="9">
        <f>IFERROR(__xludf.DUMMYFUNCTION("""COMPUTED_VALUE"""),1.0)</f>
        <v>1</v>
      </c>
      <c r="I2411" s="9"/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</row>
    <row r="2412" ht="15.75" customHeight="1">
      <c r="A2412" s="11">
        <f>IFERROR(__xludf.DUMMYFUNCTION("""COMPUTED_VALUE"""),44471.0)</f>
        <v>44471</v>
      </c>
      <c r="B2412" s="9">
        <f>IFERROR(__xludf.DUMMYFUNCTION("""COMPUTED_VALUE"""),1003624.0)</f>
        <v>1003624</v>
      </c>
      <c r="C2412" s="9">
        <f>IFERROR(__xludf.DUMMYFUNCTION("""COMPUTED_VALUE"""),102750.0)</f>
        <v>102750</v>
      </c>
      <c r="D2412" s="9"/>
      <c r="E2412" s="10" t="str">
        <f>IFERROR(__xludf.DUMMYFUNCTION("""COMPUTED_VALUE"""),"PREMIERE")</f>
        <v>PREMIERE</v>
      </c>
      <c r="F2412" s="10">
        <f>IFERROR(__xludf.DUMMYFUNCTION("""COMPUTED_VALUE"""),11.8)</f>
        <v>11.8</v>
      </c>
      <c r="G2412" s="9">
        <f>IFERROR(__xludf.DUMMYFUNCTION("""COMPUTED_VALUE"""),11.8)</f>
        <v>11.8</v>
      </c>
      <c r="H2412" s="9">
        <f>IFERROR(__xludf.DUMMYFUNCTION("""COMPUTED_VALUE"""),1.0)</f>
        <v>1</v>
      </c>
      <c r="I2412" s="9"/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</row>
    <row r="2413" ht="15.75" customHeight="1">
      <c r="A2413" s="11">
        <f>IFERROR(__xludf.DUMMYFUNCTION("""COMPUTED_VALUE"""),44471.0)</f>
        <v>44471</v>
      </c>
      <c r="B2413" s="9">
        <f>IFERROR(__xludf.DUMMYFUNCTION("""COMPUTED_VALUE"""),1003624.0)</f>
        <v>1003624</v>
      </c>
      <c r="C2413" s="9">
        <f>IFERROR(__xludf.DUMMYFUNCTION("""COMPUTED_VALUE"""),90643.0)</f>
        <v>90643</v>
      </c>
      <c r="D2413" s="9"/>
      <c r="E2413" s="10" t="str">
        <f>IFERROR(__xludf.DUMMYFUNCTION("""COMPUTED_VALUE"""),"PREMIERE")</f>
        <v>PREMIERE</v>
      </c>
      <c r="F2413" s="10">
        <f>IFERROR(__xludf.DUMMYFUNCTION("""COMPUTED_VALUE"""),19.34)</f>
        <v>19.34</v>
      </c>
      <c r="G2413" s="9">
        <f>IFERROR(__xludf.DUMMYFUNCTION("""COMPUTED_VALUE"""),19.34)</f>
        <v>19.34</v>
      </c>
      <c r="H2413" s="9">
        <f>IFERROR(__xludf.DUMMYFUNCTION("""COMPUTED_VALUE"""),4.0)</f>
        <v>4</v>
      </c>
      <c r="I2413" s="9"/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</row>
    <row r="2414" ht="15.75" customHeight="1">
      <c r="A2414" s="11">
        <f>IFERROR(__xludf.DUMMYFUNCTION("""COMPUTED_VALUE"""),44471.0)</f>
        <v>44471</v>
      </c>
      <c r="B2414" s="9">
        <f>IFERROR(__xludf.DUMMYFUNCTION("""COMPUTED_VALUE"""),1003625.0)</f>
        <v>1003625</v>
      </c>
      <c r="C2414" s="9">
        <f>IFERROR(__xludf.DUMMYFUNCTION("""COMPUTED_VALUE"""),195737.0)</f>
        <v>195737</v>
      </c>
      <c r="D2414" s="9"/>
      <c r="E2414" s="9"/>
      <c r="F2414" s="9">
        <f>IFERROR(__xludf.DUMMYFUNCTION("""COMPUTED_VALUE"""),4.06)</f>
        <v>4.06</v>
      </c>
      <c r="G2414" s="9">
        <f>IFERROR(__xludf.DUMMYFUNCTION("""COMPUTED_VALUE"""),4.06)</f>
        <v>4.06</v>
      </c>
      <c r="H2414" s="9">
        <f>IFERROR(__xludf.DUMMYFUNCTION("""COMPUTED_VALUE"""),1.0)</f>
        <v>1</v>
      </c>
      <c r="I2414" s="9"/>
      <c r="J2414" s="9"/>
      <c r="K2414" s="9"/>
      <c r="L2414" s="9"/>
      <c r="M2414" s="9"/>
      <c r="N2414" s="9"/>
      <c r="O2414" s="9"/>
      <c r="P2414" s="9"/>
      <c r="Q2414" s="9"/>
      <c r="R2414" s="9"/>
      <c r="S2414" s="9"/>
      <c r="T2414" s="9"/>
    </row>
    <row r="2415" ht="15.75" customHeight="1">
      <c r="A2415" s="11">
        <f>IFERROR(__xludf.DUMMYFUNCTION("""COMPUTED_VALUE"""),44471.0)</f>
        <v>44471</v>
      </c>
      <c r="B2415" s="9">
        <f>IFERROR(__xludf.DUMMYFUNCTION("""COMPUTED_VALUE"""),1003625.0)</f>
        <v>1003625</v>
      </c>
      <c r="C2415" s="9">
        <f>IFERROR(__xludf.DUMMYFUNCTION("""COMPUTED_VALUE"""),18115.0)</f>
        <v>18115</v>
      </c>
      <c r="D2415" s="9"/>
      <c r="E2415" s="9"/>
      <c r="F2415" s="9">
        <f>IFERROR(__xludf.DUMMYFUNCTION("""COMPUTED_VALUE"""),3.79)</f>
        <v>3.79</v>
      </c>
      <c r="G2415" s="9">
        <f>IFERROR(__xludf.DUMMYFUNCTION("""COMPUTED_VALUE"""),3.79)</f>
        <v>3.79</v>
      </c>
      <c r="H2415" s="9">
        <f>IFERROR(__xludf.DUMMYFUNCTION("""COMPUTED_VALUE"""),1.0)</f>
        <v>1</v>
      </c>
      <c r="I2415" s="9"/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</row>
    <row r="2416" ht="15.75" customHeight="1">
      <c r="A2416" s="11">
        <f>IFERROR(__xludf.DUMMYFUNCTION("""COMPUTED_VALUE"""),44471.0)</f>
        <v>44471</v>
      </c>
      <c r="B2416" s="9">
        <f>IFERROR(__xludf.DUMMYFUNCTION("""COMPUTED_VALUE"""),1003625.0)</f>
        <v>1003625</v>
      </c>
      <c r="C2416" s="9">
        <f>IFERROR(__xludf.DUMMYFUNCTION("""COMPUTED_VALUE"""),87404.0)</f>
        <v>87404</v>
      </c>
      <c r="D2416" s="9"/>
      <c r="E2416" s="9"/>
      <c r="F2416" s="9">
        <f>IFERROR(__xludf.DUMMYFUNCTION("""COMPUTED_VALUE"""),3.07)</f>
        <v>3.07</v>
      </c>
      <c r="G2416" s="9">
        <f>IFERROR(__xludf.DUMMYFUNCTION("""COMPUTED_VALUE"""),3.07)</f>
        <v>3.07</v>
      </c>
      <c r="H2416" s="9">
        <f>IFERROR(__xludf.DUMMYFUNCTION("""COMPUTED_VALUE"""),1.0)</f>
        <v>1</v>
      </c>
      <c r="I2416" s="9"/>
      <c r="J2416" s="9"/>
      <c r="K2416" s="9"/>
      <c r="L2416" s="9"/>
      <c r="M2416" s="9"/>
      <c r="N2416" s="9"/>
      <c r="O2416" s="9"/>
      <c r="P2416" s="9"/>
      <c r="Q2416" s="9"/>
      <c r="R2416" s="9"/>
      <c r="S2416" s="9"/>
      <c r="T2416" s="9"/>
    </row>
    <row r="2417" ht="15.75" customHeight="1">
      <c r="A2417" s="11">
        <f>IFERROR(__xludf.DUMMYFUNCTION("""COMPUTED_VALUE"""),44471.0)</f>
        <v>44471</v>
      </c>
      <c r="B2417" s="9">
        <f>IFERROR(__xludf.DUMMYFUNCTION("""COMPUTED_VALUE"""),1003625.0)</f>
        <v>1003625</v>
      </c>
      <c r="C2417" s="9">
        <f>IFERROR(__xludf.DUMMYFUNCTION("""COMPUTED_VALUE"""),8871.0)</f>
        <v>8871</v>
      </c>
      <c r="D2417" s="9"/>
      <c r="E2417" s="9"/>
      <c r="F2417" s="9">
        <f>IFERROR(__xludf.DUMMYFUNCTION("""COMPUTED_VALUE"""),5.9)</f>
        <v>5.9</v>
      </c>
      <c r="G2417" s="9">
        <f>IFERROR(__xludf.DUMMYFUNCTION("""COMPUTED_VALUE"""),5.9)</f>
        <v>5.9</v>
      </c>
      <c r="H2417" s="9">
        <f>IFERROR(__xludf.DUMMYFUNCTION("""COMPUTED_VALUE"""),1.0)</f>
        <v>1</v>
      </c>
      <c r="I2417" s="9"/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</row>
    <row r="2418" ht="15.75" customHeight="1">
      <c r="A2418" s="11">
        <f>IFERROR(__xludf.DUMMYFUNCTION("""COMPUTED_VALUE"""),44471.0)</f>
        <v>44471</v>
      </c>
      <c r="B2418" s="9">
        <f>IFERROR(__xludf.DUMMYFUNCTION("""COMPUTED_VALUE"""),1003625.0)</f>
        <v>1003625</v>
      </c>
      <c r="C2418" s="9">
        <f>IFERROR(__xludf.DUMMYFUNCTION("""COMPUTED_VALUE"""),117866.0)</f>
        <v>117866</v>
      </c>
      <c r="D2418" s="9"/>
      <c r="E2418" s="9"/>
      <c r="F2418" s="9">
        <f>IFERROR(__xludf.DUMMYFUNCTION("""COMPUTED_VALUE"""),27.63)</f>
        <v>27.63</v>
      </c>
      <c r="G2418" s="9">
        <f>IFERROR(__xludf.DUMMYFUNCTION("""COMPUTED_VALUE"""),27.63)</f>
        <v>27.63</v>
      </c>
      <c r="H2418" s="9">
        <f>IFERROR(__xludf.DUMMYFUNCTION("""COMPUTED_VALUE"""),1.0)</f>
        <v>1</v>
      </c>
      <c r="I2418" s="9"/>
      <c r="J2418" s="9"/>
      <c r="K2418" s="9"/>
      <c r="L2418" s="9"/>
      <c r="M2418" s="9"/>
      <c r="N2418" s="9"/>
      <c r="O2418" s="9"/>
      <c r="P2418" s="9"/>
      <c r="Q2418" s="9"/>
      <c r="R2418" s="9"/>
      <c r="S2418" s="9"/>
      <c r="T2418" s="9"/>
    </row>
    <row r="2419" ht="15.75" customHeight="1">
      <c r="A2419" s="11">
        <f>IFERROR(__xludf.DUMMYFUNCTION("""COMPUTED_VALUE"""),44471.0)</f>
        <v>44471</v>
      </c>
      <c r="B2419" s="9">
        <f>IFERROR(__xludf.DUMMYFUNCTION("""COMPUTED_VALUE"""),1003625.0)</f>
        <v>1003625</v>
      </c>
      <c r="C2419" s="9">
        <f>IFERROR(__xludf.DUMMYFUNCTION("""COMPUTED_VALUE"""),116274.0)</f>
        <v>116274</v>
      </c>
      <c r="D2419" s="9"/>
      <c r="E2419" s="9"/>
      <c r="F2419" s="9">
        <f>IFERROR(__xludf.DUMMYFUNCTION("""COMPUTED_VALUE"""),3.86)</f>
        <v>3.86</v>
      </c>
      <c r="G2419" s="9">
        <f>IFERROR(__xludf.DUMMYFUNCTION("""COMPUTED_VALUE"""),3.86)</f>
        <v>3.86</v>
      </c>
      <c r="H2419" s="9">
        <f>IFERROR(__xludf.DUMMYFUNCTION("""COMPUTED_VALUE"""),1.0)</f>
        <v>1</v>
      </c>
      <c r="I2419" s="9"/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</row>
    <row r="2420" ht="15.75" customHeight="1">
      <c r="A2420" s="11">
        <f>IFERROR(__xludf.DUMMYFUNCTION("""COMPUTED_VALUE"""),44471.0)</f>
        <v>44471</v>
      </c>
      <c r="B2420" s="9">
        <f>IFERROR(__xludf.DUMMYFUNCTION("""COMPUTED_VALUE"""),1003625.0)</f>
        <v>1003625</v>
      </c>
      <c r="C2420" s="9">
        <f>IFERROR(__xludf.DUMMYFUNCTION("""COMPUTED_VALUE"""),121298.0)</f>
        <v>121298</v>
      </c>
      <c r="D2420" s="10" t="str">
        <f>IFERROR(__xludf.DUMMYFUNCTION("""COMPUTED_VALUE"""),"Vive le bio")</f>
        <v>Vive le bio</v>
      </c>
      <c r="E2420" s="10"/>
      <c r="F2420" s="9">
        <f>IFERROR(__xludf.DUMMYFUNCTION("""COMPUTED_VALUE"""),55.2555555555555)</f>
        <v>55.25555556</v>
      </c>
      <c r="G2420" s="9">
        <f>IFERROR(__xludf.DUMMYFUNCTION("""COMPUTED_VALUE"""),49.73)</f>
        <v>49.73</v>
      </c>
      <c r="H2420" s="9">
        <f>IFERROR(__xludf.DUMMYFUNCTION("""COMPUTED_VALUE"""),2.0)</f>
        <v>2</v>
      </c>
      <c r="I2420" s="9"/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</row>
    <row r="2421" ht="15.75" customHeight="1">
      <c r="A2421" s="11">
        <f>IFERROR(__xludf.DUMMYFUNCTION("""COMPUTED_VALUE"""),44471.0)</f>
        <v>44471</v>
      </c>
      <c r="B2421" s="9">
        <f>IFERROR(__xludf.DUMMYFUNCTION("""COMPUTED_VALUE"""),1003626.0)</f>
        <v>1003626</v>
      </c>
      <c r="C2421" s="9">
        <f>IFERROR(__xludf.DUMMYFUNCTION("""COMPUTED_VALUE"""),46291.0)</f>
        <v>46291</v>
      </c>
      <c r="D2421" s="10" t="str">
        <f>IFERROR(__xludf.DUMMYFUNCTION("""COMPUTED_VALUE"""),"Vive le bio")</f>
        <v>Vive le bio</v>
      </c>
      <c r="E2421" s="10"/>
      <c r="F2421" s="9">
        <f>IFERROR(__xludf.DUMMYFUNCTION("""COMPUTED_VALUE"""),3.55555555555555)</f>
        <v>3.555555556</v>
      </c>
      <c r="G2421" s="9">
        <f>IFERROR(__xludf.DUMMYFUNCTION("""COMPUTED_VALUE"""),3.2)</f>
        <v>3.2</v>
      </c>
      <c r="H2421" s="9">
        <f>IFERROR(__xludf.DUMMYFUNCTION("""COMPUTED_VALUE"""),1.0)</f>
        <v>1</v>
      </c>
      <c r="I2421" s="9"/>
      <c r="J2421" s="9"/>
      <c r="K2421" s="9"/>
      <c r="L2421" s="9"/>
      <c r="M2421" s="9"/>
      <c r="N2421" s="9"/>
      <c r="O2421" s="9"/>
      <c r="P2421" s="9"/>
      <c r="Q2421" s="9"/>
      <c r="R2421" s="9"/>
      <c r="S2421" s="9"/>
      <c r="T2421" s="9"/>
    </row>
    <row r="2422" ht="15.75" customHeight="1">
      <c r="A2422" s="11">
        <f>IFERROR(__xludf.DUMMYFUNCTION("""COMPUTED_VALUE"""),44471.0)</f>
        <v>44471</v>
      </c>
      <c r="B2422" s="9">
        <f>IFERROR(__xludf.DUMMYFUNCTION("""COMPUTED_VALUE"""),1003626.0)</f>
        <v>1003626</v>
      </c>
      <c r="C2422" s="9">
        <f>IFERROR(__xludf.DUMMYFUNCTION("""COMPUTED_VALUE"""),119239.0)</f>
        <v>119239</v>
      </c>
      <c r="D2422" s="9"/>
      <c r="E2422" s="9"/>
      <c r="F2422" s="9">
        <f>IFERROR(__xludf.DUMMYFUNCTION("""COMPUTED_VALUE"""),2.66)</f>
        <v>2.66</v>
      </c>
      <c r="G2422" s="9">
        <f>IFERROR(__xludf.DUMMYFUNCTION("""COMPUTED_VALUE"""),2.66)</f>
        <v>2.66</v>
      </c>
      <c r="H2422" s="9">
        <f>IFERROR(__xludf.DUMMYFUNCTION("""COMPUTED_VALUE"""),1.0)</f>
        <v>1</v>
      </c>
      <c r="I2422" s="9"/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</row>
    <row r="2423" ht="15.75" customHeight="1">
      <c r="A2423" s="11">
        <f>IFERROR(__xludf.DUMMYFUNCTION("""COMPUTED_VALUE"""),44471.0)</f>
        <v>44471</v>
      </c>
      <c r="B2423" s="9">
        <f>IFERROR(__xludf.DUMMYFUNCTION("""COMPUTED_VALUE"""),1003626.0)</f>
        <v>1003626</v>
      </c>
      <c r="C2423" s="9">
        <f>IFERROR(__xludf.DUMMYFUNCTION("""COMPUTED_VALUE"""),120016.0)</f>
        <v>120016</v>
      </c>
      <c r="D2423" s="10" t="str">
        <f>IFERROR(__xludf.DUMMYFUNCTION("""COMPUTED_VALUE"""),"Vive le bio")</f>
        <v>Vive le bio</v>
      </c>
      <c r="E2423" s="10"/>
      <c r="F2423" s="9">
        <f>IFERROR(__xludf.DUMMYFUNCTION("""COMPUTED_VALUE"""),3.3578947368421)</f>
        <v>3.357894737</v>
      </c>
      <c r="G2423" s="9">
        <f>IFERROR(__xludf.DUMMYFUNCTION("""COMPUTED_VALUE"""),3.19)</f>
        <v>3.19</v>
      </c>
      <c r="H2423" s="9">
        <f>IFERROR(__xludf.DUMMYFUNCTION("""COMPUTED_VALUE"""),1.0)</f>
        <v>1</v>
      </c>
      <c r="I2423" s="9"/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</row>
    <row r="2424" ht="15.75" customHeight="1">
      <c r="A2424" s="11">
        <f>IFERROR(__xludf.DUMMYFUNCTION("""COMPUTED_VALUE"""),44471.0)</f>
        <v>44471</v>
      </c>
      <c r="B2424" s="9">
        <f>IFERROR(__xludf.DUMMYFUNCTION("""COMPUTED_VALUE"""),1003626.0)</f>
        <v>1003626</v>
      </c>
      <c r="C2424" s="9">
        <f>IFERROR(__xludf.DUMMYFUNCTION("""COMPUTED_VALUE"""),109310.0)</f>
        <v>109310</v>
      </c>
      <c r="D2424" s="9"/>
      <c r="E2424" s="9"/>
      <c r="F2424" s="9">
        <f>IFERROR(__xludf.DUMMYFUNCTION("""COMPUTED_VALUE"""),12.54)</f>
        <v>12.54</v>
      </c>
      <c r="G2424" s="9">
        <f>IFERROR(__xludf.DUMMYFUNCTION("""COMPUTED_VALUE"""),12.54)</f>
        <v>12.54</v>
      </c>
      <c r="H2424" s="9">
        <f>IFERROR(__xludf.DUMMYFUNCTION("""COMPUTED_VALUE"""),2.0)</f>
        <v>2</v>
      </c>
      <c r="I2424" s="9"/>
      <c r="J2424" s="9"/>
      <c r="K2424" s="9"/>
      <c r="L2424" s="9"/>
      <c r="M2424" s="9"/>
      <c r="N2424" s="9"/>
      <c r="O2424" s="9"/>
      <c r="P2424" s="9"/>
      <c r="Q2424" s="9"/>
      <c r="R2424" s="9"/>
      <c r="S2424" s="9"/>
      <c r="T2424" s="9"/>
    </row>
    <row r="2425" ht="15.75" customHeight="1">
      <c r="A2425" s="11">
        <f>IFERROR(__xludf.DUMMYFUNCTION("""COMPUTED_VALUE"""),44471.0)</f>
        <v>44471</v>
      </c>
      <c r="B2425" s="9">
        <f>IFERROR(__xludf.DUMMYFUNCTION("""COMPUTED_VALUE"""),1003626.0)</f>
        <v>1003626</v>
      </c>
      <c r="C2425" s="9">
        <f>IFERROR(__xludf.DUMMYFUNCTION("""COMPUTED_VALUE"""),109308.0)</f>
        <v>109308</v>
      </c>
      <c r="D2425" s="9"/>
      <c r="E2425" s="9"/>
      <c r="F2425" s="9">
        <f>IFERROR(__xludf.DUMMYFUNCTION("""COMPUTED_VALUE"""),16.33)</f>
        <v>16.33</v>
      </c>
      <c r="G2425" s="9">
        <f>IFERROR(__xludf.DUMMYFUNCTION("""COMPUTED_VALUE"""),16.33)</f>
        <v>16.33</v>
      </c>
      <c r="H2425" s="9">
        <f>IFERROR(__xludf.DUMMYFUNCTION("""COMPUTED_VALUE"""),2.0)</f>
        <v>2</v>
      </c>
      <c r="I2425" s="9"/>
      <c r="J2425" s="9"/>
      <c r="K2425" s="9"/>
      <c r="L2425" s="9"/>
      <c r="M2425" s="9"/>
      <c r="N2425" s="9"/>
      <c r="O2425" s="9"/>
      <c r="P2425" s="9"/>
      <c r="Q2425" s="9"/>
      <c r="R2425" s="9"/>
      <c r="S2425" s="9"/>
      <c r="T2425" s="9"/>
    </row>
    <row r="2426" ht="15.75" customHeight="1">
      <c r="A2426" s="11">
        <f>IFERROR(__xludf.DUMMYFUNCTION("""COMPUTED_VALUE"""),44471.0)</f>
        <v>44471</v>
      </c>
      <c r="B2426" s="9">
        <f>IFERROR(__xludf.DUMMYFUNCTION("""COMPUTED_VALUE"""),1003626.0)</f>
        <v>1003626</v>
      </c>
      <c r="C2426" s="9">
        <f>IFERROR(__xludf.DUMMYFUNCTION("""COMPUTED_VALUE"""),109309.0)</f>
        <v>109309</v>
      </c>
      <c r="D2426" s="9"/>
      <c r="E2426" s="9"/>
      <c r="F2426" s="9">
        <f>IFERROR(__xludf.DUMMYFUNCTION("""COMPUTED_VALUE"""),16.53)</f>
        <v>16.53</v>
      </c>
      <c r="G2426" s="9">
        <f>IFERROR(__xludf.DUMMYFUNCTION("""COMPUTED_VALUE"""),16.53)</f>
        <v>16.53</v>
      </c>
      <c r="H2426" s="9">
        <f>IFERROR(__xludf.DUMMYFUNCTION("""COMPUTED_VALUE"""),2.0)</f>
        <v>2</v>
      </c>
      <c r="I2426" s="9"/>
      <c r="J2426" s="9"/>
      <c r="K2426" s="9"/>
      <c r="L2426" s="9"/>
      <c r="M2426" s="9"/>
      <c r="N2426" s="9"/>
      <c r="O2426" s="9"/>
      <c r="P2426" s="9"/>
      <c r="Q2426" s="9"/>
      <c r="R2426" s="9"/>
      <c r="S2426" s="9"/>
      <c r="T2426" s="9"/>
    </row>
    <row r="2427" ht="15.75" customHeight="1">
      <c r="A2427" s="11">
        <f>IFERROR(__xludf.DUMMYFUNCTION("""COMPUTED_VALUE"""),44471.0)</f>
        <v>44471</v>
      </c>
      <c r="B2427" s="9">
        <f>IFERROR(__xludf.DUMMYFUNCTION("""COMPUTED_VALUE"""),1003626.0)</f>
        <v>1003626</v>
      </c>
      <c r="C2427" s="9">
        <f>IFERROR(__xludf.DUMMYFUNCTION("""COMPUTED_VALUE"""),117148.0)</f>
        <v>117148</v>
      </c>
      <c r="D2427" s="9"/>
      <c r="E2427" s="9"/>
      <c r="F2427" s="9">
        <f>IFERROR(__xludf.DUMMYFUNCTION("""COMPUTED_VALUE"""),4.16)</f>
        <v>4.16</v>
      </c>
      <c r="G2427" s="9">
        <f>IFERROR(__xludf.DUMMYFUNCTION("""COMPUTED_VALUE"""),4.16)</f>
        <v>4.16</v>
      </c>
      <c r="H2427" s="9">
        <f>IFERROR(__xludf.DUMMYFUNCTION("""COMPUTED_VALUE"""),2.0)</f>
        <v>2</v>
      </c>
      <c r="I2427" s="9"/>
      <c r="J2427" s="9"/>
      <c r="K2427" s="9"/>
      <c r="L2427" s="9"/>
      <c r="M2427" s="9"/>
      <c r="N2427" s="9"/>
      <c r="O2427" s="9"/>
      <c r="P2427" s="9"/>
      <c r="Q2427" s="9"/>
      <c r="R2427" s="9"/>
      <c r="S2427" s="9"/>
      <c r="T2427" s="9"/>
    </row>
    <row r="2428" ht="15.75" customHeight="1">
      <c r="A2428" s="11">
        <f>IFERROR(__xludf.DUMMYFUNCTION("""COMPUTED_VALUE"""),44471.0)</f>
        <v>44471</v>
      </c>
      <c r="B2428" s="9">
        <f>IFERROR(__xludf.DUMMYFUNCTION("""COMPUTED_VALUE"""),1003626.0)</f>
        <v>1003626</v>
      </c>
      <c r="C2428" s="9">
        <f>IFERROR(__xludf.DUMMYFUNCTION("""COMPUTED_VALUE"""),6211.0)</f>
        <v>6211</v>
      </c>
      <c r="D2428" s="9"/>
      <c r="E2428" s="9"/>
      <c r="F2428" s="9">
        <f>IFERROR(__xludf.DUMMYFUNCTION("""COMPUTED_VALUE"""),63.77)</f>
        <v>63.77</v>
      </c>
      <c r="G2428" s="9">
        <f>IFERROR(__xludf.DUMMYFUNCTION("""COMPUTED_VALUE"""),63.77)</f>
        <v>63.77</v>
      </c>
      <c r="H2428" s="9">
        <f>IFERROR(__xludf.DUMMYFUNCTION("""COMPUTED_VALUE"""),2.0)</f>
        <v>2</v>
      </c>
      <c r="I2428" s="9"/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</row>
    <row r="2429" ht="15.75" customHeight="1">
      <c r="A2429" s="11">
        <f>IFERROR(__xludf.DUMMYFUNCTION("""COMPUTED_VALUE"""),44471.0)</f>
        <v>44471</v>
      </c>
      <c r="B2429" s="9">
        <f>IFERROR(__xludf.DUMMYFUNCTION("""COMPUTED_VALUE"""),1003627.0)</f>
        <v>1003627</v>
      </c>
      <c r="C2429" s="9">
        <f>IFERROR(__xludf.DUMMYFUNCTION("""COMPUTED_VALUE"""),80043.0)</f>
        <v>80043</v>
      </c>
      <c r="D2429" s="10" t="str">
        <f>IFERROR(__xludf.DUMMYFUNCTION("""COMPUTED_VALUE"""),"Offre speciale")</f>
        <v>Offre speciale</v>
      </c>
      <c r="E2429" s="10" t="str">
        <f>IFERROR(__xludf.DUMMYFUNCTION("""COMPUTED_VALUE"""),"GREENRELAIS")</f>
        <v>GREENRELAIS</v>
      </c>
      <c r="F2429" s="10">
        <f>IFERROR(__xludf.DUMMYFUNCTION("""COMPUTED_VALUE"""),3.81333333333333)</f>
        <v>3.813333333</v>
      </c>
      <c r="G2429" s="9">
        <f>IFERROR(__xludf.DUMMYFUNCTION("""COMPUTED_VALUE"""),2.86)</f>
        <v>2.86</v>
      </c>
      <c r="H2429" s="9">
        <f>IFERROR(__xludf.DUMMYFUNCTION("""COMPUTED_VALUE"""),1.0)</f>
        <v>1</v>
      </c>
      <c r="I2429" s="9"/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</row>
    <row r="2430" ht="15.75" customHeight="1">
      <c r="A2430" s="11">
        <f>IFERROR(__xludf.DUMMYFUNCTION("""COMPUTED_VALUE"""),44471.0)</f>
        <v>44471</v>
      </c>
      <c r="B2430" s="9">
        <f>IFERROR(__xludf.DUMMYFUNCTION("""COMPUTED_VALUE"""),1003627.0)</f>
        <v>1003627</v>
      </c>
      <c r="C2430" s="9">
        <f>IFERROR(__xludf.DUMMYFUNCTION("""COMPUTED_VALUE"""),85888.0)</f>
        <v>85888</v>
      </c>
      <c r="D2430" s="9"/>
      <c r="E2430" s="10" t="str">
        <f>IFERROR(__xludf.DUMMYFUNCTION("""COMPUTED_VALUE"""),"GREENRELAIS")</f>
        <v>GREENRELAIS</v>
      </c>
      <c r="F2430" s="10">
        <f>IFERROR(__xludf.DUMMYFUNCTION("""COMPUTED_VALUE"""),11.05)</f>
        <v>11.05</v>
      </c>
      <c r="G2430" s="9">
        <f>IFERROR(__xludf.DUMMYFUNCTION("""COMPUTED_VALUE"""),11.05)</f>
        <v>11.05</v>
      </c>
      <c r="H2430" s="9">
        <f>IFERROR(__xludf.DUMMYFUNCTION("""COMPUTED_VALUE"""),1.0)</f>
        <v>1</v>
      </c>
      <c r="I2430" s="9"/>
      <c r="J2430" s="9"/>
      <c r="K2430" s="9"/>
      <c r="L2430" s="9"/>
      <c r="M2430" s="9"/>
      <c r="N2430" s="9"/>
      <c r="O2430" s="9"/>
      <c r="P2430" s="9"/>
      <c r="Q2430" s="9"/>
      <c r="R2430" s="9"/>
      <c r="S2430" s="9"/>
      <c r="T2430" s="9"/>
    </row>
    <row r="2431" ht="15.75" customHeight="1">
      <c r="A2431" s="11">
        <f>IFERROR(__xludf.DUMMYFUNCTION("""COMPUTED_VALUE"""),44471.0)</f>
        <v>44471</v>
      </c>
      <c r="B2431" s="9">
        <f>IFERROR(__xludf.DUMMYFUNCTION("""COMPUTED_VALUE"""),1003627.0)</f>
        <v>1003627</v>
      </c>
      <c r="C2431" s="9">
        <f>IFERROR(__xludf.DUMMYFUNCTION("""COMPUTED_VALUE"""),77824.0)</f>
        <v>77824</v>
      </c>
      <c r="D2431" s="10" t="str">
        <f>IFERROR(__xludf.DUMMYFUNCTION("""COMPUTED_VALUE"""),"Vive le bio")</f>
        <v>Vive le bio</v>
      </c>
      <c r="E2431" s="10" t="str">
        <f>IFERROR(__xludf.DUMMYFUNCTION("""COMPUTED_VALUE"""),"GREENRELAIS")</f>
        <v>GREENRELAIS</v>
      </c>
      <c r="F2431" s="10">
        <f>IFERROR(__xludf.DUMMYFUNCTION("""COMPUTED_VALUE"""),22.9222222222222)</f>
        <v>22.92222222</v>
      </c>
      <c r="G2431" s="9">
        <f>IFERROR(__xludf.DUMMYFUNCTION("""COMPUTED_VALUE"""),20.63)</f>
        <v>20.63</v>
      </c>
      <c r="H2431" s="9">
        <f>IFERROR(__xludf.DUMMYFUNCTION("""COMPUTED_VALUE"""),1.0)</f>
        <v>1</v>
      </c>
      <c r="I2431" s="9"/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</row>
    <row r="2432" ht="15.75" customHeight="1">
      <c r="A2432" s="11">
        <f>IFERROR(__xludf.DUMMYFUNCTION("""COMPUTED_VALUE"""),44471.0)</f>
        <v>44471</v>
      </c>
      <c r="B2432" s="9">
        <f>IFERROR(__xludf.DUMMYFUNCTION("""COMPUTED_VALUE"""),1003627.0)</f>
        <v>1003627</v>
      </c>
      <c r="C2432" s="9">
        <f>IFERROR(__xludf.DUMMYFUNCTION("""COMPUTED_VALUE"""),69115.0)</f>
        <v>69115</v>
      </c>
      <c r="D2432" s="9"/>
      <c r="E2432" s="10" t="str">
        <f>IFERROR(__xludf.DUMMYFUNCTION("""COMPUTED_VALUE"""),"GREENRELAIS")</f>
        <v>GREENRELAIS</v>
      </c>
      <c r="F2432" s="10">
        <f>IFERROR(__xludf.DUMMYFUNCTION("""COMPUTED_VALUE"""),7.39)</f>
        <v>7.39</v>
      </c>
      <c r="G2432" s="9">
        <f>IFERROR(__xludf.DUMMYFUNCTION("""COMPUTED_VALUE"""),7.39)</f>
        <v>7.39</v>
      </c>
      <c r="H2432" s="9">
        <f>IFERROR(__xludf.DUMMYFUNCTION("""COMPUTED_VALUE"""),3.0)</f>
        <v>3</v>
      </c>
      <c r="I2432" s="9"/>
      <c r="J2432" s="9"/>
      <c r="K2432" s="9"/>
      <c r="L2432" s="9"/>
      <c r="M2432" s="9"/>
      <c r="N2432" s="9"/>
      <c r="O2432" s="9"/>
      <c r="P2432" s="9"/>
      <c r="Q2432" s="9"/>
      <c r="R2432" s="9"/>
      <c r="S2432" s="9"/>
      <c r="T2432" s="9"/>
    </row>
    <row r="2433" ht="15.75" customHeight="1">
      <c r="A2433" s="11">
        <f>IFERROR(__xludf.DUMMYFUNCTION("""COMPUTED_VALUE"""),44471.0)</f>
        <v>44471</v>
      </c>
      <c r="B2433" s="9">
        <f>IFERROR(__xludf.DUMMYFUNCTION("""COMPUTED_VALUE"""),1003627.0)</f>
        <v>1003627</v>
      </c>
      <c r="C2433" s="9">
        <f>IFERROR(__xludf.DUMMYFUNCTION("""COMPUTED_VALUE"""),119239.0)</f>
        <v>119239</v>
      </c>
      <c r="D2433" s="9"/>
      <c r="E2433" s="10" t="str">
        <f>IFERROR(__xludf.DUMMYFUNCTION("""COMPUTED_VALUE"""),"GREENRELAIS")</f>
        <v>GREENRELAIS</v>
      </c>
      <c r="F2433" s="10">
        <f>IFERROR(__xludf.DUMMYFUNCTION("""COMPUTED_VALUE"""),10.63)</f>
        <v>10.63</v>
      </c>
      <c r="G2433" s="9">
        <f>IFERROR(__xludf.DUMMYFUNCTION("""COMPUTED_VALUE"""),10.63)</f>
        <v>10.63</v>
      </c>
      <c r="H2433" s="9">
        <f>IFERROR(__xludf.DUMMYFUNCTION("""COMPUTED_VALUE"""),4.0)</f>
        <v>4</v>
      </c>
      <c r="I2433" s="9"/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</row>
    <row r="2434" ht="15.75" customHeight="1">
      <c r="A2434" s="11">
        <f>IFERROR(__xludf.DUMMYFUNCTION("""COMPUTED_VALUE"""),44471.0)</f>
        <v>44471</v>
      </c>
      <c r="B2434" s="9">
        <f>IFERROR(__xludf.DUMMYFUNCTION("""COMPUTED_VALUE"""),1003628.0)</f>
        <v>1003628</v>
      </c>
      <c r="C2434" s="9">
        <f>IFERROR(__xludf.DUMMYFUNCTION("""COMPUTED_VALUE"""),86691.0)</f>
        <v>86691</v>
      </c>
      <c r="D2434" s="10" t="str">
        <f>IFERROR(__xludf.DUMMYFUNCTION("""COMPUTED_VALUE"""),"Offre Speciale")</f>
        <v>Offre Speciale</v>
      </c>
      <c r="E2434" s="10"/>
      <c r="F2434" s="9">
        <f>IFERROR(__xludf.DUMMYFUNCTION("""COMPUTED_VALUE"""),41.5888888888888)</f>
        <v>41.58888889</v>
      </c>
      <c r="G2434" s="9">
        <f>IFERROR(__xludf.DUMMYFUNCTION("""COMPUTED_VALUE"""),37.43)</f>
        <v>37.43</v>
      </c>
      <c r="H2434" s="9">
        <f>IFERROR(__xludf.DUMMYFUNCTION("""COMPUTED_VALUE"""),3.0)</f>
        <v>3</v>
      </c>
      <c r="I2434" s="9"/>
      <c r="J2434" s="9"/>
      <c r="K2434" s="9"/>
      <c r="L2434" s="9"/>
      <c r="M2434" s="9"/>
      <c r="N2434" s="9"/>
      <c r="O2434" s="9"/>
      <c r="P2434" s="9"/>
      <c r="Q2434" s="9"/>
      <c r="R2434" s="9"/>
      <c r="S2434" s="9"/>
      <c r="T2434" s="9"/>
    </row>
    <row r="2435" ht="15.75" customHeight="1">
      <c r="A2435" s="11">
        <f>IFERROR(__xludf.DUMMYFUNCTION("""COMPUTED_VALUE"""),44471.0)</f>
        <v>44471</v>
      </c>
      <c r="B2435" s="9">
        <f>IFERROR(__xludf.DUMMYFUNCTION("""COMPUTED_VALUE"""),1003628.0)</f>
        <v>1003628</v>
      </c>
      <c r="C2435" s="9">
        <f>IFERROR(__xludf.DUMMYFUNCTION("""COMPUTED_VALUE"""),117774.0)</f>
        <v>117774</v>
      </c>
      <c r="D2435" s="9"/>
      <c r="E2435" s="9"/>
      <c r="F2435" s="9">
        <f>IFERROR(__xludf.DUMMYFUNCTION("""COMPUTED_VALUE"""),24.41)</f>
        <v>24.41</v>
      </c>
      <c r="G2435" s="9">
        <f>IFERROR(__xludf.DUMMYFUNCTION("""COMPUTED_VALUE"""),24.41)</f>
        <v>24.41</v>
      </c>
      <c r="H2435" s="9">
        <f>IFERROR(__xludf.DUMMYFUNCTION("""COMPUTED_VALUE"""),4.0)</f>
        <v>4</v>
      </c>
      <c r="I2435" s="9"/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</row>
    <row r="2436" ht="15.75" customHeight="1">
      <c r="A2436" s="11">
        <f>IFERROR(__xludf.DUMMYFUNCTION("""COMPUTED_VALUE"""),44471.0)</f>
        <v>44471</v>
      </c>
      <c r="B2436" s="9">
        <f>IFERROR(__xludf.DUMMYFUNCTION("""COMPUTED_VALUE"""),1003628.0)</f>
        <v>1003628</v>
      </c>
      <c r="C2436" s="9">
        <f>IFERROR(__xludf.DUMMYFUNCTION("""COMPUTED_VALUE"""),81128.0)</f>
        <v>81128</v>
      </c>
      <c r="D2436" s="9"/>
      <c r="E2436" s="9"/>
      <c r="F2436" s="9">
        <f>IFERROR(__xludf.DUMMYFUNCTION("""COMPUTED_VALUE"""),19.23)</f>
        <v>19.23</v>
      </c>
      <c r="G2436" s="9">
        <f>IFERROR(__xludf.DUMMYFUNCTION("""COMPUTED_VALUE"""),19.23)</f>
        <v>19.23</v>
      </c>
      <c r="H2436" s="9">
        <f>IFERROR(__xludf.DUMMYFUNCTION("""COMPUTED_VALUE"""),6.0)</f>
        <v>6</v>
      </c>
      <c r="I2436" s="9"/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</row>
    <row r="2437" ht="15.75" customHeight="1">
      <c r="A2437" s="11">
        <f>IFERROR(__xludf.DUMMYFUNCTION("""COMPUTED_VALUE"""),44471.0)</f>
        <v>44471</v>
      </c>
      <c r="B2437" s="9">
        <f>IFERROR(__xludf.DUMMYFUNCTION("""COMPUTED_VALUE"""),1003629.0)</f>
        <v>1003629</v>
      </c>
      <c r="C2437" s="9">
        <f>IFERROR(__xludf.DUMMYFUNCTION("""COMPUTED_VALUE"""),9561.0)</f>
        <v>9561</v>
      </c>
      <c r="D2437" s="9"/>
      <c r="E2437" s="9"/>
      <c r="F2437" s="9">
        <f>IFERROR(__xludf.DUMMYFUNCTION("""COMPUTED_VALUE"""),9.27)</f>
        <v>9.27</v>
      </c>
      <c r="G2437" s="9">
        <f>IFERROR(__xludf.DUMMYFUNCTION("""COMPUTED_VALUE"""),9.27)</f>
        <v>9.27</v>
      </c>
      <c r="H2437" s="9">
        <f>IFERROR(__xludf.DUMMYFUNCTION("""COMPUTED_VALUE"""),1.0)</f>
        <v>1</v>
      </c>
      <c r="I2437" s="9"/>
      <c r="J2437" s="9"/>
      <c r="K2437" s="9"/>
      <c r="L2437" s="9"/>
      <c r="M2437" s="9"/>
      <c r="N2437" s="9"/>
      <c r="O2437" s="9"/>
      <c r="P2437" s="9"/>
      <c r="Q2437" s="9"/>
      <c r="R2437" s="9"/>
      <c r="S2437" s="9"/>
      <c r="T2437" s="9"/>
    </row>
    <row r="2438" ht="15.75" customHeight="1">
      <c r="A2438" s="11">
        <f>IFERROR(__xludf.DUMMYFUNCTION("""COMPUTED_VALUE"""),44471.0)</f>
        <v>44471</v>
      </c>
      <c r="B2438" s="9">
        <f>IFERROR(__xludf.DUMMYFUNCTION("""COMPUTED_VALUE"""),1003629.0)</f>
        <v>1003629</v>
      </c>
      <c r="C2438" s="9">
        <f>IFERROR(__xludf.DUMMYFUNCTION("""COMPUTED_VALUE"""),28574.0)</f>
        <v>28574</v>
      </c>
      <c r="D2438" s="10" t="str">
        <f>IFERROR(__xludf.DUMMYFUNCTION("""COMPUTED_VALUE"""),"Vive le bio")</f>
        <v>Vive le bio</v>
      </c>
      <c r="E2438" s="10"/>
      <c r="F2438" s="9">
        <f>IFERROR(__xludf.DUMMYFUNCTION("""COMPUTED_VALUE"""),12.6888888888888)</f>
        <v>12.68888889</v>
      </c>
      <c r="G2438" s="9">
        <f>IFERROR(__xludf.DUMMYFUNCTION("""COMPUTED_VALUE"""),11.42)</f>
        <v>11.42</v>
      </c>
      <c r="H2438" s="9">
        <f>IFERROR(__xludf.DUMMYFUNCTION("""COMPUTED_VALUE"""),1.0)</f>
        <v>1</v>
      </c>
      <c r="I2438" s="9"/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</row>
    <row r="2439" ht="15.75" customHeight="1">
      <c r="A2439" s="11">
        <f>IFERROR(__xludf.DUMMYFUNCTION("""COMPUTED_VALUE"""),44471.0)</f>
        <v>44471</v>
      </c>
      <c r="B2439" s="9">
        <f>IFERROR(__xludf.DUMMYFUNCTION("""COMPUTED_VALUE"""),1003629.0)</f>
        <v>1003629</v>
      </c>
      <c r="C2439" s="9">
        <f>IFERROR(__xludf.DUMMYFUNCTION("""COMPUTED_VALUE"""),162441.0)</f>
        <v>162441</v>
      </c>
      <c r="D2439" s="10" t="str">
        <f>IFERROR(__xludf.DUMMYFUNCTION("""COMPUTED_VALUE"""),"Vive le bio")</f>
        <v>Vive le bio</v>
      </c>
      <c r="E2439" s="10"/>
      <c r="F2439" s="9">
        <f>IFERROR(__xludf.DUMMYFUNCTION("""COMPUTED_VALUE"""),12.3777777777777)</f>
        <v>12.37777778</v>
      </c>
      <c r="G2439" s="9">
        <f>IFERROR(__xludf.DUMMYFUNCTION("""COMPUTED_VALUE"""),11.14)</f>
        <v>11.14</v>
      </c>
      <c r="H2439" s="9">
        <f>IFERROR(__xludf.DUMMYFUNCTION("""COMPUTED_VALUE"""),1.0)</f>
        <v>1</v>
      </c>
      <c r="I2439" s="9"/>
      <c r="J2439" s="9"/>
      <c r="K2439" s="9"/>
      <c r="L2439" s="9"/>
      <c r="M2439" s="9"/>
      <c r="N2439" s="9"/>
      <c r="O2439" s="9"/>
      <c r="P2439" s="9"/>
      <c r="Q2439" s="9"/>
      <c r="R2439" s="9"/>
      <c r="S2439" s="9"/>
      <c r="T2439" s="9"/>
    </row>
    <row r="2440" ht="15.75" customHeight="1">
      <c r="A2440" s="11">
        <f>IFERROR(__xludf.DUMMYFUNCTION("""COMPUTED_VALUE"""),44471.0)</f>
        <v>44471</v>
      </c>
      <c r="B2440" s="9">
        <f>IFERROR(__xludf.DUMMYFUNCTION("""COMPUTED_VALUE"""),1003629.0)</f>
        <v>1003629</v>
      </c>
      <c r="C2440" s="9">
        <f>IFERROR(__xludf.DUMMYFUNCTION("""COMPUTED_VALUE"""),82922.0)</f>
        <v>82922</v>
      </c>
      <c r="D2440" s="9"/>
      <c r="E2440" s="9"/>
      <c r="F2440" s="9">
        <f>IFERROR(__xludf.DUMMYFUNCTION("""COMPUTED_VALUE"""),8.01)</f>
        <v>8.01</v>
      </c>
      <c r="G2440" s="9">
        <f>IFERROR(__xludf.DUMMYFUNCTION("""COMPUTED_VALUE"""),8.01)</f>
        <v>8.01</v>
      </c>
      <c r="H2440" s="9">
        <f>IFERROR(__xludf.DUMMYFUNCTION("""COMPUTED_VALUE"""),1.0)</f>
        <v>1</v>
      </c>
      <c r="I2440" s="9"/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</row>
    <row r="2441" ht="15.75" customHeight="1">
      <c r="A2441" s="11">
        <f>IFERROR(__xludf.DUMMYFUNCTION("""COMPUTED_VALUE"""),44471.0)</f>
        <v>44471</v>
      </c>
      <c r="B2441" s="9">
        <f>IFERROR(__xludf.DUMMYFUNCTION("""COMPUTED_VALUE"""),1003629.0)</f>
        <v>1003629</v>
      </c>
      <c r="C2441" s="9">
        <f>IFERROR(__xludf.DUMMYFUNCTION("""COMPUTED_VALUE"""),6026.0)</f>
        <v>6026</v>
      </c>
      <c r="D2441" s="9"/>
      <c r="E2441" s="9"/>
      <c r="F2441" s="9">
        <f>IFERROR(__xludf.DUMMYFUNCTION("""COMPUTED_VALUE"""),5.47)</f>
        <v>5.47</v>
      </c>
      <c r="G2441" s="9">
        <f>IFERROR(__xludf.DUMMYFUNCTION("""COMPUTED_VALUE"""),5.47)</f>
        <v>5.47</v>
      </c>
      <c r="H2441" s="9">
        <f>IFERROR(__xludf.DUMMYFUNCTION("""COMPUTED_VALUE"""),1.0)</f>
        <v>1</v>
      </c>
      <c r="I2441" s="9"/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</row>
    <row r="2442" ht="15.75" customHeight="1">
      <c r="A2442" s="11">
        <f>IFERROR(__xludf.DUMMYFUNCTION("""COMPUTED_VALUE"""),44471.0)</f>
        <v>44471</v>
      </c>
      <c r="B2442" s="9">
        <f>IFERROR(__xludf.DUMMYFUNCTION("""COMPUTED_VALUE"""),1003629.0)</f>
        <v>1003629</v>
      </c>
      <c r="C2442" s="9">
        <f>IFERROR(__xludf.DUMMYFUNCTION("""COMPUTED_VALUE"""),164631.0)</f>
        <v>164631</v>
      </c>
      <c r="D2442" s="9"/>
      <c r="E2442" s="9"/>
      <c r="F2442" s="9">
        <f>IFERROR(__xludf.DUMMYFUNCTION("""COMPUTED_VALUE"""),3.58)</f>
        <v>3.58</v>
      </c>
      <c r="G2442" s="9">
        <f>IFERROR(__xludf.DUMMYFUNCTION("""COMPUTED_VALUE"""),3.58)</f>
        <v>3.58</v>
      </c>
      <c r="H2442" s="9">
        <f>IFERROR(__xludf.DUMMYFUNCTION("""COMPUTED_VALUE"""),2.0)</f>
        <v>2</v>
      </c>
      <c r="I2442" s="9"/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</row>
    <row r="2443" ht="15.75" customHeight="1">
      <c r="A2443" s="11">
        <f>IFERROR(__xludf.DUMMYFUNCTION("""COMPUTED_VALUE"""),44471.0)</f>
        <v>44471</v>
      </c>
      <c r="B2443" s="9">
        <f>IFERROR(__xludf.DUMMYFUNCTION("""COMPUTED_VALUE"""),1003630.0)</f>
        <v>1003630</v>
      </c>
      <c r="C2443" s="9">
        <f>IFERROR(__xludf.DUMMYFUNCTION("""COMPUTED_VALUE"""),75678.0)</f>
        <v>75678</v>
      </c>
      <c r="D2443" s="9"/>
      <c r="E2443" s="9"/>
      <c r="F2443" s="9">
        <f>IFERROR(__xludf.DUMMYFUNCTION("""COMPUTED_VALUE"""),22.57)</f>
        <v>22.57</v>
      </c>
      <c r="G2443" s="9">
        <f>IFERROR(__xludf.DUMMYFUNCTION("""COMPUTED_VALUE"""),22.57)</f>
        <v>22.57</v>
      </c>
      <c r="H2443" s="9">
        <f>IFERROR(__xludf.DUMMYFUNCTION("""COMPUTED_VALUE"""),2.0)</f>
        <v>2</v>
      </c>
      <c r="I2443" s="9"/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</row>
    <row r="2444" ht="15.75" customHeight="1">
      <c r="A2444" s="11">
        <f>IFERROR(__xludf.DUMMYFUNCTION("""COMPUTED_VALUE"""),44471.0)</f>
        <v>44471</v>
      </c>
      <c r="B2444" s="9">
        <f>IFERROR(__xludf.DUMMYFUNCTION("""COMPUTED_VALUE"""),1003632.0)</f>
        <v>1003632</v>
      </c>
      <c r="C2444" s="9">
        <f>IFERROR(__xludf.DUMMYFUNCTION("""COMPUTED_VALUE"""),42676.0)</f>
        <v>42676</v>
      </c>
      <c r="D2444" s="9"/>
      <c r="E2444" s="9"/>
      <c r="F2444" s="9">
        <f>IFERROR(__xludf.DUMMYFUNCTION("""COMPUTED_VALUE"""),7.79)</f>
        <v>7.79</v>
      </c>
      <c r="G2444" s="9">
        <f>IFERROR(__xludf.DUMMYFUNCTION("""COMPUTED_VALUE"""),7.79)</f>
        <v>7.79</v>
      </c>
      <c r="H2444" s="9">
        <f>IFERROR(__xludf.DUMMYFUNCTION("""COMPUTED_VALUE"""),1.0)</f>
        <v>1</v>
      </c>
      <c r="I2444" s="9"/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</row>
    <row r="2445" ht="15.75" customHeight="1">
      <c r="A2445" s="11">
        <f>IFERROR(__xludf.DUMMYFUNCTION("""COMPUTED_VALUE"""),44471.0)</f>
        <v>44471</v>
      </c>
      <c r="B2445" s="9">
        <f>IFERROR(__xludf.DUMMYFUNCTION("""COMPUTED_VALUE"""),1003632.0)</f>
        <v>1003632</v>
      </c>
      <c r="C2445" s="9">
        <f>IFERROR(__xludf.DUMMYFUNCTION("""COMPUTED_VALUE"""),27639.0)</f>
        <v>27639</v>
      </c>
      <c r="D2445" s="9"/>
      <c r="E2445" s="9"/>
      <c r="F2445" s="9">
        <f>IFERROR(__xludf.DUMMYFUNCTION("""COMPUTED_VALUE"""),24.15)</f>
        <v>24.15</v>
      </c>
      <c r="G2445" s="9">
        <f>IFERROR(__xludf.DUMMYFUNCTION("""COMPUTED_VALUE"""),24.15)</f>
        <v>24.15</v>
      </c>
      <c r="H2445" s="9">
        <f>IFERROR(__xludf.DUMMYFUNCTION("""COMPUTED_VALUE"""),1.0)</f>
        <v>1</v>
      </c>
      <c r="I2445" s="9"/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</row>
    <row r="2446" ht="15.75" customHeight="1">
      <c r="A2446" s="11">
        <f>IFERROR(__xludf.DUMMYFUNCTION("""COMPUTED_VALUE"""),44471.0)</f>
        <v>44471</v>
      </c>
      <c r="B2446" s="9">
        <f>IFERROR(__xludf.DUMMYFUNCTION("""COMPUTED_VALUE"""),1003633.0)</f>
        <v>1003633</v>
      </c>
      <c r="C2446" s="9">
        <f>IFERROR(__xludf.DUMMYFUNCTION("""COMPUTED_VALUE"""),84223.0)</f>
        <v>84223</v>
      </c>
      <c r="D2446" s="9"/>
      <c r="E2446" s="9"/>
      <c r="F2446" s="9">
        <f>IFERROR(__xludf.DUMMYFUNCTION("""COMPUTED_VALUE"""),5.39)</f>
        <v>5.39</v>
      </c>
      <c r="G2446" s="9">
        <f>IFERROR(__xludf.DUMMYFUNCTION("""COMPUTED_VALUE"""),5.39)</f>
        <v>5.39</v>
      </c>
      <c r="H2446" s="9">
        <f>IFERROR(__xludf.DUMMYFUNCTION("""COMPUTED_VALUE"""),1.0)</f>
        <v>1</v>
      </c>
      <c r="I2446" s="9"/>
      <c r="J2446" s="9"/>
      <c r="K2446" s="9"/>
      <c r="L2446" s="9"/>
      <c r="M2446" s="9"/>
      <c r="N2446" s="9"/>
      <c r="O2446" s="9"/>
      <c r="P2446" s="9"/>
      <c r="Q2446" s="9"/>
      <c r="R2446" s="9"/>
      <c r="S2446" s="9"/>
      <c r="T2446" s="9"/>
    </row>
    <row r="2447" ht="15.75" customHeight="1">
      <c r="A2447" s="11">
        <f>IFERROR(__xludf.DUMMYFUNCTION("""COMPUTED_VALUE"""),44471.0)</f>
        <v>44471</v>
      </c>
      <c r="B2447" s="9">
        <f>IFERROR(__xludf.DUMMYFUNCTION("""COMPUTED_VALUE"""),1003633.0)</f>
        <v>1003633</v>
      </c>
      <c r="C2447" s="9">
        <f>IFERROR(__xludf.DUMMYFUNCTION("""COMPUTED_VALUE"""),119246.0)</f>
        <v>119246</v>
      </c>
      <c r="D2447" s="9"/>
      <c r="E2447" s="9"/>
      <c r="F2447" s="9">
        <f>IFERROR(__xludf.DUMMYFUNCTION("""COMPUTED_VALUE"""),12.07)</f>
        <v>12.07</v>
      </c>
      <c r="G2447" s="9">
        <f>IFERROR(__xludf.DUMMYFUNCTION("""COMPUTED_VALUE"""),12.07)</f>
        <v>12.07</v>
      </c>
      <c r="H2447" s="9">
        <f>IFERROR(__xludf.DUMMYFUNCTION("""COMPUTED_VALUE"""),1.0)</f>
        <v>1</v>
      </c>
      <c r="I2447" s="9"/>
      <c r="J2447" s="9"/>
      <c r="K2447" s="9"/>
      <c r="L2447" s="9"/>
      <c r="M2447" s="9"/>
      <c r="N2447" s="9"/>
      <c r="O2447" s="9"/>
      <c r="P2447" s="9"/>
      <c r="Q2447" s="9"/>
      <c r="R2447" s="9"/>
      <c r="S2447" s="9"/>
      <c r="T2447" s="9"/>
    </row>
    <row r="2448" ht="15.75" customHeight="1">
      <c r="A2448" s="11">
        <f>IFERROR(__xludf.DUMMYFUNCTION("""COMPUTED_VALUE"""),44471.0)</f>
        <v>44471</v>
      </c>
      <c r="B2448" s="9">
        <f>IFERROR(__xludf.DUMMYFUNCTION("""COMPUTED_VALUE"""),1003633.0)</f>
        <v>1003633</v>
      </c>
      <c r="C2448" s="9">
        <f>IFERROR(__xludf.DUMMYFUNCTION("""COMPUTED_VALUE"""),91045.0)</f>
        <v>91045</v>
      </c>
      <c r="D2448" s="10" t="str">
        <f>IFERROR(__xludf.DUMMYFUNCTION("""COMPUTED_VALUE"""),"Vive le bio")</f>
        <v>Vive le bio</v>
      </c>
      <c r="E2448" s="10"/>
      <c r="F2448" s="9">
        <f>IFERROR(__xludf.DUMMYFUNCTION("""COMPUTED_VALUE"""),8.35555555555555)</f>
        <v>8.355555556</v>
      </c>
      <c r="G2448" s="9">
        <f>IFERROR(__xludf.DUMMYFUNCTION("""COMPUTED_VALUE"""),7.52)</f>
        <v>7.52</v>
      </c>
      <c r="H2448" s="9">
        <f>IFERROR(__xludf.DUMMYFUNCTION("""COMPUTED_VALUE"""),2.0)</f>
        <v>2</v>
      </c>
      <c r="I2448" s="9"/>
      <c r="J2448" s="9"/>
      <c r="K2448" s="9"/>
      <c r="L2448" s="9"/>
      <c r="M2448" s="9"/>
      <c r="N2448" s="9"/>
      <c r="O2448" s="9"/>
      <c r="P2448" s="9"/>
      <c r="Q2448" s="9"/>
      <c r="R2448" s="9"/>
      <c r="S2448" s="9"/>
      <c r="T2448" s="9"/>
    </row>
    <row r="2449" ht="15.75" customHeight="1">
      <c r="A2449" s="11">
        <f>IFERROR(__xludf.DUMMYFUNCTION("""COMPUTED_VALUE"""),44471.0)</f>
        <v>44471</v>
      </c>
      <c r="B2449" s="9">
        <f>IFERROR(__xludf.DUMMYFUNCTION("""COMPUTED_VALUE"""),1003633.0)</f>
        <v>1003633</v>
      </c>
      <c r="C2449" s="9">
        <f>IFERROR(__xludf.DUMMYFUNCTION("""COMPUTED_VALUE"""),91064.0)</f>
        <v>91064</v>
      </c>
      <c r="D2449" s="9"/>
      <c r="E2449" s="9"/>
      <c r="F2449" s="9">
        <f>IFERROR(__xludf.DUMMYFUNCTION("""COMPUTED_VALUE"""),4.73)</f>
        <v>4.73</v>
      </c>
      <c r="G2449" s="9">
        <f>IFERROR(__xludf.DUMMYFUNCTION("""COMPUTED_VALUE"""),4.73)</f>
        <v>4.73</v>
      </c>
      <c r="H2449" s="9">
        <f>IFERROR(__xludf.DUMMYFUNCTION("""COMPUTED_VALUE"""),2.0)</f>
        <v>2</v>
      </c>
      <c r="I2449" s="9"/>
      <c r="J2449" s="9"/>
      <c r="K2449" s="9"/>
      <c r="L2449" s="9"/>
      <c r="M2449" s="9"/>
      <c r="N2449" s="9"/>
      <c r="O2449" s="9"/>
      <c r="P2449" s="9"/>
      <c r="Q2449" s="9"/>
      <c r="R2449" s="9"/>
      <c r="S2449" s="9"/>
      <c r="T2449" s="9"/>
    </row>
    <row r="2450" ht="15.75" customHeight="1">
      <c r="A2450" s="11">
        <f>IFERROR(__xludf.DUMMYFUNCTION("""COMPUTED_VALUE"""),44471.0)</f>
        <v>44471</v>
      </c>
      <c r="B2450" s="9">
        <f>IFERROR(__xludf.DUMMYFUNCTION("""COMPUTED_VALUE"""),1003633.0)</f>
        <v>1003633</v>
      </c>
      <c r="C2450" s="9">
        <f>IFERROR(__xludf.DUMMYFUNCTION("""COMPUTED_VALUE"""),68379.0)</f>
        <v>68379</v>
      </c>
      <c r="D2450" s="9"/>
      <c r="E2450" s="9"/>
      <c r="F2450" s="9">
        <f>IFERROR(__xludf.DUMMYFUNCTION("""COMPUTED_VALUE"""),3.12)</f>
        <v>3.12</v>
      </c>
      <c r="G2450" s="9">
        <f>IFERROR(__xludf.DUMMYFUNCTION("""COMPUTED_VALUE"""),3.12)</f>
        <v>3.12</v>
      </c>
      <c r="H2450" s="9">
        <f>IFERROR(__xludf.DUMMYFUNCTION("""COMPUTED_VALUE"""),2.0)</f>
        <v>2</v>
      </c>
      <c r="I2450" s="9"/>
      <c r="J2450" s="9"/>
      <c r="K2450" s="9"/>
      <c r="L2450" s="9"/>
      <c r="M2450" s="9"/>
      <c r="N2450" s="9"/>
      <c r="O2450" s="9"/>
      <c r="P2450" s="9"/>
      <c r="Q2450" s="9"/>
      <c r="R2450" s="9"/>
      <c r="S2450" s="9"/>
      <c r="T2450" s="9"/>
    </row>
    <row r="2451" ht="15.75" customHeight="1">
      <c r="A2451" s="11">
        <f>IFERROR(__xludf.DUMMYFUNCTION("""COMPUTED_VALUE"""),44471.0)</f>
        <v>44471</v>
      </c>
      <c r="B2451" s="9">
        <f>IFERROR(__xludf.DUMMYFUNCTION("""COMPUTED_VALUE"""),1003633.0)</f>
        <v>1003633</v>
      </c>
      <c r="C2451" s="9">
        <f>IFERROR(__xludf.DUMMYFUNCTION("""COMPUTED_VALUE"""),83014.0)</f>
        <v>83014</v>
      </c>
      <c r="D2451" s="9"/>
      <c r="E2451" s="9"/>
      <c r="F2451" s="9">
        <f>IFERROR(__xludf.DUMMYFUNCTION("""COMPUTED_VALUE"""),7.05)</f>
        <v>7.05</v>
      </c>
      <c r="G2451" s="9">
        <f>IFERROR(__xludf.DUMMYFUNCTION("""COMPUTED_VALUE"""),7.05)</f>
        <v>7.05</v>
      </c>
      <c r="H2451" s="9">
        <f>IFERROR(__xludf.DUMMYFUNCTION("""COMPUTED_VALUE"""),4.0)</f>
        <v>4</v>
      </c>
      <c r="I2451" s="9"/>
      <c r="J2451" s="9"/>
      <c r="K2451" s="9"/>
      <c r="L2451" s="9"/>
      <c r="M2451" s="9"/>
      <c r="N2451" s="9"/>
      <c r="O2451" s="9"/>
      <c r="P2451" s="9"/>
      <c r="Q2451" s="9"/>
      <c r="R2451" s="9"/>
      <c r="S2451" s="9"/>
      <c r="T2451" s="9"/>
    </row>
    <row r="2452" ht="15.75" customHeight="1">
      <c r="A2452" s="11">
        <f>IFERROR(__xludf.DUMMYFUNCTION("""COMPUTED_VALUE"""),44471.0)</f>
        <v>44471</v>
      </c>
      <c r="B2452" s="9">
        <f>IFERROR(__xludf.DUMMYFUNCTION("""COMPUTED_VALUE"""),1003634.0)</f>
        <v>1003634</v>
      </c>
      <c r="C2452" s="9">
        <f>IFERROR(__xludf.DUMMYFUNCTION("""COMPUTED_VALUE"""),10856.0)</f>
        <v>10856</v>
      </c>
      <c r="D2452" s="9"/>
      <c r="E2452" s="9"/>
      <c r="F2452" s="9">
        <f>IFERROR(__xludf.DUMMYFUNCTION("""COMPUTED_VALUE"""),39.5)</f>
        <v>39.5</v>
      </c>
      <c r="G2452" s="9">
        <f>IFERROR(__xludf.DUMMYFUNCTION("""COMPUTED_VALUE"""),39.5)</f>
        <v>39.5</v>
      </c>
      <c r="H2452" s="9">
        <f>IFERROR(__xludf.DUMMYFUNCTION("""COMPUTED_VALUE"""),1.0)</f>
        <v>1</v>
      </c>
      <c r="I2452" s="9"/>
      <c r="J2452" s="9"/>
      <c r="K2452" s="9"/>
      <c r="L2452" s="9"/>
      <c r="M2452" s="9"/>
      <c r="N2452" s="9"/>
      <c r="O2452" s="9"/>
      <c r="P2452" s="9"/>
      <c r="Q2452" s="9"/>
      <c r="R2452" s="9"/>
      <c r="S2452" s="9"/>
      <c r="T2452" s="9"/>
    </row>
    <row r="2453" ht="15.75" customHeight="1">
      <c r="A2453" s="11">
        <f>IFERROR(__xludf.DUMMYFUNCTION("""COMPUTED_VALUE"""),44471.0)</f>
        <v>44471</v>
      </c>
      <c r="B2453" s="9">
        <f>IFERROR(__xludf.DUMMYFUNCTION("""COMPUTED_VALUE"""),1003634.0)</f>
        <v>1003634</v>
      </c>
      <c r="C2453" s="9">
        <f>IFERROR(__xludf.DUMMYFUNCTION("""COMPUTED_VALUE"""),11489.0)</f>
        <v>11489</v>
      </c>
      <c r="D2453" s="9"/>
      <c r="E2453" s="9"/>
      <c r="F2453" s="9">
        <f>IFERROR(__xludf.DUMMYFUNCTION("""COMPUTED_VALUE"""),7.05)</f>
        <v>7.05</v>
      </c>
      <c r="G2453" s="9">
        <f>IFERROR(__xludf.DUMMYFUNCTION("""COMPUTED_VALUE"""),7.05)</f>
        <v>7.05</v>
      </c>
      <c r="H2453" s="9">
        <f>IFERROR(__xludf.DUMMYFUNCTION("""COMPUTED_VALUE"""),2.0)</f>
        <v>2</v>
      </c>
      <c r="I2453" s="9"/>
      <c r="J2453" s="9"/>
      <c r="K2453" s="9"/>
      <c r="L2453" s="9"/>
      <c r="M2453" s="9"/>
      <c r="N2453" s="9"/>
      <c r="O2453" s="9"/>
      <c r="P2453" s="9"/>
      <c r="Q2453" s="9"/>
      <c r="R2453" s="9"/>
      <c r="S2453" s="9"/>
      <c r="T2453" s="9"/>
    </row>
    <row r="2454" ht="15.75" customHeight="1">
      <c r="A2454" s="11">
        <f>IFERROR(__xludf.DUMMYFUNCTION("""COMPUTED_VALUE"""),44471.0)</f>
        <v>44471</v>
      </c>
      <c r="B2454" s="9">
        <f>IFERROR(__xludf.DUMMYFUNCTION("""COMPUTED_VALUE"""),1003634.0)</f>
        <v>1003634</v>
      </c>
      <c r="C2454" s="9">
        <f>IFERROR(__xludf.DUMMYFUNCTION("""COMPUTED_VALUE"""),18136.0)</f>
        <v>18136</v>
      </c>
      <c r="D2454" s="9"/>
      <c r="E2454" s="9"/>
      <c r="F2454" s="9">
        <f>IFERROR(__xludf.DUMMYFUNCTION("""COMPUTED_VALUE"""),24.8)</f>
        <v>24.8</v>
      </c>
      <c r="G2454" s="9">
        <f>IFERROR(__xludf.DUMMYFUNCTION("""COMPUTED_VALUE"""),24.8)</f>
        <v>24.8</v>
      </c>
      <c r="H2454" s="9">
        <f>IFERROR(__xludf.DUMMYFUNCTION("""COMPUTED_VALUE"""),4.0)</f>
        <v>4</v>
      </c>
      <c r="I2454" s="9"/>
      <c r="J2454" s="9"/>
      <c r="K2454" s="9"/>
      <c r="L2454" s="9"/>
      <c r="M2454" s="9"/>
      <c r="N2454" s="9"/>
      <c r="O2454" s="9"/>
      <c r="P2454" s="9"/>
      <c r="Q2454" s="9"/>
      <c r="R2454" s="9"/>
      <c r="S2454" s="9"/>
      <c r="T2454" s="9"/>
    </row>
    <row r="2455" ht="15.75" customHeight="1">
      <c r="A2455" s="11">
        <f>IFERROR(__xludf.DUMMYFUNCTION("""COMPUTED_VALUE"""),44471.0)</f>
        <v>44471</v>
      </c>
      <c r="B2455" s="9">
        <f>IFERROR(__xludf.DUMMYFUNCTION("""COMPUTED_VALUE"""),1003635.0)</f>
        <v>1003635</v>
      </c>
      <c r="C2455" s="9">
        <f>IFERROR(__xludf.DUMMYFUNCTION("""COMPUTED_VALUE"""),45480.0)</f>
        <v>45480</v>
      </c>
      <c r="D2455" s="9"/>
      <c r="E2455" s="9"/>
      <c r="F2455" s="9">
        <f>IFERROR(__xludf.DUMMYFUNCTION("""COMPUTED_VALUE"""),3.84)</f>
        <v>3.84</v>
      </c>
      <c r="G2455" s="9">
        <f>IFERROR(__xludf.DUMMYFUNCTION("""COMPUTED_VALUE"""),3.84)</f>
        <v>3.84</v>
      </c>
      <c r="H2455" s="9">
        <f>IFERROR(__xludf.DUMMYFUNCTION("""COMPUTED_VALUE"""),1.0)</f>
        <v>1</v>
      </c>
      <c r="I2455" s="9"/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</row>
    <row r="2456" ht="15.75" customHeight="1">
      <c r="A2456" s="11">
        <f>IFERROR(__xludf.DUMMYFUNCTION("""COMPUTED_VALUE"""),44471.0)</f>
        <v>44471</v>
      </c>
      <c r="B2456" s="9">
        <f>IFERROR(__xludf.DUMMYFUNCTION("""COMPUTED_VALUE"""),1003635.0)</f>
        <v>1003635</v>
      </c>
      <c r="C2456" s="9">
        <f>IFERROR(__xludf.DUMMYFUNCTION("""COMPUTED_VALUE"""),106758.0)</f>
        <v>106758</v>
      </c>
      <c r="D2456" s="9"/>
      <c r="E2456" s="9"/>
      <c r="F2456" s="9">
        <f>IFERROR(__xludf.DUMMYFUNCTION("""COMPUTED_VALUE"""),4.44)</f>
        <v>4.44</v>
      </c>
      <c r="G2456" s="9">
        <f>IFERROR(__xludf.DUMMYFUNCTION("""COMPUTED_VALUE"""),4.44)</f>
        <v>4.44</v>
      </c>
      <c r="H2456" s="9">
        <f>IFERROR(__xludf.DUMMYFUNCTION("""COMPUTED_VALUE"""),1.0)</f>
        <v>1</v>
      </c>
      <c r="I2456" s="9"/>
      <c r="J2456" s="9"/>
      <c r="K2456" s="9"/>
      <c r="L2456" s="9"/>
      <c r="M2456" s="9"/>
      <c r="N2456" s="9"/>
      <c r="O2456" s="9"/>
      <c r="P2456" s="9"/>
      <c r="Q2456" s="9"/>
      <c r="R2456" s="9"/>
      <c r="S2456" s="9"/>
      <c r="T2456" s="9"/>
    </row>
    <row r="2457" ht="15.75" customHeight="1">
      <c r="A2457" s="11">
        <f>IFERROR(__xludf.DUMMYFUNCTION("""COMPUTED_VALUE"""),44471.0)</f>
        <v>44471</v>
      </c>
      <c r="B2457" s="9">
        <f>IFERROR(__xludf.DUMMYFUNCTION("""COMPUTED_VALUE"""),1003635.0)</f>
        <v>1003635</v>
      </c>
      <c r="C2457" s="9">
        <f>IFERROR(__xludf.DUMMYFUNCTION("""COMPUTED_VALUE"""),10061.0)</f>
        <v>10061</v>
      </c>
      <c r="D2457" s="10" t="str">
        <f>IFERROR(__xludf.DUMMYFUNCTION("""COMPUTED_VALUE"""),"Offre Speciale")</f>
        <v>Offre Speciale</v>
      </c>
      <c r="E2457" s="10"/>
      <c r="F2457" s="9">
        <f>IFERROR(__xludf.DUMMYFUNCTION("""COMPUTED_VALUE"""),5.65555555555555)</f>
        <v>5.655555556</v>
      </c>
      <c r="G2457" s="9">
        <f>IFERROR(__xludf.DUMMYFUNCTION("""COMPUTED_VALUE"""),5.09)</f>
        <v>5.09</v>
      </c>
      <c r="H2457" s="9">
        <f>IFERROR(__xludf.DUMMYFUNCTION("""COMPUTED_VALUE"""),1.0)</f>
        <v>1</v>
      </c>
      <c r="I2457" s="9"/>
      <c r="J2457" s="9"/>
      <c r="K2457" s="9"/>
      <c r="L2457" s="9"/>
      <c r="M2457" s="9"/>
      <c r="N2457" s="9"/>
      <c r="O2457" s="9"/>
      <c r="P2457" s="9"/>
      <c r="Q2457" s="9"/>
      <c r="R2457" s="9"/>
      <c r="S2457" s="9"/>
      <c r="T2457" s="9"/>
    </row>
    <row r="2458" ht="15.75" customHeight="1">
      <c r="A2458" s="11">
        <f>IFERROR(__xludf.DUMMYFUNCTION("""COMPUTED_VALUE"""),44471.0)</f>
        <v>44471</v>
      </c>
      <c r="B2458" s="9">
        <f>IFERROR(__xludf.DUMMYFUNCTION("""COMPUTED_VALUE"""),1003635.0)</f>
        <v>1003635</v>
      </c>
      <c r="C2458" s="9">
        <f>IFERROR(__xludf.DUMMYFUNCTION("""COMPUTED_VALUE"""),83399.0)</f>
        <v>83399</v>
      </c>
      <c r="D2458" s="10" t="str">
        <f>IFERROR(__xludf.DUMMYFUNCTION("""COMPUTED_VALUE"""),"Vive le bio")</f>
        <v>Vive le bio</v>
      </c>
      <c r="E2458" s="10"/>
      <c r="F2458" s="9">
        <f>IFERROR(__xludf.DUMMYFUNCTION("""COMPUTED_VALUE"""),16.5222222222222)</f>
        <v>16.52222222</v>
      </c>
      <c r="G2458" s="9">
        <f>IFERROR(__xludf.DUMMYFUNCTION("""COMPUTED_VALUE"""),14.87)</f>
        <v>14.87</v>
      </c>
      <c r="H2458" s="9">
        <f>IFERROR(__xludf.DUMMYFUNCTION("""COMPUTED_VALUE"""),4.0)</f>
        <v>4</v>
      </c>
      <c r="I2458" s="9"/>
      <c r="J2458" s="9"/>
      <c r="K2458" s="9"/>
      <c r="L2458" s="9"/>
      <c r="M2458" s="9"/>
      <c r="N2458" s="9"/>
      <c r="O2458" s="9"/>
      <c r="P2458" s="9"/>
      <c r="Q2458" s="9"/>
      <c r="R2458" s="9"/>
      <c r="S2458" s="9"/>
      <c r="T2458" s="9"/>
    </row>
    <row r="2459" ht="15.75" customHeight="1">
      <c r="A2459" s="11">
        <f>IFERROR(__xludf.DUMMYFUNCTION("""COMPUTED_VALUE"""),44471.0)</f>
        <v>44471</v>
      </c>
      <c r="B2459" s="9">
        <f>IFERROR(__xludf.DUMMYFUNCTION("""COMPUTED_VALUE"""),1003635.0)</f>
        <v>1003635</v>
      </c>
      <c r="C2459" s="9">
        <f>IFERROR(__xludf.DUMMYFUNCTION("""COMPUTED_VALUE"""),117116.0)</f>
        <v>117116</v>
      </c>
      <c r="D2459" s="9"/>
      <c r="E2459" s="9"/>
      <c r="F2459" s="9">
        <f>IFERROR(__xludf.DUMMYFUNCTION("""COMPUTED_VALUE"""),11.13)</f>
        <v>11.13</v>
      </c>
      <c r="G2459" s="9">
        <f>IFERROR(__xludf.DUMMYFUNCTION("""COMPUTED_VALUE"""),11.13)</f>
        <v>11.13</v>
      </c>
      <c r="H2459" s="9">
        <f>IFERROR(__xludf.DUMMYFUNCTION("""COMPUTED_VALUE"""),4.0)</f>
        <v>4</v>
      </c>
      <c r="I2459" s="9"/>
      <c r="J2459" s="9"/>
      <c r="K2459" s="9"/>
      <c r="L2459" s="9"/>
      <c r="M2459" s="9"/>
      <c r="N2459" s="9"/>
      <c r="O2459" s="9"/>
      <c r="P2459" s="9"/>
      <c r="Q2459" s="9"/>
      <c r="R2459" s="9"/>
      <c r="S2459" s="9"/>
      <c r="T2459" s="9"/>
    </row>
    <row r="2460" ht="15.75" customHeight="1">
      <c r="A2460" s="11">
        <f>IFERROR(__xludf.DUMMYFUNCTION("""COMPUTED_VALUE"""),44471.0)</f>
        <v>44471</v>
      </c>
      <c r="B2460" s="9">
        <f>IFERROR(__xludf.DUMMYFUNCTION("""COMPUTED_VALUE"""),1003635.0)</f>
        <v>1003635</v>
      </c>
      <c r="C2460" s="9">
        <f>IFERROR(__xludf.DUMMYFUNCTION("""COMPUTED_VALUE"""),86844.0)</f>
        <v>86844</v>
      </c>
      <c r="D2460" s="9"/>
      <c r="E2460" s="9"/>
      <c r="F2460" s="9">
        <f>IFERROR(__xludf.DUMMYFUNCTION("""COMPUTED_VALUE"""),12.69)</f>
        <v>12.69</v>
      </c>
      <c r="G2460" s="9">
        <f>IFERROR(__xludf.DUMMYFUNCTION("""COMPUTED_VALUE"""),12.69)</f>
        <v>12.69</v>
      </c>
      <c r="H2460" s="9">
        <f>IFERROR(__xludf.DUMMYFUNCTION("""COMPUTED_VALUE"""),5.0)</f>
        <v>5</v>
      </c>
      <c r="I2460" s="9"/>
      <c r="J2460" s="9"/>
      <c r="K2460" s="9"/>
      <c r="L2460" s="9"/>
      <c r="M2460" s="9"/>
      <c r="N2460" s="9"/>
      <c r="O2460" s="9"/>
      <c r="P2460" s="9"/>
      <c r="Q2460" s="9"/>
      <c r="R2460" s="9"/>
      <c r="S2460" s="9"/>
      <c r="T2460" s="9"/>
    </row>
    <row r="2461" ht="15.75" customHeight="1">
      <c r="A2461" s="11">
        <f>IFERROR(__xludf.DUMMYFUNCTION("""COMPUTED_VALUE"""),44471.0)</f>
        <v>44471</v>
      </c>
      <c r="B2461" s="9">
        <f>IFERROR(__xludf.DUMMYFUNCTION("""COMPUTED_VALUE"""),1003635.0)</f>
        <v>1003635</v>
      </c>
      <c r="C2461" s="9">
        <f>IFERROR(__xludf.DUMMYFUNCTION("""COMPUTED_VALUE"""),47508.0)</f>
        <v>47508</v>
      </c>
      <c r="D2461" s="9"/>
      <c r="E2461" s="9"/>
      <c r="F2461" s="9">
        <f>IFERROR(__xludf.DUMMYFUNCTION("""COMPUTED_VALUE"""),23.8)</f>
        <v>23.8</v>
      </c>
      <c r="G2461" s="9">
        <f>IFERROR(__xludf.DUMMYFUNCTION("""COMPUTED_VALUE"""),23.8)</f>
        <v>23.8</v>
      </c>
      <c r="H2461" s="9">
        <f>IFERROR(__xludf.DUMMYFUNCTION("""COMPUTED_VALUE"""),6.0)</f>
        <v>6</v>
      </c>
      <c r="I2461" s="9"/>
      <c r="J2461" s="9"/>
      <c r="K2461" s="9"/>
      <c r="L2461" s="9"/>
      <c r="M2461" s="9"/>
      <c r="N2461" s="9"/>
      <c r="O2461" s="9"/>
      <c r="P2461" s="9"/>
      <c r="Q2461" s="9"/>
      <c r="R2461" s="9"/>
      <c r="S2461" s="9"/>
      <c r="T2461" s="9"/>
    </row>
    <row r="2462" ht="15.75" customHeight="1">
      <c r="A2462" s="11">
        <f>IFERROR(__xludf.DUMMYFUNCTION("""COMPUTED_VALUE"""),44471.0)</f>
        <v>44471</v>
      </c>
      <c r="B2462" s="9">
        <f>IFERROR(__xludf.DUMMYFUNCTION("""COMPUTED_VALUE"""),1003636.0)</f>
        <v>1003636</v>
      </c>
      <c r="C2462" s="9">
        <f>IFERROR(__xludf.DUMMYFUNCTION("""COMPUTED_VALUE"""),107925.0)</f>
        <v>107925</v>
      </c>
      <c r="D2462" s="10" t="str">
        <f>IFERROR(__xludf.DUMMYFUNCTION("""COMPUTED_VALUE"""),"Offre Speciale")</f>
        <v>Offre Speciale</v>
      </c>
      <c r="E2462" s="10"/>
      <c r="F2462" s="9">
        <f>IFERROR(__xludf.DUMMYFUNCTION("""COMPUTED_VALUE"""),14.5454545454545)</f>
        <v>14.54545455</v>
      </c>
      <c r="G2462" s="9">
        <f>IFERROR(__xludf.DUMMYFUNCTION("""COMPUTED_VALUE"""),12.8)</f>
        <v>12.8</v>
      </c>
      <c r="H2462" s="9">
        <f>IFERROR(__xludf.DUMMYFUNCTION("""COMPUTED_VALUE"""),1.0)</f>
        <v>1</v>
      </c>
      <c r="I2462" s="9"/>
      <c r="J2462" s="9"/>
      <c r="K2462" s="9"/>
      <c r="L2462" s="9"/>
      <c r="M2462" s="9"/>
      <c r="N2462" s="9"/>
      <c r="O2462" s="9"/>
      <c r="P2462" s="9"/>
      <c r="Q2462" s="9"/>
      <c r="R2462" s="9"/>
      <c r="S2462" s="9"/>
      <c r="T2462" s="9"/>
    </row>
    <row r="2463" ht="15.75" customHeight="1">
      <c r="A2463" s="11">
        <f>IFERROR(__xludf.DUMMYFUNCTION("""COMPUTED_VALUE"""),44471.0)</f>
        <v>44471</v>
      </c>
      <c r="B2463" s="9">
        <f>IFERROR(__xludf.DUMMYFUNCTION("""COMPUTED_VALUE"""),1003636.0)</f>
        <v>1003636</v>
      </c>
      <c r="C2463" s="9">
        <f>IFERROR(__xludf.DUMMYFUNCTION("""COMPUTED_VALUE"""),94043.0)</f>
        <v>94043</v>
      </c>
      <c r="D2463" s="9"/>
      <c r="E2463" s="9"/>
      <c r="F2463" s="9">
        <f>IFERROR(__xludf.DUMMYFUNCTION("""COMPUTED_VALUE"""),8.69)</f>
        <v>8.69</v>
      </c>
      <c r="G2463" s="9">
        <f>IFERROR(__xludf.DUMMYFUNCTION("""COMPUTED_VALUE"""),8.69)</f>
        <v>8.69</v>
      </c>
      <c r="H2463" s="9">
        <f>IFERROR(__xludf.DUMMYFUNCTION("""COMPUTED_VALUE"""),1.0)</f>
        <v>1</v>
      </c>
      <c r="I2463" s="9"/>
      <c r="J2463" s="9"/>
      <c r="K2463" s="9"/>
      <c r="L2463" s="9"/>
      <c r="M2463" s="9"/>
      <c r="N2463" s="9"/>
      <c r="O2463" s="9"/>
      <c r="P2463" s="9"/>
      <c r="Q2463" s="9"/>
      <c r="R2463" s="9"/>
      <c r="S2463" s="9"/>
      <c r="T2463" s="9"/>
    </row>
    <row r="2464" ht="15.75" customHeight="1">
      <c r="A2464" s="11">
        <f>IFERROR(__xludf.DUMMYFUNCTION("""COMPUTED_VALUE"""),44471.0)</f>
        <v>44471</v>
      </c>
      <c r="B2464" s="9">
        <f>IFERROR(__xludf.DUMMYFUNCTION("""COMPUTED_VALUE"""),1003636.0)</f>
        <v>1003636</v>
      </c>
      <c r="C2464" s="9">
        <f>IFERROR(__xludf.DUMMYFUNCTION("""COMPUTED_VALUE"""),89503.0)</f>
        <v>89503</v>
      </c>
      <c r="D2464" s="9"/>
      <c r="E2464" s="9"/>
      <c r="F2464" s="9">
        <f>IFERROR(__xludf.DUMMYFUNCTION("""COMPUTED_VALUE"""),10.51)</f>
        <v>10.51</v>
      </c>
      <c r="G2464" s="9">
        <f>IFERROR(__xludf.DUMMYFUNCTION("""COMPUTED_VALUE"""),10.51)</f>
        <v>10.51</v>
      </c>
      <c r="H2464" s="9">
        <f>IFERROR(__xludf.DUMMYFUNCTION("""COMPUTED_VALUE"""),2.0)</f>
        <v>2</v>
      </c>
      <c r="I2464" s="9"/>
      <c r="J2464" s="9"/>
      <c r="K2464" s="9"/>
      <c r="L2464" s="9"/>
      <c r="M2464" s="9"/>
      <c r="N2464" s="9"/>
      <c r="O2464" s="9"/>
      <c r="P2464" s="9"/>
      <c r="Q2464" s="9"/>
      <c r="R2464" s="9"/>
      <c r="S2464" s="9"/>
      <c r="T2464" s="9"/>
    </row>
    <row r="2465" ht="15.75" customHeight="1">
      <c r="A2465" s="11">
        <f>IFERROR(__xludf.DUMMYFUNCTION("""COMPUTED_VALUE"""),44471.0)</f>
        <v>44471</v>
      </c>
      <c r="B2465" s="9">
        <f>IFERROR(__xludf.DUMMYFUNCTION("""COMPUTED_VALUE"""),1003637.0)</f>
        <v>1003637</v>
      </c>
      <c r="C2465" s="9">
        <f>IFERROR(__xludf.DUMMYFUNCTION("""COMPUTED_VALUE"""),116670.0)</f>
        <v>116670</v>
      </c>
      <c r="D2465" s="9"/>
      <c r="E2465" s="9"/>
      <c r="F2465" s="9">
        <f>IFERROR(__xludf.DUMMYFUNCTION("""COMPUTED_VALUE"""),3.8)</f>
        <v>3.8</v>
      </c>
      <c r="G2465" s="9">
        <f>IFERROR(__xludf.DUMMYFUNCTION("""COMPUTED_VALUE"""),3.8)</f>
        <v>3.8</v>
      </c>
      <c r="H2465" s="9">
        <f>IFERROR(__xludf.DUMMYFUNCTION("""COMPUTED_VALUE"""),1.0)</f>
        <v>1</v>
      </c>
      <c r="I2465" s="9"/>
      <c r="J2465" s="9"/>
      <c r="K2465" s="9"/>
      <c r="L2465" s="9"/>
      <c r="M2465" s="9"/>
      <c r="N2465" s="9"/>
      <c r="O2465" s="9"/>
      <c r="P2465" s="9"/>
      <c r="Q2465" s="9"/>
      <c r="R2465" s="9"/>
      <c r="S2465" s="9"/>
      <c r="T2465" s="9"/>
    </row>
    <row r="2466" ht="15.75" customHeight="1">
      <c r="A2466" s="11">
        <f>IFERROR(__xludf.DUMMYFUNCTION("""COMPUTED_VALUE"""),44471.0)</f>
        <v>44471</v>
      </c>
      <c r="B2466" s="9">
        <f>IFERROR(__xludf.DUMMYFUNCTION("""COMPUTED_VALUE"""),1003638.0)</f>
        <v>1003638</v>
      </c>
      <c r="C2466" s="9">
        <f>IFERROR(__xludf.DUMMYFUNCTION("""COMPUTED_VALUE"""),44531.0)</f>
        <v>44531</v>
      </c>
      <c r="D2466" s="9"/>
      <c r="E2466" s="9"/>
      <c r="F2466" s="9">
        <f>IFERROR(__xludf.DUMMYFUNCTION("""COMPUTED_VALUE"""),8.49)</f>
        <v>8.49</v>
      </c>
      <c r="G2466" s="9">
        <f>IFERROR(__xludf.DUMMYFUNCTION("""COMPUTED_VALUE"""),8.49)</f>
        <v>8.49</v>
      </c>
      <c r="H2466" s="9">
        <f>IFERROR(__xludf.DUMMYFUNCTION("""COMPUTED_VALUE"""),1.0)</f>
        <v>1</v>
      </c>
      <c r="I2466" s="9"/>
      <c r="J2466" s="9"/>
      <c r="K2466" s="9"/>
      <c r="L2466" s="9"/>
      <c r="M2466" s="9"/>
      <c r="N2466" s="9"/>
      <c r="O2466" s="9"/>
      <c r="P2466" s="9"/>
      <c r="Q2466" s="9"/>
      <c r="R2466" s="9"/>
      <c r="S2466" s="9"/>
      <c r="T2466" s="9"/>
    </row>
    <row r="2467" ht="15.75" customHeight="1">
      <c r="A2467" s="11">
        <f>IFERROR(__xludf.DUMMYFUNCTION("""COMPUTED_VALUE"""),44471.0)</f>
        <v>44471</v>
      </c>
      <c r="B2467" s="9">
        <f>IFERROR(__xludf.DUMMYFUNCTION("""COMPUTED_VALUE"""),1003638.0)</f>
        <v>1003638</v>
      </c>
      <c r="C2467" s="9">
        <f>IFERROR(__xludf.DUMMYFUNCTION("""COMPUTED_VALUE"""),45630.0)</f>
        <v>45630</v>
      </c>
      <c r="D2467" s="10" t="str">
        <f>IFERROR(__xludf.DUMMYFUNCTION("""COMPUTED_VALUE"""),"Vive le bio")</f>
        <v>Vive le bio</v>
      </c>
      <c r="E2467" s="10"/>
      <c r="F2467" s="9">
        <f>IFERROR(__xludf.DUMMYFUNCTION("""COMPUTED_VALUE"""),6.89999999999999)</f>
        <v>6.9</v>
      </c>
      <c r="G2467" s="9">
        <f>IFERROR(__xludf.DUMMYFUNCTION("""COMPUTED_VALUE"""),6.21)</f>
        <v>6.21</v>
      </c>
      <c r="H2467" s="9">
        <f>IFERROR(__xludf.DUMMYFUNCTION("""COMPUTED_VALUE"""),1.0)</f>
        <v>1</v>
      </c>
      <c r="I2467" s="9"/>
      <c r="J2467" s="9"/>
      <c r="K2467" s="9"/>
      <c r="L2467" s="9"/>
      <c r="M2467" s="9"/>
      <c r="N2467" s="9"/>
      <c r="O2467" s="9"/>
      <c r="P2467" s="9"/>
      <c r="Q2467" s="9"/>
      <c r="R2467" s="9"/>
      <c r="S2467" s="9"/>
      <c r="T2467" s="9"/>
    </row>
    <row r="2468" ht="15.75" customHeight="1">
      <c r="A2468" s="11">
        <f>IFERROR(__xludf.DUMMYFUNCTION("""COMPUTED_VALUE"""),44471.0)</f>
        <v>44471</v>
      </c>
      <c r="B2468" s="9">
        <f>IFERROR(__xludf.DUMMYFUNCTION("""COMPUTED_VALUE"""),1003638.0)</f>
        <v>1003638</v>
      </c>
      <c r="C2468" s="9">
        <f>IFERROR(__xludf.DUMMYFUNCTION("""COMPUTED_VALUE"""),70338.0)</f>
        <v>70338</v>
      </c>
      <c r="D2468" s="9"/>
      <c r="E2468" s="9"/>
      <c r="F2468" s="9">
        <f>IFERROR(__xludf.DUMMYFUNCTION("""COMPUTED_VALUE"""),7.68)</f>
        <v>7.68</v>
      </c>
      <c r="G2468" s="9">
        <f>IFERROR(__xludf.DUMMYFUNCTION("""COMPUTED_VALUE"""),7.68)</f>
        <v>7.68</v>
      </c>
      <c r="H2468" s="9">
        <f>IFERROR(__xludf.DUMMYFUNCTION("""COMPUTED_VALUE"""),1.0)</f>
        <v>1</v>
      </c>
      <c r="I2468" s="9"/>
      <c r="J2468" s="9"/>
      <c r="K2468" s="9"/>
      <c r="L2468" s="9"/>
      <c r="M2468" s="9"/>
      <c r="N2468" s="9"/>
      <c r="O2468" s="9"/>
      <c r="P2468" s="9"/>
      <c r="Q2468" s="9"/>
      <c r="R2468" s="9"/>
      <c r="S2468" s="9"/>
      <c r="T2468" s="9"/>
    </row>
    <row r="2469" ht="15.75" customHeight="1">
      <c r="A2469" s="11">
        <f>IFERROR(__xludf.DUMMYFUNCTION("""COMPUTED_VALUE"""),44471.0)</f>
        <v>44471</v>
      </c>
      <c r="B2469" s="9">
        <f>IFERROR(__xludf.DUMMYFUNCTION("""COMPUTED_VALUE"""),1003638.0)</f>
        <v>1003638</v>
      </c>
      <c r="C2469" s="9">
        <f>IFERROR(__xludf.DUMMYFUNCTION("""COMPUTED_VALUE"""),29585.0)</f>
        <v>29585</v>
      </c>
      <c r="D2469" s="9"/>
      <c r="E2469" s="9"/>
      <c r="F2469" s="9">
        <f>IFERROR(__xludf.DUMMYFUNCTION("""COMPUTED_VALUE"""),18.82)</f>
        <v>18.82</v>
      </c>
      <c r="G2469" s="9">
        <f>IFERROR(__xludf.DUMMYFUNCTION("""COMPUTED_VALUE"""),18.82)</f>
        <v>18.82</v>
      </c>
      <c r="H2469" s="9">
        <f>IFERROR(__xludf.DUMMYFUNCTION("""COMPUTED_VALUE"""),4.0)</f>
        <v>4</v>
      </c>
      <c r="I2469" s="9"/>
      <c r="J2469" s="9"/>
      <c r="K2469" s="9"/>
      <c r="L2469" s="9"/>
      <c r="M2469" s="9"/>
      <c r="N2469" s="9"/>
      <c r="O2469" s="9"/>
      <c r="P2469" s="9"/>
      <c r="Q2469" s="9"/>
      <c r="R2469" s="9"/>
      <c r="S2469" s="9"/>
      <c r="T2469" s="9"/>
    </row>
    <row r="2470" ht="15.75" customHeight="1">
      <c r="A2470" s="11">
        <f>IFERROR(__xludf.DUMMYFUNCTION("""COMPUTED_VALUE"""),44471.0)</f>
        <v>44471</v>
      </c>
      <c r="B2470" s="9">
        <f>IFERROR(__xludf.DUMMYFUNCTION("""COMPUTED_VALUE"""),1003640.0)</f>
        <v>1003640</v>
      </c>
      <c r="C2470" s="9">
        <f>IFERROR(__xludf.DUMMYFUNCTION("""COMPUTED_VALUE"""),28533.0)</f>
        <v>28533</v>
      </c>
      <c r="D2470" s="9"/>
      <c r="E2470" s="9"/>
      <c r="F2470" s="9">
        <f>IFERROR(__xludf.DUMMYFUNCTION("""COMPUTED_VALUE"""),6.02)</f>
        <v>6.02</v>
      </c>
      <c r="G2470" s="9">
        <f>IFERROR(__xludf.DUMMYFUNCTION("""COMPUTED_VALUE"""),6.02)</f>
        <v>6.02</v>
      </c>
      <c r="H2470" s="9">
        <f>IFERROR(__xludf.DUMMYFUNCTION("""COMPUTED_VALUE"""),1.0)</f>
        <v>1</v>
      </c>
      <c r="I2470" s="9"/>
      <c r="J2470" s="9"/>
      <c r="K2470" s="9"/>
      <c r="L2470" s="9"/>
      <c r="M2470" s="9"/>
      <c r="N2470" s="9"/>
      <c r="O2470" s="9"/>
      <c r="P2470" s="9"/>
      <c r="Q2470" s="9"/>
      <c r="R2470" s="9"/>
      <c r="S2470" s="9"/>
      <c r="T2470" s="9"/>
    </row>
    <row r="2471" ht="15.75" customHeight="1">
      <c r="A2471" s="11">
        <f>IFERROR(__xludf.DUMMYFUNCTION("""COMPUTED_VALUE"""),44471.0)</f>
        <v>44471</v>
      </c>
      <c r="B2471" s="9">
        <f>IFERROR(__xludf.DUMMYFUNCTION("""COMPUTED_VALUE"""),1003640.0)</f>
        <v>1003640</v>
      </c>
      <c r="C2471" s="9">
        <f>IFERROR(__xludf.DUMMYFUNCTION("""COMPUTED_VALUE"""),103458.0)</f>
        <v>103458</v>
      </c>
      <c r="D2471" s="9"/>
      <c r="E2471" s="9"/>
      <c r="F2471" s="9">
        <f>IFERROR(__xludf.DUMMYFUNCTION("""COMPUTED_VALUE"""),6.27)</f>
        <v>6.27</v>
      </c>
      <c r="G2471" s="9">
        <f>IFERROR(__xludf.DUMMYFUNCTION("""COMPUTED_VALUE"""),6.27)</f>
        <v>6.27</v>
      </c>
      <c r="H2471" s="9">
        <f>IFERROR(__xludf.DUMMYFUNCTION("""COMPUTED_VALUE"""),1.0)</f>
        <v>1</v>
      </c>
      <c r="I2471" s="9"/>
      <c r="J2471" s="9"/>
      <c r="K2471" s="9"/>
      <c r="L2471" s="9"/>
      <c r="M2471" s="9"/>
      <c r="N2471" s="9"/>
      <c r="O2471" s="9"/>
      <c r="P2471" s="9"/>
      <c r="Q2471" s="9"/>
      <c r="R2471" s="9"/>
      <c r="S2471" s="9"/>
      <c r="T2471" s="9"/>
    </row>
    <row r="2472" ht="15.75" customHeight="1">
      <c r="A2472" s="11">
        <f>IFERROR(__xludf.DUMMYFUNCTION("""COMPUTED_VALUE"""),44471.0)</f>
        <v>44471</v>
      </c>
      <c r="B2472" s="9">
        <f>IFERROR(__xludf.DUMMYFUNCTION("""COMPUTED_VALUE"""),1003640.0)</f>
        <v>1003640</v>
      </c>
      <c r="C2472" s="9">
        <f>IFERROR(__xludf.DUMMYFUNCTION("""COMPUTED_VALUE"""),121350.0)</f>
        <v>121350</v>
      </c>
      <c r="D2472" s="9"/>
      <c r="E2472" s="9"/>
      <c r="F2472" s="9">
        <f>IFERROR(__xludf.DUMMYFUNCTION("""COMPUTED_VALUE"""),3.9)</f>
        <v>3.9</v>
      </c>
      <c r="G2472" s="9">
        <f>IFERROR(__xludf.DUMMYFUNCTION("""COMPUTED_VALUE"""),3.9)</f>
        <v>3.9</v>
      </c>
      <c r="H2472" s="9">
        <f>IFERROR(__xludf.DUMMYFUNCTION("""COMPUTED_VALUE"""),1.0)</f>
        <v>1</v>
      </c>
      <c r="I2472" s="9"/>
      <c r="J2472" s="9"/>
      <c r="K2472" s="9"/>
      <c r="L2472" s="9"/>
      <c r="M2472" s="9"/>
      <c r="N2472" s="9"/>
      <c r="O2472" s="9"/>
      <c r="P2472" s="9"/>
      <c r="Q2472" s="9"/>
      <c r="R2472" s="9"/>
      <c r="S2472" s="9"/>
      <c r="T2472" s="9"/>
    </row>
    <row r="2473" ht="15.75" customHeight="1">
      <c r="A2473" s="11">
        <f>IFERROR(__xludf.DUMMYFUNCTION("""COMPUTED_VALUE"""),44471.0)</f>
        <v>44471</v>
      </c>
      <c r="B2473" s="9">
        <f>IFERROR(__xludf.DUMMYFUNCTION("""COMPUTED_VALUE"""),1003640.0)</f>
        <v>1003640</v>
      </c>
      <c r="C2473" s="9">
        <f>IFERROR(__xludf.DUMMYFUNCTION("""COMPUTED_VALUE"""),128334.0)</f>
        <v>128334</v>
      </c>
      <c r="D2473" s="9"/>
      <c r="E2473" s="9"/>
      <c r="F2473" s="9">
        <f>IFERROR(__xludf.DUMMYFUNCTION("""COMPUTED_VALUE"""),34.48)</f>
        <v>34.48</v>
      </c>
      <c r="G2473" s="9">
        <f>IFERROR(__xludf.DUMMYFUNCTION("""COMPUTED_VALUE"""),34.48)</f>
        <v>34.48</v>
      </c>
      <c r="H2473" s="9">
        <f>IFERROR(__xludf.DUMMYFUNCTION("""COMPUTED_VALUE"""),1.0)</f>
        <v>1</v>
      </c>
      <c r="I2473" s="9"/>
      <c r="J2473" s="9"/>
      <c r="K2473" s="9"/>
      <c r="L2473" s="9"/>
      <c r="M2473" s="9"/>
      <c r="N2473" s="9"/>
      <c r="O2473" s="9"/>
      <c r="P2473" s="9"/>
      <c r="Q2473" s="9"/>
      <c r="R2473" s="9"/>
      <c r="S2473" s="9"/>
      <c r="T2473" s="9"/>
    </row>
    <row r="2474" ht="15.75" customHeight="1">
      <c r="A2474" s="11">
        <f>IFERROR(__xludf.DUMMYFUNCTION("""COMPUTED_VALUE"""),44471.0)</f>
        <v>44471</v>
      </c>
      <c r="B2474" s="9">
        <f>IFERROR(__xludf.DUMMYFUNCTION("""COMPUTED_VALUE"""),1003640.0)</f>
        <v>1003640</v>
      </c>
      <c r="C2474" s="9">
        <f>IFERROR(__xludf.DUMMYFUNCTION("""COMPUTED_VALUE"""),47374.0)</f>
        <v>47374</v>
      </c>
      <c r="D2474" s="10" t="str">
        <f>IFERROR(__xludf.DUMMYFUNCTION("""COMPUTED_VALUE"""),"Vive le bio")</f>
        <v>Vive le bio</v>
      </c>
      <c r="E2474" s="10"/>
      <c r="F2474" s="9">
        <f>IFERROR(__xludf.DUMMYFUNCTION("""COMPUTED_VALUE"""),3.53333333333333)</f>
        <v>3.533333333</v>
      </c>
      <c r="G2474" s="9">
        <f>IFERROR(__xludf.DUMMYFUNCTION("""COMPUTED_VALUE"""),3.18)</f>
        <v>3.18</v>
      </c>
      <c r="H2474" s="9">
        <f>IFERROR(__xludf.DUMMYFUNCTION("""COMPUTED_VALUE"""),1.0)</f>
        <v>1</v>
      </c>
      <c r="I2474" s="9"/>
      <c r="J2474" s="9"/>
      <c r="K2474" s="9"/>
      <c r="L2474" s="9"/>
      <c r="M2474" s="9"/>
      <c r="N2474" s="9"/>
      <c r="O2474" s="9"/>
      <c r="P2474" s="9"/>
      <c r="Q2474" s="9"/>
      <c r="R2474" s="9"/>
      <c r="S2474" s="9"/>
      <c r="T2474" s="9"/>
    </row>
    <row r="2475" ht="15.75" customHeight="1">
      <c r="A2475" s="11">
        <f>IFERROR(__xludf.DUMMYFUNCTION("""COMPUTED_VALUE"""),44471.0)</f>
        <v>44471</v>
      </c>
      <c r="B2475" s="9">
        <f>IFERROR(__xludf.DUMMYFUNCTION("""COMPUTED_VALUE"""),1003640.0)</f>
        <v>1003640</v>
      </c>
      <c r="C2475" s="9">
        <f>IFERROR(__xludf.DUMMYFUNCTION("""COMPUTED_VALUE"""),47389.0)</f>
        <v>47389</v>
      </c>
      <c r="D2475" s="9"/>
      <c r="E2475" s="9"/>
      <c r="F2475" s="9">
        <f>IFERROR(__xludf.DUMMYFUNCTION("""COMPUTED_VALUE"""),2.68)</f>
        <v>2.68</v>
      </c>
      <c r="G2475" s="9">
        <f>IFERROR(__xludf.DUMMYFUNCTION("""COMPUTED_VALUE"""),2.68)</f>
        <v>2.68</v>
      </c>
      <c r="H2475" s="9">
        <f>IFERROR(__xludf.DUMMYFUNCTION("""COMPUTED_VALUE"""),1.0)</f>
        <v>1</v>
      </c>
      <c r="I2475" s="9"/>
      <c r="J2475" s="9"/>
      <c r="K2475" s="9"/>
      <c r="L2475" s="9"/>
      <c r="M2475" s="9"/>
      <c r="N2475" s="9"/>
      <c r="O2475" s="9"/>
      <c r="P2475" s="9"/>
      <c r="Q2475" s="9"/>
      <c r="R2475" s="9"/>
      <c r="S2475" s="9"/>
      <c r="T2475" s="9"/>
    </row>
    <row r="2476" ht="15.75" customHeight="1">
      <c r="A2476" s="11">
        <f>IFERROR(__xludf.DUMMYFUNCTION("""COMPUTED_VALUE"""),44471.0)</f>
        <v>44471</v>
      </c>
      <c r="B2476" s="9">
        <f>IFERROR(__xludf.DUMMYFUNCTION("""COMPUTED_VALUE"""),1003640.0)</f>
        <v>1003640</v>
      </c>
      <c r="C2476" s="9">
        <f>IFERROR(__xludf.DUMMYFUNCTION("""COMPUTED_VALUE"""),119276.0)</f>
        <v>119276</v>
      </c>
      <c r="D2476" s="9"/>
      <c r="E2476" s="9"/>
      <c r="F2476" s="9">
        <f>IFERROR(__xludf.DUMMYFUNCTION("""COMPUTED_VALUE"""),3.68)</f>
        <v>3.68</v>
      </c>
      <c r="G2476" s="9">
        <f>IFERROR(__xludf.DUMMYFUNCTION("""COMPUTED_VALUE"""),3.68)</f>
        <v>3.68</v>
      </c>
      <c r="H2476" s="9">
        <f>IFERROR(__xludf.DUMMYFUNCTION("""COMPUTED_VALUE"""),1.0)</f>
        <v>1</v>
      </c>
      <c r="I2476" s="9"/>
      <c r="J2476" s="9"/>
      <c r="K2476" s="9"/>
      <c r="L2476" s="9"/>
      <c r="M2476" s="9"/>
      <c r="N2476" s="9"/>
      <c r="O2476" s="9"/>
      <c r="P2476" s="9"/>
      <c r="Q2476" s="9"/>
      <c r="R2476" s="9"/>
      <c r="S2476" s="9"/>
      <c r="T2476" s="9"/>
    </row>
    <row r="2477" ht="15.75" customHeight="1">
      <c r="A2477" s="11">
        <f>IFERROR(__xludf.DUMMYFUNCTION("""COMPUTED_VALUE"""),44471.0)</f>
        <v>44471</v>
      </c>
      <c r="B2477" s="9">
        <f>IFERROR(__xludf.DUMMYFUNCTION("""COMPUTED_VALUE"""),1003640.0)</f>
        <v>1003640</v>
      </c>
      <c r="C2477" s="9">
        <f>IFERROR(__xludf.DUMMYFUNCTION("""COMPUTED_VALUE"""),76044.0)</f>
        <v>76044</v>
      </c>
      <c r="D2477" s="10" t="str">
        <f>IFERROR(__xludf.DUMMYFUNCTION("""COMPUTED_VALUE"""),"Vive le bio")</f>
        <v>Vive le bio</v>
      </c>
      <c r="E2477" s="10"/>
      <c r="F2477" s="9">
        <f>IFERROR(__xludf.DUMMYFUNCTION("""COMPUTED_VALUE"""),4.63333333333333)</f>
        <v>4.633333333</v>
      </c>
      <c r="G2477" s="9">
        <f>IFERROR(__xludf.DUMMYFUNCTION("""COMPUTED_VALUE"""),4.17)</f>
        <v>4.17</v>
      </c>
      <c r="H2477" s="9">
        <f>IFERROR(__xludf.DUMMYFUNCTION("""COMPUTED_VALUE"""),1.0)</f>
        <v>1</v>
      </c>
      <c r="I2477" s="9"/>
      <c r="J2477" s="9"/>
      <c r="K2477" s="9"/>
      <c r="L2477" s="9"/>
      <c r="M2477" s="9"/>
      <c r="N2477" s="9"/>
      <c r="O2477" s="9"/>
      <c r="P2477" s="9"/>
      <c r="Q2477" s="9"/>
      <c r="R2477" s="9"/>
      <c r="S2477" s="9"/>
      <c r="T2477" s="9"/>
    </row>
    <row r="2478" ht="15.75" customHeight="1">
      <c r="A2478" s="11">
        <f>IFERROR(__xludf.DUMMYFUNCTION("""COMPUTED_VALUE"""),44471.0)</f>
        <v>44471</v>
      </c>
      <c r="B2478" s="9">
        <f>IFERROR(__xludf.DUMMYFUNCTION("""COMPUTED_VALUE"""),1003640.0)</f>
        <v>1003640</v>
      </c>
      <c r="C2478" s="9">
        <f>IFERROR(__xludf.DUMMYFUNCTION("""COMPUTED_VALUE"""),90006.0)</f>
        <v>90006</v>
      </c>
      <c r="D2478" s="9"/>
      <c r="E2478" s="9"/>
      <c r="F2478" s="9">
        <f>IFERROR(__xludf.DUMMYFUNCTION("""COMPUTED_VALUE"""),7.15)</f>
        <v>7.15</v>
      </c>
      <c r="G2478" s="9">
        <f>IFERROR(__xludf.DUMMYFUNCTION("""COMPUTED_VALUE"""),7.15)</f>
        <v>7.15</v>
      </c>
      <c r="H2478" s="9">
        <f>IFERROR(__xludf.DUMMYFUNCTION("""COMPUTED_VALUE"""),1.0)</f>
        <v>1</v>
      </c>
      <c r="I2478" s="9"/>
      <c r="J2478" s="9"/>
      <c r="K2478" s="9"/>
      <c r="L2478" s="9"/>
      <c r="M2478" s="9"/>
      <c r="N2478" s="9"/>
      <c r="O2478" s="9"/>
      <c r="P2478" s="9"/>
      <c r="Q2478" s="9"/>
      <c r="R2478" s="9"/>
      <c r="S2478" s="9"/>
      <c r="T2478" s="9"/>
    </row>
    <row r="2479" ht="15.75" customHeight="1">
      <c r="A2479" s="11">
        <f>IFERROR(__xludf.DUMMYFUNCTION("""COMPUTED_VALUE"""),44471.0)</f>
        <v>44471</v>
      </c>
      <c r="B2479" s="9">
        <f>IFERROR(__xludf.DUMMYFUNCTION("""COMPUTED_VALUE"""),1003640.0)</f>
        <v>1003640</v>
      </c>
      <c r="C2479" s="9">
        <f>IFERROR(__xludf.DUMMYFUNCTION("""COMPUTED_VALUE"""),79958.0)</f>
        <v>79958</v>
      </c>
      <c r="D2479" s="9"/>
      <c r="E2479" s="9"/>
      <c r="F2479" s="9">
        <f>IFERROR(__xludf.DUMMYFUNCTION("""COMPUTED_VALUE"""),3.21)</f>
        <v>3.21</v>
      </c>
      <c r="G2479" s="9">
        <f>IFERROR(__xludf.DUMMYFUNCTION("""COMPUTED_VALUE"""),3.21)</f>
        <v>3.21</v>
      </c>
      <c r="H2479" s="9">
        <f>IFERROR(__xludf.DUMMYFUNCTION("""COMPUTED_VALUE"""),1.0)</f>
        <v>1</v>
      </c>
      <c r="I2479" s="9"/>
      <c r="J2479" s="9"/>
      <c r="K2479" s="9"/>
      <c r="L2479" s="9"/>
      <c r="M2479" s="9"/>
      <c r="N2479" s="9"/>
      <c r="O2479" s="9"/>
      <c r="P2479" s="9"/>
      <c r="Q2479" s="9"/>
      <c r="R2479" s="9"/>
      <c r="S2479" s="9"/>
      <c r="T2479" s="9"/>
    </row>
    <row r="2480" ht="15.75" customHeight="1">
      <c r="A2480" s="11">
        <f>IFERROR(__xludf.DUMMYFUNCTION("""COMPUTED_VALUE"""),44471.0)</f>
        <v>44471</v>
      </c>
      <c r="B2480" s="9">
        <f>IFERROR(__xludf.DUMMYFUNCTION("""COMPUTED_VALUE"""),1003640.0)</f>
        <v>1003640</v>
      </c>
      <c r="C2480" s="9">
        <f>IFERROR(__xludf.DUMMYFUNCTION("""COMPUTED_VALUE"""),87193.0)</f>
        <v>87193</v>
      </c>
      <c r="D2480" s="9"/>
      <c r="E2480" s="9"/>
      <c r="F2480" s="9">
        <f>IFERROR(__xludf.DUMMYFUNCTION("""COMPUTED_VALUE"""),6.97)</f>
        <v>6.97</v>
      </c>
      <c r="G2480" s="9">
        <f>IFERROR(__xludf.DUMMYFUNCTION("""COMPUTED_VALUE"""),6.97)</f>
        <v>6.97</v>
      </c>
      <c r="H2480" s="9">
        <f>IFERROR(__xludf.DUMMYFUNCTION("""COMPUTED_VALUE"""),1.0)</f>
        <v>1</v>
      </c>
      <c r="I2480" s="9"/>
      <c r="J2480" s="9"/>
      <c r="K2480" s="9"/>
      <c r="L2480" s="9"/>
      <c r="M2480" s="9"/>
      <c r="N2480" s="9"/>
      <c r="O2480" s="9"/>
      <c r="P2480" s="9"/>
      <c r="Q2480" s="9"/>
      <c r="R2480" s="9"/>
      <c r="S2480" s="9"/>
      <c r="T2480" s="9"/>
    </row>
    <row r="2481" ht="15.75" customHeight="1">
      <c r="A2481" s="11">
        <f>IFERROR(__xludf.DUMMYFUNCTION("""COMPUTED_VALUE"""),44471.0)</f>
        <v>44471</v>
      </c>
      <c r="B2481" s="9">
        <f>IFERROR(__xludf.DUMMYFUNCTION("""COMPUTED_VALUE"""),1003640.0)</f>
        <v>1003640</v>
      </c>
      <c r="C2481" s="9">
        <f>IFERROR(__xludf.DUMMYFUNCTION("""COMPUTED_VALUE"""),47386.0)</f>
        <v>47386</v>
      </c>
      <c r="D2481" s="9"/>
      <c r="E2481" s="9"/>
      <c r="F2481" s="9">
        <f>IFERROR(__xludf.DUMMYFUNCTION("""COMPUTED_VALUE"""),6.5)</f>
        <v>6.5</v>
      </c>
      <c r="G2481" s="9">
        <f>IFERROR(__xludf.DUMMYFUNCTION("""COMPUTED_VALUE"""),6.5)</f>
        <v>6.5</v>
      </c>
      <c r="H2481" s="9">
        <f>IFERROR(__xludf.DUMMYFUNCTION("""COMPUTED_VALUE"""),2.0)</f>
        <v>2</v>
      </c>
      <c r="I2481" s="9"/>
      <c r="J2481" s="9"/>
      <c r="K2481" s="9"/>
      <c r="L2481" s="9"/>
      <c r="M2481" s="9"/>
      <c r="N2481" s="9"/>
      <c r="O2481" s="9"/>
      <c r="P2481" s="9"/>
      <c r="Q2481" s="9"/>
      <c r="R2481" s="9"/>
      <c r="S2481" s="9"/>
      <c r="T2481" s="9"/>
    </row>
    <row r="2482" ht="15.75" customHeight="1">
      <c r="A2482" s="11">
        <f>IFERROR(__xludf.DUMMYFUNCTION("""COMPUTED_VALUE"""),44471.0)</f>
        <v>44471</v>
      </c>
      <c r="B2482" s="9">
        <f>IFERROR(__xludf.DUMMYFUNCTION("""COMPUTED_VALUE"""),1003640.0)</f>
        <v>1003640</v>
      </c>
      <c r="C2482" s="9">
        <f>IFERROR(__xludf.DUMMYFUNCTION("""COMPUTED_VALUE"""),68623.0)</f>
        <v>68623</v>
      </c>
      <c r="D2482" s="9"/>
      <c r="E2482" s="9"/>
      <c r="F2482" s="9">
        <f>IFERROR(__xludf.DUMMYFUNCTION("""COMPUTED_VALUE"""),31.35)</f>
        <v>31.35</v>
      </c>
      <c r="G2482" s="9">
        <f>IFERROR(__xludf.DUMMYFUNCTION("""COMPUTED_VALUE"""),31.35)</f>
        <v>31.35</v>
      </c>
      <c r="H2482" s="9">
        <f>IFERROR(__xludf.DUMMYFUNCTION("""COMPUTED_VALUE"""),2.0)</f>
        <v>2</v>
      </c>
      <c r="I2482" s="9"/>
      <c r="J2482" s="9"/>
      <c r="K2482" s="9"/>
      <c r="L2482" s="9"/>
      <c r="M2482" s="9"/>
      <c r="N2482" s="9"/>
      <c r="O2482" s="9"/>
      <c r="P2482" s="9"/>
      <c r="Q2482" s="9"/>
      <c r="R2482" s="9"/>
      <c r="S2482" s="9"/>
      <c r="T2482" s="9"/>
    </row>
    <row r="2483" ht="15.75" customHeight="1">
      <c r="A2483" s="11">
        <f>IFERROR(__xludf.DUMMYFUNCTION("""COMPUTED_VALUE"""),44471.0)</f>
        <v>44471</v>
      </c>
      <c r="B2483" s="9">
        <f>IFERROR(__xludf.DUMMYFUNCTION("""COMPUTED_VALUE"""),1003640.0)</f>
        <v>1003640</v>
      </c>
      <c r="C2483" s="9">
        <f>IFERROR(__xludf.DUMMYFUNCTION("""COMPUTED_VALUE"""),116391.0)</f>
        <v>116391</v>
      </c>
      <c r="D2483" s="9"/>
      <c r="E2483" s="9"/>
      <c r="F2483" s="9">
        <f>IFERROR(__xludf.DUMMYFUNCTION("""COMPUTED_VALUE"""),15.05)</f>
        <v>15.05</v>
      </c>
      <c r="G2483" s="9">
        <f>IFERROR(__xludf.DUMMYFUNCTION("""COMPUTED_VALUE"""),15.05)</f>
        <v>15.05</v>
      </c>
      <c r="H2483" s="9">
        <f>IFERROR(__xludf.DUMMYFUNCTION("""COMPUTED_VALUE"""),4.0)</f>
        <v>4</v>
      </c>
      <c r="I2483" s="9"/>
      <c r="J2483" s="9"/>
      <c r="K2483" s="9"/>
      <c r="L2483" s="9"/>
      <c r="M2483" s="9"/>
      <c r="N2483" s="9"/>
      <c r="O2483" s="9"/>
      <c r="P2483" s="9"/>
      <c r="Q2483" s="9"/>
      <c r="R2483" s="9"/>
      <c r="S2483" s="9"/>
      <c r="T2483" s="9"/>
    </row>
    <row r="2484" ht="15.75" customHeight="1">
      <c r="A2484" s="11">
        <f>IFERROR(__xludf.DUMMYFUNCTION("""COMPUTED_VALUE"""),44471.0)</f>
        <v>44471</v>
      </c>
      <c r="B2484" s="9">
        <f>IFERROR(__xludf.DUMMYFUNCTION("""COMPUTED_VALUE"""),1003641.0)</f>
        <v>1003641</v>
      </c>
      <c r="C2484" s="9">
        <f>IFERROR(__xludf.DUMMYFUNCTION("""COMPUTED_VALUE"""),118215.0)</f>
        <v>118215</v>
      </c>
      <c r="D2484" s="9"/>
      <c r="E2484" s="9"/>
      <c r="F2484" s="9">
        <f>IFERROR(__xludf.DUMMYFUNCTION("""COMPUTED_VALUE"""),16.5)</f>
        <v>16.5</v>
      </c>
      <c r="G2484" s="9">
        <f>IFERROR(__xludf.DUMMYFUNCTION("""COMPUTED_VALUE"""),16.5)</f>
        <v>16.5</v>
      </c>
      <c r="H2484" s="9">
        <f>IFERROR(__xludf.DUMMYFUNCTION("""COMPUTED_VALUE"""),1.0)</f>
        <v>1</v>
      </c>
      <c r="I2484" s="9"/>
      <c r="J2484" s="9"/>
      <c r="K2484" s="9"/>
      <c r="L2484" s="9"/>
      <c r="M2484" s="9"/>
      <c r="N2484" s="9"/>
      <c r="O2484" s="9"/>
      <c r="P2484" s="9"/>
      <c r="Q2484" s="9"/>
      <c r="R2484" s="9"/>
      <c r="S2484" s="9"/>
      <c r="T2484" s="9"/>
    </row>
    <row r="2485" ht="15.75" customHeight="1">
      <c r="A2485" s="11">
        <f>IFERROR(__xludf.DUMMYFUNCTION("""COMPUTED_VALUE"""),44471.0)</f>
        <v>44471</v>
      </c>
      <c r="B2485" s="9">
        <f>IFERROR(__xludf.DUMMYFUNCTION("""COMPUTED_VALUE"""),1003641.0)</f>
        <v>1003641</v>
      </c>
      <c r="C2485" s="9">
        <f>IFERROR(__xludf.DUMMYFUNCTION("""COMPUTED_VALUE"""),159717.0)</f>
        <v>159717</v>
      </c>
      <c r="D2485" s="9"/>
      <c r="E2485" s="9"/>
      <c r="F2485" s="9">
        <f>IFERROR(__xludf.DUMMYFUNCTION("""COMPUTED_VALUE"""),29.91)</f>
        <v>29.91</v>
      </c>
      <c r="G2485" s="9">
        <f>IFERROR(__xludf.DUMMYFUNCTION("""COMPUTED_VALUE"""),29.91)</f>
        <v>29.91</v>
      </c>
      <c r="H2485" s="9">
        <f>IFERROR(__xludf.DUMMYFUNCTION("""COMPUTED_VALUE"""),1.0)</f>
        <v>1</v>
      </c>
      <c r="I2485" s="9"/>
      <c r="J2485" s="9"/>
      <c r="K2485" s="9"/>
      <c r="L2485" s="9"/>
      <c r="M2485" s="9"/>
      <c r="N2485" s="9"/>
      <c r="O2485" s="9"/>
      <c r="P2485" s="9"/>
      <c r="Q2485" s="9"/>
      <c r="R2485" s="9"/>
      <c r="S2485" s="9"/>
      <c r="T2485" s="9"/>
    </row>
    <row r="2486" ht="15.75" customHeight="1">
      <c r="A2486" s="11">
        <f>IFERROR(__xludf.DUMMYFUNCTION("""COMPUTED_VALUE"""),44471.0)</f>
        <v>44471</v>
      </c>
      <c r="B2486" s="9">
        <f>IFERROR(__xludf.DUMMYFUNCTION("""COMPUTED_VALUE"""),1003641.0)</f>
        <v>1003641</v>
      </c>
      <c r="C2486" s="9">
        <f>IFERROR(__xludf.DUMMYFUNCTION("""COMPUTED_VALUE"""),118219.0)</f>
        <v>118219</v>
      </c>
      <c r="D2486" s="9"/>
      <c r="E2486" s="9"/>
      <c r="F2486" s="9">
        <f>IFERROR(__xludf.DUMMYFUNCTION("""COMPUTED_VALUE"""),13.57)</f>
        <v>13.57</v>
      </c>
      <c r="G2486" s="9">
        <f>IFERROR(__xludf.DUMMYFUNCTION("""COMPUTED_VALUE"""),13.57)</f>
        <v>13.57</v>
      </c>
      <c r="H2486" s="9">
        <f>IFERROR(__xludf.DUMMYFUNCTION("""COMPUTED_VALUE"""),1.0)</f>
        <v>1</v>
      </c>
      <c r="I2486" s="9"/>
      <c r="J2486" s="9"/>
      <c r="K2486" s="9"/>
      <c r="L2486" s="9"/>
      <c r="M2486" s="9"/>
      <c r="N2486" s="9"/>
      <c r="O2486" s="9"/>
      <c r="P2486" s="9"/>
      <c r="Q2486" s="9"/>
      <c r="R2486" s="9"/>
      <c r="S2486" s="9"/>
      <c r="T2486" s="9"/>
    </row>
    <row r="2487" ht="15.75" customHeight="1">
      <c r="A2487" s="11">
        <f>IFERROR(__xludf.DUMMYFUNCTION("""COMPUTED_VALUE"""),44471.0)</f>
        <v>44471</v>
      </c>
      <c r="B2487" s="9">
        <f>IFERROR(__xludf.DUMMYFUNCTION("""COMPUTED_VALUE"""),1003641.0)</f>
        <v>1003641</v>
      </c>
      <c r="C2487" s="9">
        <f>IFERROR(__xludf.DUMMYFUNCTION("""COMPUTED_VALUE"""),29819.0)</f>
        <v>29819</v>
      </c>
      <c r="D2487" s="9"/>
      <c r="E2487" s="9"/>
      <c r="F2487" s="9">
        <f>IFERROR(__xludf.DUMMYFUNCTION("""COMPUTED_VALUE"""),20.14)</f>
        <v>20.14</v>
      </c>
      <c r="G2487" s="9">
        <f>IFERROR(__xludf.DUMMYFUNCTION("""COMPUTED_VALUE"""),20.14)</f>
        <v>20.14</v>
      </c>
      <c r="H2487" s="9">
        <f>IFERROR(__xludf.DUMMYFUNCTION("""COMPUTED_VALUE"""),1.0)</f>
        <v>1</v>
      </c>
      <c r="I2487" s="9"/>
      <c r="J2487" s="9"/>
      <c r="K2487" s="9"/>
      <c r="L2487" s="9"/>
      <c r="M2487" s="9"/>
      <c r="N2487" s="9"/>
      <c r="O2487" s="9"/>
      <c r="P2487" s="9"/>
      <c r="Q2487" s="9"/>
      <c r="R2487" s="9"/>
      <c r="S2487" s="9"/>
      <c r="T2487" s="9"/>
    </row>
    <row r="2488" ht="15.75" customHeight="1">
      <c r="A2488" s="11">
        <f>IFERROR(__xludf.DUMMYFUNCTION("""COMPUTED_VALUE"""),44471.0)</f>
        <v>44471</v>
      </c>
      <c r="B2488" s="9">
        <f>IFERROR(__xludf.DUMMYFUNCTION("""COMPUTED_VALUE"""),1003641.0)</f>
        <v>1003641</v>
      </c>
      <c r="C2488" s="9">
        <f>IFERROR(__xludf.DUMMYFUNCTION("""COMPUTED_VALUE"""),79808.0)</f>
        <v>79808</v>
      </c>
      <c r="D2488" s="9"/>
      <c r="E2488" s="9"/>
      <c r="F2488" s="9">
        <f>IFERROR(__xludf.DUMMYFUNCTION("""COMPUTED_VALUE"""),11.56)</f>
        <v>11.56</v>
      </c>
      <c r="G2488" s="9">
        <f>IFERROR(__xludf.DUMMYFUNCTION("""COMPUTED_VALUE"""),11.56)</f>
        <v>11.56</v>
      </c>
      <c r="H2488" s="9">
        <f>IFERROR(__xludf.DUMMYFUNCTION("""COMPUTED_VALUE"""),2.0)</f>
        <v>2</v>
      </c>
      <c r="I2488" s="9"/>
      <c r="J2488" s="9"/>
      <c r="K2488" s="9"/>
      <c r="L2488" s="9"/>
      <c r="M2488" s="9"/>
      <c r="N2488" s="9"/>
      <c r="O2488" s="9"/>
      <c r="P2488" s="9"/>
      <c r="Q2488" s="9"/>
      <c r="R2488" s="9"/>
      <c r="S2488" s="9"/>
      <c r="T2488" s="9"/>
    </row>
    <row r="2489" ht="15.75" customHeight="1">
      <c r="A2489" s="11">
        <f>IFERROR(__xludf.DUMMYFUNCTION("""COMPUTED_VALUE"""),44471.0)</f>
        <v>44471</v>
      </c>
      <c r="B2489" s="9">
        <f>IFERROR(__xludf.DUMMYFUNCTION("""COMPUTED_VALUE"""),1003641.0)</f>
        <v>1003641</v>
      </c>
      <c r="C2489" s="9">
        <f>IFERROR(__xludf.DUMMYFUNCTION("""COMPUTED_VALUE"""),24074.0)</f>
        <v>24074</v>
      </c>
      <c r="D2489" s="9"/>
      <c r="E2489" s="9"/>
      <c r="F2489" s="9">
        <f>IFERROR(__xludf.DUMMYFUNCTION("""COMPUTED_VALUE"""),41.07)</f>
        <v>41.07</v>
      </c>
      <c r="G2489" s="9">
        <f>IFERROR(__xludf.DUMMYFUNCTION("""COMPUTED_VALUE"""),41.07)</f>
        <v>41.07</v>
      </c>
      <c r="H2489" s="9">
        <f>IFERROR(__xludf.DUMMYFUNCTION("""COMPUTED_VALUE"""),3.0)</f>
        <v>3</v>
      </c>
      <c r="I2489" s="9"/>
      <c r="J2489" s="9"/>
      <c r="K2489" s="9"/>
      <c r="L2489" s="9"/>
      <c r="M2489" s="9"/>
      <c r="N2489" s="9"/>
      <c r="O2489" s="9"/>
      <c r="P2489" s="9"/>
      <c r="Q2489" s="9"/>
      <c r="R2489" s="9"/>
      <c r="S2489" s="9"/>
      <c r="T2489" s="9"/>
    </row>
    <row r="2490" ht="15.75" customHeight="1">
      <c r="A2490" s="11">
        <f>IFERROR(__xludf.DUMMYFUNCTION("""COMPUTED_VALUE"""),44471.0)</f>
        <v>44471</v>
      </c>
      <c r="B2490" s="9">
        <f>IFERROR(__xludf.DUMMYFUNCTION("""COMPUTED_VALUE"""),1003642.0)</f>
        <v>1003642</v>
      </c>
      <c r="C2490" s="9">
        <f>IFERROR(__xludf.DUMMYFUNCTION("""COMPUTED_VALUE"""),29022.0)</f>
        <v>29022</v>
      </c>
      <c r="D2490" s="9"/>
      <c r="E2490" s="10" t="str">
        <f>IFERROR(__xludf.DUMMYFUNCTION("""COMPUTED_VALUE"""),"GREENRELAIS")</f>
        <v>GREENRELAIS</v>
      </c>
      <c r="F2490" s="10">
        <f>IFERROR(__xludf.DUMMYFUNCTION("""COMPUTED_VALUE"""),4.0)</f>
        <v>4</v>
      </c>
      <c r="G2490" s="9">
        <f>IFERROR(__xludf.DUMMYFUNCTION("""COMPUTED_VALUE"""),4.0)</f>
        <v>4</v>
      </c>
      <c r="H2490" s="9">
        <f>IFERROR(__xludf.DUMMYFUNCTION("""COMPUTED_VALUE"""),1.0)</f>
        <v>1</v>
      </c>
      <c r="I2490" s="9"/>
      <c r="J2490" s="9"/>
      <c r="K2490" s="9"/>
      <c r="L2490" s="9"/>
      <c r="M2490" s="9"/>
      <c r="N2490" s="9"/>
      <c r="O2490" s="9"/>
      <c r="P2490" s="9"/>
      <c r="Q2490" s="9"/>
      <c r="R2490" s="9"/>
      <c r="S2490" s="9"/>
      <c r="T2490" s="9"/>
    </row>
    <row r="2491" ht="15.75" customHeight="1">
      <c r="A2491" s="11">
        <f>IFERROR(__xludf.DUMMYFUNCTION("""COMPUTED_VALUE"""),44471.0)</f>
        <v>44471</v>
      </c>
      <c r="B2491" s="9">
        <f>IFERROR(__xludf.DUMMYFUNCTION("""COMPUTED_VALUE"""),1003642.0)</f>
        <v>1003642</v>
      </c>
      <c r="C2491" s="9">
        <f>IFERROR(__xludf.DUMMYFUNCTION("""COMPUTED_VALUE"""),12047.0)</f>
        <v>12047</v>
      </c>
      <c r="D2491" s="9"/>
      <c r="E2491" s="10" t="str">
        <f>IFERROR(__xludf.DUMMYFUNCTION("""COMPUTED_VALUE"""),"GREENRELAIS")</f>
        <v>GREENRELAIS</v>
      </c>
      <c r="F2491" s="10">
        <f>IFERROR(__xludf.DUMMYFUNCTION("""COMPUTED_VALUE"""),1.25)</f>
        <v>1.25</v>
      </c>
      <c r="G2491" s="9">
        <f>IFERROR(__xludf.DUMMYFUNCTION("""COMPUTED_VALUE"""),1.25)</f>
        <v>1.25</v>
      </c>
      <c r="H2491" s="9">
        <f>IFERROR(__xludf.DUMMYFUNCTION("""COMPUTED_VALUE"""),1.0)</f>
        <v>1</v>
      </c>
      <c r="I2491" s="9"/>
      <c r="J2491" s="9"/>
      <c r="K2491" s="9"/>
      <c r="L2491" s="9"/>
      <c r="M2491" s="9"/>
      <c r="N2491" s="9"/>
      <c r="O2491" s="9"/>
      <c r="P2491" s="9"/>
      <c r="Q2491" s="9"/>
      <c r="R2491" s="9"/>
      <c r="S2491" s="9"/>
      <c r="T2491" s="9"/>
    </row>
    <row r="2492" ht="15.75" customHeight="1">
      <c r="A2492" s="11">
        <f>IFERROR(__xludf.DUMMYFUNCTION("""COMPUTED_VALUE"""),44471.0)</f>
        <v>44471</v>
      </c>
      <c r="B2492" s="9">
        <f>IFERROR(__xludf.DUMMYFUNCTION("""COMPUTED_VALUE"""),1003642.0)</f>
        <v>1003642</v>
      </c>
      <c r="C2492" s="9">
        <f>IFERROR(__xludf.DUMMYFUNCTION("""COMPUTED_VALUE"""),95063.0)</f>
        <v>95063</v>
      </c>
      <c r="D2492" s="10" t="str">
        <f>IFERROR(__xludf.DUMMYFUNCTION("""COMPUTED_VALUE"""),"Offre Speciale")</f>
        <v>Offre Speciale</v>
      </c>
      <c r="E2492" s="10" t="str">
        <f>IFERROR(__xludf.DUMMYFUNCTION("""COMPUTED_VALUE"""),"GREENRELAIS")</f>
        <v>GREENRELAIS</v>
      </c>
      <c r="F2492" s="10">
        <f>IFERROR(__xludf.DUMMYFUNCTION("""COMPUTED_VALUE"""),3.37647058823529)</f>
        <v>3.376470588</v>
      </c>
      <c r="G2492" s="9">
        <f>IFERROR(__xludf.DUMMYFUNCTION("""COMPUTED_VALUE"""),2.87)</f>
        <v>2.87</v>
      </c>
      <c r="H2492" s="9">
        <f>IFERROR(__xludf.DUMMYFUNCTION("""COMPUTED_VALUE"""),1.0)</f>
        <v>1</v>
      </c>
      <c r="I2492" s="9"/>
      <c r="J2492" s="9"/>
      <c r="K2492" s="9"/>
      <c r="L2492" s="9"/>
      <c r="M2492" s="9"/>
      <c r="N2492" s="9"/>
      <c r="O2492" s="9"/>
      <c r="P2492" s="9"/>
      <c r="Q2492" s="9"/>
      <c r="R2492" s="9"/>
      <c r="S2492" s="9"/>
      <c r="T2492" s="9"/>
    </row>
    <row r="2493" ht="15.75" customHeight="1">
      <c r="A2493" s="11">
        <f>IFERROR(__xludf.DUMMYFUNCTION("""COMPUTED_VALUE"""),44471.0)</f>
        <v>44471</v>
      </c>
      <c r="B2493" s="9">
        <f>IFERROR(__xludf.DUMMYFUNCTION("""COMPUTED_VALUE"""),1003642.0)</f>
        <v>1003642</v>
      </c>
      <c r="C2493" s="9">
        <f>IFERROR(__xludf.DUMMYFUNCTION("""COMPUTED_VALUE"""),111734.0)</f>
        <v>111734</v>
      </c>
      <c r="D2493" s="9"/>
      <c r="E2493" s="10" t="str">
        <f>IFERROR(__xludf.DUMMYFUNCTION("""COMPUTED_VALUE"""),"GREENRELAIS")</f>
        <v>GREENRELAIS</v>
      </c>
      <c r="F2493" s="10">
        <f>IFERROR(__xludf.DUMMYFUNCTION("""COMPUTED_VALUE"""),5.01)</f>
        <v>5.01</v>
      </c>
      <c r="G2493" s="9">
        <f>IFERROR(__xludf.DUMMYFUNCTION("""COMPUTED_VALUE"""),5.01)</f>
        <v>5.01</v>
      </c>
      <c r="H2493" s="9">
        <f>IFERROR(__xludf.DUMMYFUNCTION("""COMPUTED_VALUE"""),1.0)</f>
        <v>1</v>
      </c>
      <c r="I2493" s="9"/>
      <c r="J2493" s="9"/>
      <c r="K2493" s="9"/>
      <c r="L2493" s="9"/>
      <c r="M2493" s="9"/>
      <c r="N2493" s="9"/>
      <c r="O2493" s="9"/>
      <c r="P2493" s="9"/>
      <c r="Q2493" s="9"/>
      <c r="R2493" s="9"/>
      <c r="S2493" s="9"/>
      <c r="T2493" s="9"/>
    </row>
    <row r="2494" ht="15.75" customHeight="1">
      <c r="A2494" s="11">
        <f>IFERROR(__xludf.DUMMYFUNCTION("""COMPUTED_VALUE"""),44471.0)</f>
        <v>44471</v>
      </c>
      <c r="B2494" s="9">
        <f>IFERROR(__xludf.DUMMYFUNCTION("""COMPUTED_VALUE"""),1003642.0)</f>
        <v>1003642</v>
      </c>
      <c r="C2494" s="9">
        <f>IFERROR(__xludf.DUMMYFUNCTION("""COMPUTED_VALUE"""),76046.0)</f>
        <v>76046</v>
      </c>
      <c r="D2494" s="10" t="str">
        <f>IFERROR(__xludf.DUMMYFUNCTION("""COMPUTED_VALUE"""),"Vive le bio")</f>
        <v>Vive le bio</v>
      </c>
      <c r="E2494" s="10" t="str">
        <f>IFERROR(__xludf.DUMMYFUNCTION("""COMPUTED_VALUE"""),"GREENRELAIS")</f>
        <v>GREENRELAIS</v>
      </c>
      <c r="F2494" s="10">
        <f>IFERROR(__xludf.DUMMYFUNCTION("""COMPUTED_VALUE"""),8.53333333333333)</f>
        <v>8.533333333</v>
      </c>
      <c r="G2494" s="9">
        <f>IFERROR(__xludf.DUMMYFUNCTION("""COMPUTED_VALUE"""),7.68)</f>
        <v>7.68</v>
      </c>
      <c r="H2494" s="9">
        <f>IFERROR(__xludf.DUMMYFUNCTION("""COMPUTED_VALUE"""),1.0)</f>
        <v>1</v>
      </c>
      <c r="I2494" s="9"/>
      <c r="J2494" s="9"/>
      <c r="K2494" s="9"/>
      <c r="L2494" s="9"/>
      <c r="M2494" s="9"/>
      <c r="N2494" s="9"/>
      <c r="O2494" s="9"/>
      <c r="P2494" s="9"/>
      <c r="Q2494" s="9"/>
      <c r="R2494" s="9"/>
      <c r="S2494" s="9"/>
      <c r="T2494" s="9"/>
    </row>
    <row r="2495" ht="15.75" customHeight="1">
      <c r="A2495" s="11">
        <f>IFERROR(__xludf.DUMMYFUNCTION("""COMPUTED_VALUE"""),44471.0)</f>
        <v>44471</v>
      </c>
      <c r="B2495" s="9">
        <f>IFERROR(__xludf.DUMMYFUNCTION("""COMPUTED_VALUE"""),1003642.0)</f>
        <v>1003642</v>
      </c>
      <c r="C2495" s="9">
        <f>IFERROR(__xludf.DUMMYFUNCTION("""COMPUTED_VALUE"""),109310.0)</f>
        <v>109310</v>
      </c>
      <c r="D2495" s="9"/>
      <c r="E2495" s="10" t="str">
        <f>IFERROR(__xludf.DUMMYFUNCTION("""COMPUTED_VALUE"""),"GREENRELAIS")</f>
        <v>GREENRELAIS</v>
      </c>
      <c r="F2495" s="10">
        <f>IFERROR(__xludf.DUMMYFUNCTION("""COMPUTED_VALUE"""),6.27)</f>
        <v>6.27</v>
      </c>
      <c r="G2495" s="9">
        <f>IFERROR(__xludf.DUMMYFUNCTION("""COMPUTED_VALUE"""),6.27)</f>
        <v>6.27</v>
      </c>
      <c r="H2495" s="9">
        <f>IFERROR(__xludf.DUMMYFUNCTION("""COMPUTED_VALUE"""),1.0)</f>
        <v>1</v>
      </c>
      <c r="I2495" s="9"/>
      <c r="J2495" s="9"/>
      <c r="K2495" s="9"/>
      <c r="L2495" s="9"/>
      <c r="M2495" s="9"/>
      <c r="N2495" s="9"/>
      <c r="O2495" s="9"/>
      <c r="P2495" s="9"/>
      <c r="Q2495" s="9"/>
      <c r="R2495" s="9"/>
      <c r="S2495" s="9"/>
      <c r="T2495" s="9"/>
    </row>
    <row r="2496" ht="15.75" customHeight="1">
      <c r="A2496" s="11">
        <f>IFERROR(__xludf.DUMMYFUNCTION("""COMPUTED_VALUE"""),44471.0)</f>
        <v>44471</v>
      </c>
      <c r="B2496" s="9">
        <f>IFERROR(__xludf.DUMMYFUNCTION("""COMPUTED_VALUE"""),1003642.0)</f>
        <v>1003642</v>
      </c>
      <c r="C2496" s="9">
        <f>IFERROR(__xludf.DUMMYFUNCTION("""COMPUTED_VALUE"""),6045.0)</f>
        <v>6045</v>
      </c>
      <c r="D2496" s="9"/>
      <c r="E2496" s="10" t="str">
        <f>IFERROR(__xludf.DUMMYFUNCTION("""COMPUTED_VALUE"""),"GREENRELAIS")</f>
        <v>GREENRELAIS</v>
      </c>
      <c r="F2496" s="10">
        <f>IFERROR(__xludf.DUMMYFUNCTION("""COMPUTED_VALUE"""),6.52)</f>
        <v>6.52</v>
      </c>
      <c r="G2496" s="9">
        <f>IFERROR(__xludf.DUMMYFUNCTION("""COMPUTED_VALUE"""),6.52)</f>
        <v>6.52</v>
      </c>
      <c r="H2496" s="9">
        <f>IFERROR(__xludf.DUMMYFUNCTION("""COMPUTED_VALUE"""),1.0)</f>
        <v>1</v>
      </c>
      <c r="I2496" s="9"/>
      <c r="J2496" s="9"/>
      <c r="K2496" s="9"/>
      <c r="L2496" s="9"/>
      <c r="M2496" s="9"/>
      <c r="N2496" s="9"/>
      <c r="O2496" s="9"/>
      <c r="P2496" s="9"/>
      <c r="Q2496" s="9"/>
      <c r="R2496" s="9"/>
      <c r="S2496" s="9"/>
      <c r="T2496" s="9"/>
    </row>
    <row r="2497" ht="15.75" customHeight="1">
      <c r="A2497" s="11">
        <f>IFERROR(__xludf.DUMMYFUNCTION("""COMPUTED_VALUE"""),44471.0)</f>
        <v>44471</v>
      </c>
      <c r="B2497" s="9">
        <f>IFERROR(__xludf.DUMMYFUNCTION("""COMPUTED_VALUE"""),1003642.0)</f>
        <v>1003642</v>
      </c>
      <c r="C2497" s="9">
        <f>IFERROR(__xludf.DUMMYFUNCTION("""COMPUTED_VALUE"""),26276.0)</f>
        <v>26276</v>
      </c>
      <c r="D2497" s="10" t="str">
        <f>IFERROR(__xludf.DUMMYFUNCTION("""COMPUTED_VALUE"""),"Offre speciale")</f>
        <v>Offre speciale</v>
      </c>
      <c r="E2497" s="10" t="str">
        <f>IFERROR(__xludf.DUMMYFUNCTION("""COMPUTED_VALUE"""),"GREENRELAIS")</f>
        <v>GREENRELAIS</v>
      </c>
      <c r="F2497" s="10">
        <f>IFERROR(__xludf.DUMMYFUNCTION("""COMPUTED_VALUE"""),3.84444444444444)</f>
        <v>3.844444444</v>
      </c>
      <c r="G2497" s="9">
        <f>IFERROR(__xludf.DUMMYFUNCTION("""COMPUTED_VALUE"""),3.46)</f>
        <v>3.46</v>
      </c>
      <c r="H2497" s="9">
        <f>IFERROR(__xludf.DUMMYFUNCTION("""COMPUTED_VALUE"""),1.0)</f>
        <v>1</v>
      </c>
      <c r="I2497" s="9"/>
      <c r="J2497" s="9"/>
      <c r="K2497" s="9"/>
      <c r="L2497" s="9"/>
      <c r="M2497" s="9"/>
      <c r="N2497" s="9"/>
      <c r="O2497" s="9"/>
      <c r="P2497" s="9"/>
      <c r="Q2497" s="9"/>
      <c r="R2497" s="9"/>
      <c r="S2497" s="9"/>
      <c r="T2497" s="9"/>
    </row>
    <row r="2498" ht="15.75" customHeight="1">
      <c r="A2498" s="11">
        <f>IFERROR(__xludf.DUMMYFUNCTION("""COMPUTED_VALUE"""),44471.0)</f>
        <v>44471</v>
      </c>
      <c r="B2498" s="9">
        <f>IFERROR(__xludf.DUMMYFUNCTION("""COMPUTED_VALUE"""),1003642.0)</f>
        <v>1003642</v>
      </c>
      <c r="C2498" s="9">
        <f>IFERROR(__xludf.DUMMYFUNCTION("""COMPUTED_VALUE"""),72131.0)</f>
        <v>72131</v>
      </c>
      <c r="D2498" s="9"/>
      <c r="E2498" s="10" t="str">
        <f>IFERROR(__xludf.DUMMYFUNCTION("""COMPUTED_VALUE"""),"GREENRELAIS")</f>
        <v>GREENRELAIS</v>
      </c>
      <c r="F2498" s="10">
        <f>IFERROR(__xludf.DUMMYFUNCTION("""COMPUTED_VALUE"""),1.26)</f>
        <v>1.26</v>
      </c>
      <c r="G2498" s="9">
        <f>IFERROR(__xludf.DUMMYFUNCTION("""COMPUTED_VALUE"""),1.26)</f>
        <v>1.26</v>
      </c>
      <c r="H2498" s="9">
        <f>IFERROR(__xludf.DUMMYFUNCTION("""COMPUTED_VALUE"""),1.0)</f>
        <v>1</v>
      </c>
      <c r="I2498" s="9"/>
      <c r="J2498" s="9"/>
      <c r="K2498" s="9"/>
      <c r="L2498" s="9"/>
      <c r="M2498" s="9"/>
      <c r="N2498" s="9"/>
      <c r="O2498" s="9"/>
      <c r="P2498" s="9"/>
      <c r="Q2498" s="9"/>
      <c r="R2498" s="9"/>
      <c r="S2498" s="9"/>
      <c r="T2498" s="9"/>
    </row>
    <row r="2499" ht="15.75" customHeight="1">
      <c r="A2499" s="11">
        <f>IFERROR(__xludf.DUMMYFUNCTION("""COMPUTED_VALUE"""),44471.0)</f>
        <v>44471</v>
      </c>
      <c r="B2499" s="9">
        <f>IFERROR(__xludf.DUMMYFUNCTION("""COMPUTED_VALUE"""),1003642.0)</f>
        <v>1003642</v>
      </c>
      <c r="C2499" s="9">
        <f>IFERROR(__xludf.DUMMYFUNCTION("""COMPUTED_VALUE"""),129452.0)</f>
        <v>129452</v>
      </c>
      <c r="D2499" s="9"/>
      <c r="E2499" s="10" t="str">
        <f>IFERROR(__xludf.DUMMYFUNCTION("""COMPUTED_VALUE"""),"GREENRELAIS")</f>
        <v>GREENRELAIS</v>
      </c>
      <c r="F2499" s="10">
        <f>IFERROR(__xludf.DUMMYFUNCTION("""COMPUTED_VALUE"""),4.05)</f>
        <v>4.05</v>
      </c>
      <c r="G2499" s="9">
        <f>IFERROR(__xludf.DUMMYFUNCTION("""COMPUTED_VALUE"""),4.05)</f>
        <v>4.05</v>
      </c>
      <c r="H2499" s="9">
        <f>IFERROR(__xludf.DUMMYFUNCTION("""COMPUTED_VALUE"""),1.0)</f>
        <v>1</v>
      </c>
      <c r="I2499" s="9"/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</row>
    <row r="2500" ht="15.75" customHeight="1">
      <c r="A2500" s="11">
        <f>IFERROR(__xludf.DUMMYFUNCTION("""COMPUTED_VALUE"""),44471.0)</f>
        <v>44471</v>
      </c>
      <c r="B2500" s="9">
        <f>IFERROR(__xludf.DUMMYFUNCTION("""COMPUTED_VALUE"""),1003642.0)</f>
        <v>1003642</v>
      </c>
      <c r="C2500" s="9">
        <f>IFERROR(__xludf.DUMMYFUNCTION("""COMPUTED_VALUE"""),44117.0)</f>
        <v>44117</v>
      </c>
      <c r="D2500" s="9"/>
      <c r="E2500" s="10" t="str">
        <f>IFERROR(__xludf.DUMMYFUNCTION("""COMPUTED_VALUE"""),"GREENRELAIS")</f>
        <v>GREENRELAIS</v>
      </c>
      <c r="F2500" s="10">
        <f>IFERROR(__xludf.DUMMYFUNCTION("""COMPUTED_VALUE"""),1.2)</f>
        <v>1.2</v>
      </c>
      <c r="G2500" s="9">
        <f>IFERROR(__xludf.DUMMYFUNCTION("""COMPUTED_VALUE"""),1.2)</f>
        <v>1.2</v>
      </c>
      <c r="H2500" s="9">
        <f>IFERROR(__xludf.DUMMYFUNCTION("""COMPUTED_VALUE"""),1.0)</f>
        <v>1</v>
      </c>
      <c r="I2500" s="9"/>
      <c r="J2500" s="9"/>
      <c r="K2500" s="9"/>
      <c r="L2500" s="9"/>
      <c r="M2500" s="9"/>
      <c r="N2500" s="9"/>
      <c r="O2500" s="9"/>
      <c r="P2500" s="9"/>
      <c r="Q2500" s="9"/>
      <c r="R2500" s="9"/>
      <c r="S2500" s="9"/>
      <c r="T2500" s="9"/>
    </row>
    <row r="2501" ht="15.75" customHeight="1">
      <c r="A2501" s="11">
        <f>IFERROR(__xludf.DUMMYFUNCTION("""COMPUTED_VALUE"""),44471.0)</f>
        <v>44471</v>
      </c>
      <c r="B2501" s="9">
        <f>IFERROR(__xludf.DUMMYFUNCTION("""COMPUTED_VALUE"""),1003642.0)</f>
        <v>1003642</v>
      </c>
      <c r="C2501" s="9">
        <f>IFERROR(__xludf.DUMMYFUNCTION("""COMPUTED_VALUE"""),85252.0)</f>
        <v>85252</v>
      </c>
      <c r="D2501" s="10" t="str">
        <f>IFERROR(__xludf.DUMMYFUNCTION("""COMPUTED_VALUE"""),"Vive le bio")</f>
        <v>Vive le bio</v>
      </c>
      <c r="E2501" s="10" t="str">
        <f>IFERROR(__xludf.DUMMYFUNCTION("""COMPUTED_VALUE"""),"GREENRELAIS")</f>
        <v>GREENRELAIS</v>
      </c>
      <c r="F2501" s="10">
        <f>IFERROR(__xludf.DUMMYFUNCTION("""COMPUTED_VALUE"""),24.8888888888888)</f>
        <v>24.88888889</v>
      </c>
      <c r="G2501" s="9">
        <f>IFERROR(__xludf.DUMMYFUNCTION("""COMPUTED_VALUE"""),22.4)</f>
        <v>22.4</v>
      </c>
      <c r="H2501" s="9">
        <f>IFERROR(__xludf.DUMMYFUNCTION("""COMPUTED_VALUE"""),1.0)</f>
        <v>1</v>
      </c>
      <c r="I2501" s="9"/>
      <c r="J2501" s="9"/>
      <c r="K2501" s="9"/>
      <c r="L2501" s="9"/>
      <c r="M2501" s="9"/>
      <c r="N2501" s="9"/>
      <c r="O2501" s="9"/>
      <c r="P2501" s="9"/>
      <c r="Q2501" s="9"/>
      <c r="R2501" s="9"/>
      <c r="S2501" s="9"/>
      <c r="T2501" s="9"/>
    </row>
    <row r="2502" ht="15.75" customHeight="1">
      <c r="A2502" s="11">
        <f>IFERROR(__xludf.DUMMYFUNCTION("""COMPUTED_VALUE"""),44471.0)</f>
        <v>44471</v>
      </c>
      <c r="B2502" s="9">
        <f>IFERROR(__xludf.DUMMYFUNCTION("""COMPUTED_VALUE"""),1003642.0)</f>
        <v>1003642</v>
      </c>
      <c r="C2502" s="9">
        <f>IFERROR(__xludf.DUMMYFUNCTION("""COMPUTED_VALUE"""),89633.0)</f>
        <v>89633</v>
      </c>
      <c r="D2502" s="10" t="str">
        <f>IFERROR(__xludf.DUMMYFUNCTION("""COMPUTED_VALUE"""),"Offre speciale")</f>
        <v>Offre speciale</v>
      </c>
      <c r="E2502" s="10" t="str">
        <f>IFERROR(__xludf.DUMMYFUNCTION("""COMPUTED_VALUE"""),"GREENRELAIS")</f>
        <v>GREENRELAIS</v>
      </c>
      <c r="F2502" s="10">
        <f>IFERROR(__xludf.DUMMYFUNCTION("""COMPUTED_VALUE"""),1.71739130434782)</f>
        <v>1.717391304</v>
      </c>
      <c r="G2502" s="9">
        <f>IFERROR(__xludf.DUMMYFUNCTION("""COMPUTED_VALUE"""),1.58)</f>
        <v>1.58</v>
      </c>
      <c r="H2502" s="9">
        <f>IFERROR(__xludf.DUMMYFUNCTION("""COMPUTED_VALUE"""),1.0)</f>
        <v>1</v>
      </c>
      <c r="I2502" s="9"/>
      <c r="J2502" s="9"/>
      <c r="K2502" s="9"/>
      <c r="L2502" s="9"/>
      <c r="M2502" s="9"/>
      <c r="N2502" s="9"/>
      <c r="O2502" s="9"/>
      <c r="P2502" s="9"/>
      <c r="Q2502" s="9"/>
      <c r="R2502" s="9"/>
      <c r="S2502" s="9"/>
      <c r="T2502" s="9"/>
    </row>
    <row r="2503" ht="15.75" customHeight="1">
      <c r="A2503" s="11">
        <f>IFERROR(__xludf.DUMMYFUNCTION("""COMPUTED_VALUE"""),44471.0)</f>
        <v>44471</v>
      </c>
      <c r="B2503" s="9">
        <f>IFERROR(__xludf.DUMMYFUNCTION("""COMPUTED_VALUE"""),1003642.0)</f>
        <v>1003642</v>
      </c>
      <c r="C2503" s="9">
        <f>IFERROR(__xludf.DUMMYFUNCTION("""COMPUTED_VALUE"""),75825.0)</f>
        <v>75825</v>
      </c>
      <c r="D2503" s="9"/>
      <c r="E2503" s="10" t="str">
        <f>IFERROR(__xludf.DUMMYFUNCTION("""COMPUTED_VALUE"""),"GREENRELAIS")</f>
        <v>GREENRELAIS</v>
      </c>
      <c r="F2503" s="10">
        <f>IFERROR(__xludf.DUMMYFUNCTION("""COMPUTED_VALUE"""),8.12)</f>
        <v>8.12</v>
      </c>
      <c r="G2503" s="9">
        <f>IFERROR(__xludf.DUMMYFUNCTION("""COMPUTED_VALUE"""),8.12)</f>
        <v>8.12</v>
      </c>
      <c r="H2503" s="9">
        <f>IFERROR(__xludf.DUMMYFUNCTION("""COMPUTED_VALUE"""),1.0)</f>
        <v>1</v>
      </c>
      <c r="I2503" s="9"/>
      <c r="J2503" s="9"/>
      <c r="K2503" s="9"/>
      <c r="L2503" s="9"/>
      <c r="M2503" s="9"/>
      <c r="N2503" s="9"/>
      <c r="O2503" s="9"/>
      <c r="P2503" s="9"/>
      <c r="Q2503" s="9"/>
      <c r="R2503" s="9"/>
      <c r="S2503" s="9"/>
      <c r="T2503" s="9"/>
    </row>
    <row r="2504" ht="15.75" customHeight="1">
      <c r="A2504" s="11">
        <f>IFERROR(__xludf.DUMMYFUNCTION("""COMPUTED_VALUE"""),44471.0)</f>
        <v>44471</v>
      </c>
      <c r="B2504" s="9">
        <f>IFERROR(__xludf.DUMMYFUNCTION("""COMPUTED_VALUE"""),1003642.0)</f>
        <v>1003642</v>
      </c>
      <c r="C2504" s="9">
        <f>IFERROR(__xludf.DUMMYFUNCTION("""COMPUTED_VALUE"""),7829.0)</f>
        <v>7829</v>
      </c>
      <c r="D2504" s="9"/>
      <c r="E2504" s="10" t="str">
        <f>IFERROR(__xludf.DUMMYFUNCTION("""COMPUTED_VALUE"""),"GREENRELAIS")</f>
        <v>GREENRELAIS</v>
      </c>
      <c r="F2504" s="10">
        <f>IFERROR(__xludf.DUMMYFUNCTION("""COMPUTED_VALUE"""),15.64)</f>
        <v>15.64</v>
      </c>
      <c r="G2504" s="9">
        <f>IFERROR(__xludf.DUMMYFUNCTION("""COMPUTED_VALUE"""),15.64)</f>
        <v>15.64</v>
      </c>
      <c r="H2504" s="9">
        <f>IFERROR(__xludf.DUMMYFUNCTION("""COMPUTED_VALUE"""),1.0)</f>
        <v>1</v>
      </c>
      <c r="I2504" s="9"/>
      <c r="J2504" s="9"/>
      <c r="K2504" s="9"/>
      <c r="L2504" s="9"/>
      <c r="M2504" s="9"/>
      <c r="N2504" s="9"/>
      <c r="O2504" s="9"/>
      <c r="P2504" s="9"/>
      <c r="Q2504" s="9"/>
      <c r="R2504" s="9"/>
      <c r="S2504" s="9"/>
      <c r="T2504" s="9"/>
    </row>
    <row r="2505" ht="15.75" customHeight="1">
      <c r="A2505" s="11">
        <f>IFERROR(__xludf.DUMMYFUNCTION("""COMPUTED_VALUE"""),44471.0)</f>
        <v>44471</v>
      </c>
      <c r="B2505" s="9">
        <f>IFERROR(__xludf.DUMMYFUNCTION("""COMPUTED_VALUE"""),1003642.0)</f>
        <v>1003642</v>
      </c>
      <c r="C2505" s="9">
        <f>IFERROR(__xludf.DUMMYFUNCTION("""COMPUTED_VALUE"""),76584.0)</f>
        <v>76584</v>
      </c>
      <c r="D2505" s="9"/>
      <c r="E2505" s="10" t="str">
        <f>IFERROR(__xludf.DUMMYFUNCTION("""COMPUTED_VALUE"""),"GREENRELAIS")</f>
        <v>GREENRELAIS</v>
      </c>
      <c r="F2505" s="10">
        <f>IFERROR(__xludf.DUMMYFUNCTION("""COMPUTED_VALUE"""),1.83)</f>
        <v>1.83</v>
      </c>
      <c r="G2505" s="9">
        <f>IFERROR(__xludf.DUMMYFUNCTION("""COMPUTED_VALUE"""),1.83)</f>
        <v>1.83</v>
      </c>
      <c r="H2505" s="9">
        <f>IFERROR(__xludf.DUMMYFUNCTION("""COMPUTED_VALUE"""),1.0)</f>
        <v>1</v>
      </c>
      <c r="I2505" s="9"/>
      <c r="J2505" s="9"/>
      <c r="K2505" s="9"/>
      <c r="L2505" s="9"/>
      <c r="M2505" s="9"/>
      <c r="N2505" s="9"/>
      <c r="O2505" s="9"/>
      <c r="P2505" s="9"/>
      <c r="Q2505" s="9"/>
      <c r="R2505" s="9"/>
      <c r="S2505" s="9"/>
      <c r="T2505" s="9"/>
    </row>
    <row r="2506" ht="15.75" customHeight="1">
      <c r="A2506" s="11">
        <f>IFERROR(__xludf.DUMMYFUNCTION("""COMPUTED_VALUE"""),44471.0)</f>
        <v>44471</v>
      </c>
      <c r="B2506" s="9">
        <f>IFERROR(__xludf.DUMMYFUNCTION("""COMPUTED_VALUE"""),1003642.0)</f>
        <v>1003642</v>
      </c>
      <c r="C2506" s="9">
        <f>IFERROR(__xludf.DUMMYFUNCTION("""COMPUTED_VALUE"""),76455.0)</f>
        <v>76455</v>
      </c>
      <c r="D2506" s="9"/>
      <c r="E2506" s="10" t="str">
        <f>IFERROR(__xludf.DUMMYFUNCTION("""COMPUTED_VALUE"""),"GREENRELAIS")</f>
        <v>GREENRELAIS</v>
      </c>
      <c r="F2506" s="10">
        <f>IFERROR(__xludf.DUMMYFUNCTION("""COMPUTED_VALUE"""),2.17)</f>
        <v>2.17</v>
      </c>
      <c r="G2506" s="9">
        <f>IFERROR(__xludf.DUMMYFUNCTION("""COMPUTED_VALUE"""),2.17)</f>
        <v>2.17</v>
      </c>
      <c r="H2506" s="9">
        <f>IFERROR(__xludf.DUMMYFUNCTION("""COMPUTED_VALUE"""),1.0)</f>
        <v>1</v>
      </c>
      <c r="I2506" s="9"/>
      <c r="J2506" s="9"/>
      <c r="K2506" s="9"/>
      <c r="L2506" s="9"/>
      <c r="M2506" s="9"/>
      <c r="N2506" s="9"/>
      <c r="O2506" s="9"/>
      <c r="P2506" s="9"/>
      <c r="Q2506" s="9"/>
      <c r="R2506" s="9"/>
      <c r="S2506" s="9"/>
      <c r="T2506" s="9"/>
    </row>
    <row r="2507" ht="15.75" customHeight="1">
      <c r="A2507" s="11">
        <f>IFERROR(__xludf.DUMMYFUNCTION("""COMPUTED_VALUE"""),44471.0)</f>
        <v>44471</v>
      </c>
      <c r="B2507" s="9">
        <f>IFERROR(__xludf.DUMMYFUNCTION("""COMPUTED_VALUE"""),1003642.0)</f>
        <v>1003642</v>
      </c>
      <c r="C2507" s="9">
        <f>IFERROR(__xludf.DUMMYFUNCTION("""COMPUTED_VALUE"""),121576.0)</f>
        <v>121576</v>
      </c>
      <c r="D2507" s="9"/>
      <c r="E2507" s="10" t="str">
        <f>IFERROR(__xludf.DUMMYFUNCTION("""COMPUTED_VALUE"""),"GREENRELAIS")</f>
        <v>GREENRELAIS</v>
      </c>
      <c r="F2507" s="10">
        <f>IFERROR(__xludf.DUMMYFUNCTION("""COMPUTED_VALUE"""),7.34)</f>
        <v>7.34</v>
      </c>
      <c r="G2507" s="9">
        <f>IFERROR(__xludf.DUMMYFUNCTION("""COMPUTED_VALUE"""),7.34)</f>
        <v>7.34</v>
      </c>
      <c r="H2507" s="9">
        <f>IFERROR(__xludf.DUMMYFUNCTION("""COMPUTED_VALUE"""),1.0)</f>
        <v>1</v>
      </c>
      <c r="I2507" s="9"/>
      <c r="J2507" s="9"/>
      <c r="K2507" s="9"/>
      <c r="L2507" s="9"/>
      <c r="M2507" s="9"/>
      <c r="N2507" s="9"/>
      <c r="O2507" s="9"/>
      <c r="P2507" s="9"/>
      <c r="Q2507" s="9"/>
      <c r="R2507" s="9"/>
      <c r="S2507" s="9"/>
      <c r="T2507" s="9"/>
    </row>
    <row r="2508" ht="15.75" customHeight="1">
      <c r="A2508" s="11">
        <f>IFERROR(__xludf.DUMMYFUNCTION("""COMPUTED_VALUE"""),44471.0)</f>
        <v>44471</v>
      </c>
      <c r="B2508" s="9">
        <f>IFERROR(__xludf.DUMMYFUNCTION("""COMPUTED_VALUE"""),1003642.0)</f>
        <v>1003642</v>
      </c>
      <c r="C2508" s="9">
        <f>IFERROR(__xludf.DUMMYFUNCTION("""COMPUTED_VALUE"""),113946.0)</f>
        <v>113946</v>
      </c>
      <c r="D2508" s="10" t="str">
        <f>IFERROR(__xludf.DUMMYFUNCTION("""COMPUTED_VALUE"""),"Offre speciale")</f>
        <v>Offre speciale</v>
      </c>
      <c r="E2508" s="10" t="str">
        <f>IFERROR(__xludf.DUMMYFUNCTION("""COMPUTED_VALUE"""),"GREENRELAIS")</f>
        <v>GREENRELAIS</v>
      </c>
      <c r="F2508" s="10">
        <f>IFERROR(__xludf.DUMMYFUNCTION("""COMPUTED_VALUE"""),3.17647058823529)</f>
        <v>3.176470588</v>
      </c>
      <c r="G2508" s="9">
        <f>IFERROR(__xludf.DUMMYFUNCTION("""COMPUTED_VALUE"""),2.7)</f>
        <v>2.7</v>
      </c>
      <c r="H2508" s="9">
        <f>IFERROR(__xludf.DUMMYFUNCTION("""COMPUTED_VALUE"""),1.0)</f>
        <v>1</v>
      </c>
      <c r="I2508" s="9"/>
      <c r="J2508" s="9"/>
      <c r="K2508" s="9"/>
      <c r="L2508" s="9"/>
      <c r="M2508" s="9"/>
      <c r="N2508" s="9"/>
      <c r="O2508" s="9"/>
      <c r="P2508" s="9"/>
      <c r="Q2508" s="9"/>
      <c r="R2508" s="9"/>
      <c r="S2508" s="9"/>
      <c r="T2508" s="9"/>
    </row>
    <row r="2509" ht="15.75" customHeight="1">
      <c r="A2509" s="11">
        <f>IFERROR(__xludf.DUMMYFUNCTION("""COMPUTED_VALUE"""),44471.0)</f>
        <v>44471</v>
      </c>
      <c r="B2509" s="9">
        <f>IFERROR(__xludf.DUMMYFUNCTION("""COMPUTED_VALUE"""),1003642.0)</f>
        <v>1003642</v>
      </c>
      <c r="C2509" s="9">
        <f>IFERROR(__xludf.DUMMYFUNCTION("""COMPUTED_VALUE"""),129474.0)</f>
        <v>129474</v>
      </c>
      <c r="D2509" s="9"/>
      <c r="E2509" s="10" t="str">
        <f>IFERROR(__xludf.DUMMYFUNCTION("""COMPUTED_VALUE"""),"GREENRELAIS")</f>
        <v>GREENRELAIS</v>
      </c>
      <c r="F2509" s="10">
        <f>IFERROR(__xludf.DUMMYFUNCTION("""COMPUTED_VALUE"""),9.47)</f>
        <v>9.47</v>
      </c>
      <c r="G2509" s="9">
        <f>IFERROR(__xludf.DUMMYFUNCTION("""COMPUTED_VALUE"""),9.47)</f>
        <v>9.47</v>
      </c>
      <c r="H2509" s="9">
        <f>IFERROR(__xludf.DUMMYFUNCTION("""COMPUTED_VALUE"""),1.0)</f>
        <v>1</v>
      </c>
      <c r="I2509" s="9"/>
      <c r="J2509" s="9"/>
      <c r="K2509" s="9"/>
      <c r="L2509" s="9"/>
      <c r="M2509" s="9"/>
      <c r="N2509" s="9"/>
      <c r="O2509" s="9"/>
      <c r="P2509" s="9"/>
      <c r="Q2509" s="9"/>
      <c r="R2509" s="9"/>
      <c r="S2509" s="9"/>
      <c r="T2509" s="9"/>
    </row>
    <row r="2510" ht="15.75" customHeight="1">
      <c r="A2510" s="11">
        <f>IFERROR(__xludf.DUMMYFUNCTION("""COMPUTED_VALUE"""),44471.0)</f>
        <v>44471</v>
      </c>
      <c r="B2510" s="9">
        <f>IFERROR(__xludf.DUMMYFUNCTION("""COMPUTED_VALUE"""),1003642.0)</f>
        <v>1003642</v>
      </c>
      <c r="C2510" s="9">
        <f>IFERROR(__xludf.DUMMYFUNCTION("""COMPUTED_VALUE"""),80252.0)</f>
        <v>80252</v>
      </c>
      <c r="D2510" s="9"/>
      <c r="E2510" s="10" t="str">
        <f>IFERROR(__xludf.DUMMYFUNCTION("""COMPUTED_VALUE"""),"GREENRELAIS")</f>
        <v>GREENRELAIS</v>
      </c>
      <c r="F2510" s="10">
        <f>IFERROR(__xludf.DUMMYFUNCTION("""COMPUTED_VALUE"""),2.06)</f>
        <v>2.06</v>
      </c>
      <c r="G2510" s="9">
        <f>IFERROR(__xludf.DUMMYFUNCTION("""COMPUTED_VALUE"""),2.06)</f>
        <v>2.06</v>
      </c>
      <c r="H2510" s="9">
        <f>IFERROR(__xludf.DUMMYFUNCTION("""COMPUTED_VALUE"""),1.0)</f>
        <v>1</v>
      </c>
      <c r="I2510" s="9"/>
      <c r="J2510" s="9"/>
      <c r="K2510" s="9"/>
      <c r="L2510" s="9"/>
      <c r="M2510" s="9"/>
      <c r="N2510" s="9"/>
      <c r="O2510" s="9"/>
      <c r="P2510" s="9"/>
      <c r="Q2510" s="9"/>
      <c r="R2510" s="9"/>
      <c r="S2510" s="9"/>
      <c r="T2510" s="9"/>
    </row>
    <row r="2511" ht="15.75" customHeight="1">
      <c r="A2511" s="11">
        <f>IFERROR(__xludf.DUMMYFUNCTION("""COMPUTED_VALUE"""),44471.0)</f>
        <v>44471</v>
      </c>
      <c r="B2511" s="9">
        <f>IFERROR(__xludf.DUMMYFUNCTION("""COMPUTED_VALUE"""),1003642.0)</f>
        <v>1003642</v>
      </c>
      <c r="C2511" s="9">
        <f>IFERROR(__xludf.DUMMYFUNCTION("""COMPUTED_VALUE"""),119242.0)</f>
        <v>119242</v>
      </c>
      <c r="D2511" s="9"/>
      <c r="E2511" s="10" t="str">
        <f>IFERROR(__xludf.DUMMYFUNCTION("""COMPUTED_VALUE"""),"GREENRELAIS")</f>
        <v>GREENRELAIS</v>
      </c>
      <c r="F2511" s="10">
        <f>IFERROR(__xludf.DUMMYFUNCTION("""COMPUTED_VALUE"""),3.57)</f>
        <v>3.57</v>
      </c>
      <c r="G2511" s="9">
        <f>IFERROR(__xludf.DUMMYFUNCTION("""COMPUTED_VALUE"""),3.57)</f>
        <v>3.57</v>
      </c>
      <c r="H2511" s="9">
        <f>IFERROR(__xludf.DUMMYFUNCTION("""COMPUTED_VALUE"""),1.0)</f>
        <v>1</v>
      </c>
      <c r="I2511" s="9"/>
      <c r="J2511" s="9"/>
      <c r="K2511" s="9"/>
      <c r="L2511" s="9"/>
      <c r="M2511" s="9"/>
      <c r="N2511" s="9"/>
      <c r="O2511" s="9"/>
      <c r="P2511" s="9"/>
      <c r="Q2511" s="9"/>
      <c r="R2511" s="9"/>
      <c r="S2511" s="9"/>
      <c r="T2511" s="9"/>
    </row>
    <row r="2512" ht="15.75" customHeight="1">
      <c r="A2512" s="11">
        <f>IFERROR(__xludf.DUMMYFUNCTION("""COMPUTED_VALUE"""),44471.0)</f>
        <v>44471</v>
      </c>
      <c r="B2512" s="9">
        <f>IFERROR(__xludf.DUMMYFUNCTION("""COMPUTED_VALUE"""),1003642.0)</f>
        <v>1003642</v>
      </c>
      <c r="C2512" s="9">
        <f>IFERROR(__xludf.DUMMYFUNCTION("""COMPUTED_VALUE"""),76035.0)</f>
        <v>76035</v>
      </c>
      <c r="D2512" s="9"/>
      <c r="E2512" s="10" t="str">
        <f>IFERROR(__xludf.DUMMYFUNCTION("""COMPUTED_VALUE"""),"GREENRELAIS")</f>
        <v>GREENRELAIS</v>
      </c>
      <c r="F2512" s="10">
        <f>IFERROR(__xludf.DUMMYFUNCTION("""COMPUTED_VALUE"""),2.95)</f>
        <v>2.95</v>
      </c>
      <c r="G2512" s="9">
        <f>IFERROR(__xludf.DUMMYFUNCTION("""COMPUTED_VALUE"""),2.95)</f>
        <v>2.95</v>
      </c>
      <c r="H2512" s="9">
        <f>IFERROR(__xludf.DUMMYFUNCTION("""COMPUTED_VALUE"""),1.0)</f>
        <v>1</v>
      </c>
      <c r="I2512" s="9"/>
      <c r="J2512" s="9"/>
      <c r="K2512" s="9"/>
      <c r="L2512" s="9"/>
      <c r="M2512" s="9"/>
      <c r="N2512" s="9"/>
      <c r="O2512" s="9"/>
      <c r="P2512" s="9"/>
      <c r="Q2512" s="9"/>
      <c r="R2512" s="9"/>
      <c r="S2512" s="9"/>
      <c r="T2512" s="9"/>
    </row>
    <row r="2513" ht="15.75" customHeight="1">
      <c r="A2513" s="11">
        <f>IFERROR(__xludf.DUMMYFUNCTION("""COMPUTED_VALUE"""),44471.0)</f>
        <v>44471</v>
      </c>
      <c r="B2513" s="9">
        <f>IFERROR(__xludf.DUMMYFUNCTION("""COMPUTED_VALUE"""),1003642.0)</f>
        <v>1003642</v>
      </c>
      <c r="C2513" s="9">
        <f>IFERROR(__xludf.DUMMYFUNCTION("""COMPUTED_VALUE"""),87242.0)</f>
        <v>87242</v>
      </c>
      <c r="D2513" s="10" t="str">
        <f>IFERROR(__xludf.DUMMYFUNCTION("""COMPUTED_VALUE"""),"Vive le bio")</f>
        <v>Vive le bio</v>
      </c>
      <c r="E2513" s="10" t="str">
        <f>IFERROR(__xludf.DUMMYFUNCTION("""COMPUTED_VALUE"""),"GREENRELAIS")</f>
        <v>GREENRELAIS</v>
      </c>
      <c r="F2513" s="10">
        <f>IFERROR(__xludf.DUMMYFUNCTION("""COMPUTED_VALUE"""),5.82222222222222)</f>
        <v>5.822222222</v>
      </c>
      <c r="G2513" s="9">
        <f>IFERROR(__xludf.DUMMYFUNCTION("""COMPUTED_VALUE"""),5.24)</f>
        <v>5.24</v>
      </c>
      <c r="H2513" s="9">
        <f>IFERROR(__xludf.DUMMYFUNCTION("""COMPUTED_VALUE"""),1.0)</f>
        <v>1</v>
      </c>
      <c r="I2513" s="9"/>
      <c r="J2513" s="9"/>
      <c r="K2513" s="9"/>
      <c r="L2513" s="9"/>
      <c r="M2513" s="9"/>
      <c r="N2513" s="9"/>
      <c r="O2513" s="9"/>
      <c r="P2513" s="9"/>
      <c r="Q2513" s="9"/>
      <c r="R2513" s="9"/>
      <c r="S2513" s="9"/>
      <c r="T2513" s="9"/>
    </row>
    <row r="2514" ht="15.75" customHeight="1">
      <c r="A2514" s="11">
        <f>IFERROR(__xludf.DUMMYFUNCTION("""COMPUTED_VALUE"""),44471.0)</f>
        <v>44471</v>
      </c>
      <c r="B2514" s="9">
        <f>IFERROR(__xludf.DUMMYFUNCTION("""COMPUTED_VALUE"""),1003642.0)</f>
        <v>1003642</v>
      </c>
      <c r="C2514" s="9">
        <f>IFERROR(__xludf.DUMMYFUNCTION("""COMPUTED_VALUE"""),48502.0)</f>
        <v>48502</v>
      </c>
      <c r="D2514" s="10" t="str">
        <f>IFERROR(__xludf.DUMMYFUNCTION("""COMPUTED_VALUE"""),"Vive le bio")</f>
        <v>Vive le bio</v>
      </c>
      <c r="E2514" s="10" t="str">
        <f>IFERROR(__xludf.DUMMYFUNCTION("""COMPUTED_VALUE"""),"GREENRELAIS")</f>
        <v>GREENRELAIS</v>
      </c>
      <c r="F2514" s="10">
        <f>IFERROR(__xludf.DUMMYFUNCTION("""COMPUTED_VALUE"""),1.95555555555555)</f>
        <v>1.955555556</v>
      </c>
      <c r="G2514" s="9">
        <f>IFERROR(__xludf.DUMMYFUNCTION("""COMPUTED_VALUE"""),1.76)</f>
        <v>1.76</v>
      </c>
      <c r="H2514" s="9">
        <f>IFERROR(__xludf.DUMMYFUNCTION("""COMPUTED_VALUE"""),1.0)</f>
        <v>1</v>
      </c>
      <c r="I2514" s="9"/>
      <c r="J2514" s="9"/>
      <c r="K2514" s="9"/>
      <c r="L2514" s="9"/>
      <c r="M2514" s="9"/>
      <c r="N2514" s="9"/>
      <c r="O2514" s="9"/>
      <c r="P2514" s="9"/>
      <c r="Q2514" s="9"/>
      <c r="R2514" s="9"/>
      <c r="S2514" s="9"/>
      <c r="T2514" s="9"/>
    </row>
    <row r="2515" ht="15.75" customHeight="1">
      <c r="A2515" s="11">
        <f>IFERROR(__xludf.DUMMYFUNCTION("""COMPUTED_VALUE"""),44471.0)</f>
        <v>44471</v>
      </c>
      <c r="B2515" s="9">
        <f>IFERROR(__xludf.DUMMYFUNCTION("""COMPUTED_VALUE"""),1003642.0)</f>
        <v>1003642</v>
      </c>
      <c r="C2515" s="9">
        <f>IFERROR(__xludf.DUMMYFUNCTION("""COMPUTED_VALUE"""),5521.0)</f>
        <v>5521</v>
      </c>
      <c r="D2515" s="10" t="str">
        <f>IFERROR(__xludf.DUMMYFUNCTION("""COMPUTED_VALUE"""),"Vive le bio")</f>
        <v>Vive le bio</v>
      </c>
      <c r="E2515" s="10" t="str">
        <f>IFERROR(__xludf.DUMMYFUNCTION("""COMPUTED_VALUE"""),"GREENRELAIS")</f>
        <v>GREENRELAIS</v>
      </c>
      <c r="F2515" s="10">
        <f>IFERROR(__xludf.DUMMYFUNCTION("""COMPUTED_VALUE"""),5.16666666666666)</f>
        <v>5.166666667</v>
      </c>
      <c r="G2515" s="9">
        <f>IFERROR(__xludf.DUMMYFUNCTION("""COMPUTED_VALUE"""),4.65)</f>
        <v>4.65</v>
      </c>
      <c r="H2515" s="9">
        <f>IFERROR(__xludf.DUMMYFUNCTION("""COMPUTED_VALUE"""),1.0)</f>
        <v>1</v>
      </c>
      <c r="I2515" s="9"/>
      <c r="J2515" s="9"/>
      <c r="K2515" s="9"/>
      <c r="L2515" s="9"/>
      <c r="M2515" s="9"/>
      <c r="N2515" s="9"/>
      <c r="O2515" s="9"/>
      <c r="P2515" s="9"/>
      <c r="Q2515" s="9"/>
      <c r="R2515" s="9"/>
      <c r="S2515" s="9"/>
      <c r="T2515" s="9"/>
    </row>
    <row r="2516" ht="15.75" customHeight="1">
      <c r="A2516" s="11">
        <f>IFERROR(__xludf.DUMMYFUNCTION("""COMPUTED_VALUE"""),44471.0)</f>
        <v>44471</v>
      </c>
      <c r="B2516" s="9">
        <f>IFERROR(__xludf.DUMMYFUNCTION("""COMPUTED_VALUE"""),1003642.0)</f>
        <v>1003642</v>
      </c>
      <c r="C2516" s="9">
        <f>IFERROR(__xludf.DUMMYFUNCTION("""COMPUTED_VALUE"""),78421.0)</f>
        <v>78421</v>
      </c>
      <c r="D2516" s="9"/>
      <c r="E2516" s="10" t="str">
        <f>IFERROR(__xludf.DUMMYFUNCTION("""COMPUTED_VALUE"""),"GREENRELAIS")</f>
        <v>GREENRELAIS</v>
      </c>
      <c r="F2516" s="10">
        <f>IFERROR(__xludf.DUMMYFUNCTION("""COMPUTED_VALUE"""),2.34)</f>
        <v>2.34</v>
      </c>
      <c r="G2516" s="9">
        <f>IFERROR(__xludf.DUMMYFUNCTION("""COMPUTED_VALUE"""),2.34)</f>
        <v>2.34</v>
      </c>
      <c r="H2516" s="9">
        <f>IFERROR(__xludf.DUMMYFUNCTION("""COMPUTED_VALUE"""),1.0)</f>
        <v>1</v>
      </c>
      <c r="I2516" s="9"/>
      <c r="J2516" s="9"/>
      <c r="K2516" s="9"/>
      <c r="L2516" s="9"/>
      <c r="M2516" s="9"/>
      <c r="N2516" s="9"/>
      <c r="O2516" s="9"/>
      <c r="P2516" s="9"/>
      <c r="Q2516" s="9"/>
      <c r="R2516" s="9"/>
      <c r="S2516" s="9"/>
      <c r="T2516" s="9"/>
    </row>
    <row r="2517" ht="15.75" customHeight="1">
      <c r="A2517" s="11">
        <f>IFERROR(__xludf.DUMMYFUNCTION("""COMPUTED_VALUE"""),44471.0)</f>
        <v>44471</v>
      </c>
      <c r="B2517" s="9">
        <f>IFERROR(__xludf.DUMMYFUNCTION("""COMPUTED_VALUE"""),1003642.0)</f>
        <v>1003642</v>
      </c>
      <c r="C2517" s="9">
        <f>IFERROR(__xludf.DUMMYFUNCTION("""COMPUTED_VALUE"""),87421.0)</f>
        <v>87421</v>
      </c>
      <c r="D2517" s="9"/>
      <c r="E2517" s="10" t="str">
        <f>IFERROR(__xludf.DUMMYFUNCTION("""COMPUTED_VALUE"""),"GREENRELAIS")</f>
        <v>GREENRELAIS</v>
      </c>
      <c r="F2517" s="10">
        <f>IFERROR(__xludf.DUMMYFUNCTION("""COMPUTED_VALUE"""),2.6)</f>
        <v>2.6</v>
      </c>
      <c r="G2517" s="9">
        <f>IFERROR(__xludf.DUMMYFUNCTION("""COMPUTED_VALUE"""),2.6)</f>
        <v>2.6</v>
      </c>
      <c r="H2517" s="9">
        <f>IFERROR(__xludf.DUMMYFUNCTION("""COMPUTED_VALUE"""),1.0)</f>
        <v>1</v>
      </c>
      <c r="I2517" s="9"/>
      <c r="J2517" s="9"/>
      <c r="K2517" s="9"/>
      <c r="L2517" s="9"/>
      <c r="M2517" s="9"/>
      <c r="N2517" s="9"/>
      <c r="O2517" s="9"/>
      <c r="P2517" s="9"/>
      <c r="Q2517" s="9"/>
      <c r="R2517" s="9"/>
      <c r="S2517" s="9"/>
      <c r="T2517" s="9"/>
    </row>
    <row r="2518" ht="15.75" customHeight="1">
      <c r="A2518" s="11">
        <f>IFERROR(__xludf.DUMMYFUNCTION("""COMPUTED_VALUE"""),44471.0)</f>
        <v>44471</v>
      </c>
      <c r="B2518" s="9">
        <f>IFERROR(__xludf.DUMMYFUNCTION("""COMPUTED_VALUE"""),1003642.0)</f>
        <v>1003642</v>
      </c>
      <c r="C2518" s="9">
        <f>IFERROR(__xludf.DUMMYFUNCTION("""COMPUTED_VALUE"""),71397.0)</f>
        <v>71397</v>
      </c>
      <c r="D2518" s="9"/>
      <c r="E2518" s="10" t="str">
        <f>IFERROR(__xludf.DUMMYFUNCTION("""COMPUTED_VALUE"""),"GREENRELAIS")</f>
        <v>GREENRELAIS</v>
      </c>
      <c r="F2518" s="10">
        <f>IFERROR(__xludf.DUMMYFUNCTION("""COMPUTED_VALUE"""),3.98)</f>
        <v>3.98</v>
      </c>
      <c r="G2518" s="9">
        <f>IFERROR(__xludf.DUMMYFUNCTION("""COMPUTED_VALUE"""),3.98)</f>
        <v>3.98</v>
      </c>
      <c r="H2518" s="9">
        <f>IFERROR(__xludf.DUMMYFUNCTION("""COMPUTED_VALUE"""),1.0)</f>
        <v>1</v>
      </c>
      <c r="I2518" s="9"/>
      <c r="J2518" s="9"/>
      <c r="K2518" s="9"/>
      <c r="L2518" s="9"/>
      <c r="M2518" s="9"/>
      <c r="N2518" s="9"/>
      <c r="O2518" s="9"/>
      <c r="P2518" s="9"/>
      <c r="Q2518" s="9"/>
      <c r="R2518" s="9"/>
      <c r="S2518" s="9"/>
      <c r="T2518" s="9"/>
    </row>
    <row r="2519" ht="15.75" customHeight="1">
      <c r="A2519" s="11">
        <f>IFERROR(__xludf.DUMMYFUNCTION("""COMPUTED_VALUE"""),44471.0)</f>
        <v>44471</v>
      </c>
      <c r="B2519" s="9">
        <f>IFERROR(__xludf.DUMMYFUNCTION("""COMPUTED_VALUE"""),1003642.0)</f>
        <v>1003642</v>
      </c>
      <c r="C2519" s="9">
        <f>IFERROR(__xludf.DUMMYFUNCTION("""COMPUTED_VALUE"""),121578.0)</f>
        <v>121578</v>
      </c>
      <c r="D2519" s="9"/>
      <c r="E2519" s="10" t="str">
        <f>IFERROR(__xludf.DUMMYFUNCTION("""COMPUTED_VALUE"""),"GREENRELAIS")</f>
        <v>GREENRELAIS</v>
      </c>
      <c r="F2519" s="10">
        <f>IFERROR(__xludf.DUMMYFUNCTION("""COMPUTED_VALUE"""),6.46)</f>
        <v>6.46</v>
      </c>
      <c r="G2519" s="9">
        <f>IFERROR(__xludf.DUMMYFUNCTION("""COMPUTED_VALUE"""),6.46)</f>
        <v>6.46</v>
      </c>
      <c r="H2519" s="9">
        <f>IFERROR(__xludf.DUMMYFUNCTION("""COMPUTED_VALUE"""),1.0)</f>
        <v>1</v>
      </c>
      <c r="I2519" s="9"/>
      <c r="J2519" s="9"/>
      <c r="K2519" s="9"/>
      <c r="L2519" s="9"/>
      <c r="M2519" s="9"/>
      <c r="N2519" s="9"/>
      <c r="O2519" s="9"/>
      <c r="P2519" s="9"/>
      <c r="Q2519" s="9"/>
      <c r="R2519" s="9"/>
      <c r="S2519" s="9"/>
      <c r="T2519" s="9"/>
    </row>
    <row r="2520" ht="15.75" customHeight="1">
      <c r="A2520" s="11">
        <f>IFERROR(__xludf.DUMMYFUNCTION("""COMPUTED_VALUE"""),44471.0)</f>
        <v>44471</v>
      </c>
      <c r="B2520" s="9">
        <f>IFERROR(__xludf.DUMMYFUNCTION("""COMPUTED_VALUE"""),1003642.0)</f>
        <v>1003642</v>
      </c>
      <c r="C2520" s="9">
        <f>IFERROR(__xludf.DUMMYFUNCTION("""COMPUTED_VALUE"""),7830.0)</f>
        <v>7830</v>
      </c>
      <c r="D2520" s="9"/>
      <c r="E2520" s="10" t="str">
        <f>IFERROR(__xludf.DUMMYFUNCTION("""COMPUTED_VALUE"""),"GREENRELAIS")</f>
        <v>GREENRELAIS</v>
      </c>
      <c r="F2520" s="10">
        <f>IFERROR(__xludf.DUMMYFUNCTION("""COMPUTED_VALUE"""),17.46)</f>
        <v>17.46</v>
      </c>
      <c r="G2520" s="9">
        <f>IFERROR(__xludf.DUMMYFUNCTION("""COMPUTED_VALUE"""),17.46)</f>
        <v>17.46</v>
      </c>
      <c r="H2520" s="9">
        <f>IFERROR(__xludf.DUMMYFUNCTION("""COMPUTED_VALUE"""),1.0)</f>
        <v>1</v>
      </c>
      <c r="I2520" s="9"/>
      <c r="J2520" s="9"/>
      <c r="K2520" s="9"/>
      <c r="L2520" s="9"/>
      <c r="M2520" s="9"/>
      <c r="N2520" s="9"/>
      <c r="O2520" s="9"/>
      <c r="P2520" s="9"/>
      <c r="Q2520" s="9"/>
      <c r="R2520" s="9"/>
      <c r="S2520" s="9"/>
      <c r="T2520" s="9"/>
    </row>
    <row r="2521" ht="15.75" customHeight="1">
      <c r="A2521" s="11">
        <f>IFERROR(__xludf.DUMMYFUNCTION("""COMPUTED_VALUE"""),44471.0)</f>
        <v>44471</v>
      </c>
      <c r="B2521" s="9">
        <f>IFERROR(__xludf.DUMMYFUNCTION("""COMPUTED_VALUE"""),1003642.0)</f>
        <v>1003642</v>
      </c>
      <c r="C2521" s="9">
        <f>IFERROR(__xludf.DUMMYFUNCTION("""COMPUTED_VALUE"""),12052.0)</f>
        <v>12052</v>
      </c>
      <c r="D2521" s="9"/>
      <c r="E2521" s="10" t="str">
        <f>IFERROR(__xludf.DUMMYFUNCTION("""COMPUTED_VALUE"""),"GREENRELAIS")</f>
        <v>GREENRELAIS</v>
      </c>
      <c r="F2521" s="10">
        <f>IFERROR(__xludf.DUMMYFUNCTION("""COMPUTED_VALUE"""),1.31)</f>
        <v>1.31</v>
      </c>
      <c r="G2521" s="9">
        <f>IFERROR(__xludf.DUMMYFUNCTION("""COMPUTED_VALUE"""),1.31)</f>
        <v>1.31</v>
      </c>
      <c r="H2521" s="9">
        <f>IFERROR(__xludf.DUMMYFUNCTION("""COMPUTED_VALUE"""),1.0)</f>
        <v>1</v>
      </c>
      <c r="I2521" s="9"/>
      <c r="J2521" s="9"/>
      <c r="K2521" s="9"/>
      <c r="L2521" s="9"/>
      <c r="M2521" s="9"/>
      <c r="N2521" s="9"/>
      <c r="O2521" s="9"/>
      <c r="P2521" s="9"/>
      <c r="Q2521" s="9"/>
      <c r="R2521" s="9"/>
      <c r="S2521" s="9"/>
      <c r="T2521" s="9"/>
    </row>
    <row r="2522" ht="15.75" customHeight="1">
      <c r="A2522" s="11">
        <f>IFERROR(__xludf.DUMMYFUNCTION("""COMPUTED_VALUE"""),44471.0)</f>
        <v>44471</v>
      </c>
      <c r="B2522" s="9">
        <f>IFERROR(__xludf.DUMMYFUNCTION("""COMPUTED_VALUE"""),1003642.0)</f>
        <v>1003642</v>
      </c>
      <c r="C2522" s="9">
        <f>IFERROR(__xludf.DUMMYFUNCTION("""COMPUTED_VALUE"""),121568.0)</f>
        <v>121568</v>
      </c>
      <c r="D2522" s="9"/>
      <c r="E2522" s="10" t="str">
        <f>IFERROR(__xludf.DUMMYFUNCTION("""COMPUTED_VALUE"""),"GREENRELAIS")</f>
        <v>GREENRELAIS</v>
      </c>
      <c r="F2522" s="10">
        <f>IFERROR(__xludf.DUMMYFUNCTION("""COMPUTED_VALUE"""),23.41)</f>
        <v>23.41</v>
      </c>
      <c r="G2522" s="9">
        <f>IFERROR(__xludf.DUMMYFUNCTION("""COMPUTED_VALUE"""),23.41)</f>
        <v>23.41</v>
      </c>
      <c r="H2522" s="9">
        <f>IFERROR(__xludf.DUMMYFUNCTION("""COMPUTED_VALUE"""),2.0)</f>
        <v>2</v>
      </c>
      <c r="I2522" s="9"/>
      <c r="J2522" s="9"/>
      <c r="K2522" s="9"/>
      <c r="L2522" s="9"/>
      <c r="M2522" s="9"/>
      <c r="N2522" s="9"/>
      <c r="O2522" s="9"/>
      <c r="P2522" s="9"/>
      <c r="Q2522" s="9"/>
      <c r="R2522" s="9"/>
      <c r="S2522" s="9"/>
      <c r="T2522" s="9"/>
    </row>
    <row r="2523" ht="15.75" customHeight="1">
      <c r="A2523" s="11">
        <f>IFERROR(__xludf.DUMMYFUNCTION("""COMPUTED_VALUE"""),44471.0)</f>
        <v>44471</v>
      </c>
      <c r="B2523" s="9">
        <f>IFERROR(__xludf.DUMMYFUNCTION("""COMPUTED_VALUE"""),1003644.0)</f>
        <v>1003644</v>
      </c>
      <c r="C2523" s="9">
        <f>IFERROR(__xludf.DUMMYFUNCTION("""COMPUTED_VALUE"""),79695.0)</f>
        <v>79695</v>
      </c>
      <c r="D2523" s="9"/>
      <c r="E2523" s="10" t="str">
        <f>IFERROR(__xludf.DUMMYFUNCTION("""COMPUTED_VALUE"""),"GREENRELAIS")</f>
        <v>GREENRELAIS</v>
      </c>
      <c r="F2523" s="10">
        <f>IFERROR(__xludf.DUMMYFUNCTION("""COMPUTED_VALUE"""),17.94)</f>
        <v>17.94</v>
      </c>
      <c r="G2523" s="9">
        <f>IFERROR(__xludf.DUMMYFUNCTION("""COMPUTED_VALUE"""),17.94)</f>
        <v>17.94</v>
      </c>
      <c r="H2523" s="9">
        <f>IFERROR(__xludf.DUMMYFUNCTION("""COMPUTED_VALUE"""),1.0)</f>
        <v>1</v>
      </c>
      <c r="I2523" s="9"/>
      <c r="J2523" s="9"/>
      <c r="K2523" s="9"/>
      <c r="L2523" s="9"/>
      <c r="M2523" s="9"/>
      <c r="N2523" s="9"/>
      <c r="O2523" s="9"/>
      <c r="P2523" s="9"/>
      <c r="Q2523" s="9"/>
      <c r="R2523" s="9"/>
      <c r="S2523" s="9"/>
      <c r="T2523" s="9"/>
    </row>
    <row r="2524" ht="15.75" customHeight="1">
      <c r="A2524" s="11">
        <f>IFERROR(__xludf.DUMMYFUNCTION("""COMPUTED_VALUE"""),44471.0)</f>
        <v>44471</v>
      </c>
      <c r="B2524" s="9">
        <f>IFERROR(__xludf.DUMMYFUNCTION("""COMPUTED_VALUE"""),1003644.0)</f>
        <v>1003644</v>
      </c>
      <c r="C2524" s="9">
        <f>IFERROR(__xludf.DUMMYFUNCTION("""COMPUTED_VALUE"""),106532.0)</f>
        <v>106532</v>
      </c>
      <c r="D2524" s="9"/>
      <c r="E2524" s="10" t="str">
        <f>IFERROR(__xludf.DUMMYFUNCTION("""COMPUTED_VALUE"""),"GREENRELAIS")</f>
        <v>GREENRELAIS</v>
      </c>
      <c r="F2524" s="10">
        <f>IFERROR(__xludf.DUMMYFUNCTION("""COMPUTED_VALUE"""),14.51)</f>
        <v>14.51</v>
      </c>
      <c r="G2524" s="9">
        <f>IFERROR(__xludf.DUMMYFUNCTION("""COMPUTED_VALUE"""),14.51)</f>
        <v>14.51</v>
      </c>
      <c r="H2524" s="9">
        <f>IFERROR(__xludf.DUMMYFUNCTION("""COMPUTED_VALUE"""),1.0)</f>
        <v>1</v>
      </c>
      <c r="I2524" s="9"/>
      <c r="J2524" s="9"/>
      <c r="K2524" s="9"/>
      <c r="L2524" s="9"/>
      <c r="M2524" s="9"/>
      <c r="N2524" s="9"/>
      <c r="O2524" s="9"/>
      <c r="P2524" s="9"/>
      <c r="Q2524" s="9"/>
      <c r="R2524" s="9"/>
      <c r="S2524" s="9"/>
      <c r="T2524" s="9"/>
    </row>
    <row r="2525" ht="15.75" customHeight="1">
      <c r="A2525" s="11">
        <f>IFERROR(__xludf.DUMMYFUNCTION("""COMPUTED_VALUE"""),44471.0)</f>
        <v>44471</v>
      </c>
      <c r="B2525" s="9">
        <f>IFERROR(__xludf.DUMMYFUNCTION("""COMPUTED_VALUE"""),1003644.0)</f>
        <v>1003644</v>
      </c>
      <c r="C2525" s="9">
        <f>IFERROR(__xludf.DUMMYFUNCTION("""COMPUTED_VALUE"""),111083.0)</f>
        <v>111083</v>
      </c>
      <c r="D2525" s="9"/>
      <c r="E2525" s="10" t="str">
        <f>IFERROR(__xludf.DUMMYFUNCTION("""COMPUTED_VALUE"""),"GREENRELAIS")</f>
        <v>GREENRELAIS</v>
      </c>
      <c r="F2525" s="10">
        <f>IFERROR(__xludf.DUMMYFUNCTION("""COMPUTED_VALUE"""),5.66)</f>
        <v>5.66</v>
      </c>
      <c r="G2525" s="9">
        <f>IFERROR(__xludf.DUMMYFUNCTION("""COMPUTED_VALUE"""),5.66)</f>
        <v>5.66</v>
      </c>
      <c r="H2525" s="9">
        <f>IFERROR(__xludf.DUMMYFUNCTION("""COMPUTED_VALUE"""),1.0)</f>
        <v>1</v>
      </c>
      <c r="I2525" s="9"/>
      <c r="J2525" s="9"/>
      <c r="K2525" s="9"/>
      <c r="L2525" s="9"/>
      <c r="M2525" s="9"/>
      <c r="N2525" s="9"/>
      <c r="O2525" s="9"/>
      <c r="P2525" s="9"/>
      <c r="Q2525" s="9"/>
      <c r="R2525" s="9"/>
      <c r="S2525" s="9"/>
      <c r="T2525" s="9"/>
    </row>
    <row r="2526" ht="15.75" customHeight="1">
      <c r="A2526" s="11">
        <f>IFERROR(__xludf.DUMMYFUNCTION("""COMPUTED_VALUE"""),44471.0)</f>
        <v>44471</v>
      </c>
      <c r="B2526" s="9">
        <f>IFERROR(__xludf.DUMMYFUNCTION("""COMPUTED_VALUE"""),1003644.0)</f>
        <v>1003644</v>
      </c>
      <c r="C2526" s="9">
        <f>IFERROR(__xludf.DUMMYFUNCTION("""COMPUTED_VALUE"""),117677.0)</f>
        <v>117677</v>
      </c>
      <c r="D2526" s="9"/>
      <c r="E2526" s="10" t="str">
        <f>IFERROR(__xludf.DUMMYFUNCTION("""COMPUTED_VALUE"""),"GREENRELAIS")</f>
        <v>GREENRELAIS</v>
      </c>
      <c r="F2526" s="10">
        <f>IFERROR(__xludf.DUMMYFUNCTION("""COMPUTED_VALUE"""),14.38)</f>
        <v>14.38</v>
      </c>
      <c r="G2526" s="9">
        <f>IFERROR(__xludf.DUMMYFUNCTION("""COMPUTED_VALUE"""),14.38)</f>
        <v>14.38</v>
      </c>
      <c r="H2526" s="9">
        <f>IFERROR(__xludf.DUMMYFUNCTION("""COMPUTED_VALUE"""),1.0)</f>
        <v>1</v>
      </c>
      <c r="I2526" s="9"/>
      <c r="J2526" s="9"/>
      <c r="K2526" s="9"/>
      <c r="L2526" s="9"/>
      <c r="M2526" s="9"/>
      <c r="N2526" s="9"/>
      <c r="O2526" s="9"/>
      <c r="P2526" s="9"/>
      <c r="Q2526" s="9"/>
      <c r="R2526" s="9"/>
      <c r="S2526" s="9"/>
      <c r="T2526" s="9"/>
    </row>
    <row r="2527" ht="15.75" customHeight="1">
      <c r="A2527" s="11">
        <f>IFERROR(__xludf.DUMMYFUNCTION("""COMPUTED_VALUE"""),44471.0)</f>
        <v>44471</v>
      </c>
      <c r="B2527" s="9">
        <f>IFERROR(__xludf.DUMMYFUNCTION("""COMPUTED_VALUE"""),1003644.0)</f>
        <v>1003644</v>
      </c>
      <c r="C2527" s="9">
        <f>IFERROR(__xludf.DUMMYFUNCTION("""COMPUTED_VALUE"""),103656.0)</f>
        <v>103656</v>
      </c>
      <c r="D2527" s="9"/>
      <c r="E2527" s="10" t="str">
        <f>IFERROR(__xludf.DUMMYFUNCTION("""COMPUTED_VALUE"""),"GREENRELAIS")</f>
        <v>GREENRELAIS</v>
      </c>
      <c r="F2527" s="10">
        <f>IFERROR(__xludf.DUMMYFUNCTION("""COMPUTED_VALUE"""),1.05)</f>
        <v>1.05</v>
      </c>
      <c r="G2527" s="9">
        <f>IFERROR(__xludf.DUMMYFUNCTION("""COMPUTED_VALUE"""),1.05)</f>
        <v>1.05</v>
      </c>
      <c r="H2527" s="9">
        <f>IFERROR(__xludf.DUMMYFUNCTION("""COMPUTED_VALUE"""),1.0)</f>
        <v>1</v>
      </c>
      <c r="I2527" s="9"/>
      <c r="J2527" s="9"/>
      <c r="K2527" s="9"/>
      <c r="L2527" s="9"/>
      <c r="M2527" s="9"/>
      <c r="N2527" s="9"/>
      <c r="O2527" s="9"/>
      <c r="P2527" s="9"/>
      <c r="Q2527" s="9"/>
      <c r="R2527" s="9"/>
      <c r="S2527" s="9"/>
      <c r="T2527" s="9"/>
    </row>
    <row r="2528" ht="15.75" customHeight="1">
      <c r="A2528" s="11">
        <f>IFERROR(__xludf.DUMMYFUNCTION("""COMPUTED_VALUE"""),44471.0)</f>
        <v>44471</v>
      </c>
      <c r="B2528" s="9">
        <f>IFERROR(__xludf.DUMMYFUNCTION("""COMPUTED_VALUE"""),1003645.0)</f>
        <v>1003645</v>
      </c>
      <c r="C2528" s="9">
        <f>IFERROR(__xludf.DUMMYFUNCTION("""COMPUTED_VALUE"""),5686.0)</f>
        <v>5686</v>
      </c>
      <c r="D2528" s="9"/>
      <c r="E2528" s="9"/>
      <c r="F2528" s="9">
        <f>IFERROR(__xludf.DUMMYFUNCTION("""COMPUTED_VALUE"""),2.89)</f>
        <v>2.89</v>
      </c>
      <c r="G2528" s="9">
        <f>IFERROR(__xludf.DUMMYFUNCTION("""COMPUTED_VALUE"""),2.89)</f>
        <v>2.89</v>
      </c>
      <c r="H2528" s="9">
        <f>IFERROR(__xludf.DUMMYFUNCTION("""COMPUTED_VALUE"""),1.0)</f>
        <v>1</v>
      </c>
      <c r="I2528" s="9"/>
      <c r="J2528" s="9"/>
      <c r="K2528" s="9"/>
      <c r="L2528" s="9"/>
      <c r="M2528" s="9"/>
      <c r="N2528" s="9"/>
      <c r="O2528" s="9"/>
      <c r="P2528" s="9"/>
      <c r="Q2528" s="9"/>
      <c r="R2528" s="9"/>
      <c r="S2528" s="9"/>
      <c r="T2528" s="9"/>
    </row>
    <row r="2529" ht="15.75" customHeight="1">
      <c r="A2529" s="11">
        <f>IFERROR(__xludf.DUMMYFUNCTION("""COMPUTED_VALUE"""),44471.0)</f>
        <v>44471</v>
      </c>
      <c r="B2529" s="9">
        <f>IFERROR(__xludf.DUMMYFUNCTION("""COMPUTED_VALUE"""),1003645.0)</f>
        <v>1003645</v>
      </c>
      <c r="C2529" s="9">
        <f>IFERROR(__xludf.DUMMYFUNCTION("""COMPUTED_VALUE"""),82501.0)</f>
        <v>82501</v>
      </c>
      <c r="D2529" s="10" t="str">
        <f>IFERROR(__xludf.DUMMYFUNCTION("""COMPUTED_VALUE"""),"Vive le bio")</f>
        <v>Vive le bio</v>
      </c>
      <c r="E2529" s="10"/>
      <c r="F2529" s="9">
        <f>IFERROR(__xludf.DUMMYFUNCTION("""COMPUTED_VALUE"""),21.4555555555555)</f>
        <v>21.45555556</v>
      </c>
      <c r="G2529" s="9">
        <f>IFERROR(__xludf.DUMMYFUNCTION("""COMPUTED_VALUE"""),19.31)</f>
        <v>19.31</v>
      </c>
      <c r="H2529" s="9">
        <f>IFERROR(__xludf.DUMMYFUNCTION("""COMPUTED_VALUE"""),1.0)</f>
        <v>1</v>
      </c>
      <c r="I2529" s="9"/>
      <c r="J2529" s="9"/>
      <c r="K2529" s="9"/>
      <c r="L2529" s="9"/>
      <c r="M2529" s="9"/>
      <c r="N2529" s="9"/>
      <c r="O2529" s="9"/>
      <c r="P2529" s="9"/>
      <c r="Q2529" s="9"/>
      <c r="R2529" s="9"/>
      <c r="S2529" s="9"/>
      <c r="T2529" s="9"/>
    </row>
    <row r="2530" ht="15.75" customHeight="1">
      <c r="A2530" s="11">
        <f>IFERROR(__xludf.DUMMYFUNCTION("""COMPUTED_VALUE"""),44471.0)</f>
        <v>44471</v>
      </c>
      <c r="B2530" s="9">
        <f>IFERROR(__xludf.DUMMYFUNCTION("""COMPUTED_VALUE"""),1003645.0)</f>
        <v>1003645</v>
      </c>
      <c r="C2530" s="9">
        <f>IFERROR(__xludf.DUMMYFUNCTION("""COMPUTED_VALUE"""),80661.0)</f>
        <v>80661</v>
      </c>
      <c r="D2530" s="9"/>
      <c r="E2530" s="9"/>
      <c r="F2530" s="9">
        <f>IFERROR(__xludf.DUMMYFUNCTION("""COMPUTED_VALUE"""),5.09)</f>
        <v>5.09</v>
      </c>
      <c r="G2530" s="9">
        <f>IFERROR(__xludf.DUMMYFUNCTION("""COMPUTED_VALUE"""),5.09)</f>
        <v>5.09</v>
      </c>
      <c r="H2530" s="9">
        <f>IFERROR(__xludf.DUMMYFUNCTION("""COMPUTED_VALUE"""),1.0)</f>
        <v>1</v>
      </c>
      <c r="I2530" s="9"/>
      <c r="J2530" s="9"/>
      <c r="K2530" s="9"/>
      <c r="L2530" s="9"/>
      <c r="M2530" s="9"/>
      <c r="N2530" s="9"/>
      <c r="O2530" s="9"/>
      <c r="P2530" s="9"/>
      <c r="Q2530" s="9"/>
      <c r="R2530" s="9"/>
      <c r="S2530" s="9"/>
      <c r="T2530" s="9"/>
    </row>
    <row r="2531" ht="15.75" customHeight="1">
      <c r="A2531" s="11">
        <f>IFERROR(__xludf.DUMMYFUNCTION("""COMPUTED_VALUE"""),44471.0)</f>
        <v>44471</v>
      </c>
      <c r="B2531" s="9">
        <f>IFERROR(__xludf.DUMMYFUNCTION("""COMPUTED_VALUE"""),1003645.0)</f>
        <v>1003645</v>
      </c>
      <c r="C2531" s="9">
        <f>IFERROR(__xludf.DUMMYFUNCTION("""COMPUTED_VALUE"""),14715.0)</f>
        <v>14715</v>
      </c>
      <c r="D2531" s="9"/>
      <c r="E2531" s="9"/>
      <c r="F2531" s="9">
        <f>IFERROR(__xludf.DUMMYFUNCTION("""COMPUTED_VALUE"""),5.34)</f>
        <v>5.34</v>
      </c>
      <c r="G2531" s="9">
        <f>IFERROR(__xludf.DUMMYFUNCTION("""COMPUTED_VALUE"""),5.34)</f>
        <v>5.34</v>
      </c>
      <c r="H2531" s="9">
        <f>IFERROR(__xludf.DUMMYFUNCTION("""COMPUTED_VALUE"""),1.0)</f>
        <v>1</v>
      </c>
      <c r="I2531" s="9"/>
      <c r="J2531" s="9"/>
      <c r="K2531" s="9"/>
      <c r="L2531" s="9"/>
      <c r="M2531" s="9"/>
      <c r="N2531" s="9"/>
      <c r="O2531" s="9"/>
      <c r="P2531" s="9"/>
      <c r="Q2531" s="9"/>
      <c r="R2531" s="9"/>
      <c r="S2531" s="9"/>
      <c r="T2531" s="9"/>
    </row>
    <row r="2532" ht="15.75" customHeight="1">
      <c r="A2532" s="11">
        <f>IFERROR(__xludf.DUMMYFUNCTION("""COMPUTED_VALUE"""),44471.0)</f>
        <v>44471</v>
      </c>
      <c r="B2532" s="9">
        <f>IFERROR(__xludf.DUMMYFUNCTION("""COMPUTED_VALUE"""),1003645.0)</f>
        <v>1003645</v>
      </c>
      <c r="C2532" s="9">
        <f>IFERROR(__xludf.DUMMYFUNCTION("""COMPUTED_VALUE"""),14709.0)</f>
        <v>14709</v>
      </c>
      <c r="D2532" s="9"/>
      <c r="E2532" s="9"/>
      <c r="F2532" s="9">
        <f>IFERROR(__xludf.DUMMYFUNCTION("""COMPUTED_VALUE"""),1.4)</f>
        <v>1.4</v>
      </c>
      <c r="G2532" s="9">
        <f>IFERROR(__xludf.DUMMYFUNCTION("""COMPUTED_VALUE"""),1.4)</f>
        <v>1.4</v>
      </c>
      <c r="H2532" s="9">
        <f>IFERROR(__xludf.DUMMYFUNCTION("""COMPUTED_VALUE"""),1.0)</f>
        <v>1</v>
      </c>
      <c r="I2532" s="9"/>
      <c r="J2532" s="9"/>
      <c r="K2532" s="9"/>
      <c r="L2532" s="9"/>
      <c r="M2532" s="9"/>
      <c r="N2532" s="9"/>
      <c r="O2532" s="9"/>
      <c r="P2532" s="9"/>
      <c r="Q2532" s="9"/>
      <c r="R2532" s="9"/>
      <c r="S2532" s="9"/>
      <c r="T2532" s="9"/>
    </row>
    <row r="2533" ht="15.75" customHeight="1">
      <c r="A2533" s="11">
        <f>IFERROR(__xludf.DUMMYFUNCTION("""COMPUTED_VALUE"""),44471.0)</f>
        <v>44471</v>
      </c>
      <c r="B2533" s="9">
        <f>IFERROR(__xludf.DUMMYFUNCTION("""COMPUTED_VALUE"""),1003645.0)</f>
        <v>1003645</v>
      </c>
      <c r="C2533" s="9">
        <f>IFERROR(__xludf.DUMMYFUNCTION("""COMPUTED_VALUE"""),76035.0)</f>
        <v>76035</v>
      </c>
      <c r="D2533" s="9"/>
      <c r="E2533" s="9"/>
      <c r="F2533" s="9">
        <f>IFERROR(__xludf.DUMMYFUNCTION("""COMPUTED_VALUE"""),2.95)</f>
        <v>2.95</v>
      </c>
      <c r="G2533" s="9">
        <f>IFERROR(__xludf.DUMMYFUNCTION("""COMPUTED_VALUE"""),2.95)</f>
        <v>2.95</v>
      </c>
      <c r="H2533" s="9">
        <f>IFERROR(__xludf.DUMMYFUNCTION("""COMPUTED_VALUE"""),1.0)</f>
        <v>1</v>
      </c>
      <c r="I2533" s="9"/>
      <c r="J2533" s="9"/>
      <c r="K2533" s="9"/>
      <c r="L2533" s="9"/>
      <c r="M2533" s="9"/>
      <c r="N2533" s="9"/>
      <c r="O2533" s="9"/>
      <c r="P2533" s="9"/>
      <c r="Q2533" s="9"/>
      <c r="R2533" s="9"/>
      <c r="S2533" s="9"/>
      <c r="T2533" s="9"/>
    </row>
    <row r="2534" ht="15.75" customHeight="1">
      <c r="A2534" s="11">
        <f>IFERROR(__xludf.DUMMYFUNCTION("""COMPUTED_VALUE"""),44471.0)</f>
        <v>44471</v>
      </c>
      <c r="B2534" s="9">
        <f>IFERROR(__xludf.DUMMYFUNCTION("""COMPUTED_VALUE"""),1003645.0)</f>
        <v>1003645</v>
      </c>
      <c r="C2534" s="9">
        <f>IFERROR(__xludf.DUMMYFUNCTION("""COMPUTED_VALUE"""),27509.0)</f>
        <v>27509</v>
      </c>
      <c r="D2534" s="9"/>
      <c r="E2534" s="9"/>
      <c r="F2534" s="9">
        <f>IFERROR(__xludf.DUMMYFUNCTION("""COMPUTED_VALUE"""),7.44)</f>
        <v>7.44</v>
      </c>
      <c r="G2534" s="9">
        <f>IFERROR(__xludf.DUMMYFUNCTION("""COMPUTED_VALUE"""),7.44)</f>
        <v>7.44</v>
      </c>
      <c r="H2534" s="9">
        <f>IFERROR(__xludf.DUMMYFUNCTION("""COMPUTED_VALUE"""),1.0)</f>
        <v>1</v>
      </c>
      <c r="I2534" s="9"/>
      <c r="J2534" s="9"/>
      <c r="K2534" s="9"/>
      <c r="L2534" s="9"/>
      <c r="M2534" s="9"/>
      <c r="N2534" s="9"/>
      <c r="O2534" s="9"/>
      <c r="P2534" s="9"/>
      <c r="Q2534" s="9"/>
      <c r="R2534" s="9"/>
      <c r="S2534" s="9"/>
      <c r="T2534" s="9"/>
    </row>
    <row r="2535" ht="15.75" customHeight="1">
      <c r="A2535" s="11">
        <f>IFERROR(__xludf.DUMMYFUNCTION("""COMPUTED_VALUE"""),44471.0)</f>
        <v>44471</v>
      </c>
      <c r="B2535" s="9">
        <f>IFERROR(__xludf.DUMMYFUNCTION("""COMPUTED_VALUE"""),1003645.0)</f>
        <v>1003645</v>
      </c>
      <c r="C2535" s="9">
        <f>IFERROR(__xludf.DUMMYFUNCTION("""COMPUTED_VALUE"""),103095.0)</f>
        <v>103095</v>
      </c>
      <c r="D2535" s="9"/>
      <c r="E2535" s="9"/>
      <c r="F2535" s="9">
        <f>IFERROR(__xludf.DUMMYFUNCTION("""COMPUTED_VALUE"""),5.7)</f>
        <v>5.7</v>
      </c>
      <c r="G2535" s="9">
        <f>IFERROR(__xludf.DUMMYFUNCTION("""COMPUTED_VALUE"""),5.7)</f>
        <v>5.7</v>
      </c>
      <c r="H2535" s="9">
        <f>IFERROR(__xludf.DUMMYFUNCTION("""COMPUTED_VALUE"""),1.0)</f>
        <v>1</v>
      </c>
      <c r="I2535" s="9"/>
      <c r="J2535" s="9"/>
      <c r="K2535" s="9"/>
      <c r="L2535" s="9"/>
      <c r="M2535" s="9"/>
      <c r="N2535" s="9"/>
      <c r="O2535" s="9"/>
      <c r="P2535" s="9"/>
      <c r="Q2535" s="9"/>
      <c r="R2535" s="9"/>
      <c r="S2535" s="9"/>
      <c r="T2535" s="9"/>
    </row>
    <row r="2536" ht="15.75" customHeight="1">
      <c r="A2536" s="11">
        <f>IFERROR(__xludf.DUMMYFUNCTION("""COMPUTED_VALUE"""),44471.0)</f>
        <v>44471</v>
      </c>
      <c r="B2536" s="9">
        <f>IFERROR(__xludf.DUMMYFUNCTION("""COMPUTED_VALUE"""),1003645.0)</f>
        <v>1003645</v>
      </c>
      <c r="C2536" s="9">
        <f>IFERROR(__xludf.DUMMYFUNCTION("""COMPUTED_VALUE"""),91058.0)</f>
        <v>91058</v>
      </c>
      <c r="D2536" s="9"/>
      <c r="E2536" s="9"/>
      <c r="F2536" s="9">
        <f>IFERROR(__xludf.DUMMYFUNCTION("""COMPUTED_VALUE"""),2.37)</f>
        <v>2.37</v>
      </c>
      <c r="G2536" s="9">
        <f>IFERROR(__xludf.DUMMYFUNCTION("""COMPUTED_VALUE"""),2.37)</f>
        <v>2.37</v>
      </c>
      <c r="H2536" s="9">
        <f>IFERROR(__xludf.DUMMYFUNCTION("""COMPUTED_VALUE"""),1.0)</f>
        <v>1</v>
      </c>
      <c r="I2536" s="9"/>
      <c r="J2536" s="9"/>
      <c r="K2536" s="9"/>
      <c r="L2536" s="9"/>
      <c r="M2536" s="9"/>
      <c r="N2536" s="9"/>
      <c r="O2536" s="9"/>
      <c r="P2536" s="9"/>
      <c r="Q2536" s="9"/>
      <c r="R2536" s="9"/>
      <c r="S2536" s="9"/>
      <c r="T2536" s="9"/>
    </row>
    <row r="2537" ht="15.75" customHeight="1">
      <c r="A2537" s="11">
        <f>IFERROR(__xludf.DUMMYFUNCTION("""COMPUTED_VALUE"""),44471.0)</f>
        <v>44471</v>
      </c>
      <c r="B2537" s="9">
        <f>IFERROR(__xludf.DUMMYFUNCTION("""COMPUTED_VALUE"""),1003646.0)</f>
        <v>1003646</v>
      </c>
      <c r="C2537" s="9">
        <f>IFERROR(__xludf.DUMMYFUNCTION("""COMPUTED_VALUE"""),71242.0)</f>
        <v>71242</v>
      </c>
      <c r="D2537" s="9"/>
      <c r="E2537" s="10" t="str">
        <f>IFERROR(__xludf.DUMMYFUNCTION("""COMPUTED_VALUE"""),"PREMIERE")</f>
        <v>PREMIERE</v>
      </c>
      <c r="F2537" s="10">
        <f>IFERROR(__xludf.DUMMYFUNCTION("""COMPUTED_VALUE"""),3.88)</f>
        <v>3.88</v>
      </c>
      <c r="G2537" s="9">
        <f>IFERROR(__xludf.DUMMYFUNCTION("""COMPUTED_VALUE"""),3.88)</f>
        <v>3.88</v>
      </c>
      <c r="H2537" s="9">
        <f>IFERROR(__xludf.DUMMYFUNCTION("""COMPUTED_VALUE"""),1.0)</f>
        <v>1</v>
      </c>
      <c r="I2537" s="9"/>
      <c r="J2537" s="9"/>
      <c r="K2537" s="9"/>
      <c r="L2537" s="9"/>
      <c r="M2537" s="9"/>
      <c r="N2537" s="9"/>
      <c r="O2537" s="9"/>
      <c r="P2537" s="9"/>
      <c r="Q2537" s="9"/>
      <c r="R2537" s="9"/>
      <c r="S2537" s="9"/>
      <c r="T2537" s="9"/>
    </row>
    <row r="2538" ht="15.75" customHeight="1">
      <c r="A2538" s="11">
        <f>IFERROR(__xludf.DUMMYFUNCTION("""COMPUTED_VALUE"""),44471.0)</f>
        <v>44471</v>
      </c>
      <c r="B2538" s="9">
        <f>IFERROR(__xludf.DUMMYFUNCTION("""COMPUTED_VALUE"""),1003646.0)</f>
        <v>1003646</v>
      </c>
      <c r="C2538" s="9">
        <f>IFERROR(__xludf.DUMMYFUNCTION("""COMPUTED_VALUE"""),109310.0)</f>
        <v>109310</v>
      </c>
      <c r="D2538" s="9"/>
      <c r="E2538" s="10" t="str">
        <f>IFERROR(__xludf.DUMMYFUNCTION("""COMPUTED_VALUE"""),"PREMIERE")</f>
        <v>PREMIERE</v>
      </c>
      <c r="F2538" s="10">
        <f>IFERROR(__xludf.DUMMYFUNCTION("""COMPUTED_VALUE"""),6.27)</f>
        <v>6.27</v>
      </c>
      <c r="G2538" s="9">
        <f>IFERROR(__xludf.DUMMYFUNCTION("""COMPUTED_VALUE"""),6.27)</f>
        <v>6.27</v>
      </c>
      <c r="H2538" s="9">
        <f>IFERROR(__xludf.DUMMYFUNCTION("""COMPUTED_VALUE"""),1.0)</f>
        <v>1</v>
      </c>
      <c r="I2538" s="9"/>
      <c r="J2538" s="9"/>
      <c r="K2538" s="9"/>
      <c r="L2538" s="9"/>
      <c r="M2538" s="9"/>
      <c r="N2538" s="9"/>
      <c r="O2538" s="9"/>
      <c r="P2538" s="9"/>
      <c r="Q2538" s="9"/>
      <c r="R2538" s="9"/>
      <c r="S2538" s="9"/>
      <c r="T2538" s="9"/>
    </row>
    <row r="2539" ht="15.75" customHeight="1">
      <c r="A2539" s="11">
        <f>IFERROR(__xludf.DUMMYFUNCTION("""COMPUTED_VALUE"""),44471.0)</f>
        <v>44471</v>
      </c>
      <c r="B2539" s="9">
        <f>IFERROR(__xludf.DUMMYFUNCTION("""COMPUTED_VALUE"""),1003646.0)</f>
        <v>1003646</v>
      </c>
      <c r="C2539" s="9">
        <f>IFERROR(__xludf.DUMMYFUNCTION("""COMPUTED_VALUE"""),79958.0)</f>
        <v>79958</v>
      </c>
      <c r="D2539" s="9"/>
      <c r="E2539" s="10" t="str">
        <f>IFERROR(__xludf.DUMMYFUNCTION("""COMPUTED_VALUE"""),"PREMIERE")</f>
        <v>PREMIERE</v>
      </c>
      <c r="F2539" s="10">
        <f>IFERROR(__xludf.DUMMYFUNCTION("""COMPUTED_VALUE"""),3.21)</f>
        <v>3.21</v>
      </c>
      <c r="G2539" s="9">
        <f>IFERROR(__xludf.DUMMYFUNCTION("""COMPUTED_VALUE"""),3.21)</f>
        <v>3.21</v>
      </c>
      <c r="H2539" s="9">
        <f>IFERROR(__xludf.DUMMYFUNCTION("""COMPUTED_VALUE"""),1.0)</f>
        <v>1</v>
      </c>
      <c r="I2539" s="9"/>
      <c r="J2539" s="9"/>
      <c r="K2539" s="9"/>
      <c r="L2539" s="9"/>
      <c r="M2539" s="9"/>
      <c r="N2539" s="9"/>
      <c r="O2539" s="9"/>
      <c r="P2539" s="9"/>
      <c r="Q2539" s="9"/>
      <c r="R2539" s="9"/>
      <c r="S2539" s="9"/>
      <c r="T2539" s="9"/>
    </row>
    <row r="2540" ht="15.75" customHeight="1">
      <c r="A2540" s="11">
        <f>IFERROR(__xludf.DUMMYFUNCTION("""COMPUTED_VALUE"""),44471.0)</f>
        <v>44471</v>
      </c>
      <c r="B2540" s="9">
        <f>IFERROR(__xludf.DUMMYFUNCTION("""COMPUTED_VALUE"""),1003646.0)</f>
        <v>1003646</v>
      </c>
      <c r="C2540" s="9">
        <f>IFERROR(__xludf.DUMMYFUNCTION("""COMPUTED_VALUE"""),77824.0)</f>
        <v>77824</v>
      </c>
      <c r="D2540" s="10" t="str">
        <f>IFERROR(__xludf.DUMMYFUNCTION("""COMPUTED_VALUE"""),"Vive le bio")</f>
        <v>Vive le bio</v>
      </c>
      <c r="E2540" s="10" t="str">
        <f>IFERROR(__xludf.DUMMYFUNCTION("""COMPUTED_VALUE"""),"PREMIERE")</f>
        <v>PREMIERE</v>
      </c>
      <c r="F2540" s="10">
        <f>IFERROR(__xludf.DUMMYFUNCTION("""COMPUTED_VALUE"""),22.9222222222222)</f>
        <v>22.92222222</v>
      </c>
      <c r="G2540" s="9">
        <f>IFERROR(__xludf.DUMMYFUNCTION("""COMPUTED_VALUE"""),20.63)</f>
        <v>20.63</v>
      </c>
      <c r="H2540" s="9">
        <f>IFERROR(__xludf.DUMMYFUNCTION("""COMPUTED_VALUE"""),1.0)</f>
        <v>1</v>
      </c>
      <c r="I2540" s="9"/>
      <c r="J2540" s="9"/>
      <c r="K2540" s="9"/>
      <c r="L2540" s="9"/>
      <c r="M2540" s="9"/>
      <c r="N2540" s="9"/>
      <c r="O2540" s="9"/>
      <c r="P2540" s="9"/>
      <c r="Q2540" s="9"/>
      <c r="R2540" s="9"/>
      <c r="S2540" s="9"/>
      <c r="T2540" s="9"/>
    </row>
    <row r="2541" ht="15.75" customHeight="1">
      <c r="A2541" s="11">
        <f>IFERROR(__xludf.DUMMYFUNCTION("""COMPUTED_VALUE"""),44471.0)</f>
        <v>44471</v>
      </c>
      <c r="B2541" s="9">
        <f>IFERROR(__xludf.DUMMYFUNCTION("""COMPUTED_VALUE"""),1003647.0)</f>
        <v>1003647</v>
      </c>
      <c r="C2541" s="9">
        <f>IFERROR(__xludf.DUMMYFUNCTION("""COMPUTED_VALUE"""),117676.0)</f>
        <v>117676</v>
      </c>
      <c r="D2541" s="9"/>
      <c r="E2541" s="9"/>
      <c r="F2541" s="9">
        <f>IFERROR(__xludf.DUMMYFUNCTION("""COMPUTED_VALUE"""),92.67)</f>
        <v>92.67</v>
      </c>
      <c r="G2541" s="9">
        <f>IFERROR(__xludf.DUMMYFUNCTION("""COMPUTED_VALUE"""),92.67)</f>
        <v>92.67</v>
      </c>
      <c r="H2541" s="9">
        <f>IFERROR(__xludf.DUMMYFUNCTION("""COMPUTED_VALUE"""),6.0)</f>
        <v>6</v>
      </c>
      <c r="I2541" s="9"/>
      <c r="J2541" s="9"/>
      <c r="K2541" s="9"/>
      <c r="L2541" s="9"/>
      <c r="M2541" s="9"/>
      <c r="N2541" s="9"/>
      <c r="O2541" s="9"/>
      <c r="P2541" s="9"/>
      <c r="Q2541" s="9"/>
      <c r="R2541" s="9"/>
      <c r="S2541" s="9"/>
      <c r="T2541" s="9"/>
    </row>
    <row r="2542" ht="15.75" customHeight="1">
      <c r="A2542" s="11">
        <f>IFERROR(__xludf.DUMMYFUNCTION("""COMPUTED_VALUE"""),44471.0)</f>
        <v>44471</v>
      </c>
      <c r="B2542" s="9">
        <f>IFERROR(__xludf.DUMMYFUNCTION("""COMPUTED_VALUE"""),1003648.0)</f>
        <v>1003648</v>
      </c>
      <c r="C2542" s="9">
        <f>IFERROR(__xludf.DUMMYFUNCTION("""COMPUTED_VALUE"""),103589.0)</f>
        <v>103589</v>
      </c>
      <c r="D2542" s="10" t="str">
        <f>IFERROR(__xludf.DUMMYFUNCTION("""COMPUTED_VALUE"""),"Love &amp; Green Couches et Culottes sept 2021")</f>
        <v>Love &amp; Green Couches et Culottes sept 2021</v>
      </c>
      <c r="E2542" s="10" t="str">
        <f>IFERROR(__xludf.DUMMYFUNCTION("""COMPUTED_VALUE"""),"GREENRELAIS")</f>
        <v>GREENRELAIS</v>
      </c>
      <c r="F2542" s="10">
        <f>IFERROR(__xludf.DUMMYFUNCTION("""COMPUTED_VALUE"""),78.3142857142857)</f>
        <v>78.31428571</v>
      </c>
      <c r="G2542" s="9">
        <f>IFERROR(__xludf.DUMMYFUNCTION("""COMPUTED_VALUE"""),54.82)</f>
        <v>54.82</v>
      </c>
      <c r="H2542" s="9">
        <f>IFERROR(__xludf.DUMMYFUNCTION("""COMPUTED_VALUE"""),5.0)</f>
        <v>5</v>
      </c>
      <c r="I2542" s="9"/>
      <c r="J2542" s="9"/>
      <c r="K2542" s="9"/>
      <c r="L2542" s="9"/>
      <c r="M2542" s="9"/>
      <c r="N2542" s="9"/>
      <c r="O2542" s="9"/>
      <c r="P2542" s="9"/>
      <c r="Q2542" s="9"/>
      <c r="R2542" s="9"/>
      <c r="S2542" s="9"/>
      <c r="T2542" s="9"/>
    </row>
    <row r="2543" ht="15.75" customHeight="1">
      <c r="A2543" s="11">
        <f>IFERROR(__xludf.DUMMYFUNCTION("""COMPUTED_VALUE"""),44471.0)</f>
        <v>44471</v>
      </c>
      <c r="B2543" s="9">
        <f>IFERROR(__xludf.DUMMYFUNCTION("""COMPUTED_VALUE"""),1003649.0)</f>
        <v>1003649</v>
      </c>
      <c r="C2543" s="9">
        <f>IFERROR(__xludf.DUMMYFUNCTION("""COMPUTED_VALUE"""),26651.0)</f>
        <v>26651</v>
      </c>
      <c r="D2543" s="9"/>
      <c r="E2543" s="9"/>
      <c r="F2543" s="9">
        <f>IFERROR(__xludf.DUMMYFUNCTION("""COMPUTED_VALUE"""),100.48)</f>
        <v>100.48</v>
      </c>
      <c r="G2543" s="9">
        <f>IFERROR(__xludf.DUMMYFUNCTION("""COMPUTED_VALUE"""),100.48)</f>
        <v>100.48</v>
      </c>
      <c r="H2543" s="9">
        <f>IFERROR(__xludf.DUMMYFUNCTION("""COMPUTED_VALUE"""),8.0)</f>
        <v>8</v>
      </c>
      <c r="I2543" s="9"/>
      <c r="J2543" s="9"/>
      <c r="K2543" s="9"/>
      <c r="L2543" s="9"/>
      <c r="M2543" s="9"/>
      <c r="N2543" s="9"/>
      <c r="O2543" s="9"/>
      <c r="P2543" s="9"/>
      <c r="Q2543" s="9"/>
      <c r="R2543" s="9"/>
      <c r="S2543" s="9"/>
      <c r="T2543" s="9"/>
    </row>
    <row r="2544" ht="15.75" customHeight="1">
      <c r="A2544" s="11">
        <f>IFERROR(__xludf.DUMMYFUNCTION("""COMPUTED_VALUE"""),44471.0)</f>
        <v>44471</v>
      </c>
      <c r="B2544" s="9">
        <f>IFERROR(__xludf.DUMMYFUNCTION("""COMPUTED_VALUE"""),1003650.0)</f>
        <v>1003650</v>
      </c>
      <c r="C2544" s="9">
        <f>IFERROR(__xludf.DUMMYFUNCTION("""COMPUTED_VALUE"""),116195.0)</f>
        <v>116195</v>
      </c>
      <c r="D2544" s="9"/>
      <c r="E2544" s="9"/>
      <c r="F2544" s="9">
        <f>IFERROR(__xludf.DUMMYFUNCTION("""COMPUTED_VALUE"""),2.0)</f>
        <v>2</v>
      </c>
      <c r="G2544" s="9">
        <f>IFERROR(__xludf.DUMMYFUNCTION("""COMPUTED_VALUE"""),2.0)</f>
        <v>2</v>
      </c>
      <c r="H2544" s="9">
        <f>IFERROR(__xludf.DUMMYFUNCTION("""COMPUTED_VALUE"""),1.0)</f>
        <v>1</v>
      </c>
      <c r="I2544" s="9"/>
      <c r="J2544" s="9"/>
      <c r="K2544" s="9"/>
      <c r="L2544" s="9"/>
      <c r="M2544" s="9"/>
      <c r="N2544" s="9"/>
      <c r="O2544" s="9"/>
      <c r="P2544" s="9"/>
      <c r="Q2544" s="9"/>
      <c r="R2544" s="9"/>
      <c r="S2544" s="9"/>
      <c r="T2544" s="9"/>
    </row>
    <row r="2545" ht="15.75" customHeight="1">
      <c r="A2545" s="11">
        <f>IFERROR(__xludf.DUMMYFUNCTION("""COMPUTED_VALUE"""),44471.0)</f>
        <v>44471</v>
      </c>
      <c r="B2545" s="9">
        <f>IFERROR(__xludf.DUMMYFUNCTION("""COMPUTED_VALUE"""),1003650.0)</f>
        <v>1003650</v>
      </c>
      <c r="C2545" s="9">
        <f>IFERROR(__xludf.DUMMYFUNCTION("""COMPUTED_VALUE"""),43810.0)</f>
        <v>43810</v>
      </c>
      <c r="D2545" s="10" t="str">
        <f>IFERROR(__xludf.DUMMYFUNCTION("""COMPUTED_VALUE"""),"Vive le bio")</f>
        <v>Vive le bio</v>
      </c>
      <c r="E2545" s="10"/>
      <c r="F2545" s="9">
        <f>IFERROR(__xludf.DUMMYFUNCTION("""COMPUTED_VALUE"""),4.92222222222222)</f>
        <v>4.922222222</v>
      </c>
      <c r="G2545" s="9">
        <f>IFERROR(__xludf.DUMMYFUNCTION("""COMPUTED_VALUE"""),4.43)</f>
        <v>4.43</v>
      </c>
      <c r="H2545" s="9">
        <f>IFERROR(__xludf.DUMMYFUNCTION("""COMPUTED_VALUE"""),1.0)</f>
        <v>1</v>
      </c>
      <c r="I2545" s="9"/>
      <c r="J2545" s="9"/>
      <c r="K2545" s="9"/>
      <c r="L2545" s="9"/>
      <c r="M2545" s="9"/>
      <c r="N2545" s="9"/>
      <c r="O2545" s="9"/>
      <c r="P2545" s="9"/>
      <c r="Q2545" s="9"/>
      <c r="R2545" s="9"/>
      <c r="S2545" s="9"/>
      <c r="T2545" s="9"/>
    </row>
    <row r="2546" ht="15.75" customHeight="1">
      <c r="A2546" s="11">
        <f>IFERROR(__xludf.DUMMYFUNCTION("""COMPUTED_VALUE"""),44471.0)</f>
        <v>44471</v>
      </c>
      <c r="B2546" s="9">
        <f>IFERROR(__xludf.DUMMYFUNCTION("""COMPUTED_VALUE"""),1003650.0)</f>
        <v>1003650</v>
      </c>
      <c r="C2546" s="9">
        <f>IFERROR(__xludf.DUMMYFUNCTION("""COMPUTED_VALUE"""),117931.0)</f>
        <v>117931</v>
      </c>
      <c r="D2546" s="9"/>
      <c r="E2546" s="9"/>
      <c r="F2546" s="9">
        <f>IFERROR(__xludf.DUMMYFUNCTION("""COMPUTED_VALUE"""),4.81)</f>
        <v>4.81</v>
      </c>
      <c r="G2546" s="9">
        <f>IFERROR(__xludf.DUMMYFUNCTION("""COMPUTED_VALUE"""),4.81)</f>
        <v>4.81</v>
      </c>
      <c r="H2546" s="9">
        <f>IFERROR(__xludf.DUMMYFUNCTION("""COMPUTED_VALUE"""),1.0)</f>
        <v>1</v>
      </c>
      <c r="I2546" s="9"/>
      <c r="J2546" s="9"/>
      <c r="K2546" s="9"/>
      <c r="L2546" s="9"/>
      <c r="M2546" s="9"/>
      <c r="N2546" s="9"/>
      <c r="O2546" s="9"/>
      <c r="P2546" s="9"/>
      <c r="Q2546" s="9"/>
      <c r="R2546" s="9"/>
      <c r="S2546" s="9"/>
      <c r="T2546" s="9"/>
    </row>
    <row r="2547" ht="15.75" customHeight="1">
      <c r="A2547" s="11">
        <f>IFERROR(__xludf.DUMMYFUNCTION("""COMPUTED_VALUE"""),44471.0)</f>
        <v>44471</v>
      </c>
      <c r="B2547" s="9">
        <f>IFERROR(__xludf.DUMMYFUNCTION("""COMPUTED_VALUE"""),1003650.0)</f>
        <v>1003650</v>
      </c>
      <c r="C2547" s="9">
        <f>IFERROR(__xludf.DUMMYFUNCTION("""COMPUTED_VALUE"""),73187.0)</f>
        <v>73187</v>
      </c>
      <c r="D2547" s="9"/>
      <c r="E2547" s="9"/>
      <c r="F2547" s="9">
        <f>IFERROR(__xludf.DUMMYFUNCTION("""COMPUTED_VALUE"""),18.53)</f>
        <v>18.53</v>
      </c>
      <c r="G2547" s="9">
        <f>IFERROR(__xludf.DUMMYFUNCTION("""COMPUTED_VALUE"""),18.53)</f>
        <v>18.53</v>
      </c>
      <c r="H2547" s="9">
        <f>IFERROR(__xludf.DUMMYFUNCTION("""COMPUTED_VALUE"""),1.0)</f>
        <v>1</v>
      </c>
      <c r="I2547" s="9"/>
      <c r="J2547" s="9"/>
      <c r="K2547" s="9"/>
      <c r="L2547" s="9"/>
      <c r="M2547" s="9"/>
      <c r="N2547" s="9"/>
      <c r="O2547" s="9"/>
      <c r="P2547" s="9"/>
      <c r="Q2547" s="9"/>
      <c r="R2547" s="9"/>
      <c r="S2547" s="9"/>
      <c r="T2547" s="9"/>
    </row>
    <row r="2548" ht="15.75" customHeight="1">
      <c r="A2548" s="11">
        <f>IFERROR(__xludf.DUMMYFUNCTION("""COMPUTED_VALUE"""),44471.0)</f>
        <v>44471</v>
      </c>
      <c r="B2548" s="9">
        <f>IFERROR(__xludf.DUMMYFUNCTION("""COMPUTED_VALUE"""),1003650.0)</f>
        <v>1003650</v>
      </c>
      <c r="C2548" s="9">
        <f>IFERROR(__xludf.DUMMYFUNCTION("""COMPUTED_VALUE"""),79780.0)</f>
        <v>79780</v>
      </c>
      <c r="D2548" s="10" t="str">
        <f>IFERROR(__xludf.DUMMYFUNCTION("""COMPUTED_VALUE"""),"Offre speciale")</f>
        <v>Offre speciale</v>
      </c>
      <c r="E2548" s="10"/>
      <c r="F2548" s="9">
        <f>IFERROR(__xludf.DUMMYFUNCTION("""COMPUTED_VALUE"""),3.81333333333333)</f>
        <v>3.813333333</v>
      </c>
      <c r="G2548" s="9">
        <f>IFERROR(__xludf.DUMMYFUNCTION("""COMPUTED_VALUE"""),2.86)</f>
        <v>2.86</v>
      </c>
      <c r="H2548" s="9">
        <f>IFERROR(__xludf.DUMMYFUNCTION("""COMPUTED_VALUE"""),1.0)</f>
        <v>1</v>
      </c>
      <c r="I2548" s="9"/>
      <c r="J2548" s="9"/>
      <c r="K2548" s="9"/>
      <c r="L2548" s="9"/>
      <c r="M2548" s="9"/>
      <c r="N2548" s="9"/>
      <c r="O2548" s="9"/>
      <c r="P2548" s="9"/>
      <c r="Q2548" s="9"/>
      <c r="R2548" s="9"/>
      <c r="S2548" s="9"/>
      <c r="T2548" s="9"/>
    </row>
    <row r="2549" ht="15.75" customHeight="1">
      <c r="A2549" s="11">
        <f>IFERROR(__xludf.DUMMYFUNCTION("""COMPUTED_VALUE"""),44471.0)</f>
        <v>44471</v>
      </c>
      <c r="B2549" s="9">
        <f>IFERROR(__xludf.DUMMYFUNCTION("""COMPUTED_VALUE"""),1003650.0)</f>
        <v>1003650</v>
      </c>
      <c r="C2549" s="9">
        <f>IFERROR(__xludf.DUMMYFUNCTION("""COMPUTED_VALUE"""),100323.0)</f>
        <v>100323</v>
      </c>
      <c r="D2549" s="10" t="str">
        <f>IFERROR(__xludf.DUMMYFUNCTION("""COMPUTED_VALUE"""),"Offre speciale")</f>
        <v>Offre speciale</v>
      </c>
      <c r="E2549" s="10"/>
      <c r="F2549" s="9">
        <f>IFERROR(__xludf.DUMMYFUNCTION("""COMPUTED_VALUE"""),3.81333333333333)</f>
        <v>3.813333333</v>
      </c>
      <c r="G2549" s="9">
        <f>IFERROR(__xludf.DUMMYFUNCTION("""COMPUTED_VALUE"""),2.86)</f>
        <v>2.86</v>
      </c>
      <c r="H2549" s="9">
        <f>IFERROR(__xludf.DUMMYFUNCTION("""COMPUTED_VALUE"""),1.0)</f>
        <v>1</v>
      </c>
      <c r="I2549" s="9"/>
      <c r="J2549" s="9"/>
      <c r="K2549" s="9"/>
      <c r="L2549" s="9"/>
      <c r="M2549" s="9"/>
      <c r="N2549" s="9"/>
      <c r="O2549" s="9"/>
      <c r="P2549" s="9"/>
      <c r="Q2549" s="9"/>
      <c r="R2549" s="9"/>
      <c r="S2549" s="9"/>
      <c r="T2549" s="9"/>
    </row>
    <row r="2550" ht="15.75" customHeight="1">
      <c r="A2550" s="11">
        <f>IFERROR(__xludf.DUMMYFUNCTION("""COMPUTED_VALUE"""),44471.0)</f>
        <v>44471</v>
      </c>
      <c r="B2550" s="9">
        <f>IFERROR(__xludf.DUMMYFUNCTION("""COMPUTED_VALUE"""),1003650.0)</f>
        <v>1003650</v>
      </c>
      <c r="C2550" s="9">
        <f>IFERROR(__xludf.DUMMYFUNCTION("""COMPUTED_VALUE"""),97980.0)</f>
        <v>97980</v>
      </c>
      <c r="D2550" s="10" t="str">
        <f>IFERROR(__xludf.DUMMYFUNCTION("""COMPUTED_VALUE"""),"Vive le bio")</f>
        <v>Vive le bio</v>
      </c>
      <c r="E2550" s="10"/>
      <c r="F2550" s="9">
        <f>IFERROR(__xludf.DUMMYFUNCTION("""COMPUTED_VALUE"""),22.0333333333333)</f>
        <v>22.03333333</v>
      </c>
      <c r="G2550" s="9">
        <f>IFERROR(__xludf.DUMMYFUNCTION("""COMPUTED_VALUE"""),19.83)</f>
        <v>19.83</v>
      </c>
      <c r="H2550" s="9">
        <f>IFERROR(__xludf.DUMMYFUNCTION("""COMPUTED_VALUE"""),1.0)</f>
        <v>1</v>
      </c>
      <c r="I2550" s="9"/>
      <c r="J2550" s="9"/>
      <c r="K2550" s="9"/>
      <c r="L2550" s="9"/>
      <c r="M2550" s="9"/>
      <c r="N2550" s="9"/>
      <c r="O2550" s="9"/>
      <c r="P2550" s="9"/>
      <c r="Q2550" s="9"/>
      <c r="R2550" s="9"/>
      <c r="S2550" s="9"/>
      <c r="T2550" s="9"/>
    </row>
    <row r="2551" ht="15.75" customHeight="1">
      <c r="A2551" s="11">
        <f>IFERROR(__xludf.DUMMYFUNCTION("""COMPUTED_VALUE"""),44471.0)</f>
        <v>44471</v>
      </c>
      <c r="B2551" s="9">
        <f>IFERROR(__xludf.DUMMYFUNCTION("""COMPUTED_VALUE"""),1003650.0)</f>
        <v>1003650</v>
      </c>
      <c r="C2551" s="9">
        <f>IFERROR(__xludf.DUMMYFUNCTION("""COMPUTED_VALUE"""),124762.0)</f>
        <v>124762</v>
      </c>
      <c r="D2551" s="10" t="str">
        <f>IFERROR(__xludf.DUMMYFUNCTION("""COMPUTED_VALUE"""),"Offre speciale")</f>
        <v>Offre speciale</v>
      </c>
      <c r="E2551" s="10"/>
      <c r="F2551" s="9">
        <f>IFERROR(__xludf.DUMMYFUNCTION("""COMPUTED_VALUE"""),7.63333333333333)</f>
        <v>7.633333333</v>
      </c>
      <c r="G2551" s="9">
        <f>IFERROR(__xludf.DUMMYFUNCTION("""COMPUTED_VALUE"""),6.87)</f>
        <v>6.87</v>
      </c>
      <c r="H2551" s="9">
        <f>IFERROR(__xludf.DUMMYFUNCTION("""COMPUTED_VALUE"""),1.0)</f>
        <v>1</v>
      </c>
      <c r="I2551" s="9"/>
      <c r="J2551" s="9"/>
      <c r="K2551" s="9"/>
      <c r="L2551" s="9"/>
      <c r="M2551" s="9"/>
      <c r="N2551" s="9"/>
      <c r="O2551" s="9"/>
      <c r="P2551" s="9"/>
      <c r="Q2551" s="9"/>
      <c r="R2551" s="9"/>
      <c r="S2551" s="9"/>
      <c r="T2551" s="9"/>
    </row>
    <row r="2552" ht="15.75" customHeight="1">
      <c r="A2552" s="11">
        <f>IFERROR(__xludf.DUMMYFUNCTION("""COMPUTED_VALUE"""),44471.0)</f>
        <v>44471</v>
      </c>
      <c r="B2552" s="9">
        <f>IFERROR(__xludf.DUMMYFUNCTION("""COMPUTED_VALUE"""),1003650.0)</f>
        <v>1003650</v>
      </c>
      <c r="C2552" s="9">
        <f>IFERROR(__xludf.DUMMYFUNCTION("""COMPUTED_VALUE"""),120188.0)</f>
        <v>120188</v>
      </c>
      <c r="D2552" s="10" t="str">
        <f>IFERROR(__xludf.DUMMYFUNCTION("""COMPUTED_VALUE"""),"Offre speciale")</f>
        <v>Offre speciale</v>
      </c>
      <c r="E2552" s="10"/>
      <c r="F2552" s="9">
        <f>IFERROR(__xludf.DUMMYFUNCTION("""COMPUTED_VALUE"""),9.33333333333333)</f>
        <v>9.333333333</v>
      </c>
      <c r="G2552" s="9">
        <f>IFERROR(__xludf.DUMMYFUNCTION("""COMPUTED_VALUE"""),8.4)</f>
        <v>8.4</v>
      </c>
      <c r="H2552" s="9">
        <f>IFERROR(__xludf.DUMMYFUNCTION("""COMPUTED_VALUE"""),1.0)</f>
        <v>1</v>
      </c>
      <c r="I2552" s="9"/>
      <c r="J2552" s="9"/>
      <c r="K2552" s="9"/>
      <c r="L2552" s="9"/>
      <c r="M2552" s="9"/>
      <c r="N2552" s="9"/>
      <c r="O2552" s="9"/>
      <c r="P2552" s="9"/>
      <c r="Q2552" s="9"/>
      <c r="R2552" s="9"/>
      <c r="S2552" s="9"/>
      <c r="T2552" s="9"/>
    </row>
    <row r="2553" ht="15.75" customHeight="1">
      <c r="A2553" s="11">
        <f>IFERROR(__xludf.DUMMYFUNCTION("""COMPUTED_VALUE"""),44471.0)</f>
        <v>44471</v>
      </c>
      <c r="B2553" s="9">
        <f>IFERROR(__xludf.DUMMYFUNCTION("""COMPUTED_VALUE"""),1003650.0)</f>
        <v>1003650</v>
      </c>
      <c r="C2553" s="9">
        <f>IFERROR(__xludf.DUMMYFUNCTION("""COMPUTED_VALUE"""),9727.0)</f>
        <v>9727</v>
      </c>
      <c r="D2553" s="9"/>
      <c r="E2553" s="9"/>
      <c r="F2553" s="9">
        <f>IFERROR(__xludf.DUMMYFUNCTION("""COMPUTED_VALUE"""),6.23)</f>
        <v>6.23</v>
      </c>
      <c r="G2553" s="9">
        <f>IFERROR(__xludf.DUMMYFUNCTION("""COMPUTED_VALUE"""),6.23)</f>
        <v>6.23</v>
      </c>
      <c r="H2553" s="9">
        <f>IFERROR(__xludf.DUMMYFUNCTION("""COMPUTED_VALUE"""),1.0)</f>
        <v>1</v>
      </c>
      <c r="I2553" s="9"/>
      <c r="J2553" s="9"/>
      <c r="K2553" s="9"/>
      <c r="L2553" s="9"/>
      <c r="M2553" s="9"/>
      <c r="N2553" s="9"/>
      <c r="O2553" s="9"/>
      <c r="P2553" s="9"/>
      <c r="Q2553" s="9"/>
      <c r="R2553" s="9"/>
      <c r="S2553" s="9"/>
      <c r="T2553" s="9"/>
    </row>
    <row r="2554" ht="15.75" customHeight="1">
      <c r="A2554" s="11">
        <f>IFERROR(__xludf.DUMMYFUNCTION("""COMPUTED_VALUE"""),44471.0)</f>
        <v>44471</v>
      </c>
      <c r="B2554" s="9">
        <f>IFERROR(__xludf.DUMMYFUNCTION("""COMPUTED_VALUE"""),1003650.0)</f>
        <v>1003650</v>
      </c>
      <c r="C2554" s="9">
        <f>IFERROR(__xludf.DUMMYFUNCTION("""COMPUTED_VALUE"""),80040.0)</f>
        <v>80040</v>
      </c>
      <c r="D2554" s="10" t="str">
        <f>IFERROR(__xludf.DUMMYFUNCTION("""COMPUTED_VALUE"""),"Offre speciale")</f>
        <v>Offre speciale</v>
      </c>
      <c r="E2554" s="10"/>
      <c r="F2554" s="9">
        <f>IFERROR(__xludf.DUMMYFUNCTION("""COMPUTED_VALUE"""),2.86666666666666)</f>
        <v>2.866666667</v>
      </c>
      <c r="G2554" s="9">
        <f>IFERROR(__xludf.DUMMYFUNCTION("""COMPUTED_VALUE"""),2.15)</f>
        <v>2.15</v>
      </c>
      <c r="H2554" s="9">
        <f>IFERROR(__xludf.DUMMYFUNCTION("""COMPUTED_VALUE"""),1.0)</f>
        <v>1</v>
      </c>
      <c r="I2554" s="9"/>
      <c r="J2554" s="9"/>
      <c r="K2554" s="9"/>
      <c r="L2554" s="9"/>
      <c r="M2554" s="9"/>
      <c r="N2554" s="9"/>
      <c r="O2554" s="9"/>
      <c r="P2554" s="9"/>
      <c r="Q2554" s="9"/>
      <c r="R2554" s="9"/>
      <c r="S2554" s="9"/>
      <c r="T2554" s="9"/>
    </row>
    <row r="2555" ht="15.75" customHeight="1">
      <c r="A2555" s="11">
        <f>IFERROR(__xludf.DUMMYFUNCTION("""COMPUTED_VALUE"""),44471.0)</f>
        <v>44471</v>
      </c>
      <c r="B2555" s="9">
        <f>IFERROR(__xludf.DUMMYFUNCTION("""COMPUTED_VALUE"""),1003650.0)</f>
        <v>1003650</v>
      </c>
      <c r="C2555" s="9">
        <f>IFERROR(__xludf.DUMMYFUNCTION("""COMPUTED_VALUE"""),124761.0)</f>
        <v>124761</v>
      </c>
      <c r="D2555" s="10" t="str">
        <f>IFERROR(__xludf.DUMMYFUNCTION("""COMPUTED_VALUE"""),"Offre speciale")</f>
        <v>Offre speciale</v>
      </c>
      <c r="E2555" s="10"/>
      <c r="F2555" s="9">
        <f>IFERROR(__xludf.DUMMYFUNCTION("""COMPUTED_VALUE"""),7.15555555555555)</f>
        <v>7.155555556</v>
      </c>
      <c r="G2555" s="9">
        <f>IFERROR(__xludf.DUMMYFUNCTION("""COMPUTED_VALUE"""),6.44)</f>
        <v>6.44</v>
      </c>
      <c r="H2555" s="9">
        <f>IFERROR(__xludf.DUMMYFUNCTION("""COMPUTED_VALUE"""),1.0)</f>
        <v>1</v>
      </c>
      <c r="I2555" s="9"/>
      <c r="J2555" s="9"/>
      <c r="K2555" s="9"/>
      <c r="L2555" s="9"/>
      <c r="M2555" s="9"/>
      <c r="N2555" s="9"/>
      <c r="O2555" s="9"/>
      <c r="P2555" s="9"/>
      <c r="Q2555" s="9"/>
      <c r="R2555" s="9"/>
      <c r="S2555" s="9"/>
      <c r="T2555" s="9"/>
    </row>
    <row r="2556" ht="15.75" customHeight="1">
      <c r="A2556" s="11">
        <f>IFERROR(__xludf.DUMMYFUNCTION("""COMPUTED_VALUE"""),44471.0)</f>
        <v>44471</v>
      </c>
      <c r="B2556" s="9">
        <f>IFERROR(__xludf.DUMMYFUNCTION("""COMPUTED_VALUE"""),1003650.0)</f>
        <v>1003650</v>
      </c>
      <c r="C2556" s="9">
        <f>IFERROR(__xludf.DUMMYFUNCTION("""COMPUTED_VALUE"""),84203.0)</f>
        <v>84203</v>
      </c>
      <c r="D2556" s="10" t="str">
        <f>IFERROR(__xludf.DUMMYFUNCTION("""COMPUTED_VALUE"""),"Offre speciale")</f>
        <v>Offre speciale</v>
      </c>
      <c r="E2556" s="10"/>
      <c r="F2556" s="9">
        <f>IFERROR(__xludf.DUMMYFUNCTION("""COMPUTED_VALUE"""),12.5411764705882)</f>
        <v>12.54117647</v>
      </c>
      <c r="G2556" s="9">
        <f>IFERROR(__xludf.DUMMYFUNCTION("""COMPUTED_VALUE"""),10.66)</f>
        <v>10.66</v>
      </c>
      <c r="H2556" s="9">
        <f>IFERROR(__xludf.DUMMYFUNCTION("""COMPUTED_VALUE"""),3.0)</f>
        <v>3</v>
      </c>
      <c r="I2556" s="9"/>
      <c r="J2556" s="9"/>
      <c r="K2556" s="9"/>
      <c r="L2556" s="9"/>
      <c r="M2556" s="9"/>
      <c r="N2556" s="9"/>
      <c r="O2556" s="9"/>
      <c r="P2556" s="9"/>
      <c r="Q2556" s="9"/>
      <c r="R2556" s="9"/>
      <c r="S2556" s="9"/>
      <c r="T2556" s="9"/>
    </row>
    <row r="2557" ht="15.75" customHeight="1">
      <c r="A2557" s="11">
        <f>IFERROR(__xludf.DUMMYFUNCTION("""COMPUTED_VALUE"""),44471.0)</f>
        <v>44471</v>
      </c>
      <c r="B2557" s="9">
        <f>IFERROR(__xludf.DUMMYFUNCTION("""COMPUTED_VALUE"""),1003650.0)</f>
        <v>1003650</v>
      </c>
      <c r="C2557" s="9">
        <f>IFERROR(__xludf.DUMMYFUNCTION("""COMPUTED_VALUE"""),80546.0)</f>
        <v>80546</v>
      </c>
      <c r="D2557" s="10" t="str">
        <f>IFERROR(__xludf.DUMMYFUNCTION("""COMPUTED_VALUE"""),"Offre speciale")</f>
        <v>Offre speciale</v>
      </c>
      <c r="E2557" s="10"/>
      <c r="F2557" s="9">
        <f>IFERROR(__xludf.DUMMYFUNCTION("""COMPUTED_VALUE"""),19.3499999999999)</f>
        <v>19.35</v>
      </c>
      <c r="G2557" s="9">
        <f>IFERROR(__xludf.DUMMYFUNCTION("""COMPUTED_VALUE"""),15.48)</f>
        <v>15.48</v>
      </c>
      <c r="H2557" s="9">
        <f>IFERROR(__xludf.DUMMYFUNCTION("""COMPUTED_VALUE"""),3.0)</f>
        <v>3</v>
      </c>
      <c r="I2557" s="9"/>
      <c r="J2557" s="9"/>
      <c r="K2557" s="9"/>
      <c r="L2557" s="9"/>
      <c r="M2557" s="9"/>
      <c r="N2557" s="9"/>
      <c r="O2557" s="9"/>
      <c r="P2557" s="9"/>
      <c r="Q2557" s="9"/>
      <c r="R2557" s="9"/>
      <c r="S2557" s="9"/>
      <c r="T2557" s="9"/>
    </row>
    <row r="2558" ht="15.75" customHeight="1">
      <c r="A2558" s="11">
        <f>IFERROR(__xludf.DUMMYFUNCTION("""COMPUTED_VALUE"""),44471.0)</f>
        <v>44471</v>
      </c>
      <c r="B2558" s="9">
        <f>IFERROR(__xludf.DUMMYFUNCTION("""COMPUTED_VALUE"""),1003650.0)</f>
        <v>1003650</v>
      </c>
      <c r="C2558" s="9">
        <f>IFERROR(__xludf.DUMMYFUNCTION("""COMPUTED_VALUE"""),84234.0)</f>
        <v>84234</v>
      </c>
      <c r="D2558" s="10" t="str">
        <f>IFERROR(__xludf.DUMMYFUNCTION("""COMPUTED_VALUE"""),"Offre speciale")</f>
        <v>Offre speciale</v>
      </c>
      <c r="E2558" s="10"/>
      <c r="F2558" s="9">
        <f>IFERROR(__xludf.DUMMYFUNCTION("""COMPUTED_VALUE"""),9.96470588235294)</f>
        <v>9.964705882</v>
      </c>
      <c r="G2558" s="9">
        <f>IFERROR(__xludf.DUMMYFUNCTION("""COMPUTED_VALUE"""),8.47)</f>
        <v>8.47</v>
      </c>
      <c r="H2558" s="9">
        <f>IFERROR(__xludf.DUMMYFUNCTION("""COMPUTED_VALUE"""),3.0)</f>
        <v>3</v>
      </c>
      <c r="I2558" s="9"/>
      <c r="J2558" s="9"/>
      <c r="K2558" s="9"/>
      <c r="L2558" s="9"/>
      <c r="M2558" s="9"/>
      <c r="N2558" s="9"/>
      <c r="O2558" s="9"/>
      <c r="P2558" s="9"/>
      <c r="Q2558" s="9"/>
      <c r="R2558" s="9"/>
      <c r="S2558" s="9"/>
      <c r="T2558" s="9"/>
    </row>
    <row r="2559" ht="15.75" customHeight="1">
      <c r="A2559" s="11">
        <f>IFERROR(__xludf.DUMMYFUNCTION("""COMPUTED_VALUE"""),44471.0)</f>
        <v>44471</v>
      </c>
      <c r="B2559" s="9">
        <f>IFERROR(__xludf.DUMMYFUNCTION("""COMPUTED_VALUE"""),1003650.0)</f>
        <v>1003650</v>
      </c>
      <c r="C2559" s="9">
        <f>IFERROR(__xludf.DUMMYFUNCTION("""COMPUTED_VALUE"""),71772.0)</f>
        <v>71772</v>
      </c>
      <c r="D2559" s="10" t="str">
        <f>IFERROR(__xludf.DUMMYFUNCTION("""COMPUTED_VALUE"""),"Offre speciale")</f>
        <v>Offre speciale</v>
      </c>
      <c r="E2559" s="10"/>
      <c r="F2559" s="9">
        <f>IFERROR(__xludf.DUMMYFUNCTION("""COMPUTED_VALUE"""),31.4886363636363)</f>
        <v>31.48863636</v>
      </c>
      <c r="G2559" s="9">
        <f>IFERROR(__xludf.DUMMYFUNCTION("""COMPUTED_VALUE"""),27.71)</f>
        <v>27.71</v>
      </c>
      <c r="H2559" s="9">
        <f>IFERROR(__xludf.DUMMYFUNCTION("""COMPUTED_VALUE"""),4.0)</f>
        <v>4</v>
      </c>
      <c r="I2559" s="9"/>
      <c r="J2559" s="9"/>
      <c r="K2559" s="9"/>
      <c r="L2559" s="9"/>
      <c r="M2559" s="9"/>
      <c r="N2559" s="9"/>
      <c r="O2559" s="9"/>
      <c r="P2559" s="9"/>
      <c r="Q2559" s="9"/>
      <c r="R2559" s="9"/>
      <c r="S2559" s="9"/>
      <c r="T2559" s="9"/>
    </row>
    <row r="2560" ht="15.75" customHeight="1">
      <c r="A2560" s="11">
        <f>IFERROR(__xludf.DUMMYFUNCTION("""COMPUTED_VALUE"""),44471.0)</f>
        <v>44471</v>
      </c>
      <c r="B2560" s="9">
        <f>IFERROR(__xludf.DUMMYFUNCTION("""COMPUTED_VALUE"""),1003651.0)</f>
        <v>1003651</v>
      </c>
      <c r="C2560" s="9">
        <f>IFERROR(__xludf.DUMMYFUNCTION("""COMPUTED_VALUE"""),108207.0)</f>
        <v>108207</v>
      </c>
      <c r="D2560" s="9"/>
      <c r="E2560" s="9"/>
      <c r="F2560" s="9">
        <f>IFERROR(__xludf.DUMMYFUNCTION("""COMPUTED_VALUE"""),36.75)</f>
        <v>36.75</v>
      </c>
      <c r="G2560" s="9">
        <f>IFERROR(__xludf.DUMMYFUNCTION("""COMPUTED_VALUE"""),36.75)</f>
        <v>36.75</v>
      </c>
      <c r="H2560" s="9">
        <f>IFERROR(__xludf.DUMMYFUNCTION("""COMPUTED_VALUE"""),1.0)</f>
        <v>1</v>
      </c>
      <c r="I2560" s="9"/>
      <c r="J2560" s="9"/>
      <c r="K2560" s="9"/>
      <c r="L2560" s="9"/>
      <c r="M2560" s="9"/>
      <c r="N2560" s="9"/>
      <c r="O2560" s="9"/>
      <c r="P2560" s="9"/>
      <c r="Q2560" s="9"/>
      <c r="R2560" s="9"/>
      <c r="S2560" s="9"/>
      <c r="T2560" s="9"/>
    </row>
    <row r="2561" ht="15.75" customHeight="1">
      <c r="A2561" s="11">
        <f>IFERROR(__xludf.DUMMYFUNCTION("""COMPUTED_VALUE"""),44471.0)</f>
        <v>44471</v>
      </c>
      <c r="B2561" s="9">
        <f>IFERROR(__xludf.DUMMYFUNCTION("""COMPUTED_VALUE"""),1003652.0)</f>
        <v>1003652</v>
      </c>
      <c r="C2561" s="9">
        <f>IFERROR(__xludf.DUMMYFUNCTION("""COMPUTED_VALUE"""),119465.0)</f>
        <v>119465</v>
      </c>
      <c r="D2561" s="9"/>
      <c r="E2561" s="9"/>
      <c r="F2561" s="9">
        <f>IFERROR(__xludf.DUMMYFUNCTION("""COMPUTED_VALUE"""),18.2)</f>
        <v>18.2</v>
      </c>
      <c r="G2561" s="9">
        <f>IFERROR(__xludf.DUMMYFUNCTION("""COMPUTED_VALUE"""),18.2)</f>
        <v>18.2</v>
      </c>
      <c r="H2561" s="9">
        <f>IFERROR(__xludf.DUMMYFUNCTION("""COMPUTED_VALUE"""),2.0)</f>
        <v>2</v>
      </c>
      <c r="I2561" s="9"/>
      <c r="J2561" s="9"/>
      <c r="K2561" s="9"/>
      <c r="L2561" s="9"/>
      <c r="M2561" s="9"/>
      <c r="N2561" s="9"/>
      <c r="O2561" s="9"/>
      <c r="P2561" s="9"/>
      <c r="Q2561" s="9"/>
      <c r="R2561" s="9"/>
      <c r="S2561" s="9"/>
      <c r="T2561" s="9"/>
    </row>
    <row r="2562" ht="15.75" customHeight="1">
      <c r="A2562" s="11">
        <f>IFERROR(__xludf.DUMMYFUNCTION("""COMPUTED_VALUE"""),44471.0)</f>
        <v>44471</v>
      </c>
      <c r="B2562" s="9">
        <f>IFERROR(__xludf.DUMMYFUNCTION("""COMPUTED_VALUE"""),1003653.0)</f>
        <v>1003653</v>
      </c>
      <c r="C2562" s="9">
        <f>IFERROR(__xludf.DUMMYFUNCTION("""COMPUTED_VALUE"""),7256.0)</f>
        <v>7256</v>
      </c>
      <c r="D2562" s="9"/>
      <c r="E2562" s="10" t="str">
        <f>IFERROR(__xludf.DUMMYFUNCTION("""COMPUTED_VALUE"""),"GREENRELAIS")</f>
        <v>GREENRELAIS</v>
      </c>
      <c r="F2562" s="10">
        <f>IFERROR(__xludf.DUMMYFUNCTION("""COMPUTED_VALUE"""),4.38)</f>
        <v>4.38</v>
      </c>
      <c r="G2562" s="9">
        <f>IFERROR(__xludf.DUMMYFUNCTION("""COMPUTED_VALUE"""),4.38)</f>
        <v>4.38</v>
      </c>
      <c r="H2562" s="9">
        <f>IFERROR(__xludf.DUMMYFUNCTION("""COMPUTED_VALUE"""),3.0)</f>
        <v>3</v>
      </c>
      <c r="I2562" s="9"/>
      <c r="J2562" s="9"/>
      <c r="K2562" s="9"/>
      <c r="L2562" s="9"/>
      <c r="M2562" s="9"/>
      <c r="N2562" s="9"/>
      <c r="O2562" s="9"/>
      <c r="P2562" s="9"/>
      <c r="Q2562" s="9"/>
      <c r="R2562" s="9"/>
      <c r="S2562" s="9"/>
      <c r="T2562" s="9"/>
    </row>
    <row r="2563" ht="15.75" customHeight="1">
      <c r="A2563" s="11">
        <f>IFERROR(__xludf.DUMMYFUNCTION("""COMPUTED_VALUE"""),44471.0)</f>
        <v>44471</v>
      </c>
      <c r="B2563" s="9">
        <f>IFERROR(__xludf.DUMMYFUNCTION("""COMPUTED_VALUE"""),1003653.0)</f>
        <v>1003653</v>
      </c>
      <c r="C2563" s="9">
        <f>IFERROR(__xludf.DUMMYFUNCTION("""COMPUTED_VALUE"""),98445.0)</f>
        <v>98445</v>
      </c>
      <c r="D2563" s="10" t="str">
        <f>IFERROR(__xludf.DUMMYFUNCTION("""COMPUTED_VALUE"""),"Vive le bio")</f>
        <v>Vive le bio</v>
      </c>
      <c r="E2563" s="10" t="str">
        <f>IFERROR(__xludf.DUMMYFUNCTION("""COMPUTED_VALUE"""),"GREENRELAIS")</f>
        <v>GREENRELAIS</v>
      </c>
      <c r="F2563" s="10">
        <f>IFERROR(__xludf.DUMMYFUNCTION("""COMPUTED_VALUE"""),26.8888888888888)</f>
        <v>26.88888889</v>
      </c>
      <c r="G2563" s="9">
        <f>IFERROR(__xludf.DUMMYFUNCTION("""COMPUTED_VALUE"""),24.2)</f>
        <v>24.2</v>
      </c>
      <c r="H2563" s="9">
        <f>IFERROR(__xludf.DUMMYFUNCTION("""COMPUTED_VALUE"""),12.0)</f>
        <v>12</v>
      </c>
      <c r="I2563" s="9"/>
      <c r="J2563" s="9"/>
      <c r="K2563" s="9"/>
      <c r="L2563" s="9"/>
      <c r="M2563" s="9"/>
      <c r="N2563" s="9"/>
      <c r="O2563" s="9"/>
      <c r="P2563" s="9"/>
      <c r="Q2563" s="9"/>
      <c r="R2563" s="9"/>
      <c r="S2563" s="9"/>
      <c r="T2563" s="9"/>
    </row>
    <row r="2564" ht="15.75" customHeight="1">
      <c r="A2564" s="11">
        <f>IFERROR(__xludf.DUMMYFUNCTION("""COMPUTED_VALUE"""),44471.0)</f>
        <v>44471</v>
      </c>
      <c r="B2564" s="9">
        <f>IFERROR(__xludf.DUMMYFUNCTION("""COMPUTED_VALUE"""),1003653.0)</f>
        <v>1003653</v>
      </c>
      <c r="C2564" s="9">
        <f>IFERROR(__xludf.DUMMYFUNCTION("""COMPUTED_VALUE"""),7263.0)</f>
        <v>7263</v>
      </c>
      <c r="D2564" s="9"/>
      <c r="E2564" s="10" t="str">
        <f>IFERROR(__xludf.DUMMYFUNCTION("""COMPUTED_VALUE"""),"GREENRELAIS")</f>
        <v>GREENRELAIS</v>
      </c>
      <c r="F2564" s="10">
        <f>IFERROR(__xludf.DUMMYFUNCTION("""COMPUTED_VALUE"""),26.39)</f>
        <v>26.39</v>
      </c>
      <c r="G2564" s="9">
        <f>IFERROR(__xludf.DUMMYFUNCTION("""COMPUTED_VALUE"""),26.39)</f>
        <v>26.39</v>
      </c>
      <c r="H2564" s="9">
        <f>IFERROR(__xludf.DUMMYFUNCTION("""COMPUTED_VALUE"""),12.0)</f>
        <v>12</v>
      </c>
      <c r="I2564" s="9"/>
      <c r="J2564" s="9"/>
      <c r="K2564" s="9"/>
      <c r="L2564" s="9"/>
      <c r="M2564" s="9"/>
      <c r="N2564" s="9"/>
      <c r="O2564" s="9"/>
      <c r="P2564" s="9"/>
      <c r="Q2564" s="9"/>
      <c r="R2564" s="9"/>
      <c r="S2564" s="9"/>
      <c r="T2564" s="9"/>
    </row>
    <row r="2565" ht="15.75" customHeight="1">
      <c r="A2565" s="11">
        <f>IFERROR(__xludf.DUMMYFUNCTION("""COMPUTED_VALUE"""),44471.0)</f>
        <v>44471</v>
      </c>
      <c r="B2565" s="9">
        <f>IFERROR(__xludf.DUMMYFUNCTION("""COMPUTED_VALUE"""),1003654.0)</f>
        <v>1003654</v>
      </c>
      <c r="C2565" s="9">
        <f>IFERROR(__xludf.DUMMYFUNCTION("""COMPUTED_VALUE"""),121869.0)</f>
        <v>121869</v>
      </c>
      <c r="D2565" s="9"/>
      <c r="E2565" s="10" t="str">
        <f>IFERROR(__xludf.DUMMYFUNCTION("""COMPUTED_VALUE"""),"HAPPEEZ")</f>
        <v>HAPPEEZ</v>
      </c>
      <c r="F2565" s="10">
        <f>IFERROR(__xludf.DUMMYFUNCTION("""COMPUTED_VALUE"""),17.2)</f>
        <v>17.2</v>
      </c>
      <c r="G2565" s="9">
        <f>IFERROR(__xludf.DUMMYFUNCTION("""COMPUTED_VALUE"""),17.2)</f>
        <v>17.2</v>
      </c>
      <c r="H2565" s="9">
        <f>IFERROR(__xludf.DUMMYFUNCTION("""COMPUTED_VALUE"""),1.0)</f>
        <v>1</v>
      </c>
      <c r="I2565" s="9"/>
      <c r="J2565" s="9"/>
      <c r="K2565" s="9"/>
      <c r="L2565" s="9"/>
      <c r="M2565" s="9"/>
      <c r="N2565" s="9"/>
      <c r="O2565" s="9"/>
      <c r="P2565" s="9"/>
      <c r="Q2565" s="9"/>
      <c r="R2565" s="9"/>
      <c r="S2565" s="9"/>
      <c r="T2565" s="9"/>
    </row>
    <row r="2566" ht="15.75" customHeight="1">
      <c r="A2566" s="11">
        <f>IFERROR(__xludf.DUMMYFUNCTION("""COMPUTED_VALUE"""),44471.0)</f>
        <v>44471</v>
      </c>
      <c r="B2566" s="9">
        <f>IFERROR(__xludf.DUMMYFUNCTION("""COMPUTED_VALUE"""),1003654.0)</f>
        <v>1003654</v>
      </c>
      <c r="C2566" s="9">
        <f>IFERROR(__xludf.DUMMYFUNCTION("""COMPUTED_VALUE"""),104791.0)</f>
        <v>104791</v>
      </c>
      <c r="D2566" s="9"/>
      <c r="E2566" s="10" t="str">
        <f>IFERROR(__xludf.DUMMYFUNCTION("""COMPUTED_VALUE"""),"HAPPEEZ")</f>
        <v>HAPPEEZ</v>
      </c>
      <c r="F2566" s="10">
        <f>IFERROR(__xludf.DUMMYFUNCTION("""COMPUTED_VALUE"""),2.42)</f>
        <v>2.42</v>
      </c>
      <c r="G2566" s="9">
        <f>IFERROR(__xludf.DUMMYFUNCTION("""COMPUTED_VALUE"""),2.42)</f>
        <v>2.42</v>
      </c>
      <c r="H2566" s="9">
        <f>IFERROR(__xludf.DUMMYFUNCTION("""COMPUTED_VALUE"""),1.0)</f>
        <v>1</v>
      </c>
      <c r="I2566" s="9"/>
      <c r="J2566" s="9"/>
      <c r="K2566" s="9"/>
      <c r="L2566" s="9"/>
      <c r="M2566" s="9"/>
      <c r="N2566" s="9"/>
      <c r="O2566" s="9"/>
      <c r="P2566" s="9"/>
      <c r="Q2566" s="9"/>
      <c r="R2566" s="9"/>
      <c r="S2566" s="9"/>
      <c r="T2566" s="9"/>
    </row>
    <row r="2567" ht="15.75" customHeight="1">
      <c r="A2567" s="11">
        <f>IFERROR(__xludf.DUMMYFUNCTION("""COMPUTED_VALUE"""),44471.0)</f>
        <v>44471</v>
      </c>
      <c r="B2567" s="9">
        <f>IFERROR(__xludf.DUMMYFUNCTION("""COMPUTED_VALUE"""),1003654.0)</f>
        <v>1003654</v>
      </c>
      <c r="C2567" s="9">
        <f>IFERROR(__xludf.DUMMYFUNCTION("""COMPUTED_VALUE"""),9735.0)</f>
        <v>9735</v>
      </c>
      <c r="D2567" s="9"/>
      <c r="E2567" s="10" t="str">
        <f>IFERROR(__xludf.DUMMYFUNCTION("""COMPUTED_VALUE"""),"HAPPEEZ")</f>
        <v>HAPPEEZ</v>
      </c>
      <c r="F2567" s="10">
        <f>IFERROR(__xludf.DUMMYFUNCTION("""COMPUTED_VALUE"""),3.68)</f>
        <v>3.68</v>
      </c>
      <c r="G2567" s="9">
        <f>IFERROR(__xludf.DUMMYFUNCTION("""COMPUTED_VALUE"""),3.68)</f>
        <v>3.68</v>
      </c>
      <c r="H2567" s="9">
        <f>IFERROR(__xludf.DUMMYFUNCTION("""COMPUTED_VALUE"""),1.0)</f>
        <v>1</v>
      </c>
      <c r="I2567" s="9"/>
      <c r="J2567" s="9"/>
      <c r="K2567" s="9"/>
      <c r="L2567" s="9"/>
      <c r="M2567" s="9"/>
      <c r="N2567" s="9"/>
      <c r="O2567" s="9"/>
      <c r="P2567" s="9"/>
      <c r="Q2567" s="9"/>
      <c r="R2567" s="9"/>
      <c r="S2567" s="9"/>
      <c r="T2567" s="9"/>
    </row>
    <row r="2568" ht="15.75" customHeight="1">
      <c r="A2568" s="11">
        <f>IFERROR(__xludf.DUMMYFUNCTION("""COMPUTED_VALUE"""),44471.0)</f>
        <v>44471</v>
      </c>
      <c r="B2568" s="9">
        <f>IFERROR(__xludf.DUMMYFUNCTION("""COMPUTED_VALUE"""),1003654.0)</f>
        <v>1003654</v>
      </c>
      <c r="C2568" s="9">
        <f>IFERROR(__xludf.DUMMYFUNCTION("""COMPUTED_VALUE"""),45057.0)</f>
        <v>45057</v>
      </c>
      <c r="D2568" s="10" t="str">
        <f>IFERROR(__xludf.DUMMYFUNCTION("""COMPUTED_VALUE"""),"Vive le bio")</f>
        <v>Vive le bio</v>
      </c>
      <c r="E2568" s="10" t="str">
        <f>IFERROR(__xludf.DUMMYFUNCTION("""COMPUTED_VALUE"""),"HAPPEEZ")</f>
        <v>HAPPEEZ</v>
      </c>
      <c r="F2568" s="10">
        <f>IFERROR(__xludf.DUMMYFUNCTION("""COMPUTED_VALUE"""),9.77777777777777)</f>
        <v>9.777777778</v>
      </c>
      <c r="G2568" s="9">
        <f>IFERROR(__xludf.DUMMYFUNCTION("""COMPUTED_VALUE"""),8.8)</f>
        <v>8.8</v>
      </c>
      <c r="H2568" s="9">
        <f>IFERROR(__xludf.DUMMYFUNCTION("""COMPUTED_VALUE"""),1.0)</f>
        <v>1</v>
      </c>
      <c r="I2568" s="9"/>
      <c r="J2568" s="9"/>
      <c r="K2568" s="9"/>
      <c r="L2568" s="9"/>
      <c r="M2568" s="9"/>
      <c r="N2568" s="9"/>
      <c r="O2568" s="9"/>
      <c r="P2568" s="9"/>
      <c r="Q2568" s="9"/>
      <c r="R2568" s="9"/>
      <c r="S2568" s="9"/>
      <c r="T2568" s="9"/>
    </row>
    <row r="2569" ht="15.75" customHeight="1">
      <c r="A2569" s="11">
        <f>IFERROR(__xludf.DUMMYFUNCTION("""COMPUTED_VALUE"""),44471.0)</f>
        <v>44471</v>
      </c>
      <c r="B2569" s="9">
        <f>IFERROR(__xludf.DUMMYFUNCTION("""COMPUTED_VALUE"""),1003654.0)</f>
        <v>1003654</v>
      </c>
      <c r="C2569" s="9">
        <f>IFERROR(__xludf.DUMMYFUNCTION("""COMPUTED_VALUE"""),73175.0)</f>
        <v>73175</v>
      </c>
      <c r="D2569" s="9"/>
      <c r="E2569" s="10" t="str">
        <f>IFERROR(__xludf.DUMMYFUNCTION("""COMPUTED_VALUE"""),"HAPPEEZ")</f>
        <v>HAPPEEZ</v>
      </c>
      <c r="F2569" s="10">
        <f>IFERROR(__xludf.DUMMYFUNCTION("""COMPUTED_VALUE"""),35.11)</f>
        <v>35.11</v>
      </c>
      <c r="G2569" s="9">
        <f>IFERROR(__xludf.DUMMYFUNCTION("""COMPUTED_VALUE"""),35.11)</f>
        <v>35.11</v>
      </c>
      <c r="H2569" s="9">
        <f>IFERROR(__xludf.DUMMYFUNCTION("""COMPUTED_VALUE"""),2.0)</f>
        <v>2</v>
      </c>
      <c r="I2569" s="9"/>
      <c r="J2569" s="9"/>
      <c r="K2569" s="9"/>
      <c r="L2569" s="9"/>
      <c r="M2569" s="9"/>
      <c r="N2569" s="9"/>
      <c r="O2569" s="9"/>
      <c r="P2569" s="9"/>
      <c r="Q2569" s="9"/>
      <c r="R2569" s="9"/>
      <c r="S2569" s="9"/>
      <c r="T2569" s="9"/>
    </row>
    <row r="2570" ht="15.75" customHeight="1">
      <c r="A2570" s="11">
        <f>IFERROR(__xludf.DUMMYFUNCTION("""COMPUTED_VALUE"""),44471.0)</f>
        <v>44471</v>
      </c>
      <c r="B2570" s="9">
        <f>IFERROR(__xludf.DUMMYFUNCTION("""COMPUTED_VALUE"""),1003654.0)</f>
        <v>1003654</v>
      </c>
      <c r="C2570" s="9">
        <f>IFERROR(__xludf.DUMMYFUNCTION("""COMPUTED_VALUE"""),5502.0)</f>
        <v>5502</v>
      </c>
      <c r="D2570" s="9"/>
      <c r="E2570" s="10" t="str">
        <f>IFERROR(__xludf.DUMMYFUNCTION("""COMPUTED_VALUE"""),"HAPPEEZ")</f>
        <v>HAPPEEZ</v>
      </c>
      <c r="F2570" s="10">
        <f>IFERROR(__xludf.DUMMYFUNCTION("""COMPUTED_VALUE"""),14.76)</f>
        <v>14.76</v>
      </c>
      <c r="G2570" s="9">
        <f>IFERROR(__xludf.DUMMYFUNCTION("""COMPUTED_VALUE"""),14.76)</f>
        <v>14.76</v>
      </c>
      <c r="H2570" s="9">
        <f>IFERROR(__xludf.DUMMYFUNCTION("""COMPUTED_VALUE"""),3.0)</f>
        <v>3</v>
      </c>
      <c r="I2570" s="9"/>
      <c r="J2570" s="9"/>
      <c r="K2570" s="9"/>
      <c r="L2570" s="9"/>
      <c r="M2570" s="9"/>
      <c r="N2570" s="9"/>
      <c r="O2570" s="9"/>
      <c r="P2570" s="9"/>
      <c r="Q2570" s="9"/>
      <c r="R2570" s="9"/>
      <c r="S2570" s="9"/>
      <c r="T2570" s="9"/>
    </row>
    <row r="2571" ht="15.75" customHeight="1">
      <c r="A2571" s="11">
        <f>IFERROR(__xludf.DUMMYFUNCTION("""COMPUTED_VALUE"""),44471.0)</f>
        <v>44471</v>
      </c>
      <c r="B2571" s="9">
        <f>IFERROR(__xludf.DUMMYFUNCTION("""COMPUTED_VALUE"""),1003654.0)</f>
        <v>1003654</v>
      </c>
      <c r="C2571" s="9">
        <f>IFERROR(__xludf.DUMMYFUNCTION("""COMPUTED_VALUE"""),101298.0)</f>
        <v>101298</v>
      </c>
      <c r="D2571" s="10" t="str">
        <f>IFERROR(__xludf.DUMMYFUNCTION("""COMPUTED_VALUE"""),"Natur'vox Carryboo couches Sept 21")</f>
        <v>Natur'vox Carryboo couches Sept 21</v>
      </c>
      <c r="E2571" s="10" t="str">
        <f>IFERROR(__xludf.DUMMYFUNCTION("""COMPUTED_VALUE"""),"HAPPEEZ")</f>
        <v>HAPPEEZ</v>
      </c>
      <c r="F2571" s="10">
        <f>IFERROR(__xludf.DUMMYFUNCTION("""COMPUTED_VALUE"""),49.12)</f>
        <v>49.12</v>
      </c>
      <c r="G2571" s="9">
        <f>IFERROR(__xludf.DUMMYFUNCTION("""COMPUTED_VALUE"""),36.84)</f>
        <v>36.84</v>
      </c>
      <c r="H2571" s="9">
        <f>IFERROR(__xludf.DUMMYFUNCTION("""COMPUTED_VALUE"""),3.0)</f>
        <v>3</v>
      </c>
      <c r="I2571" s="9"/>
      <c r="J2571" s="9"/>
      <c r="K2571" s="9"/>
      <c r="L2571" s="9"/>
      <c r="M2571" s="9"/>
      <c r="N2571" s="9"/>
      <c r="O2571" s="9"/>
      <c r="P2571" s="9"/>
      <c r="Q2571" s="9"/>
      <c r="R2571" s="9"/>
      <c r="S2571" s="9"/>
      <c r="T2571" s="9"/>
    </row>
    <row r="2572" ht="15.75" customHeight="1">
      <c r="A2572" s="11">
        <f>IFERROR(__xludf.DUMMYFUNCTION("""COMPUTED_VALUE"""),44471.0)</f>
        <v>44471</v>
      </c>
      <c r="B2572" s="9">
        <f>IFERROR(__xludf.DUMMYFUNCTION("""COMPUTED_VALUE"""),1003654.0)</f>
        <v>1003654</v>
      </c>
      <c r="C2572" s="9">
        <f>IFERROR(__xludf.DUMMYFUNCTION("""COMPUTED_VALUE"""),101297.0)</f>
        <v>101297</v>
      </c>
      <c r="D2572" s="10" t="str">
        <f>IFERROR(__xludf.DUMMYFUNCTION("""COMPUTED_VALUE"""),"Natur'vox Carryboo couches Sept 21")</f>
        <v>Natur'vox Carryboo couches Sept 21</v>
      </c>
      <c r="E2572" s="10" t="str">
        <f>IFERROR(__xludf.DUMMYFUNCTION("""COMPUTED_VALUE"""),"HAPPEEZ")</f>
        <v>HAPPEEZ</v>
      </c>
      <c r="F2572" s="10">
        <f>IFERROR(__xludf.DUMMYFUNCTION("""COMPUTED_VALUE"""),49.12)</f>
        <v>49.12</v>
      </c>
      <c r="G2572" s="9">
        <f>IFERROR(__xludf.DUMMYFUNCTION("""COMPUTED_VALUE"""),36.84)</f>
        <v>36.84</v>
      </c>
      <c r="H2572" s="9">
        <f>IFERROR(__xludf.DUMMYFUNCTION("""COMPUTED_VALUE"""),3.0)</f>
        <v>3</v>
      </c>
      <c r="I2572" s="9"/>
      <c r="J2572" s="9"/>
      <c r="K2572" s="9"/>
      <c r="L2572" s="9"/>
      <c r="M2572" s="9"/>
      <c r="N2572" s="9"/>
      <c r="O2572" s="9"/>
      <c r="P2572" s="9"/>
      <c r="Q2572" s="9"/>
      <c r="R2572" s="9"/>
      <c r="S2572" s="9"/>
      <c r="T2572" s="9"/>
    </row>
    <row r="2573" ht="15.75" customHeight="1">
      <c r="A2573" s="11">
        <f>IFERROR(__xludf.DUMMYFUNCTION("""COMPUTED_VALUE"""),44471.0)</f>
        <v>44471</v>
      </c>
      <c r="B2573" s="9">
        <f>IFERROR(__xludf.DUMMYFUNCTION("""COMPUTED_VALUE"""),1003654.0)</f>
        <v>1003654</v>
      </c>
      <c r="C2573" s="9">
        <f>IFERROR(__xludf.DUMMYFUNCTION("""COMPUTED_VALUE"""),76212.0)</f>
        <v>76212</v>
      </c>
      <c r="D2573" s="9"/>
      <c r="E2573" s="10" t="str">
        <f>IFERROR(__xludf.DUMMYFUNCTION("""COMPUTED_VALUE"""),"HAPPEEZ")</f>
        <v>HAPPEEZ</v>
      </c>
      <c r="F2573" s="10">
        <f>IFERROR(__xludf.DUMMYFUNCTION("""COMPUTED_VALUE"""),10.59)</f>
        <v>10.59</v>
      </c>
      <c r="G2573" s="9">
        <f>IFERROR(__xludf.DUMMYFUNCTION("""COMPUTED_VALUE"""),10.59)</f>
        <v>10.59</v>
      </c>
      <c r="H2573" s="9">
        <f>IFERROR(__xludf.DUMMYFUNCTION("""COMPUTED_VALUE"""),3.0)</f>
        <v>3</v>
      </c>
      <c r="I2573" s="9"/>
      <c r="J2573" s="9"/>
      <c r="K2573" s="9"/>
      <c r="L2573" s="9"/>
      <c r="M2573" s="9"/>
      <c r="N2573" s="9"/>
      <c r="O2573" s="9"/>
      <c r="P2573" s="9"/>
      <c r="Q2573" s="9"/>
      <c r="R2573" s="9"/>
      <c r="S2573" s="9"/>
      <c r="T2573" s="9"/>
    </row>
    <row r="2574" ht="15.75" customHeight="1">
      <c r="A2574" s="11">
        <f>IFERROR(__xludf.DUMMYFUNCTION("""COMPUTED_VALUE"""),44471.0)</f>
        <v>44471</v>
      </c>
      <c r="B2574" s="9">
        <f>IFERROR(__xludf.DUMMYFUNCTION("""COMPUTED_VALUE"""),1003654.0)</f>
        <v>1003654</v>
      </c>
      <c r="C2574" s="9">
        <f>IFERROR(__xludf.DUMMYFUNCTION("""COMPUTED_VALUE"""),115773.0)</f>
        <v>115773</v>
      </c>
      <c r="D2574" s="9"/>
      <c r="E2574" s="10" t="str">
        <f>IFERROR(__xludf.DUMMYFUNCTION("""COMPUTED_VALUE"""),"HAPPEEZ")</f>
        <v>HAPPEEZ</v>
      </c>
      <c r="F2574" s="10">
        <f>IFERROR(__xludf.DUMMYFUNCTION("""COMPUTED_VALUE"""),69.36)</f>
        <v>69.36</v>
      </c>
      <c r="G2574" s="9">
        <f>IFERROR(__xludf.DUMMYFUNCTION("""COMPUTED_VALUE"""),69.36)</f>
        <v>69.36</v>
      </c>
      <c r="H2574" s="9">
        <f>IFERROR(__xludf.DUMMYFUNCTION("""COMPUTED_VALUE"""),3.0)</f>
        <v>3</v>
      </c>
      <c r="I2574" s="9"/>
      <c r="J2574" s="9"/>
      <c r="K2574" s="9"/>
      <c r="L2574" s="9"/>
      <c r="M2574" s="9"/>
      <c r="N2574" s="9"/>
      <c r="O2574" s="9"/>
      <c r="P2574" s="9"/>
      <c r="Q2574" s="9"/>
      <c r="R2574" s="9"/>
      <c r="S2574" s="9"/>
      <c r="T2574" s="9"/>
    </row>
    <row r="2575" ht="15.75" customHeight="1">
      <c r="A2575" s="11">
        <f>IFERROR(__xludf.DUMMYFUNCTION("""COMPUTED_VALUE"""),44471.0)</f>
        <v>44471</v>
      </c>
      <c r="B2575" s="9">
        <f>IFERROR(__xludf.DUMMYFUNCTION("""COMPUTED_VALUE"""),1003654.0)</f>
        <v>1003654</v>
      </c>
      <c r="C2575" s="9">
        <f>IFERROR(__xludf.DUMMYFUNCTION("""COMPUTED_VALUE"""),46330.0)</f>
        <v>46330</v>
      </c>
      <c r="D2575" s="10" t="str">
        <f>IFERROR(__xludf.DUMMYFUNCTION("""COMPUTED_VALUE"""),"Vive le bio")</f>
        <v>Vive le bio</v>
      </c>
      <c r="E2575" s="10" t="str">
        <f>IFERROR(__xludf.DUMMYFUNCTION("""COMPUTED_VALUE"""),"HAPPEEZ")</f>
        <v>HAPPEEZ</v>
      </c>
      <c r="F2575" s="10">
        <f>IFERROR(__xludf.DUMMYFUNCTION("""COMPUTED_VALUE"""),6.06666666666666)</f>
        <v>6.066666667</v>
      </c>
      <c r="G2575" s="9">
        <f>IFERROR(__xludf.DUMMYFUNCTION("""COMPUTED_VALUE"""),5.46)</f>
        <v>5.46</v>
      </c>
      <c r="H2575" s="9">
        <f>IFERROR(__xludf.DUMMYFUNCTION("""COMPUTED_VALUE"""),4.0)</f>
        <v>4</v>
      </c>
      <c r="I2575" s="9"/>
      <c r="J2575" s="9"/>
      <c r="K2575" s="9"/>
      <c r="L2575" s="9"/>
      <c r="M2575" s="9"/>
      <c r="N2575" s="9"/>
      <c r="O2575" s="9"/>
      <c r="P2575" s="9"/>
      <c r="Q2575" s="9"/>
      <c r="R2575" s="9"/>
      <c r="S2575" s="9"/>
      <c r="T2575" s="9"/>
    </row>
    <row r="2576" ht="15.75" customHeight="1">
      <c r="A2576" s="11">
        <f>IFERROR(__xludf.DUMMYFUNCTION("""COMPUTED_VALUE"""),44471.0)</f>
        <v>44471</v>
      </c>
      <c r="B2576" s="9">
        <f>IFERROR(__xludf.DUMMYFUNCTION("""COMPUTED_VALUE"""),1003654.0)</f>
        <v>1003654</v>
      </c>
      <c r="C2576" s="9">
        <f>IFERROR(__xludf.DUMMYFUNCTION("""COMPUTED_VALUE"""),77408.0)</f>
        <v>77408</v>
      </c>
      <c r="D2576" s="10" t="str">
        <f>IFERROR(__xludf.DUMMYFUNCTION("""COMPUTED_VALUE"""),"Vive le bio")</f>
        <v>Vive le bio</v>
      </c>
      <c r="E2576" s="10" t="str">
        <f>IFERROR(__xludf.DUMMYFUNCTION("""COMPUTED_VALUE"""),"HAPPEEZ")</f>
        <v>HAPPEEZ</v>
      </c>
      <c r="F2576" s="10">
        <f>IFERROR(__xludf.DUMMYFUNCTION("""COMPUTED_VALUE"""),6.56666666666666)</f>
        <v>6.566666667</v>
      </c>
      <c r="G2576" s="9">
        <f>IFERROR(__xludf.DUMMYFUNCTION("""COMPUTED_VALUE"""),5.91)</f>
        <v>5.91</v>
      </c>
      <c r="H2576" s="9">
        <f>IFERROR(__xludf.DUMMYFUNCTION("""COMPUTED_VALUE"""),4.0)</f>
        <v>4</v>
      </c>
      <c r="I2576" s="9"/>
      <c r="J2576" s="9"/>
      <c r="K2576" s="9"/>
      <c r="L2576" s="9"/>
      <c r="M2576" s="9"/>
      <c r="N2576" s="9"/>
      <c r="O2576" s="9"/>
      <c r="P2576" s="9"/>
      <c r="Q2576" s="9"/>
      <c r="R2576" s="9"/>
      <c r="S2576" s="9"/>
      <c r="T2576" s="9"/>
    </row>
    <row r="2577" ht="15.75" customHeight="1">
      <c r="A2577" s="11">
        <f>IFERROR(__xludf.DUMMYFUNCTION("""COMPUTED_VALUE"""),44471.0)</f>
        <v>44471</v>
      </c>
      <c r="B2577" s="9">
        <f>IFERROR(__xludf.DUMMYFUNCTION("""COMPUTED_VALUE"""),1003654.0)</f>
        <v>1003654</v>
      </c>
      <c r="C2577" s="9">
        <f>IFERROR(__xludf.DUMMYFUNCTION("""COMPUTED_VALUE"""),114255.0)</f>
        <v>114255</v>
      </c>
      <c r="D2577" s="9"/>
      <c r="E2577" s="10" t="str">
        <f>IFERROR(__xludf.DUMMYFUNCTION("""COMPUTED_VALUE"""),"HAPPEEZ")</f>
        <v>HAPPEEZ</v>
      </c>
      <c r="F2577" s="10">
        <f>IFERROR(__xludf.DUMMYFUNCTION("""COMPUTED_VALUE"""),92.11)</f>
        <v>92.11</v>
      </c>
      <c r="G2577" s="9">
        <f>IFERROR(__xludf.DUMMYFUNCTION("""COMPUTED_VALUE"""),92.11)</f>
        <v>92.11</v>
      </c>
      <c r="H2577" s="9">
        <f>IFERROR(__xludf.DUMMYFUNCTION("""COMPUTED_VALUE"""),4.0)</f>
        <v>4</v>
      </c>
      <c r="I2577" s="9"/>
      <c r="J2577" s="9"/>
      <c r="K2577" s="9"/>
      <c r="L2577" s="9"/>
      <c r="M2577" s="9"/>
      <c r="N2577" s="9"/>
      <c r="O2577" s="9"/>
      <c r="P2577" s="9"/>
      <c r="Q2577" s="9"/>
      <c r="R2577" s="9"/>
      <c r="S2577" s="9"/>
      <c r="T2577" s="9"/>
    </row>
    <row r="2578" ht="15.75" customHeight="1">
      <c r="A2578" s="11">
        <f>IFERROR(__xludf.DUMMYFUNCTION("""COMPUTED_VALUE"""),44471.0)</f>
        <v>44471</v>
      </c>
      <c r="B2578" s="9">
        <f>IFERROR(__xludf.DUMMYFUNCTION("""COMPUTED_VALUE"""),1003654.0)</f>
        <v>1003654</v>
      </c>
      <c r="C2578" s="9">
        <f>IFERROR(__xludf.DUMMYFUNCTION("""COMPUTED_VALUE"""),77293.0)</f>
        <v>77293</v>
      </c>
      <c r="D2578" s="10" t="str">
        <f>IFERROR(__xludf.DUMMYFUNCTION("""COMPUTED_VALUE"""),"Offre speciale")</f>
        <v>Offre speciale</v>
      </c>
      <c r="E2578" s="10" t="str">
        <f>IFERROR(__xludf.DUMMYFUNCTION("""COMPUTED_VALUE"""),"HAPPEEZ")</f>
        <v>HAPPEEZ</v>
      </c>
      <c r="F2578" s="10">
        <f>IFERROR(__xludf.DUMMYFUNCTION("""COMPUTED_VALUE"""),18.1058823529411)</f>
        <v>18.10588235</v>
      </c>
      <c r="G2578" s="9">
        <f>IFERROR(__xludf.DUMMYFUNCTION("""COMPUTED_VALUE"""),15.39)</f>
        <v>15.39</v>
      </c>
      <c r="H2578" s="9">
        <f>IFERROR(__xludf.DUMMYFUNCTION("""COMPUTED_VALUE"""),5.0)</f>
        <v>5</v>
      </c>
      <c r="I2578" s="9"/>
      <c r="J2578" s="9"/>
      <c r="K2578" s="9"/>
      <c r="L2578" s="9"/>
      <c r="M2578" s="9"/>
      <c r="N2578" s="9"/>
      <c r="O2578" s="9"/>
      <c r="P2578" s="9"/>
      <c r="Q2578" s="9"/>
      <c r="R2578" s="9"/>
      <c r="S2578" s="9"/>
      <c r="T2578" s="9"/>
    </row>
    <row r="2579" ht="15.75" customHeight="1">
      <c r="A2579" s="11">
        <f>IFERROR(__xludf.DUMMYFUNCTION("""COMPUTED_VALUE"""),44471.0)</f>
        <v>44471</v>
      </c>
      <c r="B2579" s="9">
        <f>IFERROR(__xludf.DUMMYFUNCTION("""COMPUTED_VALUE"""),1003654.0)</f>
        <v>1003654</v>
      </c>
      <c r="C2579" s="9">
        <f>IFERROR(__xludf.DUMMYFUNCTION("""COMPUTED_VALUE"""),76282.0)</f>
        <v>76282</v>
      </c>
      <c r="D2579" s="10" t="str">
        <f>IFERROR(__xludf.DUMMYFUNCTION("""COMPUTED_VALUE"""),"Vive le bio")</f>
        <v>Vive le bio</v>
      </c>
      <c r="E2579" s="10" t="str">
        <f>IFERROR(__xludf.DUMMYFUNCTION("""COMPUTED_VALUE"""),"HAPPEEZ")</f>
        <v>HAPPEEZ</v>
      </c>
      <c r="F2579" s="10">
        <f>IFERROR(__xludf.DUMMYFUNCTION("""COMPUTED_VALUE"""),11.3777777777777)</f>
        <v>11.37777778</v>
      </c>
      <c r="G2579" s="9">
        <f>IFERROR(__xludf.DUMMYFUNCTION("""COMPUTED_VALUE"""),10.24)</f>
        <v>10.24</v>
      </c>
      <c r="H2579" s="9">
        <f>IFERROR(__xludf.DUMMYFUNCTION("""COMPUTED_VALUE"""),6.0)</f>
        <v>6</v>
      </c>
      <c r="I2579" s="9"/>
      <c r="J2579" s="9"/>
      <c r="K2579" s="9"/>
      <c r="L2579" s="9"/>
      <c r="M2579" s="9"/>
      <c r="N2579" s="9"/>
      <c r="O2579" s="9"/>
      <c r="P2579" s="9"/>
      <c r="Q2579" s="9"/>
      <c r="R2579" s="9"/>
      <c r="S2579" s="9"/>
      <c r="T2579" s="9"/>
    </row>
    <row r="2580" ht="15.75" customHeight="1">
      <c r="A2580" s="11">
        <f>IFERROR(__xludf.DUMMYFUNCTION("""COMPUTED_VALUE"""),44471.0)</f>
        <v>44471</v>
      </c>
      <c r="B2580" s="9">
        <f>IFERROR(__xludf.DUMMYFUNCTION("""COMPUTED_VALUE"""),1003654.0)</f>
        <v>1003654</v>
      </c>
      <c r="C2580" s="9">
        <f>IFERROR(__xludf.DUMMYFUNCTION("""COMPUTED_VALUE"""),87171.0)</f>
        <v>87171</v>
      </c>
      <c r="D2580" s="10" t="str">
        <f>IFERROR(__xludf.DUMMYFUNCTION("""COMPUTED_VALUE"""),"Vive le bio")</f>
        <v>Vive le bio</v>
      </c>
      <c r="E2580" s="10" t="str">
        <f>IFERROR(__xludf.DUMMYFUNCTION("""COMPUTED_VALUE"""),"HAPPEEZ")</f>
        <v>HAPPEEZ</v>
      </c>
      <c r="F2580" s="10">
        <f>IFERROR(__xludf.DUMMYFUNCTION("""COMPUTED_VALUE"""),24.9666666666666)</f>
        <v>24.96666667</v>
      </c>
      <c r="G2580" s="9">
        <f>IFERROR(__xludf.DUMMYFUNCTION("""COMPUTED_VALUE"""),22.47)</f>
        <v>22.47</v>
      </c>
      <c r="H2580" s="9">
        <f>IFERROR(__xludf.DUMMYFUNCTION("""COMPUTED_VALUE"""),6.0)</f>
        <v>6</v>
      </c>
      <c r="I2580" s="9"/>
      <c r="J2580" s="9"/>
      <c r="K2580" s="9"/>
      <c r="L2580" s="9"/>
      <c r="M2580" s="9"/>
      <c r="N2580" s="9"/>
      <c r="O2580" s="9"/>
      <c r="P2580" s="9"/>
      <c r="Q2580" s="9"/>
      <c r="R2580" s="9"/>
      <c r="S2580" s="9"/>
      <c r="T2580" s="9"/>
    </row>
    <row r="2581" ht="15.75" customHeight="1">
      <c r="A2581" s="11">
        <f>IFERROR(__xludf.DUMMYFUNCTION("""COMPUTED_VALUE"""),44471.0)</f>
        <v>44471</v>
      </c>
      <c r="B2581" s="9">
        <f>IFERROR(__xludf.DUMMYFUNCTION("""COMPUTED_VALUE"""),1003654.0)</f>
        <v>1003654</v>
      </c>
      <c r="C2581" s="9">
        <f>IFERROR(__xludf.DUMMYFUNCTION("""COMPUTED_VALUE"""),87285.0)</f>
        <v>87285</v>
      </c>
      <c r="D2581" s="10" t="str">
        <f>IFERROR(__xludf.DUMMYFUNCTION("""COMPUTED_VALUE"""),"Vive le bio")</f>
        <v>Vive le bio</v>
      </c>
      <c r="E2581" s="10" t="str">
        <f>IFERROR(__xludf.DUMMYFUNCTION("""COMPUTED_VALUE"""),"HAPPEEZ")</f>
        <v>HAPPEEZ</v>
      </c>
      <c r="F2581" s="10">
        <f>IFERROR(__xludf.DUMMYFUNCTION("""COMPUTED_VALUE"""),24.3777777777777)</f>
        <v>24.37777778</v>
      </c>
      <c r="G2581" s="9">
        <f>IFERROR(__xludf.DUMMYFUNCTION("""COMPUTED_VALUE"""),21.94)</f>
        <v>21.94</v>
      </c>
      <c r="H2581" s="9">
        <f>IFERROR(__xludf.DUMMYFUNCTION("""COMPUTED_VALUE"""),10.0)</f>
        <v>10</v>
      </c>
      <c r="I2581" s="9"/>
      <c r="J2581" s="9"/>
      <c r="K2581" s="9"/>
      <c r="L2581" s="9"/>
      <c r="M2581" s="9"/>
      <c r="N2581" s="9"/>
      <c r="O2581" s="9"/>
      <c r="P2581" s="9"/>
      <c r="Q2581" s="9"/>
      <c r="R2581" s="9"/>
      <c r="S2581" s="9"/>
      <c r="T2581" s="9"/>
    </row>
    <row r="2582" ht="15.75" customHeight="1">
      <c r="A2582" s="11">
        <f>IFERROR(__xludf.DUMMYFUNCTION("""COMPUTED_VALUE"""),44471.0)</f>
        <v>44471</v>
      </c>
      <c r="B2582" s="9">
        <f>IFERROR(__xludf.DUMMYFUNCTION("""COMPUTED_VALUE"""),1003655.0)</f>
        <v>1003655</v>
      </c>
      <c r="C2582" s="9">
        <f>IFERROR(__xludf.DUMMYFUNCTION("""COMPUTED_VALUE"""),109310.0)</f>
        <v>109310</v>
      </c>
      <c r="D2582" s="9"/>
      <c r="E2582" s="10" t="str">
        <f>IFERROR(__xludf.DUMMYFUNCTION("""COMPUTED_VALUE"""),"PREMIERE")</f>
        <v>PREMIERE</v>
      </c>
      <c r="F2582" s="10">
        <f>IFERROR(__xludf.DUMMYFUNCTION("""COMPUTED_VALUE"""),6.27)</f>
        <v>6.27</v>
      </c>
      <c r="G2582" s="9">
        <f>IFERROR(__xludf.DUMMYFUNCTION("""COMPUTED_VALUE"""),6.27)</f>
        <v>6.27</v>
      </c>
      <c r="H2582" s="9">
        <f>IFERROR(__xludf.DUMMYFUNCTION("""COMPUTED_VALUE"""),1.0)</f>
        <v>1</v>
      </c>
      <c r="I2582" s="9"/>
      <c r="J2582" s="9"/>
      <c r="K2582" s="9"/>
      <c r="L2582" s="9"/>
      <c r="M2582" s="9"/>
      <c r="N2582" s="9"/>
      <c r="O2582" s="9"/>
      <c r="P2582" s="9"/>
      <c r="Q2582" s="9"/>
      <c r="R2582" s="9"/>
      <c r="S2582" s="9"/>
      <c r="T2582" s="9"/>
    </row>
    <row r="2583" ht="15.75" customHeight="1">
      <c r="A2583" s="11">
        <f>IFERROR(__xludf.DUMMYFUNCTION("""COMPUTED_VALUE"""),44471.0)</f>
        <v>44471</v>
      </c>
      <c r="B2583" s="9">
        <f>IFERROR(__xludf.DUMMYFUNCTION("""COMPUTED_VALUE"""),1003655.0)</f>
        <v>1003655</v>
      </c>
      <c r="C2583" s="9">
        <f>IFERROR(__xludf.DUMMYFUNCTION("""COMPUTED_VALUE"""),107400.0)</f>
        <v>107400</v>
      </c>
      <c r="D2583" s="9"/>
      <c r="E2583" s="10" t="str">
        <f>IFERROR(__xludf.DUMMYFUNCTION("""COMPUTED_VALUE"""),"PREMIERE")</f>
        <v>PREMIERE</v>
      </c>
      <c r="F2583" s="10">
        <f>IFERROR(__xludf.DUMMYFUNCTION("""COMPUTED_VALUE"""),7.62)</f>
        <v>7.62</v>
      </c>
      <c r="G2583" s="9">
        <f>IFERROR(__xludf.DUMMYFUNCTION("""COMPUTED_VALUE"""),7.62)</f>
        <v>7.62</v>
      </c>
      <c r="H2583" s="9">
        <f>IFERROR(__xludf.DUMMYFUNCTION("""COMPUTED_VALUE"""),1.0)</f>
        <v>1</v>
      </c>
      <c r="I2583" s="9"/>
      <c r="J2583" s="9"/>
      <c r="K2583" s="9"/>
      <c r="L2583" s="9"/>
      <c r="M2583" s="9"/>
      <c r="N2583" s="9"/>
      <c r="O2583" s="9"/>
      <c r="P2583" s="9"/>
      <c r="Q2583" s="9"/>
      <c r="R2583" s="9"/>
      <c r="S2583" s="9"/>
      <c r="T2583" s="9"/>
    </row>
    <row r="2584" ht="15.75" customHeight="1">
      <c r="A2584" s="11">
        <f>IFERROR(__xludf.DUMMYFUNCTION("""COMPUTED_VALUE"""),44471.0)</f>
        <v>44471</v>
      </c>
      <c r="B2584" s="9">
        <f>IFERROR(__xludf.DUMMYFUNCTION("""COMPUTED_VALUE"""),1003655.0)</f>
        <v>1003655</v>
      </c>
      <c r="C2584" s="9">
        <f>IFERROR(__xludf.DUMMYFUNCTION("""COMPUTED_VALUE"""),69238.0)</f>
        <v>69238</v>
      </c>
      <c r="D2584" s="9"/>
      <c r="E2584" s="10" t="str">
        <f>IFERROR(__xludf.DUMMYFUNCTION("""COMPUTED_VALUE"""),"PREMIERE")</f>
        <v>PREMIERE</v>
      </c>
      <c r="F2584" s="10">
        <f>IFERROR(__xludf.DUMMYFUNCTION("""COMPUTED_VALUE"""),4.42)</f>
        <v>4.42</v>
      </c>
      <c r="G2584" s="9">
        <f>IFERROR(__xludf.DUMMYFUNCTION("""COMPUTED_VALUE"""),4.42)</f>
        <v>4.42</v>
      </c>
      <c r="H2584" s="9">
        <f>IFERROR(__xludf.DUMMYFUNCTION("""COMPUTED_VALUE"""),1.0)</f>
        <v>1</v>
      </c>
      <c r="I2584" s="9"/>
      <c r="J2584" s="9"/>
      <c r="K2584" s="9"/>
      <c r="L2584" s="9"/>
      <c r="M2584" s="9"/>
      <c r="N2584" s="9"/>
      <c r="O2584" s="9"/>
      <c r="P2584" s="9"/>
      <c r="Q2584" s="9"/>
      <c r="R2584" s="9"/>
      <c r="S2584" s="9"/>
      <c r="T2584" s="9"/>
    </row>
    <row r="2585" ht="15.75" customHeight="1">
      <c r="A2585" s="11">
        <f>IFERROR(__xludf.DUMMYFUNCTION("""COMPUTED_VALUE"""),44471.0)</f>
        <v>44471</v>
      </c>
      <c r="B2585" s="9">
        <f>IFERROR(__xludf.DUMMYFUNCTION("""COMPUTED_VALUE"""),1003655.0)</f>
        <v>1003655</v>
      </c>
      <c r="C2585" s="9">
        <f>IFERROR(__xludf.DUMMYFUNCTION("""COMPUTED_VALUE"""),10572.0)</f>
        <v>10572</v>
      </c>
      <c r="D2585" s="9"/>
      <c r="E2585" s="10" t="str">
        <f>IFERROR(__xludf.DUMMYFUNCTION("""COMPUTED_VALUE"""),"PREMIERE")</f>
        <v>PREMIERE</v>
      </c>
      <c r="F2585" s="10">
        <f>IFERROR(__xludf.DUMMYFUNCTION("""COMPUTED_VALUE"""),3.22)</f>
        <v>3.22</v>
      </c>
      <c r="G2585" s="9">
        <f>IFERROR(__xludf.DUMMYFUNCTION("""COMPUTED_VALUE"""),3.22)</f>
        <v>3.22</v>
      </c>
      <c r="H2585" s="9">
        <f>IFERROR(__xludf.DUMMYFUNCTION("""COMPUTED_VALUE"""),1.0)</f>
        <v>1</v>
      </c>
      <c r="I2585" s="9"/>
      <c r="J2585" s="9"/>
      <c r="K2585" s="9"/>
      <c r="L2585" s="9"/>
      <c r="M2585" s="9"/>
      <c r="N2585" s="9"/>
      <c r="O2585" s="9"/>
      <c r="P2585" s="9"/>
      <c r="Q2585" s="9"/>
      <c r="R2585" s="9"/>
      <c r="S2585" s="9"/>
      <c r="T2585" s="9"/>
    </row>
    <row r="2586" ht="15.75" customHeight="1">
      <c r="A2586" s="11">
        <f>IFERROR(__xludf.DUMMYFUNCTION("""COMPUTED_VALUE"""),44471.0)</f>
        <v>44471</v>
      </c>
      <c r="B2586" s="9">
        <f>IFERROR(__xludf.DUMMYFUNCTION("""COMPUTED_VALUE"""),1003655.0)</f>
        <v>1003655</v>
      </c>
      <c r="C2586" s="9">
        <f>IFERROR(__xludf.DUMMYFUNCTION("""COMPUTED_VALUE"""),107406.0)</f>
        <v>107406</v>
      </c>
      <c r="D2586" s="9"/>
      <c r="E2586" s="10" t="str">
        <f>IFERROR(__xludf.DUMMYFUNCTION("""COMPUTED_VALUE"""),"PREMIERE")</f>
        <v>PREMIERE</v>
      </c>
      <c r="F2586" s="10">
        <f>IFERROR(__xludf.DUMMYFUNCTION("""COMPUTED_VALUE"""),9.15)</f>
        <v>9.15</v>
      </c>
      <c r="G2586" s="9">
        <f>IFERROR(__xludf.DUMMYFUNCTION("""COMPUTED_VALUE"""),9.15)</f>
        <v>9.15</v>
      </c>
      <c r="H2586" s="9">
        <f>IFERROR(__xludf.DUMMYFUNCTION("""COMPUTED_VALUE"""),1.0)</f>
        <v>1</v>
      </c>
      <c r="I2586" s="9"/>
      <c r="J2586" s="9"/>
      <c r="K2586" s="9"/>
      <c r="L2586" s="9"/>
      <c r="M2586" s="9"/>
      <c r="N2586" s="9"/>
      <c r="O2586" s="9"/>
      <c r="P2586" s="9"/>
      <c r="Q2586" s="9"/>
      <c r="R2586" s="9"/>
      <c r="S2586" s="9"/>
      <c r="T2586" s="9"/>
    </row>
    <row r="2587" ht="15.75" customHeight="1">
      <c r="A2587" s="11">
        <f>IFERROR(__xludf.DUMMYFUNCTION("""COMPUTED_VALUE"""),44471.0)</f>
        <v>44471</v>
      </c>
      <c r="B2587" s="9">
        <f>IFERROR(__xludf.DUMMYFUNCTION("""COMPUTED_VALUE"""),1003655.0)</f>
        <v>1003655</v>
      </c>
      <c r="C2587" s="9">
        <f>IFERROR(__xludf.DUMMYFUNCTION("""COMPUTED_VALUE"""),107631.0)</f>
        <v>107631</v>
      </c>
      <c r="D2587" s="10" t="str">
        <f>IFERROR(__xludf.DUMMYFUNCTION("""COMPUTED_VALUE"""),"Offre speciale")</f>
        <v>Offre speciale</v>
      </c>
      <c r="E2587" s="10" t="str">
        <f>IFERROR(__xludf.DUMMYFUNCTION("""COMPUTED_VALUE"""),"PREMIERE")</f>
        <v>PREMIERE</v>
      </c>
      <c r="F2587" s="10">
        <f>IFERROR(__xludf.DUMMYFUNCTION("""COMPUTED_VALUE"""),7.70967741935483)</f>
        <v>7.709677419</v>
      </c>
      <c r="G2587" s="9">
        <f>IFERROR(__xludf.DUMMYFUNCTION("""COMPUTED_VALUE"""),7.17)</f>
        <v>7.17</v>
      </c>
      <c r="H2587" s="9">
        <f>IFERROR(__xludf.DUMMYFUNCTION("""COMPUTED_VALUE"""),1.0)</f>
        <v>1</v>
      </c>
      <c r="I2587" s="9"/>
      <c r="J2587" s="9"/>
      <c r="K2587" s="9"/>
      <c r="L2587" s="9"/>
      <c r="M2587" s="9"/>
      <c r="N2587" s="9"/>
      <c r="O2587" s="9"/>
      <c r="P2587" s="9"/>
      <c r="Q2587" s="9"/>
      <c r="R2587" s="9"/>
      <c r="S2587" s="9"/>
      <c r="T2587" s="9"/>
    </row>
    <row r="2588" ht="15.75" customHeight="1">
      <c r="A2588" s="11">
        <f>IFERROR(__xludf.DUMMYFUNCTION("""COMPUTED_VALUE"""),44471.0)</f>
        <v>44471</v>
      </c>
      <c r="B2588" s="9">
        <f>IFERROR(__xludf.DUMMYFUNCTION("""COMPUTED_VALUE"""),1003656.0)</f>
        <v>1003656</v>
      </c>
      <c r="C2588" s="9">
        <f>IFERROR(__xludf.DUMMYFUNCTION("""COMPUTED_VALUE"""),194997.0)</f>
        <v>194997</v>
      </c>
      <c r="D2588" s="9"/>
      <c r="E2588" s="10" t="str">
        <f>IFERROR(__xludf.DUMMYFUNCTION("""COMPUTED_VALUE"""),"HAPPEEZ")</f>
        <v>HAPPEEZ</v>
      </c>
      <c r="F2588" s="10">
        <f>IFERROR(__xludf.DUMMYFUNCTION("""COMPUTED_VALUE"""),4.54)</f>
        <v>4.54</v>
      </c>
      <c r="G2588" s="9">
        <f>IFERROR(__xludf.DUMMYFUNCTION("""COMPUTED_VALUE"""),4.54)</f>
        <v>4.54</v>
      </c>
      <c r="H2588" s="9">
        <f>IFERROR(__xludf.DUMMYFUNCTION("""COMPUTED_VALUE"""),1.0)</f>
        <v>1</v>
      </c>
      <c r="I2588" s="9"/>
      <c r="J2588" s="9"/>
      <c r="K2588" s="9"/>
      <c r="L2588" s="9"/>
      <c r="M2588" s="9"/>
      <c r="N2588" s="9"/>
      <c r="O2588" s="9"/>
      <c r="P2588" s="9"/>
      <c r="Q2588" s="9"/>
      <c r="R2588" s="9"/>
      <c r="S2588" s="9"/>
      <c r="T2588" s="9"/>
    </row>
    <row r="2589" ht="15.75" customHeight="1">
      <c r="A2589" s="11">
        <f>IFERROR(__xludf.DUMMYFUNCTION("""COMPUTED_VALUE"""),44471.0)</f>
        <v>44471</v>
      </c>
      <c r="B2589" s="9">
        <f>IFERROR(__xludf.DUMMYFUNCTION("""COMPUTED_VALUE"""),1003656.0)</f>
        <v>1003656</v>
      </c>
      <c r="C2589" s="9">
        <f>IFERROR(__xludf.DUMMYFUNCTION("""COMPUTED_VALUE"""),114961.0)</f>
        <v>114961</v>
      </c>
      <c r="D2589" s="9"/>
      <c r="E2589" s="10" t="str">
        <f>IFERROR(__xludf.DUMMYFUNCTION("""COMPUTED_VALUE"""),"HAPPEEZ")</f>
        <v>HAPPEEZ</v>
      </c>
      <c r="F2589" s="10">
        <f>IFERROR(__xludf.DUMMYFUNCTION("""COMPUTED_VALUE"""),9.57)</f>
        <v>9.57</v>
      </c>
      <c r="G2589" s="9">
        <f>IFERROR(__xludf.DUMMYFUNCTION("""COMPUTED_VALUE"""),9.57)</f>
        <v>9.57</v>
      </c>
      <c r="H2589" s="9">
        <f>IFERROR(__xludf.DUMMYFUNCTION("""COMPUTED_VALUE"""),1.0)</f>
        <v>1</v>
      </c>
      <c r="I2589" s="9"/>
      <c r="J2589" s="9"/>
      <c r="K2589" s="9"/>
      <c r="L2589" s="9"/>
      <c r="M2589" s="9"/>
      <c r="N2589" s="9"/>
      <c r="O2589" s="9"/>
      <c r="P2589" s="9"/>
      <c r="Q2589" s="9"/>
      <c r="R2589" s="9"/>
      <c r="S2589" s="9"/>
      <c r="T2589" s="9"/>
    </row>
    <row r="2590" ht="15.75" customHeight="1">
      <c r="A2590" s="11">
        <f>IFERROR(__xludf.DUMMYFUNCTION("""COMPUTED_VALUE"""),44471.0)</f>
        <v>44471</v>
      </c>
      <c r="B2590" s="9">
        <f>IFERROR(__xludf.DUMMYFUNCTION("""COMPUTED_VALUE"""),1003656.0)</f>
        <v>1003656</v>
      </c>
      <c r="C2590" s="9">
        <f>IFERROR(__xludf.DUMMYFUNCTION("""COMPUTED_VALUE"""),74453.0)</f>
        <v>74453</v>
      </c>
      <c r="D2590" s="9"/>
      <c r="E2590" s="10" t="str">
        <f>IFERROR(__xludf.DUMMYFUNCTION("""COMPUTED_VALUE"""),"HAPPEEZ")</f>
        <v>HAPPEEZ</v>
      </c>
      <c r="F2590" s="10">
        <f>IFERROR(__xludf.DUMMYFUNCTION("""COMPUTED_VALUE"""),11.22)</f>
        <v>11.22</v>
      </c>
      <c r="G2590" s="9">
        <f>IFERROR(__xludf.DUMMYFUNCTION("""COMPUTED_VALUE"""),11.22)</f>
        <v>11.22</v>
      </c>
      <c r="H2590" s="9">
        <f>IFERROR(__xludf.DUMMYFUNCTION("""COMPUTED_VALUE"""),2.0)</f>
        <v>2</v>
      </c>
      <c r="I2590" s="9"/>
      <c r="J2590" s="9"/>
      <c r="K2590" s="9"/>
      <c r="L2590" s="9"/>
      <c r="M2590" s="9"/>
      <c r="N2590" s="9"/>
      <c r="O2590" s="9"/>
      <c r="P2590" s="9"/>
      <c r="Q2590" s="9"/>
      <c r="R2590" s="9"/>
      <c r="S2590" s="9"/>
      <c r="T2590" s="9"/>
    </row>
    <row r="2591" ht="15.75" customHeight="1">
      <c r="A2591" s="11">
        <f>IFERROR(__xludf.DUMMYFUNCTION("""COMPUTED_VALUE"""),44471.0)</f>
        <v>44471</v>
      </c>
      <c r="B2591" s="9">
        <f>IFERROR(__xludf.DUMMYFUNCTION("""COMPUTED_VALUE"""),1003656.0)</f>
        <v>1003656</v>
      </c>
      <c r="C2591" s="9">
        <f>IFERROR(__xludf.DUMMYFUNCTION("""COMPUTED_VALUE"""),9471.0)</f>
        <v>9471</v>
      </c>
      <c r="D2591" s="9"/>
      <c r="E2591" s="10" t="str">
        <f>IFERROR(__xludf.DUMMYFUNCTION("""COMPUTED_VALUE"""),"HAPPEEZ")</f>
        <v>HAPPEEZ</v>
      </c>
      <c r="F2591" s="10">
        <f>IFERROR(__xludf.DUMMYFUNCTION("""COMPUTED_VALUE"""),10.05)</f>
        <v>10.05</v>
      </c>
      <c r="G2591" s="9">
        <f>IFERROR(__xludf.DUMMYFUNCTION("""COMPUTED_VALUE"""),10.05)</f>
        <v>10.05</v>
      </c>
      <c r="H2591" s="9">
        <f>IFERROR(__xludf.DUMMYFUNCTION("""COMPUTED_VALUE"""),2.0)</f>
        <v>2</v>
      </c>
      <c r="I2591" s="9"/>
      <c r="J2591" s="9"/>
      <c r="K2591" s="9"/>
      <c r="L2591" s="9"/>
      <c r="M2591" s="9"/>
      <c r="N2591" s="9"/>
      <c r="O2591" s="9"/>
      <c r="P2591" s="9"/>
      <c r="Q2591" s="9"/>
      <c r="R2591" s="9"/>
      <c r="S2591" s="9"/>
      <c r="T2591" s="9"/>
    </row>
    <row r="2592" ht="15.75" customHeight="1">
      <c r="A2592" s="11">
        <f>IFERROR(__xludf.DUMMYFUNCTION("""COMPUTED_VALUE"""),44471.0)</f>
        <v>44471</v>
      </c>
      <c r="B2592" s="9">
        <f>IFERROR(__xludf.DUMMYFUNCTION("""COMPUTED_VALUE"""),1003656.0)</f>
        <v>1003656</v>
      </c>
      <c r="C2592" s="9">
        <f>IFERROR(__xludf.DUMMYFUNCTION("""COMPUTED_VALUE"""),77038.0)</f>
        <v>77038</v>
      </c>
      <c r="D2592" s="9"/>
      <c r="E2592" s="10" t="str">
        <f>IFERROR(__xludf.DUMMYFUNCTION("""COMPUTED_VALUE"""),"HAPPEEZ")</f>
        <v>HAPPEEZ</v>
      </c>
      <c r="F2592" s="10">
        <f>IFERROR(__xludf.DUMMYFUNCTION("""COMPUTED_VALUE"""),4.46)</f>
        <v>4.46</v>
      </c>
      <c r="G2592" s="9">
        <f>IFERROR(__xludf.DUMMYFUNCTION("""COMPUTED_VALUE"""),4.46)</f>
        <v>4.46</v>
      </c>
      <c r="H2592" s="9">
        <f>IFERROR(__xludf.DUMMYFUNCTION("""COMPUTED_VALUE"""),2.0)</f>
        <v>2</v>
      </c>
      <c r="I2592" s="9"/>
      <c r="J2592" s="9"/>
      <c r="K2592" s="9"/>
      <c r="L2592" s="9"/>
      <c r="M2592" s="9"/>
      <c r="N2592" s="9"/>
      <c r="O2592" s="9"/>
      <c r="P2592" s="9"/>
      <c r="Q2592" s="9"/>
      <c r="R2592" s="9"/>
      <c r="S2592" s="9"/>
      <c r="T2592" s="9"/>
    </row>
    <row r="2593" ht="15.75" customHeight="1">
      <c r="A2593" s="11">
        <f>IFERROR(__xludf.DUMMYFUNCTION("""COMPUTED_VALUE"""),44471.0)</f>
        <v>44471</v>
      </c>
      <c r="B2593" s="9">
        <f>IFERROR(__xludf.DUMMYFUNCTION("""COMPUTED_VALUE"""),1003656.0)</f>
        <v>1003656</v>
      </c>
      <c r="C2593" s="9">
        <f>IFERROR(__xludf.DUMMYFUNCTION("""COMPUTED_VALUE"""),90924.0)</f>
        <v>90924</v>
      </c>
      <c r="D2593" s="9"/>
      <c r="E2593" s="10" t="str">
        <f>IFERROR(__xludf.DUMMYFUNCTION("""COMPUTED_VALUE"""),"HAPPEEZ")</f>
        <v>HAPPEEZ</v>
      </c>
      <c r="F2593" s="10">
        <f>IFERROR(__xludf.DUMMYFUNCTION("""COMPUTED_VALUE"""),10.22)</f>
        <v>10.22</v>
      </c>
      <c r="G2593" s="9">
        <f>IFERROR(__xludf.DUMMYFUNCTION("""COMPUTED_VALUE"""),10.22)</f>
        <v>10.22</v>
      </c>
      <c r="H2593" s="9">
        <f>IFERROR(__xludf.DUMMYFUNCTION("""COMPUTED_VALUE"""),3.0)</f>
        <v>3</v>
      </c>
      <c r="I2593" s="9"/>
      <c r="J2593" s="9"/>
      <c r="K2593" s="9"/>
      <c r="L2593" s="9"/>
      <c r="M2593" s="9"/>
      <c r="N2593" s="9"/>
      <c r="O2593" s="9"/>
      <c r="P2593" s="9"/>
      <c r="Q2593" s="9"/>
      <c r="R2593" s="9"/>
      <c r="S2593" s="9"/>
      <c r="T2593" s="9"/>
    </row>
    <row r="2594" ht="15.75" customHeight="1">
      <c r="A2594" s="11">
        <f>IFERROR(__xludf.DUMMYFUNCTION("""COMPUTED_VALUE"""),44471.0)</f>
        <v>44471</v>
      </c>
      <c r="B2594" s="9">
        <f>IFERROR(__xludf.DUMMYFUNCTION("""COMPUTED_VALUE"""),1003656.0)</f>
        <v>1003656</v>
      </c>
      <c r="C2594" s="9">
        <f>IFERROR(__xludf.DUMMYFUNCTION("""COMPUTED_VALUE"""),76372.0)</f>
        <v>76372</v>
      </c>
      <c r="D2594" s="9"/>
      <c r="E2594" s="10" t="str">
        <f>IFERROR(__xludf.DUMMYFUNCTION("""COMPUTED_VALUE"""),"HAPPEEZ")</f>
        <v>HAPPEEZ</v>
      </c>
      <c r="F2594" s="10">
        <f>IFERROR(__xludf.DUMMYFUNCTION("""COMPUTED_VALUE"""),12.67)</f>
        <v>12.67</v>
      </c>
      <c r="G2594" s="9">
        <f>IFERROR(__xludf.DUMMYFUNCTION("""COMPUTED_VALUE"""),12.67)</f>
        <v>12.67</v>
      </c>
      <c r="H2594" s="9">
        <f>IFERROR(__xludf.DUMMYFUNCTION("""COMPUTED_VALUE"""),3.0)</f>
        <v>3</v>
      </c>
      <c r="I2594" s="9"/>
      <c r="J2594" s="9"/>
      <c r="K2594" s="9"/>
      <c r="L2594" s="9"/>
      <c r="M2594" s="9"/>
      <c r="N2594" s="9"/>
      <c r="O2594" s="9"/>
      <c r="P2594" s="9"/>
      <c r="Q2594" s="9"/>
      <c r="R2594" s="9"/>
      <c r="S2594" s="9"/>
      <c r="T2594" s="9"/>
    </row>
    <row r="2595" ht="15.75" customHeight="1">
      <c r="A2595" s="11">
        <f>IFERROR(__xludf.DUMMYFUNCTION("""COMPUTED_VALUE"""),44471.0)</f>
        <v>44471</v>
      </c>
      <c r="B2595" s="9">
        <f>IFERROR(__xludf.DUMMYFUNCTION("""COMPUTED_VALUE"""),1003656.0)</f>
        <v>1003656</v>
      </c>
      <c r="C2595" s="9">
        <f>IFERROR(__xludf.DUMMYFUNCTION("""COMPUTED_VALUE"""),116746.0)</f>
        <v>116746</v>
      </c>
      <c r="D2595" s="9"/>
      <c r="E2595" s="10" t="str">
        <f>IFERROR(__xludf.DUMMYFUNCTION("""COMPUTED_VALUE"""),"HAPPEEZ")</f>
        <v>HAPPEEZ</v>
      </c>
      <c r="F2595" s="10">
        <f>IFERROR(__xludf.DUMMYFUNCTION("""COMPUTED_VALUE"""),17.15)</f>
        <v>17.15</v>
      </c>
      <c r="G2595" s="9">
        <f>IFERROR(__xludf.DUMMYFUNCTION("""COMPUTED_VALUE"""),17.15)</f>
        <v>17.15</v>
      </c>
      <c r="H2595" s="9">
        <f>IFERROR(__xludf.DUMMYFUNCTION("""COMPUTED_VALUE"""),5.0)</f>
        <v>5</v>
      </c>
      <c r="I2595" s="9"/>
      <c r="J2595" s="9"/>
      <c r="K2595" s="9"/>
      <c r="L2595" s="9"/>
      <c r="M2595" s="9"/>
      <c r="N2595" s="9"/>
      <c r="O2595" s="9"/>
      <c r="P2595" s="9"/>
      <c r="Q2595" s="9"/>
      <c r="R2595" s="9"/>
      <c r="S2595" s="9"/>
      <c r="T2595" s="9"/>
    </row>
    <row r="2596" ht="15.75" customHeight="1">
      <c r="A2596" s="11">
        <f>IFERROR(__xludf.DUMMYFUNCTION("""COMPUTED_VALUE"""),44471.0)</f>
        <v>44471</v>
      </c>
      <c r="B2596" s="9">
        <f>IFERROR(__xludf.DUMMYFUNCTION("""COMPUTED_VALUE"""),1003656.0)</f>
        <v>1003656</v>
      </c>
      <c r="C2596" s="9">
        <f>IFERROR(__xludf.DUMMYFUNCTION("""COMPUTED_VALUE"""),84203.0)</f>
        <v>84203</v>
      </c>
      <c r="D2596" s="10" t="str">
        <f>IFERROR(__xludf.DUMMYFUNCTION("""COMPUTED_VALUE"""),"Offre speciale")</f>
        <v>Offre speciale</v>
      </c>
      <c r="E2596" s="10" t="str">
        <f>IFERROR(__xludf.DUMMYFUNCTION("""COMPUTED_VALUE"""),"HAPPEEZ")</f>
        <v>HAPPEEZ</v>
      </c>
      <c r="F2596" s="10">
        <f>IFERROR(__xludf.DUMMYFUNCTION("""COMPUTED_VALUE"""),25.0823529411764)</f>
        <v>25.08235294</v>
      </c>
      <c r="G2596" s="9">
        <f>IFERROR(__xludf.DUMMYFUNCTION("""COMPUTED_VALUE"""),21.32)</f>
        <v>21.32</v>
      </c>
      <c r="H2596" s="9">
        <f>IFERROR(__xludf.DUMMYFUNCTION("""COMPUTED_VALUE"""),6.0)</f>
        <v>6</v>
      </c>
      <c r="I2596" s="9"/>
      <c r="J2596" s="9"/>
      <c r="K2596" s="9"/>
      <c r="L2596" s="9"/>
      <c r="M2596" s="9"/>
      <c r="N2596" s="9"/>
      <c r="O2596" s="9"/>
      <c r="P2596" s="9"/>
      <c r="Q2596" s="9"/>
      <c r="R2596" s="9"/>
      <c r="S2596" s="9"/>
      <c r="T2596" s="9"/>
    </row>
    <row r="2597" ht="15.75" customHeight="1">
      <c r="A2597" s="11">
        <f>IFERROR(__xludf.DUMMYFUNCTION("""COMPUTED_VALUE"""),44471.0)</f>
        <v>44471</v>
      </c>
      <c r="B2597" s="9">
        <f>IFERROR(__xludf.DUMMYFUNCTION("""COMPUTED_VALUE"""),1003656.0)</f>
        <v>1003656</v>
      </c>
      <c r="C2597" s="9">
        <f>IFERROR(__xludf.DUMMYFUNCTION("""COMPUTED_VALUE"""),158671.0)</f>
        <v>158671</v>
      </c>
      <c r="D2597" s="9"/>
      <c r="E2597" s="10" t="str">
        <f>IFERROR(__xludf.DUMMYFUNCTION("""COMPUTED_VALUE"""),"HAPPEEZ")</f>
        <v>HAPPEEZ</v>
      </c>
      <c r="F2597" s="10">
        <f>IFERROR(__xludf.DUMMYFUNCTION("""COMPUTED_VALUE"""),60.92)</f>
        <v>60.92</v>
      </c>
      <c r="G2597" s="9">
        <f>IFERROR(__xludf.DUMMYFUNCTION("""COMPUTED_VALUE"""),60.92)</f>
        <v>60.92</v>
      </c>
      <c r="H2597" s="9">
        <f>IFERROR(__xludf.DUMMYFUNCTION("""COMPUTED_VALUE"""),7.0)</f>
        <v>7</v>
      </c>
      <c r="I2597" s="9"/>
      <c r="J2597" s="9"/>
      <c r="K2597" s="9"/>
      <c r="L2597" s="9"/>
      <c r="M2597" s="9"/>
      <c r="N2597" s="9"/>
      <c r="O2597" s="9"/>
      <c r="P2597" s="9"/>
      <c r="Q2597" s="9"/>
      <c r="R2597" s="9"/>
      <c r="S2597" s="9"/>
      <c r="T2597" s="9"/>
    </row>
    <row r="2598" ht="15.75" customHeight="1">
      <c r="A2598" s="11">
        <f>IFERROR(__xludf.DUMMYFUNCTION("""COMPUTED_VALUE"""),44471.0)</f>
        <v>44471</v>
      </c>
      <c r="B2598" s="9">
        <f>IFERROR(__xludf.DUMMYFUNCTION("""COMPUTED_VALUE"""),1003656.0)</f>
        <v>1003656</v>
      </c>
      <c r="C2598" s="9">
        <f>IFERROR(__xludf.DUMMYFUNCTION("""COMPUTED_VALUE"""),75156.0)</f>
        <v>75156</v>
      </c>
      <c r="D2598" s="10" t="str">
        <f>IFERROR(__xludf.DUMMYFUNCTION("""COMPUTED_VALUE"""),"Offre speciale")</f>
        <v>Offre speciale</v>
      </c>
      <c r="E2598" s="10" t="str">
        <f>IFERROR(__xludf.DUMMYFUNCTION("""COMPUTED_VALUE"""),"HAPPEEZ")</f>
        <v>HAPPEEZ</v>
      </c>
      <c r="F2598" s="10">
        <f>IFERROR(__xludf.DUMMYFUNCTION("""COMPUTED_VALUE"""),24.1749999999999)</f>
        <v>24.175</v>
      </c>
      <c r="G2598" s="9">
        <f>IFERROR(__xludf.DUMMYFUNCTION("""COMPUTED_VALUE"""),19.34)</f>
        <v>19.34</v>
      </c>
      <c r="H2598" s="9">
        <f>IFERROR(__xludf.DUMMYFUNCTION("""COMPUTED_VALUE"""),10.0)</f>
        <v>10</v>
      </c>
      <c r="I2598" s="9"/>
      <c r="J2598" s="9"/>
      <c r="K2598" s="9"/>
      <c r="L2598" s="9"/>
      <c r="M2598" s="9"/>
      <c r="N2598" s="9"/>
      <c r="O2598" s="9"/>
      <c r="P2598" s="9"/>
      <c r="Q2598" s="9"/>
      <c r="R2598" s="9"/>
      <c r="S2598" s="9"/>
      <c r="T2598" s="9"/>
    </row>
    <row r="2599" ht="15.75" customHeight="1">
      <c r="A2599" s="11">
        <f>IFERROR(__xludf.DUMMYFUNCTION("""COMPUTED_VALUE"""),44471.0)</f>
        <v>44471</v>
      </c>
      <c r="B2599" s="9">
        <f>IFERROR(__xludf.DUMMYFUNCTION("""COMPUTED_VALUE"""),1003657.0)</f>
        <v>1003657</v>
      </c>
      <c r="C2599" s="9">
        <f>IFERROR(__xludf.DUMMYFUNCTION("""COMPUTED_VALUE"""),82454.0)</f>
        <v>82454</v>
      </c>
      <c r="D2599" s="9"/>
      <c r="E2599" s="9"/>
      <c r="F2599" s="9">
        <f>IFERROR(__xludf.DUMMYFUNCTION("""COMPUTED_VALUE"""),2.5)</f>
        <v>2.5</v>
      </c>
      <c r="G2599" s="9">
        <f>IFERROR(__xludf.DUMMYFUNCTION("""COMPUTED_VALUE"""),2.5)</f>
        <v>2.5</v>
      </c>
      <c r="H2599" s="9">
        <f>IFERROR(__xludf.DUMMYFUNCTION("""COMPUTED_VALUE"""),1.0)</f>
        <v>1</v>
      </c>
      <c r="I2599" s="9"/>
      <c r="J2599" s="9"/>
      <c r="K2599" s="9"/>
      <c r="L2599" s="9"/>
      <c r="M2599" s="9"/>
      <c r="N2599" s="9"/>
      <c r="O2599" s="9"/>
      <c r="P2599" s="9"/>
      <c r="Q2599" s="9"/>
      <c r="R2599" s="9"/>
      <c r="S2599" s="9"/>
      <c r="T2599" s="9"/>
    </row>
    <row r="2600" ht="15.75" customHeight="1">
      <c r="A2600" s="11">
        <f>IFERROR(__xludf.DUMMYFUNCTION("""COMPUTED_VALUE"""),44471.0)</f>
        <v>44471</v>
      </c>
      <c r="B2600" s="9">
        <f>IFERROR(__xludf.DUMMYFUNCTION("""COMPUTED_VALUE"""),1003657.0)</f>
        <v>1003657</v>
      </c>
      <c r="C2600" s="9">
        <f>IFERROR(__xludf.DUMMYFUNCTION("""COMPUTED_VALUE"""),91357.0)</f>
        <v>91357</v>
      </c>
      <c r="D2600" s="9"/>
      <c r="E2600" s="9"/>
      <c r="F2600" s="9">
        <f>IFERROR(__xludf.DUMMYFUNCTION("""COMPUTED_VALUE"""),4.6)</f>
        <v>4.6</v>
      </c>
      <c r="G2600" s="9">
        <f>IFERROR(__xludf.DUMMYFUNCTION("""COMPUTED_VALUE"""),4.6)</f>
        <v>4.6</v>
      </c>
      <c r="H2600" s="9">
        <f>IFERROR(__xludf.DUMMYFUNCTION("""COMPUTED_VALUE"""),1.0)</f>
        <v>1</v>
      </c>
      <c r="I2600" s="9"/>
      <c r="J2600" s="9"/>
      <c r="K2600" s="9"/>
      <c r="L2600" s="9"/>
      <c r="M2600" s="9"/>
      <c r="N2600" s="9"/>
      <c r="O2600" s="9"/>
      <c r="P2600" s="9"/>
      <c r="Q2600" s="9"/>
      <c r="R2600" s="9"/>
      <c r="S2600" s="9"/>
      <c r="T2600" s="9"/>
    </row>
    <row r="2601" ht="15.75" customHeight="1">
      <c r="A2601" s="11">
        <f>IFERROR(__xludf.DUMMYFUNCTION("""COMPUTED_VALUE"""),44471.0)</f>
        <v>44471</v>
      </c>
      <c r="B2601" s="9">
        <f>IFERROR(__xludf.DUMMYFUNCTION("""COMPUTED_VALUE"""),1003657.0)</f>
        <v>1003657</v>
      </c>
      <c r="C2601" s="9">
        <f>IFERROR(__xludf.DUMMYFUNCTION("""COMPUTED_VALUE"""),9734.0)</f>
        <v>9734</v>
      </c>
      <c r="D2601" s="9"/>
      <c r="E2601" s="9"/>
      <c r="F2601" s="9">
        <f>IFERROR(__xludf.DUMMYFUNCTION("""COMPUTED_VALUE"""),3.07)</f>
        <v>3.07</v>
      </c>
      <c r="G2601" s="9">
        <f>IFERROR(__xludf.DUMMYFUNCTION("""COMPUTED_VALUE"""),3.07)</f>
        <v>3.07</v>
      </c>
      <c r="H2601" s="9">
        <f>IFERROR(__xludf.DUMMYFUNCTION("""COMPUTED_VALUE"""),1.0)</f>
        <v>1</v>
      </c>
      <c r="I2601" s="9"/>
      <c r="J2601" s="9"/>
      <c r="K2601" s="9"/>
      <c r="L2601" s="9"/>
      <c r="M2601" s="9"/>
      <c r="N2601" s="9"/>
      <c r="O2601" s="9"/>
      <c r="P2601" s="9"/>
      <c r="Q2601" s="9"/>
      <c r="R2601" s="9"/>
      <c r="S2601" s="9"/>
      <c r="T2601" s="9"/>
    </row>
    <row r="2602" ht="15.75" customHeight="1">
      <c r="A2602" s="11">
        <f>IFERROR(__xludf.DUMMYFUNCTION("""COMPUTED_VALUE"""),44471.0)</f>
        <v>44471</v>
      </c>
      <c r="B2602" s="9">
        <f>IFERROR(__xludf.DUMMYFUNCTION("""COMPUTED_VALUE"""),1003657.0)</f>
        <v>1003657</v>
      </c>
      <c r="C2602" s="9">
        <f>IFERROR(__xludf.DUMMYFUNCTION("""COMPUTED_VALUE"""),43944.0)</f>
        <v>43944</v>
      </c>
      <c r="D2602" s="9"/>
      <c r="E2602" s="9"/>
      <c r="F2602" s="9">
        <f>IFERROR(__xludf.DUMMYFUNCTION("""COMPUTED_VALUE"""),98.23)</f>
        <v>98.23</v>
      </c>
      <c r="G2602" s="9">
        <f>IFERROR(__xludf.DUMMYFUNCTION("""COMPUTED_VALUE"""),98.23)</f>
        <v>98.23</v>
      </c>
      <c r="H2602" s="9">
        <f>IFERROR(__xludf.DUMMYFUNCTION("""COMPUTED_VALUE"""),6.0)</f>
        <v>6</v>
      </c>
      <c r="I2602" s="9"/>
      <c r="J2602" s="9"/>
      <c r="K2602" s="9"/>
      <c r="L2602" s="9"/>
      <c r="M2602" s="9"/>
      <c r="N2602" s="9"/>
      <c r="O2602" s="9"/>
      <c r="P2602" s="9"/>
      <c r="Q2602" s="9"/>
      <c r="R2602" s="9"/>
      <c r="S2602" s="9"/>
      <c r="T2602" s="9"/>
    </row>
    <row r="2603" ht="15.75" customHeight="1">
      <c r="A2603" s="11">
        <f>IFERROR(__xludf.DUMMYFUNCTION("""COMPUTED_VALUE"""),44471.0)</f>
        <v>44471</v>
      </c>
      <c r="B2603" s="9">
        <f>IFERROR(__xludf.DUMMYFUNCTION("""COMPUTED_VALUE"""),1003658.0)</f>
        <v>1003658</v>
      </c>
      <c r="C2603" s="9">
        <f>IFERROR(__xludf.DUMMYFUNCTION("""COMPUTED_VALUE"""),117615.0)</f>
        <v>117615</v>
      </c>
      <c r="D2603" s="9"/>
      <c r="E2603" s="9"/>
      <c r="F2603" s="9">
        <f>IFERROR(__xludf.DUMMYFUNCTION("""COMPUTED_VALUE"""),6.75)</f>
        <v>6.75</v>
      </c>
      <c r="G2603" s="9">
        <f>IFERROR(__xludf.DUMMYFUNCTION("""COMPUTED_VALUE"""),6.75)</f>
        <v>6.75</v>
      </c>
      <c r="H2603" s="9">
        <f>IFERROR(__xludf.DUMMYFUNCTION("""COMPUTED_VALUE"""),1.0)</f>
        <v>1</v>
      </c>
      <c r="I2603" s="9"/>
      <c r="J2603" s="9"/>
      <c r="K2603" s="9"/>
      <c r="L2603" s="9"/>
      <c r="M2603" s="9"/>
      <c r="N2603" s="9"/>
      <c r="O2603" s="9"/>
      <c r="P2603" s="9"/>
      <c r="Q2603" s="9"/>
      <c r="R2603" s="9"/>
      <c r="S2603" s="9"/>
      <c r="T2603" s="9"/>
    </row>
    <row r="2604" ht="15.75" customHeight="1">
      <c r="A2604" s="11">
        <f>IFERROR(__xludf.DUMMYFUNCTION("""COMPUTED_VALUE"""),44471.0)</f>
        <v>44471</v>
      </c>
      <c r="B2604" s="9">
        <f>IFERROR(__xludf.DUMMYFUNCTION("""COMPUTED_VALUE"""),1003658.0)</f>
        <v>1003658</v>
      </c>
      <c r="C2604" s="9">
        <f>IFERROR(__xludf.DUMMYFUNCTION("""COMPUTED_VALUE"""),83042.0)</f>
        <v>83042</v>
      </c>
      <c r="D2604" s="9"/>
      <c r="E2604" s="9"/>
      <c r="F2604" s="9">
        <f>IFERROR(__xludf.DUMMYFUNCTION("""COMPUTED_VALUE"""),3.16)</f>
        <v>3.16</v>
      </c>
      <c r="G2604" s="9">
        <f>IFERROR(__xludf.DUMMYFUNCTION("""COMPUTED_VALUE"""),3.16)</f>
        <v>3.16</v>
      </c>
      <c r="H2604" s="9">
        <f>IFERROR(__xludf.DUMMYFUNCTION("""COMPUTED_VALUE"""),1.0)</f>
        <v>1</v>
      </c>
      <c r="I2604" s="9"/>
      <c r="J2604" s="9"/>
      <c r="K2604" s="9"/>
      <c r="L2604" s="9"/>
      <c r="M2604" s="9"/>
      <c r="N2604" s="9"/>
      <c r="O2604" s="9"/>
      <c r="P2604" s="9"/>
      <c r="Q2604" s="9"/>
      <c r="R2604" s="9"/>
      <c r="S2604" s="9"/>
      <c r="T2604" s="9"/>
    </row>
    <row r="2605" ht="15.75" customHeight="1">
      <c r="A2605" s="11">
        <f>IFERROR(__xludf.DUMMYFUNCTION("""COMPUTED_VALUE"""),44471.0)</f>
        <v>44471</v>
      </c>
      <c r="B2605" s="9">
        <f>IFERROR(__xludf.DUMMYFUNCTION("""COMPUTED_VALUE"""),1003658.0)</f>
        <v>1003658</v>
      </c>
      <c r="C2605" s="9">
        <f>IFERROR(__xludf.DUMMYFUNCTION("""COMPUTED_VALUE"""),92461.0)</f>
        <v>92461</v>
      </c>
      <c r="D2605" s="9"/>
      <c r="E2605" s="9"/>
      <c r="F2605" s="9">
        <f>IFERROR(__xludf.DUMMYFUNCTION("""COMPUTED_VALUE"""),1.35)</f>
        <v>1.35</v>
      </c>
      <c r="G2605" s="9">
        <f>IFERROR(__xludf.DUMMYFUNCTION("""COMPUTED_VALUE"""),1.35)</f>
        <v>1.35</v>
      </c>
      <c r="H2605" s="9">
        <f>IFERROR(__xludf.DUMMYFUNCTION("""COMPUTED_VALUE"""),1.0)</f>
        <v>1</v>
      </c>
      <c r="I2605" s="9"/>
      <c r="J2605" s="9"/>
      <c r="K2605" s="9"/>
      <c r="L2605" s="9"/>
      <c r="M2605" s="9"/>
      <c r="N2605" s="9"/>
      <c r="O2605" s="9"/>
      <c r="P2605" s="9"/>
      <c r="Q2605" s="9"/>
      <c r="R2605" s="9"/>
      <c r="S2605" s="9"/>
      <c r="T2605" s="9"/>
    </row>
    <row r="2606" ht="15.75" customHeight="1">
      <c r="A2606" s="11">
        <f>IFERROR(__xludf.DUMMYFUNCTION("""COMPUTED_VALUE"""),44471.0)</f>
        <v>44471</v>
      </c>
      <c r="B2606" s="9">
        <f>IFERROR(__xludf.DUMMYFUNCTION("""COMPUTED_VALUE"""),1003658.0)</f>
        <v>1003658</v>
      </c>
      <c r="C2606" s="9">
        <f>IFERROR(__xludf.DUMMYFUNCTION("""COMPUTED_VALUE"""),90946.0)</f>
        <v>90946</v>
      </c>
      <c r="D2606" s="9"/>
      <c r="E2606" s="9"/>
      <c r="F2606" s="9">
        <f>IFERROR(__xludf.DUMMYFUNCTION("""COMPUTED_VALUE"""),5.41)</f>
        <v>5.41</v>
      </c>
      <c r="G2606" s="9">
        <f>IFERROR(__xludf.DUMMYFUNCTION("""COMPUTED_VALUE"""),5.41)</f>
        <v>5.41</v>
      </c>
      <c r="H2606" s="9">
        <f>IFERROR(__xludf.DUMMYFUNCTION("""COMPUTED_VALUE"""),1.0)</f>
        <v>1</v>
      </c>
      <c r="I2606" s="9"/>
      <c r="J2606" s="9"/>
      <c r="K2606" s="9"/>
      <c r="L2606" s="9"/>
      <c r="M2606" s="9"/>
      <c r="N2606" s="9"/>
      <c r="O2606" s="9"/>
      <c r="P2606" s="9"/>
      <c r="Q2606" s="9"/>
      <c r="R2606" s="9"/>
      <c r="S2606" s="9"/>
      <c r="T2606" s="9"/>
    </row>
    <row r="2607" ht="15.75" customHeight="1">
      <c r="A2607" s="11">
        <f>IFERROR(__xludf.DUMMYFUNCTION("""COMPUTED_VALUE"""),44471.0)</f>
        <v>44471</v>
      </c>
      <c r="B2607" s="9">
        <f>IFERROR(__xludf.DUMMYFUNCTION("""COMPUTED_VALUE"""),1003658.0)</f>
        <v>1003658</v>
      </c>
      <c r="C2607" s="9">
        <f>IFERROR(__xludf.DUMMYFUNCTION("""COMPUTED_VALUE"""),95951.0)</f>
        <v>95951</v>
      </c>
      <c r="D2607" s="9"/>
      <c r="E2607" s="9"/>
      <c r="F2607" s="9">
        <f>IFERROR(__xludf.DUMMYFUNCTION("""COMPUTED_VALUE"""),1.94)</f>
        <v>1.94</v>
      </c>
      <c r="G2607" s="9">
        <f>IFERROR(__xludf.DUMMYFUNCTION("""COMPUTED_VALUE"""),1.94)</f>
        <v>1.94</v>
      </c>
      <c r="H2607" s="9">
        <f>IFERROR(__xludf.DUMMYFUNCTION("""COMPUTED_VALUE"""),2.0)</f>
        <v>2</v>
      </c>
      <c r="I2607" s="9"/>
      <c r="J2607" s="9"/>
      <c r="K2607" s="9"/>
      <c r="L2607" s="9"/>
      <c r="M2607" s="9"/>
      <c r="N2607" s="9"/>
      <c r="O2607" s="9"/>
      <c r="P2607" s="9"/>
      <c r="Q2607" s="9"/>
      <c r="R2607" s="9"/>
      <c r="S2607" s="9"/>
      <c r="T2607" s="9"/>
    </row>
    <row r="2608" ht="15.75" customHeight="1">
      <c r="A2608" s="11">
        <f>IFERROR(__xludf.DUMMYFUNCTION("""COMPUTED_VALUE"""),44471.0)</f>
        <v>44471</v>
      </c>
      <c r="B2608" s="9">
        <f>IFERROR(__xludf.DUMMYFUNCTION("""COMPUTED_VALUE"""),1003658.0)</f>
        <v>1003658</v>
      </c>
      <c r="C2608" s="9">
        <f>IFERROR(__xludf.DUMMYFUNCTION("""COMPUTED_VALUE"""),68713.0)</f>
        <v>68713</v>
      </c>
      <c r="D2608" s="10" t="str">
        <f>IFERROR(__xludf.DUMMYFUNCTION("""COMPUTED_VALUE"""),"Offre Speciale")</f>
        <v>Offre Speciale</v>
      </c>
      <c r="E2608" s="10"/>
      <c r="F2608" s="9">
        <f>IFERROR(__xludf.DUMMYFUNCTION("""COMPUTED_VALUE"""),9.56470588235294)</f>
        <v>9.564705882</v>
      </c>
      <c r="G2608" s="9">
        <f>IFERROR(__xludf.DUMMYFUNCTION("""COMPUTED_VALUE"""),8.13)</f>
        <v>8.13</v>
      </c>
      <c r="H2608" s="9">
        <f>IFERROR(__xludf.DUMMYFUNCTION("""COMPUTED_VALUE"""),2.0)</f>
        <v>2</v>
      </c>
      <c r="I2608" s="9"/>
      <c r="J2608" s="9"/>
      <c r="K2608" s="9"/>
      <c r="L2608" s="9"/>
      <c r="M2608" s="9"/>
      <c r="N2608" s="9"/>
      <c r="O2608" s="9"/>
      <c r="P2608" s="9"/>
      <c r="Q2608" s="9"/>
      <c r="R2608" s="9"/>
      <c r="S2608" s="9"/>
      <c r="T2608" s="9"/>
    </row>
    <row r="2609" ht="15.75" customHeight="1">
      <c r="A2609" s="11">
        <f>IFERROR(__xludf.DUMMYFUNCTION("""COMPUTED_VALUE"""),44471.0)</f>
        <v>44471</v>
      </c>
      <c r="B2609" s="9">
        <f>IFERROR(__xludf.DUMMYFUNCTION("""COMPUTED_VALUE"""),1003658.0)</f>
        <v>1003658</v>
      </c>
      <c r="C2609" s="9">
        <f>IFERROR(__xludf.DUMMYFUNCTION("""COMPUTED_VALUE"""),27047.0)</f>
        <v>27047</v>
      </c>
      <c r="D2609" s="10" t="str">
        <f>IFERROR(__xludf.DUMMYFUNCTION("""COMPUTED_VALUE"""),"Offre Speciale")</f>
        <v>Offre Speciale</v>
      </c>
      <c r="E2609" s="10"/>
      <c r="F2609" s="9">
        <f>IFERROR(__xludf.DUMMYFUNCTION("""COMPUTED_VALUE"""),6.36470588235294)</f>
        <v>6.364705882</v>
      </c>
      <c r="G2609" s="9">
        <f>IFERROR(__xludf.DUMMYFUNCTION("""COMPUTED_VALUE"""),5.41)</f>
        <v>5.41</v>
      </c>
      <c r="H2609" s="9">
        <f>IFERROR(__xludf.DUMMYFUNCTION("""COMPUTED_VALUE"""),2.0)</f>
        <v>2</v>
      </c>
      <c r="I2609" s="9"/>
      <c r="J2609" s="9"/>
      <c r="K2609" s="9"/>
      <c r="L2609" s="9"/>
      <c r="M2609" s="9"/>
      <c r="N2609" s="9"/>
      <c r="O2609" s="9"/>
      <c r="P2609" s="9"/>
      <c r="Q2609" s="9"/>
      <c r="R2609" s="9"/>
      <c r="S2609" s="9"/>
      <c r="T2609" s="9"/>
    </row>
    <row r="2610" ht="15.75" customHeight="1">
      <c r="A2610" s="11">
        <f>IFERROR(__xludf.DUMMYFUNCTION("""COMPUTED_VALUE"""),44471.0)</f>
        <v>44471</v>
      </c>
      <c r="B2610" s="9">
        <f>IFERROR(__xludf.DUMMYFUNCTION("""COMPUTED_VALUE"""),1003658.0)</f>
        <v>1003658</v>
      </c>
      <c r="C2610" s="9">
        <f>IFERROR(__xludf.DUMMYFUNCTION("""COMPUTED_VALUE"""),68374.0)</f>
        <v>68374</v>
      </c>
      <c r="D2610" s="9"/>
      <c r="E2610" s="9"/>
      <c r="F2610" s="9">
        <f>IFERROR(__xludf.DUMMYFUNCTION("""COMPUTED_VALUE"""),8.65)</f>
        <v>8.65</v>
      </c>
      <c r="G2610" s="9">
        <f>IFERROR(__xludf.DUMMYFUNCTION("""COMPUTED_VALUE"""),8.65)</f>
        <v>8.65</v>
      </c>
      <c r="H2610" s="9">
        <f>IFERROR(__xludf.DUMMYFUNCTION("""COMPUTED_VALUE"""),4.0)</f>
        <v>4</v>
      </c>
      <c r="I2610" s="9"/>
      <c r="J2610" s="9"/>
      <c r="K2610" s="9"/>
      <c r="L2610" s="9"/>
      <c r="M2610" s="9"/>
      <c r="N2610" s="9"/>
      <c r="O2610" s="9"/>
      <c r="P2610" s="9"/>
      <c r="Q2610" s="9"/>
      <c r="R2610" s="9"/>
      <c r="S2610" s="9"/>
      <c r="T2610" s="9"/>
    </row>
    <row r="2611" ht="15.75" customHeight="1">
      <c r="A2611" s="11">
        <f>IFERROR(__xludf.DUMMYFUNCTION("""COMPUTED_VALUE"""),44471.0)</f>
        <v>44471</v>
      </c>
      <c r="B2611" s="9">
        <f>IFERROR(__xludf.DUMMYFUNCTION("""COMPUTED_VALUE"""),1003658.0)</f>
        <v>1003658</v>
      </c>
      <c r="C2611" s="9">
        <f>IFERROR(__xludf.DUMMYFUNCTION("""COMPUTED_VALUE"""),119244.0)</f>
        <v>119244</v>
      </c>
      <c r="D2611" s="9"/>
      <c r="E2611" s="9"/>
      <c r="F2611" s="9">
        <f>IFERROR(__xludf.DUMMYFUNCTION("""COMPUTED_VALUE"""),15.98)</f>
        <v>15.98</v>
      </c>
      <c r="G2611" s="9">
        <f>IFERROR(__xludf.DUMMYFUNCTION("""COMPUTED_VALUE"""),15.98)</f>
        <v>15.98</v>
      </c>
      <c r="H2611" s="9">
        <f>IFERROR(__xludf.DUMMYFUNCTION("""COMPUTED_VALUE"""),4.0)</f>
        <v>4</v>
      </c>
      <c r="I2611" s="9"/>
      <c r="J2611" s="9"/>
      <c r="K2611" s="9"/>
      <c r="L2611" s="9"/>
      <c r="M2611" s="9"/>
      <c r="N2611" s="9"/>
      <c r="O2611" s="9"/>
      <c r="P2611" s="9"/>
      <c r="Q2611" s="9"/>
      <c r="R2611" s="9"/>
      <c r="S2611" s="9"/>
      <c r="T2611" s="9"/>
    </row>
    <row r="2612" ht="15.75" customHeight="1">
      <c r="A2612" s="11">
        <f>IFERROR(__xludf.DUMMYFUNCTION("""COMPUTED_VALUE"""),44471.0)</f>
        <v>44471</v>
      </c>
      <c r="B2612" s="9">
        <f>IFERROR(__xludf.DUMMYFUNCTION("""COMPUTED_VALUE"""),1003658.0)</f>
        <v>1003658</v>
      </c>
      <c r="C2612" s="9">
        <f>IFERROR(__xludf.DUMMYFUNCTION("""COMPUTED_VALUE"""),82393.0)</f>
        <v>82393</v>
      </c>
      <c r="D2612" s="10" t="str">
        <f>IFERROR(__xludf.DUMMYFUNCTION("""COMPUTED_VALUE"""),"Offre speciale")</f>
        <v>Offre speciale</v>
      </c>
      <c r="E2612" s="10"/>
      <c r="F2612" s="9">
        <f>IFERROR(__xludf.DUMMYFUNCTION("""COMPUTED_VALUE"""),19.6222222222222)</f>
        <v>19.62222222</v>
      </c>
      <c r="G2612" s="9">
        <f>IFERROR(__xludf.DUMMYFUNCTION("""COMPUTED_VALUE"""),17.66)</f>
        <v>17.66</v>
      </c>
      <c r="H2612" s="9">
        <f>IFERROR(__xludf.DUMMYFUNCTION("""COMPUTED_VALUE"""),5.0)</f>
        <v>5</v>
      </c>
      <c r="I2612" s="9"/>
      <c r="J2612" s="9"/>
      <c r="K2612" s="9"/>
      <c r="L2612" s="9"/>
      <c r="M2612" s="9"/>
      <c r="N2612" s="9"/>
      <c r="O2612" s="9"/>
      <c r="P2612" s="9"/>
      <c r="Q2612" s="9"/>
      <c r="R2612" s="9"/>
      <c r="S2612" s="9"/>
      <c r="T2612" s="9"/>
    </row>
    <row r="2613" ht="15.75" customHeight="1">
      <c r="A2613" s="11">
        <f>IFERROR(__xludf.DUMMYFUNCTION("""COMPUTED_VALUE"""),44471.0)</f>
        <v>44471</v>
      </c>
      <c r="B2613" s="9">
        <f>IFERROR(__xludf.DUMMYFUNCTION("""COMPUTED_VALUE"""),1003658.0)</f>
        <v>1003658</v>
      </c>
      <c r="C2613" s="9">
        <f>IFERROR(__xludf.DUMMYFUNCTION("""COMPUTED_VALUE"""),119254.0)</f>
        <v>119254</v>
      </c>
      <c r="D2613" s="9"/>
      <c r="E2613" s="9"/>
      <c r="F2613" s="9">
        <f>IFERROR(__xludf.DUMMYFUNCTION("""COMPUTED_VALUE"""),47.72)</f>
        <v>47.72</v>
      </c>
      <c r="G2613" s="9">
        <f>IFERROR(__xludf.DUMMYFUNCTION("""COMPUTED_VALUE"""),47.72)</f>
        <v>47.72</v>
      </c>
      <c r="H2613" s="9">
        <f>IFERROR(__xludf.DUMMYFUNCTION("""COMPUTED_VALUE"""),10.0)</f>
        <v>10</v>
      </c>
      <c r="I2613" s="9"/>
      <c r="J2613" s="9"/>
      <c r="K2613" s="9"/>
      <c r="L2613" s="9"/>
      <c r="M2613" s="9"/>
      <c r="N2613" s="9"/>
      <c r="O2613" s="9"/>
      <c r="P2613" s="9"/>
      <c r="Q2613" s="9"/>
      <c r="R2613" s="9"/>
      <c r="S2613" s="9"/>
      <c r="T2613" s="9"/>
    </row>
    <row r="2614" ht="15.75" customHeight="1">
      <c r="A2614" s="11">
        <f>IFERROR(__xludf.DUMMYFUNCTION("""COMPUTED_VALUE"""),44471.0)</f>
        <v>44471</v>
      </c>
      <c r="B2614" s="9">
        <f>IFERROR(__xludf.DUMMYFUNCTION("""COMPUTED_VALUE"""),1003658.0)</f>
        <v>1003658</v>
      </c>
      <c r="C2614" s="9">
        <f>IFERROR(__xludf.DUMMYFUNCTION("""COMPUTED_VALUE"""),90924.0)</f>
        <v>90924</v>
      </c>
      <c r="D2614" s="9"/>
      <c r="E2614" s="9"/>
      <c r="F2614" s="9">
        <f>IFERROR(__xludf.DUMMYFUNCTION("""COMPUTED_VALUE"""),40.88)</f>
        <v>40.88</v>
      </c>
      <c r="G2614" s="9">
        <f>IFERROR(__xludf.DUMMYFUNCTION("""COMPUTED_VALUE"""),40.88)</f>
        <v>40.88</v>
      </c>
      <c r="H2614" s="9">
        <f>IFERROR(__xludf.DUMMYFUNCTION("""COMPUTED_VALUE"""),12.0)</f>
        <v>12</v>
      </c>
      <c r="I2614" s="9"/>
      <c r="J2614" s="9"/>
      <c r="K2614" s="9"/>
      <c r="L2614" s="9"/>
      <c r="M2614" s="9"/>
      <c r="N2614" s="9"/>
      <c r="O2614" s="9"/>
      <c r="P2614" s="9"/>
      <c r="Q2614" s="9"/>
      <c r="R2614" s="9"/>
      <c r="S2614" s="9"/>
      <c r="T2614" s="9"/>
    </row>
    <row r="2615" ht="15.75" customHeight="1">
      <c r="A2615" s="11">
        <f>IFERROR(__xludf.DUMMYFUNCTION("""COMPUTED_VALUE"""),44471.0)</f>
        <v>44471</v>
      </c>
      <c r="B2615" s="9">
        <f>IFERROR(__xludf.DUMMYFUNCTION("""COMPUTED_VALUE"""),1003659.0)</f>
        <v>1003659</v>
      </c>
      <c r="C2615" s="9">
        <f>IFERROR(__xludf.DUMMYFUNCTION("""COMPUTED_VALUE"""),29022.0)</f>
        <v>29022</v>
      </c>
      <c r="D2615" s="9"/>
      <c r="E2615" s="9"/>
      <c r="F2615" s="9">
        <f>IFERROR(__xludf.DUMMYFUNCTION("""COMPUTED_VALUE"""),4.0)</f>
        <v>4</v>
      </c>
      <c r="G2615" s="9">
        <f>IFERROR(__xludf.DUMMYFUNCTION("""COMPUTED_VALUE"""),4.0)</f>
        <v>4</v>
      </c>
      <c r="H2615" s="9">
        <f>IFERROR(__xludf.DUMMYFUNCTION("""COMPUTED_VALUE"""),1.0)</f>
        <v>1</v>
      </c>
      <c r="I2615" s="9"/>
      <c r="J2615" s="9"/>
      <c r="K2615" s="9"/>
      <c r="L2615" s="9"/>
      <c r="M2615" s="9"/>
      <c r="N2615" s="9"/>
      <c r="O2615" s="9"/>
      <c r="P2615" s="9"/>
      <c r="Q2615" s="9"/>
      <c r="R2615" s="9"/>
      <c r="S2615" s="9"/>
      <c r="T2615" s="9"/>
    </row>
    <row r="2616" ht="15.75" customHeight="1">
      <c r="A2616" s="11">
        <f>IFERROR(__xludf.DUMMYFUNCTION("""COMPUTED_VALUE"""),44471.0)</f>
        <v>44471</v>
      </c>
      <c r="B2616" s="9">
        <f>IFERROR(__xludf.DUMMYFUNCTION("""COMPUTED_VALUE"""),1003659.0)</f>
        <v>1003659</v>
      </c>
      <c r="C2616" s="9">
        <f>IFERROR(__xludf.DUMMYFUNCTION("""COMPUTED_VALUE"""),43826.0)</f>
        <v>43826</v>
      </c>
      <c r="D2616" s="9"/>
      <c r="E2616" s="9"/>
      <c r="F2616" s="9">
        <f>IFERROR(__xludf.DUMMYFUNCTION("""COMPUTED_VALUE"""),16.83)</f>
        <v>16.83</v>
      </c>
      <c r="G2616" s="9">
        <f>IFERROR(__xludf.DUMMYFUNCTION("""COMPUTED_VALUE"""),16.83)</f>
        <v>16.83</v>
      </c>
      <c r="H2616" s="9">
        <f>IFERROR(__xludf.DUMMYFUNCTION("""COMPUTED_VALUE"""),1.0)</f>
        <v>1</v>
      </c>
      <c r="I2616" s="9"/>
      <c r="J2616" s="9"/>
      <c r="K2616" s="9"/>
      <c r="L2616" s="9"/>
      <c r="M2616" s="9"/>
      <c r="N2616" s="9"/>
      <c r="O2616" s="9"/>
      <c r="P2616" s="9"/>
      <c r="Q2616" s="9"/>
      <c r="R2616" s="9"/>
      <c r="S2616" s="9"/>
      <c r="T2616" s="9"/>
    </row>
    <row r="2617" ht="15.75" customHeight="1">
      <c r="A2617" s="11">
        <f>IFERROR(__xludf.DUMMYFUNCTION("""COMPUTED_VALUE"""),44471.0)</f>
        <v>44471</v>
      </c>
      <c r="B2617" s="9">
        <f>IFERROR(__xludf.DUMMYFUNCTION("""COMPUTED_VALUE"""),1003659.0)</f>
        <v>1003659</v>
      </c>
      <c r="C2617" s="9">
        <f>IFERROR(__xludf.DUMMYFUNCTION("""COMPUTED_VALUE"""),7266.0)</f>
        <v>7266</v>
      </c>
      <c r="D2617" s="10" t="str">
        <f>IFERROR(__xludf.DUMMYFUNCTION("""COMPUTED_VALUE"""),"Hygiene intime")</f>
        <v>Hygiene intime</v>
      </c>
      <c r="E2617" s="10"/>
      <c r="F2617" s="9">
        <f>IFERROR(__xludf.DUMMYFUNCTION("""COMPUTED_VALUE"""),2.34444444444444)</f>
        <v>2.344444444</v>
      </c>
      <c r="G2617" s="9">
        <f>IFERROR(__xludf.DUMMYFUNCTION("""COMPUTED_VALUE"""),2.11)</f>
        <v>2.11</v>
      </c>
      <c r="H2617" s="9">
        <f>IFERROR(__xludf.DUMMYFUNCTION("""COMPUTED_VALUE"""),1.0)</f>
        <v>1</v>
      </c>
      <c r="I2617" s="9"/>
      <c r="J2617" s="9"/>
      <c r="K2617" s="9"/>
      <c r="L2617" s="9"/>
      <c r="M2617" s="9"/>
      <c r="N2617" s="9"/>
      <c r="O2617" s="9"/>
      <c r="P2617" s="9"/>
      <c r="Q2617" s="9"/>
      <c r="R2617" s="9"/>
      <c r="S2617" s="9"/>
      <c r="T2617" s="9"/>
    </row>
    <row r="2618" ht="15.75" customHeight="1">
      <c r="A2618" s="11">
        <f>IFERROR(__xludf.DUMMYFUNCTION("""COMPUTED_VALUE"""),44471.0)</f>
        <v>44471</v>
      </c>
      <c r="B2618" s="9">
        <f>IFERROR(__xludf.DUMMYFUNCTION("""COMPUTED_VALUE"""),1003659.0)</f>
        <v>1003659</v>
      </c>
      <c r="C2618" s="9">
        <f>IFERROR(__xludf.DUMMYFUNCTION("""COMPUTED_VALUE"""),76466.0)</f>
        <v>76466</v>
      </c>
      <c r="D2618" s="9"/>
      <c r="E2618" s="9"/>
      <c r="F2618" s="9">
        <f>IFERROR(__xludf.DUMMYFUNCTION("""COMPUTED_VALUE"""),3.77)</f>
        <v>3.77</v>
      </c>
      <c r="G2618" s="9">
        <f>IFERROR(__xludf.DUMMYFUNCTION("""COMPUTED_VALUE"""),3.77)</f>
        <v>3.77</v>
      </c>
      <c r="H2618" s="9">
        <f>IFERROR(__xludf.DUMMYFUNCTION("""COMPUTED_VALUE"""),1.0)</f>
        <v>1</v>
      </c>
      <c r="I2618" s="9"/>
      <c r="J2618" s="9"/>
      <c r="K2618" s="9"/>
      <c r="L2618" s="9"/>
      <c r="M2618" s="9"/>
      <c r="N2618" s="9"/>
      <c r="O2618" s="9"/>
      <c r="P2618" s="9"/>
      <c r="Q2618" s="9"/>
      <c r="R2618" s="9"/>
      <c r="S2618" s="9"/>
      <c r="T2618" s="9"/>
    </row>
    <row r="2619" ht="15.75" customHeight="1">
      <c r="A2619" s="11">
        <f>IFERROR(__xludf.DUMMYFUNCTION("""COMPUTED_VALUE"""),44471.0)</f>
        <v>44471</v>
      </c>
      <c r="B2619" s="9">
        <f>IFERROR(__xludf.DUMMYFUNCTION("""COMPUTED_VALUE"""),1003659.0)</f>
        <v>1003659</v>
      </c>
      <c r="C2619" s="9">
        <f>IFERROR(__xludf.DUMMYFUNCTION("""COMPUTED_VALUE"""),86480.0)</f>
        <v>86480</v>
      </c>
      <c r="D2619" s="10" t="str">
        <f>IFERROR(__xludf.DUMMYFUNCTION("""COMPUTED_VALUE"""),"Vive le bio")</f>
        <v>Vive le bio</v>
      </c>
      <c r="E2619" s="10"/>
      <c r="F2619" s="9">
        <f>IFERROR(__xludf.DUMMYFUNCTION("""COMPUTED_VALUE"""),1.84444444444444)</f>
        <v>1.844444444</v>
      </c>
      <c r="G2619" s="9">
        <f>IFERROR(__xludf.DUMMYFUNCTION("""COMPUTED_VALUE"""),1.66)</f>
        <v>1.66</v>
      </c>
      <c r="H2619" s="9">
        <f>IFERROR(__xludf.DUMMYFUNCTION("""COMPUTED_VALUE"""),1.0)</f>
        <v>1</v>
      </c>
      <c r="I2619" s="9"/>
      <c r="J2619" s="9"/>
      <c r="K2619" s="9"/>
      <c r="L2619" s="9"/>
      <c r="M2619" s="9"/>
      <c r="N2619" s="9"/>
      <c r="O2619" s="9"/>
      <c r="P2619" s="9"/>
      <c r="Q2619" s="9"/>
      <c r="R2619" s="9"/>
      <c r="S2619" s="9"/>
      <c r="T2619" s="9"/>
    </row>
    <row r="2620" ht="15.75" customHeight="1">
      <c r="A2620" s="11">
        <f>IFERROR(__xludf.DUMMYFUNCTION("""COMPUTED_VALUE"""),44471.0)</f>
        <v>44471</v>
      </c>
      <c r="B2620" s="9">
        <f>IFERROR(__xludf.DUMMYFUNCTION("""COMPUTED_VALUE"""),1003659.0)</f>
        <v>1003659</v>
      </c>
      <c r="C2620" s="9">
        <f>IFERROR(__xludf.DUMMYFUNCTION("""COMPUTED_VALUE"""),110566.0)</f>
        <v>110566</v>
      </c>
      <c r="D2620" s="9"/>
      <c r="E2620" s="9"/>
      <c r="F2620" s="9">
        <f>IFERROR(__xludf.DUMMYFUNCTION("""COMPUTED_VALUE"""),1.83)</f>
        <v>1.83</v>
      </c>
      <c r="G2620" s="9">
        <f>IFERROR(__xludf.DUMMYFUNCTION("""COMPUTED_VALUE"""),1.83)</f>
        <v>1.83</v>
      </c>
      <c r="H2620" s="9">
        <f>IFERROR(__xludf.DUMMYFUNCTION("""COMPUTED_VALUE"""),1.0)</f>
        <v>1</v>
      </c>
      <c r="I2620" s="9"/>
      <c r="J2620" s="9"/>
      <c r="K2620" s="9"/>
      <c r="L2620" s="9"/>
      <c r="M2620" s="9"/>
      <c r="N2620" s="9"/>
      <c r="O2620" s="9"/>
      <c r="P2620" s="9"/>
      <c r="Q2620" s="9"/>
      <c r="R2620" s="9"/>
      <c r="S2620" s="9"/>
      <c r="T2620" s="9"/>
    </row>
    <row r="2621" ht="15.75" customHeight="1">
      <c r="A2621" s="11">
        <f>IFERROR(__xludf.DUMMYFUNCTION("""COMPUTED_VALUE"""),44471.0)</f>
        <v>44471</v>
      </c>
      <c r="B2621" s="9">
        <f>IFERROR(__xludf.DUMMYFUNCTION("""COMPUTED_VALUE"""),1003659.0)</f>
        <v>1003659</v>
      </c>
      <c r="C2621" s="9">
        <f>IFERROR(__xludf.DUMMYFUNCTION("""COMPUTED_VALUE"""),121479.0)</f>
        <v>121479</v>
      </c>
      <c r="D2621" s="10" t="str">
        <f>IFERROR(__xludf.DUMMYFUNCTION("""COMPUTED_VALUE"""),"Vive le bio")</f>
        <v>Vive le bio</v>
      </c>
      <c r="E2621" s="10"/>
      <c r="F2621" s="9">
        <f>IFERROR(__xludf.DUMMYFUNCTION("""COMPUTED_VALUE"""),1.83333333333333)</f>
        <v>1.833333333</v>
      </c>
      <c r="G2621" s="9">
        <f>IFERROR(__xludf.DUMMYFUNCTION("""COMPUTED_VALUE"""),1.65)</f>
        <v>1.65</v>
      </c>
      <c r="H2621" s="9">
        <f>IFERROR(__xludf.DUMMYFUNCTION("""COMPUTED_VALUE"""),1.0)</f>
        <v>1</v>
      </c>
      <c r="I2621" s="9"/>
      <c r="J2621" s="9"/>
      <c r="K2621" s="9"/>
      <c r="L2621" s="9"/>
      <c r="M2621" s="9"/>
      <c r="N2621" s="9"/>
      <c r="O2621" s="9"/>
      <c r="P2621" s="9"/>
      <c r="Q2621" s="9"/>
      <c r="R2621" s="9"/>
      <c r="S2621" s="9"/>
      <c r="T2621" s="9"/>
    </row>
    <row r="2622" ht="15.75" customHeight="1">
      <c r="A2622" s="11">
        <f>IFERROR(__xludf.DUMMYFUNCTION("""COMPUTED_VALUE"""),44471.0)</f>
        <v>44471</v>
      </c>
      <c r="B2622" s="9">
        <f>IFERROR(__xludf.DUMMYFUNCTION("""COMPUTED_VALUE"""),1003659.0)</f>
        <v>1003659</v>
      </c>
      <c r="C2622" s="9">
        <f>IFERROR(__xludf.DUMMYFUNCTION("""COMPUTED_VALUE"""),46482.0)</f>
        <v>46482</v>
      </c>
      <c r="D2622" s="9"/>
      <c r="E2622" s="9"/>
      <c r="F2622" s="9">
        <f>IFERROR(__xludf.DUMMYFUNCTION("""COMPUTED_VALUE"""),3.67)</f>
        <v>3.67</v>
      </c>
      <c r="G2622" s="9">
        <f>IFERROR(__xludf.DUMMYFUNCTION("""COMPUTED_VALUE"""),3.67)</f>
        <v>3.67</v>
      </c>
      <c r="H2622" s="9">
        <f>IFERROR(__xludf.DUMMYFUNCTION("""COMPUTED_VALUE"""),1.0)</f>
        <v>1</v>
      </c>
      <c r="I2622" s="9"/>
      <c r="J2622" s="9"/>
      <c r="K2622" s="9"/>
      <c r="L2622" s="9"/>
      <c r="M2622" s="9"/>
      <c r="N2622" s="9"/>
      <c r="O2622" s="9"/>
      <c r="P2622" s="9"/>
      <c r="Q2622" s="9"/>
      <c r="R2622" s="9"/>
      <c r="S2622" s="9"/>
      <c r="T2622" s="9"/>
    </row>
    <row r="2623" ht="15.75" customHeight="1">
      <c r="A2623" s="11">
        <f>IFERROR(__xludf.DUMMYFUNCTION("""COMPUTED_VALUE"""),44471.0)</f>
        <v>44471</v>
      </c>
      <c r="B2623" s="9">
        <f>IFERROR(__xludf.DUMMYFUNCTION("""COMPUTED_VALUE"""),1003659.0)</f>
        <v>1003659</v>
      </c>
      <c r="C2623" s="9">
        <f>IFERROR(__xludf.DUMMYFUNCTION("""COMPUTED_VALUE"""),115766.0)</f>
        <v>115766</v>
      </c>
      <c r="D2623" s="9"/>
      <c r="E2623" s="9"/>
      <c r="F2623" s="9">
        <f>IFERROR(__xludf.DUMMYFUNCTION("""COMPUTED_VALUE"""),2.56)</f>
        <v>2.56</v>
      </c>
      <c r="G2623" s="9">
        <f>IFERROR(__xludf.DUMMYFUNCTION("""COMPUTED_VALUE"""),2.56)</f>
        <v>2.56</v>
      </c>
      <c r="H2623" s="9">
        <f>IFERROR(__xludf.DUMMYFUNCTION("""COMPUTED_VALUE"""),1.0)</f>
        <v>1</v>
      </c>
      <c r="I2623" s="9"/>
      <c r="J2623" s="9"/>
      <c r="K2623" s="9"/>
      <c r="L2623" s="9"/>
      <c r="M2623" s="9"/>
      <c r="N2623" s="9"/>
      <c r="O2623" s="9"/>
      <c r="P2623" s="9"/>
      <c r="Q2623" s="9"/>
      <c r="R2623" s="9"/>
      <c r="S2623" s="9"/>
      <c r="T2623" s="9"/>
    </row>
    <row r="2624" ht="15.75" customHeight="1">
      <c r="A2624" s="11">
        <f>IFERROR(__xludf.DUMMYFUNCTION("""COMPUTED_VALUE"""),44471.0)</f>
        <v>44471</v>
      </c>
      <c r="B2624" s="9">
        <f>IFERROR(__xludf.DUMMYFUNCTION("""COMPUTED_VALUE"""),1003659.0)</f>
        <v>1003659</v>
      </c>
      <c r="C2624" s="9">
        <f>IFERROR(__xludf.DUMMYFUNCTION("""COMPUTED_VALUE"""),70242.0)</f>
        <v>70242</v>
      </c>
      <c r="D2624" s="10" t="str">
        <f>IFERROR(__xludf.DUMMYFUNCTION("""COMPUTED_VALUE"""),"Offre speciale")</f>
        <v>Offre speciale</v>
      </c>
      <c r="E2624" s="10"/>
      <c r="F2624" s="9">
        <f>IFERROR(__xludf.DUMMYFUNCTION("""COMPUTED_VALUE"""),6.28888888888888)</f>
        <v>6.288888889</v>
      </c>
      <c r="G2624" s="9">
        <f>IFERROR(__xludf.DUMMYFUNCTION("""COMPUTED_VALUE"""),5.66)</f>
        <v>5.66</v>
      </c>
      <c r="H2624" s="9">
        <f>IFERROR(__xludf.DUMMYFUNCTION("""COMPUTED_VALUE"""),1.0)</f>
        <v>1</v>
      </c>
      <c r="I2624" s="9"/>
      <c r="J2624" s="9"/>
      <c r="K2624" s="9"/>
      <c r="L2624" s="9"/>
      <c r="M2624" s="9"/>
      <c r="N2624" s="9"/>
      <c r="O2624" s="9"/>
      <c r="P2624" s="9"/>
      <c r="Q2624" s="9"/>
      <c r="R2624" s="9"/>
      <c r="S2624" s="9"/>
      <c r="T2624" s="9"/>
    </row>
    <row r="2625" ht="15.75" customHeight="1">
      <c r="A2625" s="11">
        <f>IFERROR(__xludf.DUMMYFUNCTION("""COMPUTED_VALUE"""),44471.0)</f>
        <v>44471</v>
      </c>
      <c r="B2625" s="9">
        <f>IFERROR(__xludf.DUMMYFUNCTION("""COMPUTED_VALUE"""),1003659.0)</f>
        <v>1003659</v>
      </c>
      <c r="C2625" s="9">
        <f>IFERROR(__xludf.DUMMYFUNCTION("""COMPUTED_VALUE"""),100334.0)</f>
        <v>100334</v>
      </c>
      <c r="D2625" s="10" t="str">
        <f>IFERROR(__xludf.DUMMYFUNCTION("""COMPUTED_VALUE"""),"Offre speciale")</f>
        <v>Offre speciale</v>
      </c>
      <c r="E2625" s="10"/>
      <c r="F2625" s="9">
        <f>IFERROR(__xludf.DUMMYFUNCTION("""COMPUTED_VALUE"""),3.81333333333333)</f>
        <v>3.813333333</v>
      </c>
      <c r="G2625" s="9">
        <f>IFERROR(__xludf.DUMMYFUNCTION("""COMPUTED_VALUE"""),2.86)</f>
        <v>2.86</v>
      </c>
      <c r="H2625" s="9">
        <f>IFERROR(__xludf.DUMMYFUNCTION("""COMPUTED_VALUE"""),1.0)</f>
        <v>1</v>
      </c>
      <c r="I2625" s="9"/>
      <c r="J2625" s="9"/>
      <c r="K2625" s="9"/>
      <c r="L2625" s="9"/>
      <c r="M2625" s="9"/>
      <c r="N2625" s="9"/>
      <c r="O2625" s="9"/>
      <c r="P2625" s="9"/>
      <c r="Q2625" s="9"/>
      <c r="R2625" s="9"/>
      <c r="S2625" s="9"/>
      <c r="T2625" s="9"/>
    </row>
    <row r="2626" ht="15.75" customHeight="1">
      <c r="A2626" s="11">
        <f>IFERROR(__xludf.DUMMYFUNCTION("""COMPUTED_VALUE"""),44471.0)</f>
        <v>44471</v>
      </c>
      <c r="B2626" s="9">
        <f>IFERROR(__xludf.DUMMYFUNCTION("""COMPUTED_VALUE"""),1003659.0)</f>
        <v>1003659</v>
      </c>
      <c r="C2626" s="9">
        <f>IFERROR(__xludf.DUMMYFUNCTION("""COMPUTED_VALUE"""),45630.0)</f>
        <v>45630</v>
      </c>
      <c r="D2626" s="10" t="str">
        <f>IFERROR(__xludf.DUMMYFUNCTION("""COMPUTED_VALUE"""),"Vive le bio")</f>
        <v>Vive le bio</v>
      </c>
      <c r="E2626" s="10"/>
      <c r="F2626" s="9">
        <f>IFERROR(__xludf.DUMMYFUNCTION("""COMPUTED_VALUE"""),6.89999999999999)</f>
        <v>6.9</v>
      </c>
      <c r="G2626" s="9">
        <f>IFERROR(__xludf.DUMMYFUNCTION("""COMPUTED_VALUE"""),6.21)</f>
        <v>6.21</v>
      </c>
      <c r="H2626" s="9">
        <f>IFERROR(__xludf.DUMMYFUNCTION("""COMPUTED_VALUE"""),1.0)</f>
        <v>1</v>
      </c>
      <c r="I2626" s="9"/>
      <c r="J2626" s="9"/>
      <c r="K2626" s="9"/>
      <c r="L2626" s="9"/>
      <c r="M2626" s="9"/>
      <c r="N2626" s="9"/>
      <c r="O2626" s="9"/>
      <c r="P2626" s="9"/>
      <c r="Q2626" s="9"/>
      <c r="R2626" s="9"/>
      <c r="S2626" s="9"/>
      <c r="T2626" s="9"/>
    </row>
    <row r="2627" ht="15.75" customHeight="1">
      <c r="A2627" s="11">
        <f>IFERROR(__xludf.DUMMYFUNCTION("""COMPUTED_VALUE"""),44471.0)</f>
        <v>44471</v>
      </c>
      <c r="B2627" s="9">
        <f>IFERROR(__xludf.DUMMYFUNCTION("""COMPUTED_VALUE"""),1003659.0)</f>
        <v>1003659</v>
      </c>
      <c r="C2627" s="9">
        <f>IFERROR(__xludf.DUMMYFUNCTION("""COMPUTED_VALUE"""),115733.0)</f>
        <v>115733</v>
      </c>
      <c r="D2627" s="10" t="str">
        <f>IFERROR(__xludf.DUMMYFUNCTION("""COMPUTED_VALUE"""),"Vive le bio")</f>
        <v>Vive le bio</v>
      </c>
      <c r="E2627" s="10"/>
      <c r="F2627" s="9">
        <f>IFERROR(__xludf.DUMMYFUNCTION("""COMPUTED_VALUE"""),1.81111111111111)</f>
        <v>1.811111111</v>
      </c>
      <c r="G2627" s="9">
        <f>IFERROR(__xludf.DUMMYFUNCTION("""COMPUTED_VALUE"""),1.63)</f>
        <v>1.63</v>
      </c>
      <c r="H2627" s="9">
        <f>IFERROR(__xludf.DUMMYFUNCTION("""COMPUTED_VALUE"""),1.0)</f>
        <v>1</v>
      </c>
      <c r="I2627" s="9"/>
      <c r="J2627" s="9"/>
      <c r="K2627" s="9"/>
      <c r="L2627" s="9"/>
      <c r="M2627" s="9"/>
      <c r="N2627" s="9"/>
      <c r="O2627" s="9"/>
      <c r="P2627" s="9"/>
      <c r="Q2627" s="9"/>
      <c r="R2627" s="9"/>
      <c r="S2627" s="9"/>
      <c r="T2627" s="9"/>
    </row>
    <row r="2628" ht="15.75" customHeight="1">
      <c r="A2628" s="11">
        <f>IFERROR(__xludf.DUMMYFUNCTION("""COMPUTED_VALUE"""),44471.0)</f>
        <v>44471</v>
      </c>
      <c r="B2628" s="9">
        <f>IFERROR(__xludf.DUMMYFUNCTION("""COMPUTED_VALUE"""),1003659.0)</f>
        <v>1003659</v>
      </c>
      <c r="C2628" s="9">
        <f>IFERROR(__xludf.DUMMYFUNCTION("""COMPUTED_VALUE"""),142304.0)</f>
        <v>142304</v>
      </c>
      <c r="D2628" s="9"/>
      <c r="E2628" s="9"/>
      <c r="F2628" s="9">
        <f>IFERROR(__xludf.DUMMYFUNCTION("""COMPUTED_VALUE"""),5.66)</f>
        <v>5.66</v>
      </c>
      <c r="G2628" s="9">
        <f>IFERROR(__xludf.DUMMYFUNCTION("""COMPUTED_VALUE"""),5.66)</f>
        <v>5.66</v>
      </c>
      <c r="H2628" s="9">
        <f>IFERROR(__xludf.DUMMYFUNCTION("""COMPUTED_VALUE"""),1.0)</f>
        <v>1</v>
      </c>
      <c r="I2628" s="9"/>
      <c r="J2628" s="9"/>
      <c r="K2628" s="9"/>
      <c r="L2628" s="9"/>
      <c r="M2628" s="9"/>
      <c r="N2628" s="9"/>
      <c r="O2628" s="9"/>
      <c r="P2628" s="9"/>
      <c r="Q2628" s="9"/>
      <c r="R2628" s="9"/>
      <c r="S2628" s="9"/>
      <c r="T2628" s="9"/>
    </row>
    <row r="2629" ht="15.75" customHeight="1">
      <c r="A2629" s="11">
        <f>IFERROR(__xludf.DUMMYFUNCTION("""COMPUTED_VALUE"""),44471.0)</f>
        <v>44471</v>
      </c>
      <c r="B2629" s="9">
        <f>IFERROR(__xludf.DUMMYFUNCTION("""COMPUTED_VALUE"""),1003659.0)</f>
        <v>1003659</v>
      </c>
      <c r="C2629" s="9">
        <f>IFERROR(__xludf.DUMMYFUNCTION("""COMPUTED_VALUE"""),104162.0)</f>
        <v>104162</v>
      </c>
      <c r="D2629" s="9"/>
      <c r="E2629" s="9"/>
      <c r="F2629" s="9">
        <f>IFERROR(__xludf.DUMMYFUNCTION("""COMPUTED_VALUE"""),9.65)</f>
        <v>9.65</v>
      </c>
      <c r="G2629" s="9">
        <f>IFERROR(__xludf.DUMMYFUNCTION("""COMPUTED_VALUE"""),9.65)</f>
        <v>9.65</v>
      </c>
      <c r="H2629" s="9">
        <f>IFERROR(__xludf.DUMMYFUNCTION("""COMPUTED_VALUE"""),1.0)</f>
        <v>1</v>
      </c>
      <c r="I2629" s="9"/>
      <c r="J2629" s="9"/>
      <c r="K2629" s="9"/>
      <c r="L2629" s="9"/>
      <c r="M2629" s="9"/>
      <c r="N2629" s="9"/>
      <c r="O2629" s="9"/>
      <c r="P2629" s="9"/>
      <c r="Q2629" s="9"/>
      <c r="R2629" s="9"/>
      <c r="S2629" s="9"/>
      <c r="T2629" s="9"/>
    </row>
    <row r="2630" ht="15.75" customHeight="1">
      <c r="A2630" s="11">
        <f>IFERROR(__xludf.DUMMYFUNCTION("""COMPUTED_VALUE"""),44471.0)</f>
        <v>44471</v>
      </c>
      <c r="B2630" s="9">
        <f>IFERROR(__xludf.DUMMYFUNCTION("""COMPUTED_VALUE"""),1003659.0)</f>
        <v>1003659</v>
      </c>
      <c r="C2630" s="9">
        <f>IFERROR(__xludf.DUMMYFUNCTION("""COMPUTED_VALUE"""),71376.0)</f>
        <v>71376</v>
      </c>
      <c r="D2630" s="9"/>
      <c r="E2630" s="9"/>
      <c r="F2630" s="9">
        <f>IFERROR(__xludf.DUMMYFUNCTION("""COMPUTED_VALUE"""),5.7)</f>
        <v>5.7</v>
      </c>
      <c r="G2630" s="9">
        <f>IFERROR(__xludf.DUMMYFUNCTION("""COMPUTED_VALUE"""),5.7)</f>
        <v>5.7</v>
      </c>
      <c r="H2630" s="9">
        <f>IFERROR(__xludf.DUMMYFUNCTION("""COMPUTED_VALUE"""),1.0)</f>
        <v>1</v>
      </c>
      <c r="I2630" s="9"/>
      <c r="J2630" s="9"/>
      <c r="K2630" s="9"/>
      <c r="L2630" s="9"/>
      <c r="M2630" s="9"/>
      <c r="N2630" s="9"/>
      <c r="O2630" s="9"/>
      <c r="P2630" s="9"/>
      <c r="Q2630" s="9"/>
      <c r="R2630" s="9"/>
      <c r="S2630" s="9"/>
      <c r="T2630" s="9"/>
    </row>
    <row r="2631" ht="15.75" customHeight="1">
      <c r="A2631" s="11">
        <f>IFERROR(__xludf.DUMMYFUNCTION("""COMPUTED_VALUE"""),44471.0)</f>
        <v>44471</v>
      </c>
      <c r="B2631" s="9">
        <f>IFERROR(__xludf.DUMMYFUNCTION("""COMPUTED_VALUE"""),1003659.0)</f>
        <v>1003659</v>
      </c>
      <c r="C2631" s="9">
        <f>IFERROR(__xludf.DUMMYFUNCTION("""COMPUTED_VALUE"""),102709.0)</f>
        <v>102709</v>
      </c>
      <c r="D2631" s="9"/>
      <c r="E2631" s="9"/>
      <c r="F2631" s="9">
        <f>IFERROR(__xludf.DUMMYFUNCTION("""COMPUTED_VALUE"""),2.49)</f>
        <v>2.49</v>
      </c>
      <c r="G2631" s="9">
        <f>IFERROR(__xludf.DUMMYFUNCTION("""COMPUTED_VALUE"""),2.49)</f>
        <v>2.49</v>
      </c>
      <c r="H2631" s="9">
        <f>IFERROR(__xludf.DUMMYFUNCTION("""COMPUTED_VALUE"""),1.0)</f>
        <v>1</v>
      </c>
      <c r="I2631" s="9"/>
      <c r="J2631" s="9"/>
      <c r="K2631" s="9"/>
      <c r="L2631" s="9"/>
      <c r="M2631" s="9"/>
      <c r="N2631" s="9"/>
      <c r="O2631" s="9"/>
      <c r="P2631" s="9"/>
      <c r="Q2631" s="9"/>
      <c r="R2631" s="9"/>
      <c r="S2631" s="9"/>
      <c r="T2631" s="9"/>
    </row>
    <row r="2632" ht="15.75" customHeight="1">
      <c r="A2632" s="11">
        <f>IFERROR(__xludf.DUMMYFUNCTION("""COMPUTED_VALUE"""),44471.0)</f>
        <v>44471</v>
      </c>
      <c r="B2632" s="9">
        <f>IFERROR(__xludf.DUMMYFUNCTION("""COMPUTED_VALUE"""),1003659.0)</f>
        <v>1003659</v>
      </c>
      <c r="C2632" s="9">
        <f>IFERROR(__xludf.DUMMYFUNCTION("""COMPUTED_VALUE"""),112194.0)</f>
        <v>112194</v>
      </c>
      <c r="D2632" s="9"/>
      <c r="E2632" s="9"/>
      <c r="F2632" s="9">
        <f>IFERROR(__xludf.DUMMYFUNCTION("""COMPUTED_VALUE"""),2.12)</f>
        <v>2.12</v>
      </c>
      <c r="G2632" s="9">
        <f>IFERROR(__xludf.DUMMYFUNCTION("""COMPUTED_VALUE"""),2.12)</f>
        <v>2.12</v>
      </c>
      <c r="H2632" s="9">
        <f>IFERROR(__xludf.DUMMYFUNCTION("""COMPUTED_VALUE"""),1.0)</f>
        <v>1</v>
      </c>
      <c r="I2632" s="9"/>
      <c r="J2632" s="9"/>
      <c r="K2632" s="9"/>
      <c r="L2632" s="9"/>
      <c r="M2632" s="9"/>
      <c r="N2632" s="9"/>
      <c r="O2632" s="9"/>
      <c r="P2632" s="9"/>
      <c r="Q2632" s="9"/>
      <c r="R2632" s="9"/>
      <c r="S2632" s="9"/>
      <c r="T2632" s="9"/>
    </row>
    <row r="2633" ht="15.75" customHeight="1">
      <c r="A2633" s="11">
        <f>IFERROR(__xludf.DUMMYFUNCTION("""COMPUTED_VALUE"""),44471.0)</f>
        <v>44471</v>
      </c>
      <c r="B2633" s="9">
        <f>IFERROR(__xludf.DUMMYFUNCTION("""COMPUTED_VALUE"""),1003659.0)</f>
        <v>1003659</v>
      </c>
      <c r="C2633" s="9">
        <f>IFERROR(__xludf.DUMMYFUNCTION("""COMPUTED_VALUE"""),111081.0)</f>
        <v>111081</v>
      </c>
      <c r="D2633" s="10" t="str">
        <f>IFERROR(__xludf.DUMMYFUNCTION("""COMPUTED_VALUE"""),"Vive le bio")</f>
        <v>Vive le bio</v>
      </c>
      <c r="E2633" s="10"/>
      <c r="F2633" s="9">
        <f>IFERROR(__xludf.DUMMYFUNCTION("""COMPUTED_VALUE"""),2.78888888888888)</f>
        <v>2.788888889</v>
      </c>
      <c r="G2633" s="9">
        <f>IFERROR(__xludf.DUMMYFUNCTION("""COMPUTED_VALUE"""),2.51)</f>
        <v>2.51</v>
      </c>
      <c r="H2633" s="9">
        <f>IFERROR(__xludf.DUMMYFUNCTION("""COMPUTED_VALUE"""),1.0)</f>
        <v>1</v>
      </c>
      <c r="I2633" s="9"/>
      <c r="J2633" s="9"/>
      <c r="K2633" s="9"/>
      <c r="L2633" s="9"/>
      <c r="M2633" s="9"/>
      <c r="N2633" s="9"/>
      <c r="O2633" s="9"/>
      <c r="P2633" s="9"/>
      <c r="Q2633" s="9"/>
      <c r="R2633" s="9"/>
      <c r="S2633" s="9"/>
      <c r="T2633" s="9"/>
    </row>
    <row r="2634" ht="15.75" customHeight="1">
      <c r="A2634" s="11">
        <f>IFERROR(__xludf.DUMMYFUNCTION("""COMPUTED_VALUE"""),44471.0)</f>
        <v>44471</v>
      </c>
      <c r="B2634" s="9">
        <f>IFERROR(__xludf.DUMMYFUNCTION("""COMPUTED_VALUE"""),1003659.0)</f>
        <v>1003659</v>
      </c>
      <c r="C2634" s="9">
        <f>IFERROR(__xludf.DUMMYFUNCTION("""COMPUTED_VALUE"""),200360.0)</f>
        <v>200360</v>
      </c>
      <c r="D2634" s="9"/>
      <c r="E2634" s="9"/>
      <c r="F2634" s="9">
        <f>IFERROR(__xludf.DUMMYFUNCTION("""COMPUTED_VALUE"""),4.81)</f>
        <v>4.81</v>
      </c>
      <c r="G2634" s="9">
        <f>IFERROR(__xludf.DUMMYFUNCTION("""COMPUTED_VALUE"""),4.81)</f>
        <v>4.81</v>
      </c>
      <c r="H2634" s="9">
        <f>IFERROR(__xludf.DUMMYFUNCTION("""COMPUTED_VALUE"""),2.0)</f>
        <v>2</v>
      </c>
      <c r="I2634" s="9"/>
      <c r="J2634" s="9"/>
      <c r="K2634" s="9"/>
      <c r="L2634" s="9"/>
      <c r="M2634" s="9"/>
      <c r="N2634" s="9"/>
      <c r="O2634" s="9"/>
      <c r="P2634" s="9"/>
      <c r="Q2634" s="9"/>
      <c r="R2634" s="9"/>
      <c r="S2634" s="9"/>
      <c r="T2634" s="9"/>
    </row>
    <row r="2635" ht="15.75" customHeight="1">
      <c r="A2635" s="11">
        <f>IFERROR(__xludf.DUMMYFUNCTION("""COMPUTED_VALUE"""),44471.0)</f>
        <v>44471</v>
      </c>
      <c r="B2635" s="9">
        <f>IFERROR(__xludf.DUMMYFUNCTION("""COMPUTED_VALUE"""),1003659.0)</f>
        <v>1003659</v>
      </c>
      <c r="C2635" s="9">
        <f>IFERROR(__xludf.DUMMYFUNCTION("""COMPUTED_VALUE"""),200359.0)</f>
        <v>200359</v>
      </c>
      <c r="D2635" s="9"/>
      <c r="E2635" s="9"/>
      <c r="F2635" s="9">
        <f>IFERROR(__xludf.DUMMYFUNCTION("""COMPUTED_VALUE"""),4.81)</f>
        <v>4.81</v>
      </c>
      <c r="G2635" s="9">
        <f>IFERROR(__xludf.DUMMYFUNCTION("""COMPUTED_VALUE"""),4.81)</f>
        <v>4.81</v>
      </c>
      <c r="H2635" s="9">
        <f>IFERROR(__xludf.DUMMYFUNCTION("""COMPUTED_VALUE"""),2.0)</f>
        <v>2</v>
      </c>
      <c r="I2635" s="9"/>
      <c r="J2635" s="9"/>
      <c r="K2635" s="9"/>
      <c r="L2635" s="9"/>
      <c r="M2635" s="9"/>
      <c r="N2635" s="9"/>
      <c r="O2635" s="9"/>
      <c r="P2635" s="9"/>
      <c r="Q2635" s="9"/>
      <c r="R2635" s="9"/>
      <c r="S2635" s="9"/>
      <c r="T2635" s="9"/>
    </row>
    <row r="2636" ht="15.75" customHeight="1">
      <c r="A2636" s="11">
        <f>IFERROR(__xludf.DUMMYFUNCTION("""COMPUTED_VALUE"""),44471.0)</f>
        <v>44471</v>
      </c>
      <c r="B2636" s="9">
        <f>IFERROR(__xludf.DUMMYFUNCTION("""COMPUTED_VALUE"""),1003659.0)</f>
        <v>1003659</v>
      </c>
      <c r="C2636" s="9">
        <f>IFERROR(__xludf.DUMMYFUNCTION("""COMPUTED_VALUE"""),10259.0)</f>
        <v>10259</v>
      </c>
      <c r="D2636" s="9"/>
      <c r="E2636" s="9"/>
      <c r="F2636" s="9">
        <f>IFERROR(__xludf.DUMMYFUNCTION("""COMPUTED_VALUE"""),9.52)</f>
        <v>9.52</v>
      </c>
      <c r="G2636" s="9">
        <f>IFERROR(__xludf.DUMMYFUNCTION("""COMPUTED_VALUE"""),9.52)</f>
        <v>9.52</v>
      </c>
      <c r="H2636" s="9">
        <f>IFERROR(__xludf.DUMMYFUNCTION("""COMPUTED_VALUE"""),7.0)</f>
        <v>7</v>
      </c>
      <c r="I2636" s="9"/>
      <c r="J2636" s="9"/>
      <c r="K2636" s="9"/>
      <c r="L2636" s="9"/>
      <c r="M2636" s="9"/>
      <c r="N2636" s="9"/>
      <c r="O2636" s="9"/>
      <c r="P2636" s="9"/>
      <c r="Q2636" s="9"/>
      <c r="R2636" s="9"/>
      <c r="S2636" s="9"/>
      <c r="T2636" s="9"/>
    </row>
    <row r="2637" ht="15.75" customHeight="1">
      <c r="A2637" s="11">
        <f>IFERROR(__xludf.DUMMYFUNCTION("""COMPUTED_VALUE"""),44471.0)</f>
        <v>44471</v>
      </c>
      <c r="B2637" s="9">
        <f>IFERROR(__xludf.DUMMYFUNCTION("""COMPUTED_VALUE"""),1003660.0)</f>
        <v>1003660</v>
      </c>
      <c r="C2637" s="9">
        <f>IFERROR(__xludf.DUMMYFUNCTION("""COMPUTED_VALUE"""),47514.0)</f>
        <v>47514</v>
      </c>
      <c r="D2637" s="9"/>
      <c r="E2637" s="9"/>
      <c r="F2637" s="9">
        <f>IFERROR(__xludf.DUMMYFUNCTION("""COMPUTED_VALUE"""),7.29)</f>
        <v>7.29</v>
      </c>
      <c r="G2637" s="9">
        <f>IFERROR(__xludf.DUMMYFUNCTION("""COMPUTED_VALUE"""),7.29)</f>
        <v>7.29</v>
      </c>
      <c r="H2637" s="9">
        <f>IFERROR(__xludf.DUMMYFUNCTION("""COMPUTED_VALUE"""),1.0)</f>
        <v>1</v>
      </c>
      <c r="I2637" s="9"/>
      <c r="J2637" s="9"/>
      <c r="K2637" s="9"/>
      <c r="L2637" s="9"/>
      <c r="M2637" s="9"/>
      <c r="N2637" s="9"/>
      <c r="O2637" s="9"/>
      <c r="P2637" s="9"/>
      <c r="Q2637" s="9"/>
      <c r="R2637" s="9"/>
      <c r="S2637" s="9"/>
      <c r="T2637" s="9"/>
    </row>
    <row r="2638" ht="15.75" customHeight="1">
      <c r="A2638" s="11">
        <f>IFERROR(__xludf.DUMMYFUNCTION("""COMPUTED_VALUE"""),44471.0)</f>
        <v>44471</v>
      </c>
      <c r="B2638" s="9">
        <f>IFERROR(__xludf.DUMMYFUNCTION("""COMPUTED_VALUE"""),1003660.0)</f>
        <v>1003660</v>
      </c>
      <c r="C2638" s="9">
        <f>IFERROR(__xludf.DUMMYFUNCTION("""COMPUTED_VALUE"""),86417.0)</f>
        <v>86417</v>
      </c>
      <c r="D2638" s="10" t="str">
        <f>IFERROR(__xludf.DUMMYFUNCTION("""COMPUTED_VALUE"""),"Vive le bio")</f>
        <v>Vive le bio</v>
      </c>
      <c r="E2638" s="10"/>
      <c r="F2638" s="9">
        <f>IFERROR(__xludf.DUMMYFUNCTION("""COMPUTED_VALUE"""),3.11111111111111)</f>
        <v>3.111111111</v>
      </c>
      <c r="G2638" s="9">
        <f>IFERROR(__xludf.DUMMYFUNCTION("""COMPUTED_VALUE"""),2.8)</f>
        <v>2.8</v>
      </c>
      <c r="H2638" s="9">
        <f>IFERROR(__xludf.DUMMYFUNCTION("""COMPUTED_VALUE"""),1.0)</f>
        <v>1</v>
      </c>
      <c r="I2638" s="9"/>
      <c r="J2638" s="9"/>
      <c r="K2638" s="9"/>
      <c r="L2638" s="9"/>
      <c r="M2638" s="9"/>
      <c r="N2638" s="9"/>
      <c r="O2638" s="9"/>
      <c r="P2638" s="9"/>
      <c r="Q2638" s="9"/>
      <c r="R2638" s="9"/>
      <c r="S2638" s="9"/>
      <c r="T2638" s="9"/>
    </row>
    <row r="2639" ht="15.75" customHeight="1">
      <c r="A2639" s="11">
        <f>IFERROR(__xludf.DUMMYFUNCTION("""COMPUTED_VALUE"""),44471.0)</f>
        <v>44471</v>
      </c>
      <c r="B2639" s="9">
        <f>IFERROR(__xludf.DUMMYFUNCTION("""COMPUTED_VALUE"""),1003660.0)</f>
        <v>1003660</v>
      </c>
      <c r="C2639" s="9">
        <f>IFERROR(__xludf.DUMMYFUNCTION("""COMPUTED_VALUE"""),8857.0)</f>
        <v>8857</v>
      </c>
      <c r="D2639" s="9"/>
      <c r="E2639" s="9"/>
      <c r="F2639" s="9">
        <f>IFERROR(__xludf.DUMMYFUNCTION("""COMPUTED_VALUE"""),3.16)</f>
        <v>3.16</v>
      </c>
      <c r="G2639" s="9">
        <f>IFERROR(__xludf.DUMMYFUNCTION("""COMPUTED_VALUE"""),3.16)</f>
        <v>3.16</v>
      </c>
      <c r="H2639" s="9">
        <f>IFERROR(__xludf.DUMMYFUNCTION("""COMPUTED_VALUE"""),1.0)</f>
        <v>1</v>
      </c>
      <c r="I2639" s="9"/>
      <c r="J2639" s="9"/>
      <c r="K2639" s="9"/>
      <c r="L2639" s="9"/>
      <c r="M2639" s="9"/>
      <c r="N2639" s="9"/>
      <c r="O2639" s="9"/>
      <c r="P2639" s="9"/>
      <c r="Q2639" s="9"/>
      <c r="R2639" s="9"/>
      <c r="S2639" s="9"/>
      <c r="T2639" s="9"/>
    </row>
    <row r="2640" ht="15.75" customHeight="1">
      <c r="A2640" s="11">
        <f>IFERROR(__xludf.DUMMYFUNCTION("""COMPUTED_VALUE"""),44471.0)</f>
        <v>44471</v>
      </c>
      <c r="B2640" s="9">
        <f>IFERROR(__xludf.DUMMYFUNCTION("""COMPUTED_VALUE"""),1003660.0)</f>
        <v>1003660</v>
      </c>
      <c r="C2640" s="9">
        <f>IFERROR(__xludf.DUMMYFUNCTION("""COMPUTED_VALUE"""),18115.0)</f>
        <v>18115</v>
      </c>
      <c r="D2640" s="9"/>
      <c r="E2640" s="9"/>
      <c r="F2640" s="9">
        <f>IFERROR(__xludf.DUMMYFUNCTION("""COMPUTED_VALUE"""),3.79)</f>
        <v>3.79</v>
      </c>
      <c r="G2640" s="9">
        <f>IFERROR(__xludf.DUMMYFUNCTION("""COMPUTED_VALUE"""),3.79)</f>
        <v>3.79</v>
      </c>
      <c r="H2640" s="9">
        <f>IFERROR(__xludf.DUMMYFUNCTION("""COMPUTED_VALUE"""),1.0)</f>
        <v>1</v>
      </c>
      <c r="I2640" s="9"/>
      <c r="J2640" s="9"/>
      <c r="K2640" s="9"/>
      <c r="L2640" s="9"/>
      <c r="M2640" s="9"/>
      <c r="N2640" s="9"/>
      <c r="O2640" s="9"/>
      <c r="P2640" s="9"/>
      <c r="Q2640" s="9"/>
      <c r="R2640" s="9"/>
      <c r="S2640" s="9"/>
      <c r="T2640" s="9"/>
    </row>
    <row r="2641" ht="15.75" customHeight="1">
      <c r="A2641" s="11">
        <f>IFERROR(__xludf.DUMMYFUNCTION("""COMPUTED_VALUE"""),44471.0)</f>
        <v>44471</v>
      </c>
      <c r="B2641" s="9">
        <f>IFERROR(__xludf.DUMMYFUNCTION("""COMPUTED_VALUE"""),1003660.0)</f>
        <v>1003660</v>
      </c>
      <c r="C2641" s="9">
        <f>IFERROR(__xludf.DUMMYFUNCTION("""COMPUTED_VALUE"""),70419.0)</f>
        <v>70419</v>
      </c>
      <c r="D2641" s="9"/>
      <c r="E2641" s="9"/>
      <c r="F2641" s="9">
        <f>IFERROR(__xludf.DUMMYFUNCTION("""COMPUTED_VALUE"""),3.17)</f>
        <v>3.17</v>
      </c>
      <c r="G2641" s="9">
        <f>IFERROR(__xludf.DUMMYFUNCTION("""COMPUTED_VALUE"""),3.17)</f>
        <v>3.17</v>
      </c>
      <c r="H2641" s="9">
        <f>IFERROR(__xludf.DUMMYFUNCTION("""COMPUTED_VALUE"""),1.0)</f>
        <v>1</v>
      </c>
      <c r="I2641" s="9"/>
      <c r="J2641" s="9"/>
      <c r="K2641" s="9"/>
      <c r="L2641" s="9"/>
      <c r="M2641" s="9"/>
      <c r="N2641" s="9"/>
      <c r="O2641" s="9"/>
      <c r="P2641" s="9"/>
      <c r="Q2641" s="9"/>
      <c r="R2641" s="9"/>
      <c r="S2641" s="9"/>
      <c r="T2641" s="9"/>
    </row>
    <row r="2642" ht="15.75" customHeight="1">
      <c r="A2642" s="11">
        <f>IFERROR(__xludf.DUMMYFUNCTION("""COMPUTED_VALUE"""),44471.0)</f>
        <v>44471</v>
      </c>
      <c r="B2642" s="9">
        <f>IFERROR(__xludf.DUMMYFUNCTION("""COMPUTED_VALUE"""),1003660.0)</f>
        <v>1003660</v>
      </c>
      <c r="C2642" s="9">
        <f>IFERROR(__xludf.DUMMYFUNCTION("""COMPUTED_VALUE"""),91357.0)</f>
        <v>91357</v>
      </c>
      <c r="D2642" s="9"/>
      <c r="E2642" s="9"/>
      <c r="F2642" s="9">
        <f>IFERROR(__xludf.DUMMYFUNCTION("""COMPUTED_VALUE"""),4.6)</f>
        <v>4.6</v>
      </c>
      <c r="G2642" s="9">
        <f>IFERROR(__xludf.DUMMYFUNCTION("""COMPUTED_VALUE"""),4.6)</f>
        <v>4.6</v>
      </c>
      <c r="H2642" s="9">
        <f>IFERROR(__xludf.DUMMYFUNCTION("""COMPUTED_VALUE"""),1.0)</f>
        <v>1</v>
      </c>
      <c r="I2642" s="9"/>
      <c r="J2642" s="9"/>
      <c r="K2642" s="9"/>
      <c r="L2642" s="9"/>
      <c r="M2642" s="9"/>
      <c r="N2642" s="9"/>
      <c r="O2642" s="9"/>
      <c r="P2642" s="9"/>
      <c r="Q2642" s="9"/>
      <c r="R2642" s="9"/>
      <c r="S2642" s="9"/>
      <c r="T2642" s="9"/>
    </row>
    <row r="2643" ht="15.75" customHeight="1">
      <c r="A2643" s="11">
        <f>IFERROR(__xludf.DUMMYFUNCTION("""COMPUTED_VALUE"""),44471.0)</f>
        <v>44471</v>
      </c>
      <c r="B2643" s="9">
        <f>IFERROR(__xludf.DUMMYFUNCTION("""COMPUTED_VALUE"""),1003660.0)</f>
        <v>1003660</v>
      </c>
      <c r="C2643" s="9">
        <f>IFERROR(__xludf.DUMMYFUNCTION("""COMPUTED_VALUE"""),115768.0)</f>
        <v>115768</v>
      </c>
      <c r="D2643" s="9"/>
      <c r="E2643" s="9"/>
      <c r="F2643" s="9">
        <f>IFERROR(__xludf.DUMMYFUNCTION("""COMPUTED_VALUE"""),1.34)</f>
        <v>1.34</v>
      </c>
      <c r="G2643" s="9">
        <f>IFERROR(__xludf.DUMMYFUNCTION("""COMPUTED_VALUE"""),1.34)</f>
        <v>1.34</v>
      </c>
      <c r="H2643" s="9">
        <f>IFERROR(__xludf.DUMMYFUNCTION("""COMPUTED_VALUE"""),1.0)</f>
        <v>1</v>
      </c>
      <c r="I2643" s="9"/>
      <c r="J2643" s="9"/>
      <c r="K2643" s="9"/>
      <c r="L2643" s="9"/>
      <c r="M2643" s="9"/>
      <c r="N2643" s="9"/>
      <c r="O2643" s="9"/>
      <c r="P2643" s="9"/>
      <c r="Q2643" s="9"/>
      <c r="R2643" s="9"/>
      <c r="S2643" s="9"/>
      <c r="T2643" s="9"/>
    </row>
    <row r="2644" ht="15.75" customHeight="1">
      <c r="A2644" s="11">
        <f>IFERROR(__xludf.DUMMYFUNCTION("""COMPUTED_VALUE"""),44471.0)</f>
        <v>44471</v>
      </c>
      <c r="B2644" s="9">
        <f>IFERROR(__xludf.DUMMYFUNCTION("""COMPUTED_VALUE"""),1003660.0)</f>
        <v>1003660</v>
      </c>
      <c r="C2644" s="9">
        <f>IFERROR(__xludf.DUMMYFUNCTION("""COMPUTED_VALUE"""),112230.0)</f>
        <v>112230</v>
      </c>
      <c r="D2644" s="9"/>
      <c r="E2644" s="9"/>
      <c r="F2644" s="9">
        <f>IFERROR(__xludf.DUMMYFUNCTION("""COMPUTED_VALUE"""),3.19)</f>
        <v>3.19</v>
      </c>
      <c r="G2644" s="9">
        <f>IFERROR(__xludf.DUMMYFUNCTION("""COMPUTED_VALUE"""),3.19)</f>
        <v>3.19</v>
      </c>
      <c r="H2644" s="9">
        <f>IFERROR(__xludf.DUMMYFUNCTION("""COMPUTED_VALUE"""),1.0)</f>
        <v>1</v>
      </c>
      <c r="I2644" s="9"/>
      <c r="J2644" s="9"/>
      <c r="K2644" s="9"/>
      <c r="L2644" s="9"/>
      <c r="M2644" s="9"/>
      <c r="N2644" s="9"/>
      <c r="O2644" s="9"/>
      <c r="P2644" s="9"/>
      <c r="Q2644" s="9"/>
      <c r="R2644" s="9"/>
      <c r="S2644" s="9"/>
      <c r="T2644" s="9"/>
    </row>
    <row r="2645" ht="15.75" customHeight="1">
      <c r="A2645" s="11">
        <f>IFERROR(__xludf.DUMMYFUNCTION("""COMPUTED_VALUE"""),44471.0)</f>
        <v>44471</v>
      </c>
      <c r="B2645" s="9">
        <f>IFERROR(__xludf.DUMMYFUNCTION("""COMPUTED_VALUE"""),1003660.0)</f>
        <v>1003660</v>
      </c>
      <c r="C2645" s="9">
        <f>IFERROR(__xludf.DUMMYFUNCTION("""COMPUTED_VALUE"""),70418.0)</f>
        <v>70418</v>
      </c>
      <c r="D2645" s="9"/>
      <c r="E2645" s="9"/>
      <c r="F2645" s="9">
        <f>IFERROR(__xludf.DUMMYFUNCTION("""COMPUTED_VALUE"""),3.32)</f>
        <v>3.32</v>
      </c>
      <c r="G2645" s="9">
        <f>IFERROR(__xludf.DUMMYFUNCTION("""COMPUTED_VALUE"""),3.32)</f>
        <v>3.32</v>
      </c>
      <c r="H2645" s="9">
        <f>IFERROR(__xludf.DUMMYFUNCTION("""COMPUTED_VALUE"""),1.0)</f>
        <v>1</v>
      </c>
      <c r="I2645" s="9"/>
      <c r="J2645" s="9"/>
      <c r="K2645" s="9"/>
      <c r="L2645" s="9"/>
      <c r="M2645" s="9"/>
      <c r="N2645" s="9"/>
      <c r="O2645" s="9"/>
      <c r="P2645" s="9"/>
      <c r="Q2645" s="9"/>
      <c r="R2645" s="9"/>
      <c r="S2645" s="9"/>
      <c r="T2645" s="9"/>
    </row>
    <row r="2646" ht="15.75" customHeight="1">
      <c r="A2646" s="11">
        <f>IFERROR(__xludf.DUMMYFUNCTION("""COMPUTED_VALUE"""),44471.0)</f>
        <v>44471</v>
      </c>
      <c r="B2646" s="9">
        <f>IFERROR(__xludf.DUMMYFUNCTION("""COMPUTED_VALUE"""),1003660.0)</f>
        <v>1003660</v>
      </c>
      <c r="C2646" s="9">
        <f>IFERROR(__xludf.DUMMYFUNCTION("""COMPUTED_VALUE"""),76281.0)</f>
        <v>76281</v>
      </c>
      <c r="D2646" s="10" t="str">
        <f>IFERROR(__xludf.DUMMYFUNCTION("""COMPUTED_VALUE"""),"Vive le bio")</f>
        <v>Vive le bio</v>
      </c>
      <c r="E2646" s="10"/>
      <c r="F2646" s="9">
        <f>IFERROR(__xludf.DUMMYFUNCTION("""COMPUTED_VALUE"""),3.04444444444444)</f>
        <v>3.044444444</v>
      </c>
      <c r="G2646" s="9">
        <f>IFERROR(__xludf.DUMMYFUNCTION("""COMPUTED_VALUE"""),2.74)</f>
        <v>2.74</v>
      </c>
      <c r="H2646" s="9">
        <f>IFERROR(__xludf.DUMMYFUNCTION("""COMPUTED_VALUE"""),1.0)</f>
        <v>1</v>
      </c>
      <c r="I2646" s="9"/>
      <c r="J2646" s="9"/>
      <c r="K2646" s="9"/>
      <c r="L2646" s="9"/>
      <c r="M2646" s="9"/>
      <c r="N2646" s="9"/>
      <c r="O2646" s="9"/>
      <c r="P2646" s="9"/>
      <c r="Q2646" s="9"/>
      <c r="R2646" s="9"/>
      <c r="S2646" s="9"/>
      <c r="T2646" s="9"/>
    </row>
    <row r="2647" ht="15.75" customHeight="1">
      <c r="A2647" s="11">
        <f>IFERROR(__xludf.DUMMYFUNCTION("""COMPUTED_VALUE"""),44471.0)</f>
        <v>44471</v>
      </c>
      <c r="B2647" s="9">
        <f>IFERROR(__xludf.DUMMYFUNCTION("""COMPUTED_VALUE"""),1003660.0)</f>
        <v>1003660</v>
      </c>
      <c r="C2647" s="9">
        <f>IFERROR(__xludf.DUMMYFUNCTION("""COMPUTED_VALUE"""),21612.0)</f>
        <v>21612</v>
      </c>
      <c r="D2647" s="10" t="str">
        <f>IFERROR(__xludf.DUMMYFUNCTION("""COMPUTED_VALUE"""),"Vive le bio")</f>
        <v>Vive le bio</v>
      </c>
      <c r="E2647" s="10"/>
      <c r="F2647" s="9">
        <f>IFERROR(__xludf.DUMMYFUNCTION("""COMPUTED_VALUE"""),5.01111111111111)</f>
        <v>5.011111111</v>
      </c>
      <c r="G2647" s="9">
        <f>IFERROR(__xludf.DUMMYFUNCTION("""COMPUTED_VALUE"""),4.51)</f>
        <v>4.51</v>
      </c>
      <c r="H2647" s="9">
        <f>IFERROR(__xludf.DUMMYFUNCTION("""COMPUTED_VALUE"""),1.0)</f>
        <v>1</v>
      </c>
      <c r="I2647" s="9"/>
      <c r="J2647" s="9"/>
      <c r="K2647" s="9"/>
      <c r="L2647" s="9"/>
      <c r="M2647" s="9"/>
      <c r="N2647" s="9"/>
      <c r="O2647" s="9"/>
      <c r="P2647" s="9"/>
      <c r="Q2647" s="9"/>
      <c r="R2647" s="9"/>
      <c r="S2647" s="9"/>
      <c r="T2647" s="9"/>
    </row>
    <row r="2648" ht="15.75" customHeight="1">
      <c r="A2648" s="11">
        <f>IFERROR(__xludf.DUMMYFUNCTION("""COMPUTED_VALUE"""),44471.0)</f>
        <v>44471</v>
      </c>
      <c r="B2648" s="9">
        <f>IFERROR(__xludf.DUMMYFUNCTION("""COMPUTED_VALUE"""),1003660.0)</f>
        <v>1003660</v>
      </c>
      <c r="C2648" s="9">
        <f>IFERROR(__xludf.DUMMYFUNCTION("""COMPUTED_VALUE"""),113739.0)</f>
        <v>113739</v>
      </c>
      <c r="D2648" s="9"/>
      <c r="E2648" s="9"/>
      <c r="F2648" s="9">
        <f>IFERROR(__xludf.DUMMYFUNCTION("""COMPUTED_VALUE"""),3.48)</f>
        <v>3.48</v>
      </c>
      <c r="G2648" s="9">
        <f>IFERROR(__xludf.DUMMYFUNCTION("""COMPUTED_VALUE"""),3.48)</f>
        <v>3.48</v>
      </c>
      <c r="H2648" s="9">
        <f>IFERROR(__xludf.DUMMYFUNCTION("""COMPUTED_VALUE"""),1.0)</f>
        <v>1</v>
      </c>
      <c r="I2648" s="9"/>
      <c r="J2648" s="9"/>
      <c r="K2648" s="9"/>
      <c r="L2648" s="9"/>
      <c r="M2648" s="9"/>
      <c r="N2648" s="9"/>
      <c r="O2648" s="9"/>
      <c r="P2648" s="9"/>
      <c r="Q2648" s="9"/>
      <c r="R2648" s="9"/>
      <c r="S2648" s="9"/>
      <c r="T2648" s="9"/>
    </row>
    <row r="2649" ht="15.75" customHeight="1">
      <c r="A2649" s="11">
        <f>IFERROR(__xludf.DUMMYFUNCTION("""COMPUTED_VALUE"""),44471.0)</f>
        <v>44471</v>
      </c>
      <c r="B2649" s="9">
        <f>IFERROR(__xludf.DUMMYFUNCTION("""COMPUTED_VALUE"""),1003660.0)</f>
        <v>1003660</v>
      </c>
      <c r="C2649" s="9">
        <f>IFERROR(__xludf.DUMMYFUNCTION("""COMPUTED_VALUE"""),119228.0)</f>
        <v>119228</v>
      </c>
      <c r="D2649" s="9"/>
      <c r="E2649" s="9"/>
      <c r="F2649" s="9">
        <f>IFERROR(__xludf.DUMMYFUNCTION("""COMPUTED_VALUE"""),2.9)</f>
        <v>2.9</v>
      </c>
      <c r="G2649" s="9">
        <f>IFERROR(__xludf.DUMMYFUNCTION("""COMPUTED_VALUE"""),2.9)</f>
        <v>2.9</v>
      </c>
      <c r="H2649" s="9">
        <f>IFERROR(__xludf.DUMMYFUNCTION("""COMPUTED_VALUE"""),2.0)</f>
        <v>2</v>
      </c>
      <c r="I2649" s="9"/>
      <c r="J2649" s="9"/>
      <c r="K2649" s="9"/>
      <c r="L2649" s="9"/>
      <c r="M2649" s="9"/>
      <c r="N2649" s="9"/>
      <c r="O2649" s="9"/>
      <c r="P2649" s="9"/>
      <c r="Q2649" s="9"/>
      <c r="R2649" s="9"/>
      <c r="S2649" s="9"/>
      <c r="T2649" s="9"/>
    </row>
    <row r="2650" ht="15.75" customHeight="1">
      <c r="A2650" s="11">
        <f>IFERROR(__xludf.DUMMYFUNCTION("""COMPUTED_VALUE"""),44471.0)</f>
        <v>44471</v>
      </c>
      <c r="B2650" s="9">
        <f>IFERROR(__xludf.DUMMYFUNCTION("""COMPUTED_VALUE"""),1003660.0)</f>
        <v>1003660</v>
      </c>
      <c r="C2650" s="9">
        <f>IFERROR(__xludf.DUMMYFUNCTION("""COMPUTED_VALUE"""),118304.0)</f>
        <v>118304</v>
      </c>
      <c r="D2650" s="10" t="str">
        <f>IFERROR(__xludf.DUMMYFUNCTION("""COMPUTED_VALUE"""),"Vive le bio")</f>
        <v>Vive le bio</v>
      </c>
      <c r="E2650" s="10"/>
      <c r="F2650" s="9">
        <f>IFERROR(__xludf.DUMMYFUNCTION("""COMPUTED_VALUE"""),4.83333333333333)</f>
        <v>4.833333333</v>
      </c>
      <c r="G2650" s="9">
        <f>IFERROR(__xludf.DUMMYFUNCTION("""COMPUTED_VALUE"""),4.35)</f>
        <v>4.35</v>
      </c>
      <c r="H2650" s="9">
        <f>IFERROR(__xludf.DUMMYFUNCTION("""COMPUTED_VALUE"""),2.0)</f>
        <v>2</v>
      </c>
      <c r="I2650" s="9"/>
      <c r="J2650" s="9"/>
      <c r="K2650" s="9"/>
      <c r="L2650" s="9"/>
      <c r="M2650" s="9"/>
      <c r="N2650" s="9"/>
      <c r="O2650" s="9"/>
      <c r="P2650" s="9"/>
      <c r="Q2650" s="9"/>
      <c r="R2650" s="9"/>
      <c r="S2650" s="9"/>
      <c r="T2650" s="9"/>
    </row>
    <row r="2651" ht="15.75" customHeight="1">
      <c r="A2651" s="11">
        <f>IFERROR(__xludf.DUMMYFUNCTION("""COMPUTED_VALUE"""),44471.0)</f>
        <v>44471</v>
      </c>
      <c r="B2651" s="9">
        <f>IFERROR(__xludf.DUMMYFUNCTION("""COMPUTED_VALUE"""),1003660.0)</f>
        <v>1003660</v>
      </c>
      <c r="C2651" s="9">
        <f>IFERROR(__xludf.DUMMYFUNCTION("""COMPUTED_VALUE"""),117629.0)</f>
        <v>117629</v>
      </c>
      <c r="D2651" s="10" t="str">
        <f>IFERROR(__xludf.DUMMYFUNCTION("""COMPUTED_VALUE"""),"Vive le bio")</f>
        <v>Vive le bio</v>
      </c>
      <c r="E2651" s="10"/>
      <c r="F2651" s="9">
        <f>IFERROR(__xludf.DUMMYFUNCTION("""COMPUTED_VALUE"""),4.25555555555555)</f>
        <v>4.255555556</v>
      </c>
      <c r="G2651" s="9">
        <f>IFERROR(__xludf.DUMMYFUNCTION("""COMPUTED_VALUE"""),3.83)</f>
        <v>3.83</v>
      </c>
      <c r="H2651" s="9">
        <f>IFERROR(__xludf.DUMMYFUNCTION("""COMPUTED_VALUE"""),2.0)</f>
        <v>2</v>
      </c>
      <c r="I2651" s="9"/>
      <c r="J2651" s="9"/>
      <c r="K2651" s="9"/>
      <c r="L2651" s="9"/>
      <c r="M2651" s="9"/>
      <c r="N2651" s="9"/>
      <c r="O2651" s="9"/>
      <c r="P2651" s="9"/>
      <c r="Q2651" s="9"/>
      <c r="R2651" s="9"/>
      <c r="S2651" s="9"/>
      <c r="T2651" s="9"/>
    </row>
    <row r="2652" ht="15.75" customHeight="1">
      <c r="A2652" s="11">
        <f>IFERROR(__xludf.DUMMYFUNCTION("""COMPUTED_VALUE"""),44471.0)</f>
        <v>44471</v>
      </c>
      <c r="B2652" s="9">
        <f>IFERROR(__xludf.DUMMYFUNCTION("""COMPUTED_VALUE"""),1003660.0)</f>
        <v>1003660</v>
      </c>
      <c r="C2652" s="9">
        <f>IFERROR(__xludf.DUMMYFUNCTION("""COMPUTED_VALUE"""),5508.0)</f>
        <v>5508</v>
      </c>
      <c r="D2652" s="9"/>
      <c r="E2652" s="9"/>
      <c r="F2652" s="9">
        <f>IFERROR(__xludf.DUMMYFUNCTION("""COMPUTED_VALUE"""),9.2)</f>
        <v>9.2</v>
      </c>
      <c r="G2652" s="9">
        <f>IFERROR(__xludf.DUMMYFUNCTION("""COMPUTED_VALUE"""),9.2)</f>
        <v>9.2</v>
      </c>
      <c r="H2652" s="9">
        <f>IFERROR(__xludf.DUMMYFUNCTION("""COMPUTED_VALUE"""),2.0)</f>
        <v>2</v>
      </c>
      <c r="I2652" s="9"/>
      <c r="J2652" s="9"/>
      <c r="K2652" s="9"/>
      <c r="L2652" s="9"/>
      <c r="M2652" s="9"/>
      <c r="N2652" s="9"/>
      <c r="O2652" s="9"/>
      <c r="P2652" s="9"/>
      <c r="Q2652" s="9"/>
      <c r="R2652" s="9"/>
      <c r="S2652" s="9"/>
      <c r="T2652" s="9"/>
    </row>
    <row r="2653" ht="15.75" customHeight="1">
      <c r="A2653" s="11">
        <f>IFERROR(__xludf.DUMMYFUNCTION("""COMPUTED_VALUE"""),44471.0)</f>
        <v>44471</v>
      </c>
      <c r="B2653" s="9">
        <f>IFERROR(__xludf.DUMMYFUNCTION("""COMPUTED_VALUE"""),1003660.0)</f>
        <v>1003660</v>
      </c>
      <c r="C2653" s="9">
        <f>IFERROR(__xludf.DUMMYFUNCTION("""COMPUTED_VALUE"""),116181.0)</f>
        <v>116181</v>
      </c>
      <c r="D2653" s="9"/>
      <c r="E2653" s="9"/>
      <c r="F2653" s="9">
        <f>IFERROR(__xludf.DUMMYFUNCTION("""COMPUTED_VALUE"""),3.45)</f>
        <v>3.45</v>
      </c>
      <c r="G2653" s="9">
        <f>IFERROR(__xludf.DUMMYFUNCTION("""COMPUTED_VALUE"""),3.45)</f>
        <v>3.45</v>
      </c>
      <c r="H2653" s="9">
        <f>IFERROR(__xludf.DUMMYFUNCTION("""COMPUTED_VALUE"""),2.0)</f>
        <v>2</v>
      </c>
      <c r="I2653" s="9"/>
      <c r="J2653" s="9"/>
      <c r="K2653" s="9"/>
      <c r="L2653" s="9"/>
      <c r="M2653" s="9"/>
      <c r="N2653" s="9"/>
      <c r="O2653" s="9"/>
      <c r="P2653" s="9"/>
      <c r="Q2653" s="9"/>
      <c r="R2653" s="9"/>
      <c r="S2653" s="9"/>
      <c r="T2653" s="9"/>
    </row>
    <row r="2654" ht="15.75" customHeight="1">
      <c r="A2654" s="11">
        <f>IFERROR(__xludf.DUMMYFUNCTION("""COMPUTED_VALUE"""),44471.0)</f>
        <v>44471</v>
      </c>
      <c r="B2654" s="9">
        <f>IFERROR(__xludf.DUMMYFUNCTION("""COMPUTED_VALUE"""),1003661.0)</f>
        <v>1003661</v>
      </c>
      <c r="C2654" s="9">
        <f>IFERROR(__xludf.DUMMYFUNCTION("""COMPUTED_VALUE"""),19847.0)</f>
        <v>19847</v>
      </c>
      <c r="D2654" s="9"/>
      <c r="E2654" s="10" t="str">
        <f>IFERROR(__xludf.DUMMYFUNCTION("""COMPUTED_VALUE"""),"PREMIERE")</f>
        <v>PREMIERE</v>
      </c>
      <c r="F2654" s="10">
        <f>IFERROR(__xludf.DUMMYFUNCTION("""COMPUTED_VALUE"""),4.11)</f>
        <v>4.11</v>
      </c>
      <c r="G2654" s="9">
        <f>IFERROR(__xludf.DUMMYFUNCTION("""COMPUTED_VALUE"""),4.11)</f>
        <v>4.11</v>
      </c>
      <c r="H2654" s="9">
        <f>IFERROR(__xludf.DUMMYFUNCTION("""COMPUTED_VALUE"""),1.0)</f>
        <v>1</v>
      </c>
      <c r="I2654" s="9"/>
      <c r="J2654" s="9"/>
      <c r="K2654" s="9"/>
      <c r="L2654" s="9"/>
      <c r="M2654" s="9"/>
      <c r="N2654" s="9"/>
      <c r="O2654" s="9"/>
      <c r="P2654" s="9"/>
      <c r="Q2654" s="9"/>
      <c r="R2654" s="9"/>
      <c r="S2654" s="9"/>
      <c r="T2654" s="9"/>
    </row>
    <row r="2655" ht="15.75" customHeight="1">
      <c r="A2655" s="11">
        <f>IFERROR(__xludf.DUMMYFUNCTION("""COMPUTED_VALUE"""),44471.0)</f>
        <v>44471</v>
      </c>
      <c r="B2655" s="9">
        <f>IFERROR(__xludf.DUMMYFUNCTION("""COMPUTED_VALUE"""),1003661.0)</f>
        <v>1003661</v>
      </c>
      <c r="C2655" s="9">
        <f>IFERROR(__xludf.DUMMYFUNCTION("""COMPUTED_VALUE"""),70696.0)</f>
        <v>70696</v>
      </c>
      <c r="D2655" s="9"/>
      <c r="E2655" s="10" t="str">
        <f>IFERROR(__xludf.DUMMYFUNCTION("""COMPUTED_VALUE"""),"PREMIERE")</f>
        <v>PREMIERE</v>
      </c>
      <c r="F2655" s="10">
        <f>IFERROR(__xludf.DUMMYFUNCTION("""COMPUTED_VALUE"""),43.63)</f>
        <v>43.63</v>
      </c>
      <c r="G2655" s="9">
        <f>IFERROR(__xludf.DUMMYFUNCTION("""COMPUTED_VALUE"""),43.63)</f>
        <v>43.63</v>
      </c>
      <c r="H2655" s="9">
        <f>IFERROR(__xludf.DUMMYFUNCTION("""COMPUTED_VALUE"""),1.0)</f>
        <v>1</v>
      </c>
      <c r="I2655" s="9"/>
      <c r="J2655" s="9"/>
      <c r="K2655" s="9"/>
      <c r="L2655" s="9"/>
      <c r="M2655" s="9"/>
      <c r="N2655" s="9"/>
      <c r="O2655" s="9"/>
      <c r="P2655" s="9"/>
      <c r="Q2655" s="9"/>
      <c r="R2655" s="9"/>
      <c r="S2655" s="9"/>
      <c r="T2655" s="9"/>
    </row>
    <row r="2656" ht="15.75" customHeight="1">
      <c r="A2656" s="11">
        <f>IFERROR(__xludf.DUMMYFUNCTION("""COMPUTED_VALUE"""),44471.0)</f>
        <v>44471</v>
      </c>
      <c r="B2656" s="9">
        <f>IFERROR(__xludf.DUMMYFUNCTION("""COMPUTED_VALUE"""),1003662.0)</f>
        <v>1003662</v>
      </c>
      <c r="C2656" s="9">
        <f>IFERROR(__xludf.DUMMYFUNCTION("""COMPUTED_VALUE"""),82393.0)</f>
        <v>82393</v>
      </c>
      <c r="D2656" s="10" t="str">
        <f>IFERROR(__xludf.DUMMYFUNCTION("""COMPUTED_VALUE"""),"Offre speciale")</f>
        <v>Offre speciale</v>
      </c>
      <c r="E2656" s="10"/>
      <c r="F2656" s="9">
        <f>IFERROR(__xludf.DUMMYFUNCTION("""COMPUTED_VALUE"""),3.92222222222222)</f>
        <v>3.922222222</v>
      </c>
      <c r="G2656" s="9">
        <f>IFERROR(__xludf.DUMMYFUNCTION("""COMPUTED_VALUE"""),3.53)</f>
        <v>3.53</v>
      </c>
      <c r="H2656" s="9">
        <f>IFERROR(__xludf.DUMMYFUNCTION("""COMPUTED_VALUE"""),1.0)</f>
        <v>1</v>
      </c>
      <c r="I2656" s="9"/>
      <c r="J2656" s="9"/>
      <c r="K2656" s="9"/>
      <c r="L2656" s="9"/>
      <c r="M2656" s="9"/>
      <c r="N2656" s="9"/>
      <c r="O2656" s="9"/>
      <c r="P2656" s="9"/>
      <c r="Q2656" s="9"/>
      <c r="R2656" s="9"/>
      <c r="S2656" s="9"/>
      <c r="T2656" s="9"/>
    </row>
    <row r="2657" ht="15.75" customHeight="1">
      <c r="A2657" s="11">
        <f>IFERROR(__xludf.DUMMYFUNCTION("""COMPUTED_VALUE"""),44471.0)</f>
        <v>44471</v>
      </c>
      <c r="B2657" s="9">
        <f>IFERROR(__xludf.DUMMYFUNCTION("""COMPUTED_VALUE"""),1003662.0)</f>
        <v>1003662</v>
      </c>
      <c r="C2657" s="9">
        <f>IFERROR(__xludf.DUMMYFUNCTION("""COMPUTED_VALUE"""),109310.0)</f>
        <v>109310</v>
      </c>
      <c r="D2657" s="9"/>
      <c r="E2657" s="9"/>
      <c r="F2657" s="9">
        <f>IFERROR(__xludf.DUMMYFUNCTION("""COMPUTED_VALUE"""),6.27)</f>
        <v>6.27</v>
      </c>
      <c r="G2657" s="9">
        <f>IFERROR(__xludf.DUMMYFUNCTION("""COMPUTED_VALUE"""),6.27)</f>
        <v>6.27</v>
      </c>
      <c r="H2657" s="9">
        <f>IFERROR(__xludf.DUMMYFUNCTION("""COMPUTED_VALUE"""),1.0)</f>
        <v>1</v>
      </c>
      <c r="I2657" s="9"/>
      <c r="J2657" s="9"/>
      <c r="K2657" s="9"/>
      <c r="L2657" s="9"/>
      <c r="M2657" s="9"/>
      <c r="N2657" s="9"/>
      <c r="O2657" s="9"/>
      <c r="P2657" s="9"/>
      <c r="Q2657" s="9"/>
      <c r="R2657" s="9"/>
      <c r="S2657" s="9"/>
      <c r="T2657" s="9"/>
    </row>
    <row r="2658" ht="15.75" customHeight="1">
      <c r="A2658" s="11">
        <f>IFERROR(__xludf.DUMMYFUNCTION("""COMPUTED_VALUE"""),44471.0)</f>
        <v>44471</v>
      </c>
      <c r="B2658" s="9">
        <f>IFERROR(__xludf.DUMMYFUNCTION("""COMPUTED_VALUE"""),1003662.0)</f>
        <v>1003662</v>
      </c>
      <c r="C2658" s="9">
        <f>IFERROR(__xludf.DUMMYFUNCTION("""COMPUTED_VALUE"""),121576.0)</f>
        <v>121576</v>
      </c>
      <c r="D2658" s="9"/>
      <c r="E2658" s="9"/>
      <c r="F2658" s="9">
        <f>IFERROR(__xludf.DUMMYFUNCTION("""COMPUTED_VALUE"""),7.34)</f>
        <v>7.34</v>
      </c>
      <c r="G2658" s="9">
        <f>IFERROR(__xludf.DUMMYFUNCTION("""COMPUTED_VALUE"""),7.34)</f>
        <v>7.34</v>
      </c>
      <c r="H2658" s="9">
        <f>IFERROR(__xludf.DUMMYFUNCTION("""COMPUTED_VALUE"""),1.0)</f>
        <v>1</v>
      </c>
      <c r="I2658" s="9"/>
      <c r="J2658" s="9"/>
      <c r="K2658" s="9"/>
      <c r="L2658" s="9"/>
      <c r="M2658" s="9"/>
      <c r="N2658" s="9"/>
      <c r="O2658" s="9"/>
      <c r="P2658" s="9"/>
      <c r="Q2658" s="9"/>
      <c r="R2658" s="9"/>
      <c r="S2658" s="9"/>
      <c r="T2658" s="9"/>
    </row>
    <row r="2659" ht="15.75" customHeight="1">
      <c r="A2659" s="11">
        <f>IFERROR(__xludf.DUMMYFUNCTION("""COMPUTED_VALUE"""),44471.0)</f>
        <v>44471</v>
      </c>
      <c r="B2659" s="9">
        <f>IFERROR(__xludf.DUMMYFUNCTION("""COMPUTED_VALUE"""),1003662.0)</f>
        <v>1003662</v>
      </c>
      <c r="C2659" s="9">
        <f>IFERROR(__xludf.DUMMYFUNCTION("""COMPUTED_VALUE"""),76365.0)</f>
        <v>76365</v>
      </c>
      <c r="D2659" s="9"/>
      <c r="E2659" s="9"/>
      <c r="F2659" s="9">
        <f>IFERROR(__xludf.DUMMYFUNCTION("""COMPUTED_VALUE"""),4.16)</f>
        <v>4.16</v>
      </c>
      <c r="G2659" s="9">
        <f>IFERROR(__xludf.DUMMYFUNCTION("""COMPUTED_VALUE"""),4.16)</f>
        <v>4.16</v>
      </c>
      <c r="H2659" s="9">
        <f>IFERROR(__xludf.DUMMYFUNCTION("""COMPUTED_VALUE"""),2.0)</f>
        <v>2</v>
      </c>
      <c r="I2659" s="9"/>
      <c r="J2659" s="9"/>
      <c r="K2659" s="9"/>
      <c r="L2659" s="9"/>
      <c r="M2659" s="9"/>
      <c r="N2659" s="9"/>
      <c r="O2659" s="9"/>
      <c r="P2659" s="9"/>
      <c r="Q2659" s="9"/>
      <c r="R2659" s="9"/>
      <c r="S2659" s="9"/>
      <c r="T2659" s="9"/>
    </row>
    <row r="2660" ht="15.75" customHeight="1">
      <c r="A2660" s="11">
        <f>IFERROR(__xludf.DUMMYFUNCTION("""COMPUTED_VALUE"""),44471.0)</f>
        <v>44471</v>
      </c>
      <c r="B2660" s="9">
        <f>IFERROR(__xludf.DUMMYFUNCTION("""COMPUTED_VALUE"""),1003662.0)</f>
        <v>1003662</v>
      </c>
      <c r="C2660" s="9">
        <f>IFERROR(__xludf.DUMMYFUNCTION("""COMPUTED_VALUE"""),121578.0)</f>
        <v>121578</v>
      </c>
      <c r="D2660" s="9"/>
      <c r="E2660" s="9"/>
      <c r="F2660" s="9">
        <f>IFERROR(__xludf.DUMMYFUNCTION("""COMPUTED_VALUE"""),19.37)</f>
        <v>19.37</v>
      </c>
      <c r="G2660" s="9">
        <f>IFERROR(__xludf.DUMMYFUNCTION("""COMPUTED_VALUE"""),19.37)</f>
        <v>19.37</v>
      </c>
      <c r="H2660" s="9">
        <f>IFERROR(__xludf.DUMMYFUNCTION("""COMPUTED_VALUE"""),3.0)</f>
        <v>3</v>
      </c>
      <c r="I2660" s="9"/>
      <c r="J2660" s="9"/>
      <c r="K2660" s="9"/>
      <c r="L2660" s="9"/>
      <c r="M2660" s="9"/>
      <c r="N2660" s="9"/>
      <c r="O2660" s="9"/>
      <c r="P2660" s="9"/>
      <c r="Q2660" s="9"/>
      <c r="R2660" s="9"/>
      <c r="S2660" s="9"/>
      <c r="T2660" s="9"/>
    </row>
    <row r="2661" ht="15.75" customHeight="1">
      <c r="A2661" s="11">
        <f>IFERROR(__xludf.DUMMYFUNCTION("""COMPUTED_VALUE"""),44471.0)</f>
        <v>44471</v>
      </c>
      <c r="B2661" s="9">
        <f>IFERROR(__xludf.DUMMYFUNCTION("""COMPUTED_VALUE"""),1003663.0)</f>
        <v>1003663</v>
      </c>
      <c r="C2661" s="9">
        <f>IFERROR(__xludf.DUMMYFUNCTION("""COMPUTED_VALUE"""),117656.0)</f>
        <v>117656</v>
      </c>
      <c r="D2661" s="9"/>
      <c r="E2661" s="10" t="str">
        <f>IFERROR(__xludf.DUMMYFUNCTION("""COMPUTED_VALUE"""),"GREENRELAIS")</f>
        <v>GREENRELAIS</v>
      </c>
      <c r="F2661" s="10">
        <f>IFERROR(__xludf.DUMMYFUNCTION("""COMPUTED_VALUE"""),60.45)</f>
        <v>60.45</v>
      </c>
      <c r="G2661" s="9">
        <f>IFERROR(__xludf.DUMMYFUNCTION("""COMPUTED_VALUE"""),60.45)</f>
        <v>60.45</v>
      </c>
      <c r="H2661" s="9">
        <f>IFERROR(__xludf.DUMMYFUNCTION("""COMPUTED_VALUE"""),3.0)</f>
        <v>3</v>
      </c>
      <c r="I2661" s="9"/>
      <c r="J2661" s="9"/>
      <c r="K2661" s="9"/>
      <c r="L2661" s="9"/>
      <c r="M2661" s="9"/>
      <c r="N2661" s="9"/>
      <c r="O2661" s="9"/>
      <c r="P2661" s="9"/>
      <c r="Q2661" s="9"/>
      <c r="R2661" s="9"/>
      <c r="S2661" s="9"/>
      <c r="T2661" s="9"/>
    </row>
    <row r="2662" ht="15.75" customHeight="1">
      <c r="A2662" s="11">
        <f>IFERROR(__xludf.DUMMYFUNCTION("""COMPUTED_VALUE"""),44471.0)</f>
        <v>44471</v>
      </c>
      <c r="B2662" s="9">
        <f>IFERROR(__xludf.DUMMYFUNCTION("""COMPUTED_VALUE"""),1003664.0)</f>
        <v>1003664</v>
      </c>
      <c r="C2662" s="9">
        <f>IFERROR(__xludf.DUMMYFUNCTION("""COMPUTED_VALUE"""),101297.0)</f>
        <v>101297</v>
      </c>
      <c r="D2662" s="10" t="str">
        <f>IFERROR(__xludf.DUMMYFUNCTION("""COMPUTED_VALUE"""),"Natur'vox Carryboo couches Sept 21")</f>
        <v>Natur'vox Carryboo couches Sept 21</v>
      </c>
      <c r="E2662" s="10" t="str">
        <f>IFERROR(__xludf.DUMMYFUNCTION("""COMPUTED_VALUE"""),"PREMIERE")</f>
        <v>PREMIERE</v>
      </c>
      <c r="F2662" s="10">
        <f>IFERROR(__xludf.DUMMYFUNCTION("""COMPUTED_VALUE"""),16.5333333333333)</f>
        <v>16.53333333</v>
      </c>
      <c r="G2662" s="9">
        <f>IFERROR(__xludf.DUMMYFUNCTION("""COMPUTED_VALUE"""),12.4)</f>
        <v>12.4</v>
      </c>
      <c r="H2662" s="9">
        <f>IFERROR(__xludf.DUMMYFUNCTION("""COMPUTED_VALUE"""),1.0)</f>
        <v>1</v>
      </c>
      <c r="I2662" s="9"/>
      <c r="J2662" s="9"/>
      <c r="K2662" s="9"/>
      <c r="L2662" s="9"/>
      <c r="M2662" s="9"/>
      <c r="N2662" s="9"/>
      <c r="O2662" s="9"/>
      <c r="P2662" s="9"/>
      <c r="Q2662" s="9"/>
      <c r="R2662" s="9"/>
      <c r="S2662" s="9"/>
      <c r="T2662" s="9"/>
    </row>
    <row r="2663" ht="15.75" customHeight="1">
      <c r="A2663" s="11">
        <f>IFERROR(__xludf.DUMMYFUNCTION("""COMPUTED_VALUE"""),44471.0)</f>
        <v>44471</v>
      </c>
      <c r="B2663" s="9">
        <f>IFERROR(__xludf.DUMMYFUNCTION("""COMPUTED_VALUE"""),1003664.0)</f>
        <v>1003664</v>
      </c>
      <c r="C2663" s="9">
        <f>IFERROR(__xludf.DUMMYFUNCTION("""COMPUTED_VALUE"""),109966.0)</f>
        <v>109966</v>
      </c>
      <c r="D2663" s="10" t="str">
        <f>IFERROR(__xludf.DUMMYFUNCTION("""COMPUTED_VALUE"""),"Carryboo soin bebe 2021")</f>
        <v>Carryboo soin bebe 2021</v>
      </c>
      <c r="E2663" s="10" t="str">
        <f>IFERROR(__xludf.DUMMYFUNCTION("""COMPUTED_VALUE"""),"PREMIERE")</f>
        <v>PREMIERE</v>
      </c>
      <c r="F2663" s="10">
        <f>IFERROR(__xludf.DUMMYFUNCTION("""COMPUTED_VALUE"""),6.90666666666666)</f>
        <v>6.906666667</v>
      </c>
      <c r="G2663" s="9">
        <f>IFERROR(__xludf.DUMMYFUNCTION("""COMPUTED_VALUE"""),5.18)</f>
        <v>5.18</v>
      </c>
      <c r="H2663" s="9">
        <f>IFERROR(__xludf.DUMMYFUNCTION("""COMPUTED_VALUE"""),1.0)</f>
        <v>1</v>
      </c>
      <c r="I2663" s="9"/>
      <c r="J2663" s="9"/>
      <c r="K2663" s="9"/>
      <c r="L2663" s="9"/>
      <c r="M2663" s="9"/>
      <c r="N2663" s="9"/>
      <c r="O2663" s="9"/>
      <c r="P2663" s="9"/>
      <c r="Q2663" s="9"/>
      <c r="R2663" s="9"/>
      <c r="S2663" s="9"/>
      <c r="T2663" s="9"/>
    </row>
    <row r="2664" ht="15.75" customHeight="1">
      <c r="A2664" s="11">
        <f>IFERROR(__xludf.DUMMYFUNCTION("""COMPUTED_VALUE"""),44471.0)</f>
        <v>44471</v>
      </c>
      <c r="B2664" s="9">
        <f>IFERROR(__xludf.DUMMYFUNCTION("""COMPUTED_VALUE"""),1003664.0)</f>
        <v>1003664</v>
      </c>
      <c r="C2664" s="9">
        <f>IFERROR(__xludf.DUMMYFUNCTION("""COMPUTED_VALUE"""),101296.0)</f>
        <v>101296</v>
      </c>
      <c r="D2664" s="10" t="str">
        <f>IFERROR(__xludf.DUMMYFUNCTION("""COMPUTED_VALUE"""),"Natur'vox Carryboo couches Sept 21")</f>
        <v>Natur'vox Carryboo couches Sept 21</v>
      </c>
      <c r="E2664" s="10" t="str">
        <f>IFERROR(__xludf.DUMMYFUNCTION("""COMPUTED_VALUE"""),"PREMIERE")</f>
        <v>PREMIERE</v>
      </c>
      <c r="F2664" s="10">
        <f>IFERROR(__xludf.DUMMYFUNCTION("""COMPUTED_VALUE"""),29.5733333333333)</f>
        <v>29.57333333</v>
      </c>
      <c r="G2664" s="9">
        <f>IFERROR(__xludf.DUMMYFUNCTION("""COMPUTED_VALUE"""),22.18)</f>
        <v>22.18</v>
      </c>
      <c r="H2664" s="9">
        <f>IFERROR(__xludf.DUMMYFUNCTION("""COMPUTED_VALUE"""),2.0)</f>
        <v>2</v>
      </c>
      <c r="I2664" s="9"/>
      <c r="J2664" s="9"/>
      <c r="K2664" s="9"/>
      <c r="L2664" s="9"/>
      <c r="M2664" s="9"/>
      <c r="N2664" s="9"/>
      <c r="O2664" s="9"/>
      <c r="P2664" s="9"/>
      <c r="Q2664" s="9"/>
      <c r="R2664" s="9"/>
      <c r="S2664" s="9"/>
      <c r="T2664" s="9"/>
    </row>
    <row r="2665" ht="15.75" customHeight="1">
      <c r="A2665" s="11">
        <f>IFERROR(__xludf.DUMMYFUNCTION("""COMPUTED_VALUE"""),44471.0)</f>
        <v>44471</v>
      </c>
      <c r="B2665" s="9">
        <f>IFERROR(__xludf.DUMMYFUNCTION("""COMPUTED_VALUE"""),1003665.0)</f>
        <v>1003665</v>
      </c>
      <c r="C2665" s="9">
        <f>IFERROR(__xludf.DUMMYFUNCTION("""COMPUTED_VALUE"""),162441.0)</f>
        <v>162441</v>
      </c>
      <c r="D2665" s="10" t="str">
        <f>IFERROR(__xludf.DUMMYFUNCTION("""COMPUTED_VALUE"""),"Vive le bio")</f>
        <v>Vive le bio</v>
      </c>
      <c r="E2665" s="10"/>
      <c r="F2665" s="9">
        <f>IFERROR(__xludf.DUMMYFUNCTION("""COMPUTED_VALUE"""),12.3777777777777)</f>
        <v>12.37777778</v>
      </c>
      <c r="G2665" s="9">
        <f>IFERROR(__xludf.DUMMYFUNCTION("""COMPUTED_VALUE"""),11.14)</f>
        <v>11.14</v>
      </c>
      <c r="H2665" s="9">
        <f>IFERROR(__xludf.DUMMYFUNCTION("""COMPUTED_VALUE"""),1.0)</f>
        <v>1</v>
      </c>
      <c r="I2665" s="9"/>
      <c r="J2665" s="9"/>
      <c r="K2665" s="9"/>
      <c r="L2665" s="9"/>
      <c r="M2665" s="9"/>
      <c r="N2665" s="9"/>
      <c r="O2665" s="9"/>
      <c r="P2665" s="9"/>
      <c r="Q2665" s="9"/>
      <c r="R2665" s="9"/>
      <c r="S2665" s="9"/>
      <c r="T2665" s="9"/>
    </row>
    <row r="2666" ht="15.75" customHeight="1">
      <c r="A2666" s="11">
        <f>IFERROR(__xludf.DUMMYFUNCTION("""COMPUTED_VALUE"""),44471.0)</f>
        <v>44471</v>
      </c>
      <c r="B2666" s="9">
        <f>IFERROR(__xludf.DUMMYFUNCTION("""COMPUTED_VALUE"""),1003665.0)</f>
        <v>1003665</v>
      </c>
      <c r="C2666" s="9">
        <f>IFERROR(__xludf.DUMMYFUNCTION("""COMPUTED_VALUE"""),100906.0)</f>
        <v>100906</v>
      </c>
      <c r="D2666" s="9"/>
      <c r="E2666" s="9"/>
      <c r="F2666" s="9">
        <f>IFERROR(__xludf.DUMMYFUNCTION("""COMPUTED_VALUE"""),16.41)</f>
        <v>16.41</v>
      </c>
      <c r="G2666" s="9">
        <f>IFERROR(__xludf.DUMMYFUNCTION("""COMPUTED_VALUE"""),16.41)</f>
        <v>16.41</v>
      </c>
      <c r="H2666" s="9">
        <f>IFERROR(__xludf.DUMMYFUNCTION("""COMPUTED_VALUE"""),1.0)</f>
        <v>1</v>
      </c>
      <c r="I2666" s="9"/>
      <c r="J2666" s="9"/>
      <c r="K2666" s="9"/>
      <c r="L2666" s="9"/>
      <c r="M2666" s="9"/>
      <c r="N2666" s="9"/>
      <c r="O2666" s="9"/>
      <c r="P2666" s="9"/>
      <c r="Q2666" s="9"/>
      <c r="R2666" s="9"/>
      <c r="S2666" s="9"/>
      <c r="T2666" s="9"/>
    </row>
    <row r="2667" ht="15.75" customHeight="1">
      <c r="A2667" s="11">
        <f>IFERROR(__xludf.DUMMYFUNCTION("""COMPUTED_VALUE"""),44471.0)</f>
        <v>44471</v>
      </c>
      <c r="B2667" s="9">
        <f>IFERROR(__xludf.DUMMYFUNCTION("""COMPUTED_VALUE"""),1003665.0)</f>
        <v>1003665</v>
      </c>
      <c r="C2667" s="9">
        <f>IFERROR(__xludf.DUMMYFUNCTION("""COMPUTED_VALUE"""),77773.0)</f>
        <v>77773</v>
      </c>
      <c r="D2667" s="9"/>
      <c r="E2667" s="9"/>
      <c r="F2667" s="9">
        <f>IFERROR(__xludf.DUMMYFUNCTION("""COMPUTED_VALUE"""),7.92)</f>
        <v>7.92</v>
      </c>
      <c r="G2667" s="9">
        <f>IFERROR(__xludf.DUMMYFUNCTION("""COMPUTED_VALUE"""),7.92)</f>
        <v>7.92</v>
      </c>
      <c r="H2667" s="9">
        <f>IFERROR(__xludf.DUMMYFUNCTION("""COMPUTED_VALUE"""),2.0)</f>
        <v>2</v>
      </c>
      <c r="I2667" s="9"/>
      <c r="J2667" s="9"/>
      <c r="K2667" s="9"/>
      <c r="L2667" s="9"/>
      <c r="M2667" s="9"/>
      <c r="N2667" s="9"/>
      <c r="O2667" s="9"/>
      <c r="P2667" s="9"/>
      <c r="Q2667" s="9"/>
      <c r="R2667" s="9"/>
      <c r="S2667" s="9"/>
      <c r="T2667" s="9"/>
    </row>
    <row r="2668" ht="15.75" customHeight="1">
      <c r="A2668" s="11">
        <f>IFERROR(__xludf.DUMMYFUNCTION("""COMPUTED_VALUE"""),44471.0)</f>
        <v>44471</v>
      </c>
      <c r="B2668" s="9">
        <f>IFERROR(__xludf.DUMMYFUNCTION("""COMPUTED_VALUE"""),1003666.0)</f>
        <v>1003666</v>
      </c>
      <c r="C2668" s="9">
        <f>IFERROR(__xludf.DUMMYFUNCTION("""COMPUTED_VALUE"""),7358.0)</f>
        <v>7358</v>
      </c>
      <c r="D2668" s="9"/>
      <c r="E2668" s="9"/>
      <c r="F2668" s="9">
        <f>IFERROR(__xludf.DUMMYFUNCTION("""COMPUTED_VALUE"""),4.25)</f>
        <v>4.25</v>
      </c>
      <c r="G2668" s="9">
        <f>IFERROR(__xludf.DUMMYFUNCTION("""COMPUTED_VALUE"""),4.25)</f>
        <v>4.25</v>
      </c>
      <c r="H2668" s="9">
        <f>IFERROR(__xludf.DUMMYFUNCTION("""COMPUTED_VALUE"""),1.0)</f>
        <v>1</v>
      </c>
      <c r="I2668" s="9"/>
      <c r="J2668" s="9"/>
      <c r="K2668" s="9"/>
      <c r="L2668" s="9"/>
      <c r="M2668" s="9"/>
      <c r="N2668" s="9"/>
      <c r="O2668" s="9"/>
      <c r="P2668" s="9"/>
      <c r="Q2668" s="9"/>
      <c r="R2668" s="9"/>
      <c r="S2668" s="9"/>
      <c r="T2668" s="9"/>
    </row>
    <row r="2669" ht="15.75" customHeight="1">
      <c r="A2669" s="11">
        <f>IFERROR(__xludf.DUMMYFUNCTION("""COMPUTED_VALUE"""),44471.0)</f>
        <v>44471</v>
      </c>
      <c r="B2669" s="9">
        <f>IFERROR(__xludf.DUMMYFUNCTION("""COMPUTED_VALUE"""),1003666.0)</f>
        <v>1003666</v>
      </c>
      <c r="C2669" s="9">
        <f>IFERROR(__xludf.DUMMYFUNCTION("""COMPUTED_VALUE"""),99263.0)</f>
        <v>99263</v>
      </c>
      <c r="D2669" s="9"/>
      <c r="E2669" s="9"/>
      <c r="F2669" s="9">
        <f>IFERROR(__xludf.DUMMYFUNCTION("""COMPUTED_VALUE"""),3.4)</f>
        <v>3.4</v>
      </c>
      <c r="G2669" s="9">
        <f>IFERROR(__xludf.DUMMYFUNCTION("""COMPUTED_VALUE"""),3.4)</f>
        <v>3.4</v>
      </c>
      <c r="H2669" s="9">
        <f>IFERROR(__xludf.DUMMYFUNCTION("""COMPUTED_VALUE"""),1.0)</f>
        <v>1</v>
      </c>
      <c r="I2669" s="9"/>
      <c r="J2669" s="9"/>
      <c r="K2669" s="9"/>
      <c r="L2669" s="9"/>
      <c r="M2669" s="9"/>
      <c r="N2669" s="9"/>
      <c r="O2669" s="9"/>
      <c r="P2669" s="9"/>
      <c r="Q2669" s="9"/>
      <c r="R2669" s="9"/>
      <c r="S2669" s="9"/>
      <c r="T2669" s="9"/>
    </row>
    <row r="2670" ht="15.75" customHeight="1">
      <c r="A2670" s="11">
        <f>IFERROR(__xludf.DUMMYFUNCTION("""COMPUTED_VALUE"""),44471.0)</f>
        <v>44471</v>
      </c>
      <c r="B2670" s="9">
        <f>IFERROR(__xludf.DUMMYFUNCTION("""COMPUTED_VALUE"""),1003666.0)</f>
        <v>1003666</v>
      </c>
      <c r="C2670" s="9">
        <f>IFERROR(__xludf.DUMMYFUNCTION("""COMPUTED_VALUE"""),17609.0)</f>
        <v>17609</v>
      </c>
      <c r="D2670" s="9"/>
      <c r="E2670" s="9"/>
      <c r="F2670" s="9">
        <f>IFERROR(__xludf.DUMMYFUNCTION("""COMPUTED_VALUE"""),10.64)</f>
        <v>10.64</v>
      </c>
      <c r="G2670" s="9">
        <f>IFERROR(__xludf.DUMMYFUNCTION("""COMPUTED_VALUE"""),10.64)</f>
        <v>10.64</v>
      </c>
      <c r="H2670" s="9">
        <f>IFERROR(__xludf.DUMMYFUNCTION("""COMPUTED_VALUE"""),1.0)</f>
        <v>1</v>
      </c>
      <c r="I2670" s="9"/>
      <c r="J2670" s="9"/>
      <c r="K2670" s="9"/>
      <c r="L2670" s="9"/>
      <c r="M2670" s="9"/>
      <c r="N2670" s="9"/>
      <c r="O2670" s="9"/>
      <c r="P2670" s="9"/>
      <c r="Q2670" s="9"/>
      <c r="R2670" s="9"/>
      <c r="S2670" s="9"/>
      <c r="T2670" s="9"/>
    </row>
    <row r="2671" ht="15.75" customHeight="1">
      <c r="A2671" s="11">
        <f>IFERROR(__xludf.DUMMYFUNCTION("""COMPUTED_VALUE"""),44471.0)</f>
        <v>44471</v>
      </c>
      <c r="B2671" s="9">
        <f>IFERROR(__xludf.DUMMYFUNCTION("""COMPUTED_VALUE"""),1003666.0)</f>
        <v>1003666</v>
      </c>
      <c r="C2671" s="9">
        <f>IFERROR(__xludf.DUMMYFUNCTION("""COMPUTED_VALUE"""),18115.0)</f>
        <v>18115</v>
      </c>
      <c r="D2671" s="9"/>
      <c r="E2671" s="9"/>
      <c r="F2671" s="9">
        <f>IFERROR(__xludf.DUMMYFUNCTION("""COMPUTED_VALUE"""),3.79)</f>
        <v>3.79</v>
      </c>
      <c r="G2671" s="9">
        <f>IFERROR(__xludf.DUMMYFUNCTION("""COMPUTED_VALUE"""),3.79)</f>
        <v>3.79</v>
      </c>
      <c r="H2671" s="9">
        <f>IFERROR(__xludf.DUMMYFUNCTION("""COMPUTED_VALUE"""),1.0)</f>
        <v>1</v>
      </c>
      <c r="I2671" s="9"/>
      <c r="J2671" s="9"/>
      <c r="K2671" s="9"/>
      <c r="L2671" s="9"/>
      <c r="M2671" s="9"/>
      <c r="N2671" s="9"/>
      <c r="O2671" s="9"/>
      <c r="P2671" s="9"/>
      <c r="Q2671" s="9"/>
      <c r="R2671" s="9"/>
      <c r="S2671" s="9"/>
      <c r="T2671" s="9"/>
    </row>
    <row r="2672" ht="15.75" customHeight="1">
      <c r="A2672" s="11">
        <f>IFERROR(__xludf.DUMMYFUNCTION("""COMPUTED_VALUE"""),44471.0)</f>
        <v>44471</v>
      </c>
      <c r="B2672" s="9">
        <f>IFERROR(__xludf.DUMMYFUNCTION("""COMPUTED_VALUE"""),1003666.0)</f>
        <v>1003666</v>
      </c>
      <c r="C2672" s="9">
        <f>IFERROR(__xludf.DUMMYFUNCTION("""COMPUTED_VALUE"""),17620.0)</f>
        <v>17620</v>
      </c>
      <c r="D2672" s="9"/>
      <c r="E2672" s="9"/>
      <c r="F2672" s="9">
        <f>IFERROR(__xludf.DUMMYFUNCTION("""COMPUTED_VALUE"""),8.61)</f>
        <v>8.61</v>
      </c>
      <c r="G2672" s="9">
        <f>IFERROR(__xludf.DUMMYFUNCTION("""COMPUTED_VALUE"""),8.61)</f>
        <v>8.61</v>
      </c>
      <c r="H2672" s="9">
        <f>IFERROR(__xludf.DUMMYFUNCTION("""COMPUTED_VALUE"""),1.0)</f>
        <v>1</v>
      </c>
      <c r="I2672" s="9"/>
      <c r="J2672" s="9"/>
      <c r="K2672" s="9"/>
      <c r="L2672" s="9"/>
      <c r="M2672" s="9"/>
      <c r="N2672" s="9"/>
      <c r="O2672" s="9"/>
      <c r="P2672" s="9"/>
      <c r="Q2672" s="9"/>
      <c r="R2672" s="9"/>
      <c r="S2672" s="9"/>
      <c r="T2672" s="9"/>
    </row>
    <row r="2673" ht="15.75" customHeight="1">
      <c r="A2673" s="11">
        <f>IFERROR(__xludf.DUMMYFUNCTION("""COMPUTED_VALUE"""),44471.0)</f>
        <v>44471</v>
      </c>
      <c r="B2673" s="9">
        <f>IFERROR(__xludf.DUMMYFUNCTION("""COMPUTED_VALUE"""),1003666.0)</f>
        <v>1003666</v>
      </c>
      <c r="C2673" s="9">
        <f>IFERROR(__xludf.DUMMYFUNCTION("""COMPUTED_VALUE"""),48624.0)</f>
        <v>48624</v>
      </c>
      <c r="D2673" s="9"/>
      <c r="E2673" s="9"/>
      <c r="F2673" s="9">
        <f>IFERROR(__xludf.DUMMYFUNCTION("""COMPUTED_VALUE"""),6.97)</f>
        <v>6.97</v>
      </c>
      <c r="G2673" s="9">
        <f>IFERROR(__xludf.DUMMYFUNCTION("""COMPUTED_VALUE"""),6.97)</f>
        <v>6.97</v>
      </c>
      <c r="H2673" s="9">
        <f>IFERROR(__xludf.DUMMYFUNCTION("""COMPUTED_VALUE"""),1.0)</f>
        <v>1</v>
      </c>
      <c r="I2673" s="9"/>
      <c r="J2673" s="9"/>
      <c r="K2673" s="9"/>
      <c r="L2673" s="9"/>
      <c r="M2673" s="9"/>
      <c r="N2673" s="9"/>
      <c r="O2673" s="9"/>
      <c r="P2673" s="9"/>
      <c r="Q2673" s="9"/>
      <c r="R2673" s="9"/>
      <c r="S2673" s="9"/>
      <c r="T2673" s="9"/>
    </row>
    <row r="2674" ht="15.75" customHeight="1">
      <c r="A2674" s="11">
        <f>IFERROR(__xludf.DUMMYFUNCTION("""COMPUTED_VALUE"""),44471.0)</f>
        <v>44471</v>
      </c>
      <c r="B2674" s="9">
        <f>IFERROR(__xludf.DUMMYFUNCTION("""COMPUTED_VALUE"""),1003666.0)</f>
        <v>1003666</v>
      </c>
      <c r="C2674" s="9">
        <f>IFERROR(__xludf.DUMMYFUNCTION("""COMPUTED_VALUE"""),95652.0)</f>
        <v>95652</v>
      </c>
      <c r="D2674" s="9"/>
      <c r="E2674" s="9"/>
      <c r="F2674" s="9">
        <f>IFERROR(__xludf.DUMMYFUNCTION("""COMPUTED_VALUE"""),3.24)</f>
        <v>3.24</v>
      </c>
      <c r="G2674" s="9">
        <f>IFERROR(__xludf.DUMMYFUNCTION("""COMPUTED_VALUE"""),3.24)</f>
        <v>3.24</v>
      </c>
      <c r="H2674" s="9">
        <f>IFERROR(__xludf.DUMMYFUNCTION("""COMPUTED_VALUE"""),1.0)</f>
        <v>1</v>
      </c>
      <c r="I2674" s="9"/>
      <c r="J2674" s="9"/>
      <c r="K2674" s="9"/>
      <c r="L2674" s="9"/>
      <c r="M2674" s="9"/>
      <c r="N2674" s="9"/>
      <c r="O2674" s="9"/>
      <c r="P2674" s="9"/>
      <c r="Q2674" s="9"/>
      <c r="R2674" s="9"/>
      <c r="S2674" s="9"/>
      <c r="T2674" s="9"/>
    </row>
    <row r="2675" ht="15.75" customHeight="1">
      <c r="A2675" s="11">
        <f>IFERROR(__xludf.DUMMYFUNCTION("""COMPUTED_VALUE"""),44471.0)</f>
        <v>44471</v>
      </c>
      <c r="B2675" s="9">
        <f>IFERROR(__xludf.DUMMYFUNCTION("""COMPUTED_VALUE"""),1003666.0)</f>
        <v>1003666</v>
      </c>
      <c r="C2675" s="9">
        <f>IFERROR(__xludf.DUMMYFUNCTION("""COMPUTED_VALUE"""),88215.0)</f>
        <v>88215</v>
      </c>
      <c r="D2675" s="9"/>
      <c r="E2675" s="9"/>
      <c r="F2675" s="9">
        <f>IFERROR(__xludf.DUMMYFUNCTION("""COMPUTED_VALUE"""),6.09)</f>
        <v>6.09</v>
      </c>
      <c r="G2675" s="9">
        <f>IFERROR(__xludf.DUMMYFUNCTION("""COMPUTED_VALUE"""),6.09)</f>
        <v>6.09</v>
      </c>
      <c r="H2675" s="9">
        <f>IFERROR(__xludf.DUMMYFUNCTION("""COMPUTED_VALUE"""),2.0)</f>
        <v>2</v>
      </c>
      <c r="I2675" s="9"/>
      <c r="J2675" s="9"/>
      <c r="K2675" s="9"/>
      <c r="L2675" s="9"/>
      <c r="M2675" s="9"/>
      <c r="N2675" s="9"/>
      <c r="O2675" s="9"/>
      <c r="P2675" s="9"/>
      <c r="Q2675" s="9"/>
      <c r="R2675" s="9"/>
      <c r="S2675" s="9"/>
      <c r="T2675" s="9"/>
    </row>
    <row r="2676" ht="15.75" customHeight="1">
      <c r="A2676" s="11">
        <f>IFERROR(__xludf.DUMMYFUNCTION("""COMPUTED_VALUE"""),44471.0)</f>
        <v>44471</v>
      </c>
      <c r="B2676" s="9">
        <f>IFERROR(__xludf.DUMMYFUNCTION("""COMPUTED_VALUE"""),1003666.0)</f>
        <v>1003666</v>
      </c>
      <c r="C2676" s="9">
        <f>IFERROR(__xludf.DUMMYFUNCTION("""COMPUTED_VALUE"""),28590.0)</f>
        <v>28590</v>
      </c>
      <c r="D2676" s="9"/>
      <c r="E2676" s="9"/>
      <c r="F2676" s="9">
        <f>IFERROR(__xludf.DUMMYFUNCTION("""COMPUTED_VALUE"""),12.9)</f>
        <v>12.9</v>
      </c>
      <c r="G2676" s="9">
        <f>IFERROR(__xludf.DUMMYFUNCTION("""COMPUTED_VALUE"""),12.9)</f>
        <v>12.9</v>
      </c>
      <c r="H2676" s="9">
        <f>IFERROR(__xludf.DUMMYFUNCTION("""COMPUTED_VALUE"""),2.0)</f>
        <v>2</v>
      </c>
      <c r="I2676" s="9"/>
      <c r="J2676" s="9"/>
      <c r="K2676" s="9"/>
      <c r="L2676" s="9"/>
      <c r="M2676" s="9"/>
      <c r="N2676" s="9"/>
      <c r="O2676" s="9"/>
      <c r="P2676" s="9"/>
      <c r="Q2676" s="9"/>
      <c r="R2676" s="9"/>
      <c r="S2676" s="9"/>
      <c r="T2676" s="9"/>
    </row>
    <row r="2677" ht="15.75" customHeight="1">
      <c r="A2677" s="11">
        <f>IFERROR(__xludf.DUMMYFUNCTION("""COMPUTED_VALUE"""),44471.0)</f>
        <v>44471</v>
      </c>
      <c r="B2677" s="9">
        <f>IFERROR(__xludf.DUMMYFUNCTION("""COMPUTED_VALUE"""),1003667.0)</f>
        <v>1003667</v>
      </c>
      <c r="C2677" s="9">
        <f>IFERROR(__xludf.DUMMYFUNCTION("""COMPUTED_VALUE"""),63864.0)</f>
        <v>63864</v>
      </c>
      <c r="D2677" s="10" t="str">
        <f>IFERROR(__xludf.DUMMYFUNCTION("""COMPUTED_VALUE"""),"Offre speciale")</f>
        <v>Offre speciale</v>
      </c>
      <c r="E2677" s="10" t="str">
        <f>IFERROR(__xludf.DUMMYFUNCTION("""COMPUTED_VALUE"""),"HAPPEEZ")</f>
        <v>HAPPEEZ</v>
      </c>
      <c r="F2677" s="10">
        <f>IFERROR(__xludf.DUMMYFUNCTION("""COMPUTED_VALUE"""),5.0)</f>
        <v>5</v>
      </c>
      <c r="G2677" s="9">
        <f>IFERROR(__xludf.DUMMYFUNCTION("""COMPUTED_VALUE"""),4.25)</f>
        <v>4.25</v>
      </c>
      <c r="H2677" s="9">
        <f>IFERROR(__xludf.DUMMYFUNCTION("""COMPUTED_VALUE"""),1.0)</f>
        <v>1</v>
      </c>
      <c r="I2677" s="9"/>
      <c r="J2677" s="9"/>
      <c r="K2677" s="9"/>
      <c r="L2677" s="9"/>
      <c r="M2677" s="9"/>
      <c r="N2677" s="9"/>
      <c r="O2677" s="9"/>
      <c r="P2677" s="9"/>
      <c r="Q2677" s="9"/>
      <c r="R2677" s="9"/>
      <c r="S2677" s="9"/>
      <c r="T2677" s="9"/>
    </row>
    <row r="2678" ht="15.75" customHeight="1">
      <c r="A2678" s="11">
        <f>IFERROR(__xludf.DUMMYFUNCTION("""COMPUTED_VALUE"""),44471.0)</f>
        <v>44471</v>
      </c>
      <c r="B2678" s="9">
        <f>IFERROR(__xludf.DUMMYFUNCTION("""COMPUTED_VALUE"""),1003667.0)</f>
        <v>1003667</v>
      </c>
      <c r="C2678" s="9">
        <f>IFERROR(__xludf.DUMMYFUNCTION("""COMPUTED_VALUE"""),149928.0)</f>
        <v>149928</v>
      </c>
      <c r="D2678" s="9"/>
      <c r="E2678" s="10" t="str">
        <f>IFERROR(__xludf.DUMMYFUNCTION("""COMPUTED_VALUE"""),"HAPPEEZ")</f>
        <v>HAPPEEZ</v>
      </c>
      <c r="F2678" s="10">
        <f>IFERROR(__xludf.DUMMYFUNCTION("""COMPUTED_VALUE"""),2.88)</f>
        <v>2.88</v>
      </c>
      <c r="G2678" s="9">
        <f>IFERROR(__xludf.DUMMYFUNCTION("""COMPUTED_VALUE"""),2.88)</f>
        <v>2.88</v>
      </c>
      <c r="H2678" s="9">
        <f>IFERROR(__xludf.DUMMYFUNCTION("""COMPUTED_VALUE"""),1.0)</f>
        <v>1</v>
      </c>
      <c r="I2678" s="9"/>
      <c r="J2678" s="9"/>
      <c r="K2678" s="9"/>
      <c r="L2678" s="9"/>
      <c r="M2678" s="9"/>
      <c r="N2678" s="9"/>
      <c r="O2678" s="9"/>
      <c r="P2678" s="9"/>
      <c r="Q2678" s="9"/>
      <c r="R2678" s="9"/>
      <c r="S2678" s="9"/>
      <c r="T2678" s="9"/>
    </row>
    <row r="2679" ht="15.75" customHeight="1">
      <c r="A2679" s="11">
        <f>IFERROR(__xludf.DUMMYFUNCTION("""COMPUTED_VALUE"""),44471.0)</f>
        <v>44471</v>
      </c>
      <c r="B2679" s="9">
        <f>IFERROR(__xludf.DUMMYFUNCTION("""COMPUTED_VALUE"""),1003667.0)</f>
        <v>1003667</v>
      </c>
      <c r="C2679" s="9">
        <f>IFERROR(__xludf.DUMMYFUNCTION("""COMPUTED_VALUE"""),5081.0)</f>
        <v>5081</v>
      </c>
      <c r="D2679" s="10" t="str">
        <f>IFERROR(__xludf.DUMMYFUNCTION("""COMPUTED_VALUE"""),"Vive le bio")</f>
        <v>Vive le bio</v>
      </c>
      <c r="E2679" s="10" t="str">
        <f>IFERROR(__xludf.DUMMYFUNCTION("""COMPUTED_VALUE"""),"HAPPEEZ")</f>
        <v>HAPPEEZ</v>
      </c>
      <c r="F2679" s="10">
        <f>IFERROR(__xludf.DUMMYFUNCTION("""COMPUTED_VALUE"""),2.88421052631579)</f>
        <v>2.884210526</v>
      </c>
      <c r="G2679" s="9">
        <f>IFERROR(__xludf.DUMMYFUNCTION("""COMPUTED_VALUE"""),2.74)</f>
        <v>2.74</v>
      </c>
      <c r="H2679" s="9">
        <f>IFERROR(__xludf.DUMMYFUNCTION("""COMPUTED_VALUE"""),1.0)</f>
        <v>1</v>
      </c>
      <c r="I2679" s="9"/>
      <c r="J2679" s="9"/>
      <c r="K2679" s="9"/>
      <c r="L2679" s="9"/>
      <c r="M2679" s="9"/>
      <c r="N2679" s="9"/>
      <c r="O2679" s="9"/>
      <c r="P2679" s="9"/>
      <c r="Q2679" s="9"/>
      <c r="R2679" s="9"/>
      <c r="S2679" s="9"/>
      <c r="T2679" s="9"/>
    </row>
    <row r="2680" ht="15.75" customHeight="1">
      <c r="A2680" s="11">
        <f>IFERROR(__xludf.DUMMYFUNCTION("""COMPUTED_VALUE"""),44471.0)</f>
        <v>44471</v>
      </c>
      <c r="B2680" s="9">
        <f>IFERROR(__xludf.DUMMYFUNCTION("""COMPUTED_VALUE"""),1003667.0)</f>
        <v>1003667</v>
      </c>
      <c r="C2680" s="9">
        <f>IFERROR(__xludf.DUMMYFUNCTION("""COMPUTED_VALUE"""),83064.0)</f>
        <v>83064</v>
      </c>
      <c r="D2680" s="9"/>
      <c r="E2680" s="10" t="str">
        <f>IFERROR(__xludf.DUMMYFUNCTION("""COMPUTED_VALUE"""),"HAPPEEZ")</f>
        <v>HAPPEEZ</v>
      </c>
      <c r="F2680" s="10">
        <f>IFERROR(__xludf.DUMMYFUNCTION("""COMPUTED_VALUE"""),12.37)</f>
        <v>12.37</v>
      </c>
      <c r="G2680" s="9">
        <f>IFERROR(__xludf.DUMMYFUNCTION("""COMPUTED_VALUE"""),12.37)</f>
        <v>12.37</v>
      </c>
      <c r="H2680" s="9">
        <f>IFERROR(__xludf.DUMMYFUNCTION("""COMPUTED_VALUE"""),1.0)</f>
        <v>1</v>
      </c>
      <c r="I2680" s="9"/>
      <c r="J2680" s="9"/>
      <c r="K2680" s="9"/>
      <c r="L2680" s="9"/>
      <c r="M2680" s="9"/>
      <c r="N2680" s="9"/>
      <c r="O2680" s="9"/>
      <c r="P2680" s="9"/>
      <c r="Q2680" s="9"/>
      <c r="R2680" s="9"/>
      <c r="S2680" s="9"/>
      <c r="T2680" s="9"/>
    </row>
    <row r="2681" ht="15.75" customHeight="1">
      <c r="A2681" s="11">
        <f>IFERROR(__xludf.DUMMYFUNCTION("""COMPUTED_VALUE"""),44471.0)</f>
        <v>44471</v>
      </c>
      <c r="B2681" s="9">
        <f>IFERROR(__xludf.DUMMYFUNCTION("""COMPUTED_VALUE"""),1003667.0)</f>
        <v>1003667</v>
      </c>
      <c r="C2681" s="9">
        <f>IFERROR(__xludf.DUMMYFUNCTION("""COMPUTED_VALUE"""),80174.0)</f>
        <v>80174</v>
      </c>
      <c r="D2681" s="10" t="str">
        <f>IFERROR(__xludf.DUMMYFUNCTION("""COMPUTED_VALUE"""),"Vive le bio")</f>
        <v>Vive le bio</v>
      </c>
      <c r="E2681" s="10" t="str">
        <f>IFERROR(__xludf.DUMMYFUNCTION("""COMPUTED_VALUE"""),"HAPPEEZ")</f>
        <v>HAPPEEZ</v>
      </c>
      <c r="F2681" s="10">
        <f>IFERROR(__xludf.DUMMYFUNCTION("""COMPUTED_VALUE"""),3.8)</f>
        <v>3.8</v>
      </c>
      <c r="G2681" s="9">
        <f>IFERROR(__xludf.DUMMYFUNCTION("""COMPUTED_VALUE"""),3.61)</f>
        <v>3.61</v>
      </c>
      <c r="H2681" s="9">
        <f>IFERROR(__xludf.DUMMYFUNCTION("""COMPUTED_VALUE"""),1.0)</f>
        <v>1</v>
      </c>
      <c r="I2681" s="9"/>
      <c r="J2681" s="9"/>
      <c r="K2681" s="9"/>
      <c r="L2681" s="9"/>
      <c r="M2681" s="9"/>
      <c r="N2681" s="9"/>
      <c r="O2681" s="9"/>
      <c r="P2681" s="9"/>
      <c r="Q2681" s="9"/>
      <c r="R2681" s="9"/>
      <c r="S2681" s="9"/>
      <c r="T2681" s="9"/>
    </row>
    <row r="2682" ht="15.75" customHeight="1">
      <c r="A2682" s="11">
        <f>IFERROR(__xludf.DUMMYFUNCTION("""COMPUTED_VALUE"""),44471.0)</f>
        <v>44471</v>
      </c>
      <c r="B2682" s="9">
        <f>IFERROR(__xludf.DUMMYFUNCTION("""COMPUTED_VALUE"""),1003667.0)</f>
        <v>1003667</v>
      </c>
      <c r="C2682" s="9">
        <f>IFERROR(__xludf.DUMMYFUNCTION("""COMPUTED_VALUE"""),80550.0)</f>
        <v>80550</v>
      </c>
      <c r="D2682" s="10" t="str">
        <f>IFERROR(__xludf.DUMMYFUNCTION("""COMPUTED_VALUE"""),"Vive le bio")</f>
        <v>Vive le bio</v>
      </c>
      <c r="E2682" s="10" t="str">
        <f>IFERROR(__xludf.DUMMYFUNCTION("""COMPUTED_VALUE"""),"HAPPEEZ")</f>
        <v>HAPPEEZ</v>
      </c>
      <c r="F2682" s="10">
        <f>IFERROR(__xludf.DUMMYFUNCTION("""COMPUTED_VALUE"""),11.6111111111111)</f>
        <v>11.61111111</v>
      </c>
      <c r="G2682" s="9">
        <f>IFERROR(__xludf.DUMMYFUNCTION("""COMPUTED_VALUE"""),10.45)</f>
        <v>10.45</v>
      </c>
      <c r="H2682" s="9">
        <f>IFERROR(__xludf.DUMMYFUNCTION("""COMPUTED_VALUE"""),1.0)</f>
        <v>1</v>
      </c>
      <c r="I2682" s="9"/>
      <c r="J2682" s="9"/>
      <c r="K2682" s="9"/>
      <c r="L2682" s="9"/>
      <c r="M2682" s="9"/>
      <c r="N2682" s="9"/>
      <c r="O2682" s="9"/>
      <c r="P2682" s="9"/>
      <c r="Q2682" s="9"/>
      <c r="R2682" s="9"/>
      <c r="S2682" s="9"/>
      <c r="T2682" s="9"/>
    </row>
    <row r="2683" ht="15.75" customHeight="1">
      <c r="A2683" s="11">
        <f>IFERROR(__xludf.DUMMYFUNCTION("""COMPUTED_VALUE"""),44471.0)</f>
        <v>44471</v>
      </c>
      <c r="B2683" s="9">
        <f>IFERROR(__xludf.DUMMYFUNCTION("""COMPUTED_VALUE"""),1003667.0)</f>
        <v>1003667</v>
      </c>
      <c r="C2683" s="9">
        <f>IFERROR(__xludf.DUMMYFUNCTION("""COMPUTED_VALUE"""),80117.0)</f>
        <v>80117</v>
      </c>
      <c r="D2683" s="9"/>
      <c r="E2683" s="10" t="str">
        <f>IFERROR(__xludf.DUMMYFUNCTION("""COMPUTED_VALUE"""),"HAPPEEZ")</f>
        <v>HAPPEEZ</v>
      </c>
      <c r="F2683" s="10">
        <f>IFERROR(__xludf.DUMMYFUNCTION("""COMPUTED_VALUE"""),3.45)</f>
        <v>3.45</v>
      </c>
      <c r="G2683" s="9">
        <f>IFERROR(__xludf.DUMMYFUNCTION("""COMPUTED_VALUE"""),3.45)</f>
        <v>3.45</v>
      </c>
      <c r="H2683" s="9">
        <f>IFERROR(__xludf.DUMMYFUNCTION("""COMPUTED_VALUE"""),1.0)</f>
        <v>1</v>
      </c>
      <c r="I2683" s="9"/>
      <c r="J2683" s="9"/>
      <c r="K2683" s="9"/>
      <c r="L2683" s="9"/>
      <c r="M2683" s="9"/>
      <c r="N2683" s="9"/>
      <c r="O2683" s="9"/>
      <c r="P2683" s="9"/>
      <c r="Q2683" s="9"/>
      <c r="R2683" s="9"/>
      <c r="S2683" s="9"/>
      <c r="T2683" s="9"/>
    </row>
    <row r="2684" ht="15.75" customHeight="1">
      <c r="A2684" s="11">
        <f>IFERROR(__xludf.DUMMYFUNCTION("""COMPUTED_VALUE"""),44471.0)</f>
        <v>44471</v>
      </c>
      <c r="B2684" s="9">
        <f>IFERROR(__xludf.DUMMYFUNCTION("""COMPUTED_VALUE"""),1003667.0)</f>
        <v>1003667</v>
      </c>
      <c r="C2684" s="9">
        <f>IFERROR(__xludf.DUMMYFUNCTION("""COMPUTED_VALUE"""),17624.0)</f>
        <v>17624</v>
      </c>
      <c r="D2684" s="9"/>
      <c r="E2684" s="10" t="str">
        <f>IFERROR(__xludf.DUMMYFUNCTION("""COMPUTED_VALUE"""),"HAPPEEZ")</f>
        <v>HAPPEEZ</v>
      </c>
      <c r="F2684" s="10">
        <f>IFERROR(__xludf.DUMMYFUNCTION("""COMPUTED_VALUE"""),8.61)</f>
        <v>8.61</v>
      </c>
      <c r="G2684" s="9">
        <f>IFERROR(__xludf.DUMMYFUNCTION("""COMPUTED_VALUE"""),8.61)</f>
        <v>8.61</v>
      </c>
      <c r="H2684" s="9">
        <f>IFERROR(__xludf.DUMMYFUNCTION("""COMPUTED_VALUE"""),1.0)</f>
        <v>1</v>
      </c>
      <c r="I2684" s="9"/>
      <c r="J2684" s="9"/>
      <c r="K2684" s="9"/>
      <c r="L2684" s="9"/>
      <c r="M2684" s="9"/>
      <c r="N2684" s="9"/>
      <c r="O2684" s="9"/>
      <c r="P2684" s="9"/>
      <c r="Q2684" s="9"/>
      <c r="R2684" s="9"/>
      <c r="S2684" s="9"/>
      <c r="T2684" s="9"/>
    </row>
    <row r="2685" ht="15.75" customHeight="1">
      <c r="A2685" s="11">
        <f>IFERROR(__xludf.DUMMYFUNCTION("""COMPUTED_VALUE"""),44471.0)</f>
        <v>44471</v>
      </c>
      <c r="B2685" s="9">
        <f>IFERROR(__xludf.DUMMYFUNCTION("""COMPUTED_VALUE"""),1003667.0)</f>
        <v>1003667</v>
      </c>
      <c r="C2685" s="9">
        <f>IFERROR(__xludf.DUMMYFUNCTION("""COMPUTED_VALUE"""),118224.0)</f>
        <v>118224</v>
      </c>
      <c r="D2685" s="9"/>
      <c r="E2685" s="10" t="str">
        <f>IFERROR(__xludf.DUMMYFUNCTION("""COMPUTED_VALUE"""),"HAPPEEZ")</f>
        <v>HAPPEEZ</v>
      </c>
      <c r="F2685" s="10">
        <f>IFERROR(__xludf.DUMMYFUNCTION("""COMPUTED_VALUE"""),5.93)</f>
        <v>5.93</v>
      </c>
      <c r="G2685" s="9">
        <f>IFERROR(__xludf.DUMMYFUNCTION("""COMPUTED_VALUE"""),5.93)</f>
        <v>5.93</v>
      </c>
      <c r="H2685" s="9">
        <f>IFERROR(__xludf.DUMMYFUNCTION("""COMPUTED_VALUE"""),1.0)</f>
        <v>1</v>
      </c>
      <c r="I2685" s="9"/>
      <c r="J2685" s="9"/>
      <c r="K2685" s="9"/>
      <c r="L2685" s="9"/>
      <c r="M2685" s="9"/>
      <c r="N2685" s="9"/>
      <c r="O2685" s="9"/>
      <c r="P2685" s="9"/>
      <c r="Q2685" s="9"/>
      <c r="R2685" s="9"/>
      <c r="S2685" s="9"/>
      <c r="T2685" s="9"/>
    </row>
    <row r="2686" ht="15.75" customHeight="1">
      <c r="A2686" s="11">
        <f>IFERROR(__xludf.DUMMYFUNCTION("""COMPUTED_VALUE"""),44471.0)</f>
        <v>44471</v>
      </c>
      <c r="B2686" s="9">
        <f>IFERROR(__xludf.DUMMYFUNCTION("""COMPUTED_VALUE"""),1003667.0)</f>
        <v>1003667</v>
      </c>
      <c r="C2686" s="9">
        <f>IFERROR(__xludf.DUMMYFUNCTION("""COMPUTED_VALUE"""),110655.0)</f>
        <v>110655</v>
      </c>
      <c r="D2686" s="10" t="str">
        <f>IFERROR(__xludf.DUMMYFUNCTION("""COMPUTED_VALUE"""),"Vive le bio")</f>
        <v>Vive le bio</v>
      </c>
      <c r="E2686" s="10" t="str">
        <f>IFERROR(__xludf.DUMMYFUNCTION("""COMPUTED_VALUE"""),"HAPPEEZ")</f>
        <v>HAPPEEZ</v>
      </c>
      <c r="F2686" s="10">
        <f>IFERROR(__xludf.DUMMYFUNCTION("""COMPUTED_VALUE"""),4.85555555555555)</f>
        <v>4.855555556</v>
      </c>
      <c r="G2686" s="9">
        <f>IFERROR(__xludf.DUMMYFUNCTION("""COMPUTED_VALUE"""),4.37)</f>
        <v>4.37</v>
      </c>
      <c r="H2686" s="9">
        <f>IFERROR(__xludf.DUMMYFUNCTION("""COMPUTED_VALUE"""),1.0)</f>
        <v>1</v>
      </c>
      <c r="I2686" s="9"/>
      <c r="J2686" s="9"/>
      <c r="K2686" s="9"/>
      <c r="L2686" s="9"/>
      <c r="M2686" s="9"/>
      <c r="N2686" s="9"/>
      <c r="O2686" s="9"/>
      <c r="P2686" s="9"/>
      <c r="Q2686" s="9"/>
      <c r="R2686" s="9"/>
      <c r="S2686" s="9"/>
      <c r="T2686" s="9"/>
    </row>
    <row r="2687" ht="15.75" customHeight="1">
      <c r="A2687" s="11">
        <f>IFERROR(__xludf.DUMMYFUNCTION("""COMPUTED_VALUE"""),44471.0)</f>
        <v>44471</v>
      </c>
      <c r="B2687" s="9">
        <f>IFERROR(__xludf.DUMMYFUNCTION("""COMPUTED_VALUE"""),1003667.0)</f>
        <v>1003667</v>
      </c>
      <c r="C2687" s="9">
        <f>IFERROR(__xludf.DUMMYFUNCTION("""COMPUTED_VALUE"""),79420.0)</f>
        <v>79420</v>
      </c>
      <c r="D2687" s="9"/>
      <c r="E2687" s="10" t="str">
        <f>IFERROR(__xludf.DUMMYFUNCTION("""COMPUTED_VALUE"""),"HAPPEEZ")</f>
        <v>HAPPEEZ</v>
      </c>
      <c r="F2687" s="10">
        <f>IFERROR(__xludf.DUMMYFUNCTION("""COMPUTED_VALUE"""),2.73)</f>
        <v>2.73</v>
      </c>
      <c r="G2687" s="9">
        <f>IFERROR(__xludf.DUMMYFUNCTION("""COMPUTED_VALUE"""),2.73)</f>
        <v>2.73</v>
      </c>
      <c r="H2687" s="9">
        <f>IFERROR(__xludf.DUMMYFUNCTION("""COMPUTED_VALUE"""),1.0)</f>
        <v>1</v>
      </c>
      <c r="I2687" s="9"/>
      <c r="J2687" s="9"/>
      <c r="K2687" s="9"/>
      <c r="L2687" s="9"/>
      <c r="M2687" s="9"/>
      <c r="N2687" s="9"/>
      <c r="O2687" s="9"/>
      <c r="P2687" s="9"/>
      <c r="Q2687" s="9"/>
      <c r="R2687" s="9"/>
      <c r="S2687" s="9"/>
      <c r="T2687" s="9"/>
    </row>
    <row r="2688" ht="15.75" customHeight="1">
      <c r="A2688" s="11">
        <f>IFERROR(__xludf.DUMMYFUNCTION("""COMPUTED_VALUE"""),44471.0)</f>
        <v>44471</v>
      </c>
      <c r="B2688" s="9">
        <f>IFERROR(__xludf.DUMMYFUNCTION("""COMPUTED_VALUE"""),1003667.0)</f>
        <v>1003667</v>
      </c>
      <c r="C2688" s="9">
        <f>IFERROR(__xludf.DUMMYFUNCTION("""COMPUTED_VALUE"""),9491.0)</f>
        <v>9491</v>
      </c>
      <c r="D2688" s="9"/>
      <c r="E2688" s="10" t="str">
        <f>IFERROR(__xludf.DUMMYFUNCTION("""COMPUTED_VALUE"""),"HAPPEEZ")</f>
        <v>HAPPEEZ</v>
      </c>
      <c r="F2688" s="10">
        <f>IFERROR(__xludf.DUMMYFUNCTION("""COMPUTED_VALUE"""),2.61)</f>
        <v>2.61</v>
      </c>
      <c r="G2688" s="9">
        <f>IFERROR(__xludf.DUMMYFUNCTION("""COMPUTED_VALUE"""),2.61)</f>
        <v>2.61</v>
      </c>
      <c r="H2688" s="9">
        <f>IFERROR(__xludf.DUMMYFUNCTION("""COMPUTED_VALUE"""),1.0)</f>
        <v>1</v>
      </c>
      <c r="I2688" s="9"/>
      <c r="J2688" s="9"/>
      <c r="K2688" s="9"/>
      <c r="L2688" s="9"/>
      <c r="M2688" s="9"/>
      <c r="N2688" s="9"/>
      <c r="O2688" s="9"/>
      <c r="P2688" s="9"/>
      <c r="Q2688" s="9"/>
      <c r="R2688" s="9"/>
      <c r="S2688" s="9"/>
      <c r="T2688" s="9"/>
    </row>
    <row r="2689" ht="15.75" customHeight="1">
      <c r="A2689" s="11">
        <f>IFERROR(__xludf.DUMMYFUNCTION("""COMPUTED_VALUE"""),44471.0)</f>
        <v>44471</v>
      </c>
      <c r="B2689" s="9">
        <f>IFERROR(__xludf.DUMMYFUNCTION("""COMPUTED_VALUE"""),1003667.0)</f>
        <v>1003667</v>
      </c>
      <c r="C2689" s="9">
        <f>IFERROR(__xludf.DUMMYFUNCTION("""COMPUTED_VALUE"""),109344.0)</f>
        <v>109344</v>
      </c>
      <c r="D2689" s="10" t="str">
        <f>IFERROR(__xludf.DUMMYFUNCTION("""COMPUTED_VALUE"""),"Hipp 2021")</f>
        <v>Hipp 2021</v>
      </c>
      <c r="E2689" s="10" t="str">
        <f>IFERROR(__xludf.DUMMYFUNCTION("""COMPUTED_VALUE"""),"HAPPEEZ")</f>
        <v>HAPPEEZ</v>
      </c>
      <c r="F2689" s="10">
        <f>IFERROR(__xludf.DUMMYFUNCTION("""COMPUTED_VALUE"""),5.29411764705882)</f>
        <v>5.294117647</v>
      </c>
      <c r="G2689" s="9">
        <f>IFERROR(__xludf.DUMMYFUNCTION("""COMPUTED_VALUE"""),4.5)</f>
        <v>4.5</v>
      </c>
      <c r="H2689" s="9">
        <f>IFERROR(__xludf.DUMMYFUNCTION("""COMPUTED_VALUE"""),2.0)</f>
        <v>2</v>
      </c>
      <c r="I2689" s="9"/>
      <c r="J2689" s="9"/>
      <c r="K2689" s="9"/>
      <c r="L2689" s="9"/>
      <c r="M2689" s="9"/>
      <c r="N2689" s="9"/>
      <c r="O2689" s="9"/>
      <c r="P2689" s="9"/>
      <c r="Q2689" s="9"/>
      <c r="R2689" s="9"/>
      <c r="S2689" s="9"/>
      <c r="T2689" s="9"/>
    </row>
    <row r="2690" ht="15.75" customHeight="1">
      <c r="A2690" s="11">
        <f>IFERROR(__xludf.DUMMYFUNCTION("""COMPUTED_VALUE"""),44471.0)</f>
        <v>44471</v>
      </c>
      <c r="B2690" s="9">
        <f>IFERROR(__xludf.DUMMYFUNCTION("""COMPUTED_VALUE"""),1003667.0)</f>
        <v>1003667</v>
      </c>
      <c r="C2690" s="9">
        <f>IFERROR(__xludf.DUMMYFUNCTION("""COMPUTED_VALUE"""),117605.0)</f>
        <v>117605</v>
      </c>
      <c r="D2690" s="9"/>
      <c r="E2690" s="10" t="str">
        <f>IFERROR(__xludf.DUMMYFUNCTION("""COMPUTED_VALUE"""),"HAPPEEZ")</f>
        <v>HAPPEEZ</v>
      </c>
      <c r="F2690" s="10">
        <f>IFERROR(__xludf.DUMMYFUNCTION("""COMPUTED_VALUE"""),2.81)</f>
        <v>2.81</v>
      </c>
      <c r="G2690" s="9">
        <f>IFERROR(__xludf.DUMMYFUNCTION("""COMPUTED_VALUE"""),2.81)</f>
        <v>2.81</v>
      </c>
      <c r="H2690" s="9">
        <f>IFERROR(__xludf.DUMMYFUNCTION("""COMPUTED_VALUE"""),2.0)</f>
        <v>2</v>
      </c>
      <c r="I2690" s="9"/>
      <c r="J2690" s="9"/>
      <c r="K2690" s="9"/>
      <c r="L2690" s="9"/>
      <c r="M2690" s="9"/>
      <c r="N2690" s="9"/>
      <c r="O2690" s="9"/>
      <c r="P2690" s="9"/>
      <c r="Q2690" s="9"/>
      <c r="R2690" s="9"/>
      <c r="S2690" s="9"/>
      <c r="T2690" s="9"/>
    </row>
    <row r="2691" ht="15.75" customHeight="1">
      <c r="A2691" s="11">
        <f>IFERROR(__xludf.DUMMYFUNCTION("""COMPUTED_VALUE"""),44471.0)</f>
        <v>44471</v>
      </c>
      <c r="B2691" s="9">
        <f>IFERROR(__xludf.DUMMYFUNCTION("""COMPUTED_VALUE"""),1003667.0)</f>
        <v>1003667</v>
      </c>
      <c r="C2691" s="9">
        <f>IFERROR(__xludf.DUMMYFUNCTION("""COMPUTED_VALUE"""),117604.0)</f>
        <v>117604</v>
      </c>
      <c r="D2691" s="9"/>
      <c r="E2691" s="10" t="str">
        <f>IFERROR(__xludf.DUMMYFUNCTION("""COMPUTED_VALUE"""),"HAPPEEZ")</f>
        <v>HAPPEEZ</v>
      </c>
      <c r="F2691" s="10">
        <f>IFERROR(__xludf.DUMMYFUNCTION("""COMPUTED_VALUE"""),2.81)</f>
        <v>2.81</v>
      </c>
      <c r="G2691" s="9">
        <f>IFERROR(__xludf.DUMMYFUNCTION("""COMPUTED_VALUE"""),2.81)</f>
        <v>2.81</v>
      </c>
      <c r="H2691" s="9">
        <f>IFERROR(__xludf.DUMMYFUNCTION("""COMPUTED_VALUE"""),2.0)</f>
        <v>2</v>
      </c>
      <c r="I2691" s="9"/>
      <c r="J2691" s="9"/>
      <c r="K2691" s="9"/>
      <c r="L2691" s="9"/>
      <c r="M2691" s="9"/>
      <c r="N2691" s="9"/>
      <c r="O2691" s="9"/>
      <c r="P2691" s="9"/>
      <c r="Q2691" s="9"/>
      <c r="R2691" s="9"/>
      <c r="S2691" s="9"/>
      <c r="T2691" s="9"/>
    </row>
    <row r="2692" ht="15.75" customHeight="1">
      <c r="A2692" s="11">
        <f>IFERROR(__xludf.DUMMYFUNCTION("""COMPUTED_VALUE"""),44471.0)</f>
        <v>44471</v>
      </c>
      <c r="B2692" s="9">
        <f>IFERROR(__xludf.DUMMYFUNCTION("""COMPUTED_VALUE"""),1003667.0)</f>
        <v>1003667</v>
      </c>
      <c r="C2692" s="9">
        <f>IFERROR(__xludf.DUMMYFUNCTION("""COMPUTED_VALUE"""),117611.0)</f>
        <v>117611</v>
      </c>
      <c r="D2692" s="9"/>
      <c r="E2692" s="10" t="str">
        <f>IFERROR(__xludf.DUMMYFUNCTION("""COMPUTED_VALUE"""),"HAPPEEZ")</f>
        <v>HAPPEEZ</v>
      </c>
      <c r="F2692" s="10">
        <f>IFERROR(__xludf.DUMMYFUNCTION("""COMPUTED_VALUE"""),2.81)</f>
        <v>2.81</v>
      </c>
      <c r="G2692" s="9">
        <f>IFERROR(__xludf.DUMMYFUNCTION("""COMPUTED_VALUE"""),2.81)</f>
        <v>2.81</v>
      </c>
      <c r="H2692" s="9">
        <f>IFERROR(__xludf.DUMMYFUNCTION("""COMPUTED_VALUE"""),2.0)</f>
        <v>2</v>
      </c>
      <c r="I2692" s="9"/>
      <c r="J2692" s="9"/>
      <c r="K2692" s="9"/>
      <c r="L2692" s="9"/>
      <c r="M2692" s="9"/>
      <c r="N2692" s="9"/>
      <c r="O2692" s="9"/>
      <c r="P2692" s="9"/>
      <c r="Q2692" s="9"/>
      <c r="R2692" s="9"/>
      <c r="S2692" s="9"/>
      <c r="T2692" s="9"/>
    </row>
    <row r="2693" ht="15.75" customHeight="1">
      <c r="A2693" s="11">
        <f>IFERROR(__xludf.DUMMYFUNCTION("""COMPUTED_VALUE"""),44471.0)</f>
        <v>44471</v>
      </c>
      <c r="B2693" s="9">
        <f>IFERROR(__xludf.DUMMYFUNCTION("""COMPUTED_VALUE"""),1003667.0)</f>
        <v>1003667</v>
      </c>
      <c r="C2693" s="9">
        <f>IFERROR(__xludf.DUMMYFUNCTION("""COMPUTED_VALUE"""),4389.0)</f>
        <v>4389</v>
      </c>
      <c r="D2693" s="10" t="str">
        <f>IFERROR(__xludf.DUMMYFUNCTION("""COMPUTED_VALUE"""),"Hipp 2021")</f>
        <v>Hipp 2021</v>
      </c>
      <c r="E2693" s="10" t="str">
        <f>IFERROR(__xludf.DUMMYFUNCTION("""COMPUTED_VALUE"""),"HAPPEEZ")</f>
        <v>HAPPEEZ</v>
      </c>
      <c r="F2693" s="10">
        <f>IFERROR(__xludf.DUMMYFUNCTION("""COMPUTED_VALUE"""),5.69411764705882)</f>
        <v>5.694117647</v>
      </c>
      <c r="G2693" s="9">
        <f>IFERROR(__xludf.DUMMYFUNCTION("""COMPUTED_VALUE"""),4.84)</f>
        <v>4.84</v>
      </c>
      <c r="H2693" s="9">
        <f>IFERROR(__xludf.DUMMYFUNCTION("""COMPUTED_VALUE"""),2.0)</f>
        <v>2</v>
      </c>
      <c r="I2693" s="9"/>
      <c r="J2693" s="9"/>
      <c r="K2693" s="9"/>
      <c r="L2693" s="9"/>
      <c r="M2693" s="9"/>
      <c r="N2693" s="9"/>
      <c r="O2693" s="9"/>
      <c r="P2693" s="9"/>
      <c r="Q2693" s="9"/>
      <c r="R2693" s="9"/>
      <c r="S2693" s="9"/>
      <c r="T2693" s="9"/>
    </row>
    <row r="2694" ht="15.75" customHeight="1">
      <c r="A2694" s="11">
        <f>IFERROR(__xludf.DUMMYFUNCTION("""COMPUTED_VALUE"""),44471.0)</f>
        <v>44471</v>
      </c>
      <c r="B2694" s="9">
        <f>IFERROR(__xludf.DUMMYFUNCTION("""COMPUTED_VALUE"""),1003667.0)</f>
        <v>1003667</v>
      </c>
      <c r="C2694" s="9">
        <f>IFERROR(__xludf.DUMMYFUNCTION("""COMPUTED_VALUE"""),84167.0)</f>
        <v>84167</v>
      </c>
      <c r="D2694" s="9"/>
      <c r="E2694" s="10" t="str">
        <f>IFERROR(__xludf.DUMMYFUNCTION("""COMPUTED_VALUE"""),"HAPPEEZ")</f>
        <v>HAPPEEZ</v>
      </c>
      <c r="F2694" s="10">
        <f>IFERROR(__xludf.DUMMYFUNCTION("""COMPUTED_VALUE"""),6.36)</f>
        <v>6.36</v>
      </c>
      <c r="G2694" s="9">
        <f>IFERROR(__xludf.DUMMYFUNCTION("""COMPUTED_VALUE"""),6.36)</f>
        <v>6.36</v>
      </c>
      <c r="H2694" s="9">
        <f>IFERROR(__xludf.DUMMYFUNCTION("""COMPUTED_VALUE"""),3.0)</f>
        <v>3</v>
      </c>
      <c r="I2694" s="9"/>
      <c r="J2694" s="9"/>
      <c r="K2694" s="9"/>
      <c r="L2694" s="9"/>
      <c r="M2694" s="9"/>
      <c r="N2694" s="9"/>
      <c r="O2694" s="9"/>
      <c r="P2694" s="9"/>
      <c r="Q2694" s="9"/>
      <c r="R2694" s="9"/>
      <c r="S2694" s="9"/>
      <c r="T2694" s="9"/>
    </row>
    <row r="2695" ht="15.75" customHeight="1">
      <c r="A2695" s="11">
        <f>IFERROR(__xludf.DUMMYFUNCTION("""COMPUTED_VALUE"""),44471.0)</f>
        <v>44471</v>
      </c>
      <c r="B2695" s="9">
        <f>IFERROR(__xludf.DUMMYFUNCTION("""COMPUTED_VALUE"""),1003667.0)</f>
        <v>1003667</v>
      </c>
      <c r="C2695" s="9">
        <f>IFERROR(__xludf.DUMMYFUNCTION("""COMPUTED_VALUE"""),62597.0)</f>
        <v>62597</v>
      </c>
      <c r="D2695" s="9"/>
      <c r="E2695" s="10" t="str">
        <f>IFERROR(__xludf.DUMMYFUNCTION("""COMPUTED_VALUE"""),"HAPPEEZ")</f>
        <v>HAPPEEZ</v>
      </c>
      <c r="F2695" s="10">
        <f>IFERROR(__xludf.DUMMYFUNCTION("""COMPUTED_VALUE"""),49.12)</f>
        <v>49.12</v>
      </c>
      <c r="G2695" s="9">
        <f>IFERROR(__xludf.DUMMYFUNCTION("""COMPUTED_VALUE"""),49.12)</f>
        <v>49.12</v>
      </c>
      <c r="H2695" s="9">
        <f>IFERROR(__xludf.DUMMYFUNCTION("""COMPUTED_VALUE"""),3.0)</f>
        <v>3</v>
      </c>
      <c r="I2695" s="9"/>
      <c r="J2695" s="9"/>
      <c r="K2695" s="9"/>
      <c r="L2695" s="9"/>
      <c r="M2695" s="9"/>
      <c r="N2695" s="9"/>
      <c r="O2695" s="9"/>
      <c r="P2695" s="9"/>
      <c r="Q2695" s="9"/>
      <c r="R2695" s="9"/>
      <c r="S2695" s="9"/>
      <c r="T2695" s="9"/>
    </row>
    <row r="2696" ht="15.75" customHeight="1">
      <c r="A2696" s="11">
        <f>IFERROR(__xludf.DUMMYFUNCTION("""COMPUTED_VALUE"""),44471.0)</f>
        <v>44471</v>
      </c>
      <c r="B2696" s="9">
        <f>IFERROR(__xludf.DUMMYFUNCTION("""COMPUTED_VALUE"""),1003668.0)</f>
        <v>1003668</v>
      </c>
      <c r="C2696" s="9">
        <f>IFERROR(__xludf.DUMMYFUNCTION("""COMPUTED_VALUE"""),7358.0)</f>
        <v>7358</v>
      </c>
      <c r="D2696" s="9"/>
      <c r="E2696" s="9"/>
      <c r="F2696" s="9">
        <f>IFERROR(__xludf.DUMMYFUNCTION("""COMPUTED_VALUE"""),4.25)</f>
        <v>4.25</v>
      </c>
      <c r="G2696" s="9">
        <f>IFERROR(__xludf.DUMMYFUNCTION("""COMPUTED_VALUE"""),4.25)</f>
        <v>4.25</v>
      </c>
      <c r="H2696" s="9">
        <f>IFERROR(__xludf.DUMMYFUNCTION("""COMPUTED_VALUE"""),1.0)</f>
        <v>1</v>
      </c>
      <c r="I2696" s="9"/>
      <c r="J2696" s="9"/>
      <c r="K2696" s="9"/>
      <c r="L2696" s="9"/>
      <c r="M2696" s="9"/>
      <c r="N2696" s="9"/>
      <c r="O2696" s="9"/>
      <c r="P2696" s="9"/>
      <c r="Q2696" s="9"/>
      <c r="R2696" s="9"/>
      <c r="S2696" s="9"/>
      <c r="T2696" s="9"/>
    </row>
    <row r="2697" ht="15.75" customHeight="1">
      <c r="A2697" s="11">
        <f>IFERROR(__xludf.DUMMYFUNCTION("""COMPUTED_VALUE"""),44471.0)</f>
        <v>44471</v>
      </c>
      <c r="B2697" s="9">
        <f>IFERROR(__xludf.DUMMYFUNCTION("""COMPUTED_VALUE"""),1003668.0)</f>
        <v>1003668</v>
      </c>
      <c r="C2697" s="9">
        <f>IFERROR(__xludf.DUMMYFUNCTION("""COMPUTED_VALUE"""),9734.0)</f>
        <v>9734</v>
      </c>
      <c r="D2697" s="9"/>
      <c r="E2697" s="9"/>
      <c r="F2697" s="9">
        <f>IFERROR(__xludf.DUMMYFUNCTION("""COMPUTED_VALUE"""),3.07)</f>
        <v>3.07</v>
      </c>
      <c r="G2697" s="9">
        <f>IFERROR(__xludf.DUMMYFUNCTION("""COMPUTED_VALUE"""),3.07)</f>
        <v>3.07</v>
      </c>
      <c r="H2697" s="9">
        <f>IFERROR(__xludf.DUMMYFUNCTION("""COMPUTED_VALUE"""),1.0)</f>
        <v>1</v>
      </c>
      <c r="I2697" s="9"/>
      <c r="J2697" s="9"/>
      <c r="K2697" s="9"/>
      <c r="L2697" s="9"/>
      <c r="M2697" s="9"/>
      <c r="N2697" s="9"/>
      <c r="O2697" s="9"/>
      <c r="P2697" s="9"/>
      <c r="Q2697" s="9"/>
      <c r="R2697" s="9"/>
      <c r="S2697" s="9"/>
      <c r="T2697" s="9"/>
    </row>
    <row r="2698" ht="15.75" customHeight="1">
      <c r="A2698" s="11">
        <f>IFERROR(__xludf.DUMMYFUNCTION("""COMPUTED_VALUE"""),44471.0)</f>
        <v>44471</v>
      </c>
      <c r="B2698" s="9">
        <f>IFERROR(__xludf.DUMMYFUNCTION("""COMPUTED_VALUE"""),1003668.0)</f>
        <v>1003668</v>
      </c>
      <c r="C2698" s="9">
        <f>IFERROR(__xludf.DUMMYFUNCTION("""COMPUTED_VALUE"""),102548.0)</f>
        <v>102548</v>
      </c>
      <c r="D2698" s="9"/>
      <c r="E2698" s="9"/>
      <c r="F2698" s="9">
        <f>IFERROR(__xludf.DUMMYFUNCTION("""COMPUTED_VALUE"""),8.92)</f>
        <v>8.92</v>
      </c>
      <c r="G2698" s="9">
        <f>IFERROR(__xludf.DUMMYFUNCTION("""COMPUTED_VALUE"""),8.92)</f>
        <v>8.92</v>
      </c>
      <c r="H2698" s="9">
        <f>IFERROR(__xludf.DUMMYFUNCTION("""COMPUTED_VALUE"""),1.0)</f>
        <v>1</v>
      </c>
      <c r="I2698" s="9"/>
      <c r="J2698" s="9"/>
      <c r="K2698" s="9"/>
      <c r="L2698" s="9"/>
      <c r="M2698" s="9"/>
      <c r="N2698" s="9"/>
      <c r="O2698" s="9"/>
      <c r="P2698" s="9"/>
      <c r="Q2698" s="9"/>
      <c r="R2698" s="9"/>
      <c r="S2698" s="9"/>
      <c r="T2698" s="9"/>
    </row>
    <row r="2699" ht="15.75" customHeight="1">
      <c r="A2699" s="11">
        <f>IFERROR(__xludf.DUMMYFUNCTION("""COMPUTED_VALUE"""),44471.0)</f>
        <v>44471</v>
      </c>
      <c r="B2699" s="9">
        <f>IFERROR(__xludf.DUMMYFUNCTION("""COMPUTED_VALUE"""),1003668.0)</f>
        <v>1003668</v>
      </c>
      <c r="C2699" s="9">
        <f>IFERROR(__xludf.DUMMYFUNCTION("""COMPUTED_VALUE"""),122699.0)</f>
        <v>122699</v>
      </c>
      <c r="D2699" s="9"/>
      <c r="E2699" s="9"/>
      <c r="F2699" s="9">
        <f>IFERROR(__xludf.DUMMYFUNCTION("""COMPUTED_VALUE"""),20.58)</f>
        <v>20.58</v>
      </c>
      <c r="G2699" s="9">
        <f>IFERROR(__xludf.DUMMYFUNCTION("""COMPUTED_VALUE"""),20.58)</f>
        <v>20.58</v>
      </c>
      <c r="H2699" s="9">
        <f>IFERROR(__xludf.DUMMYFUNCTION("""COMPUTED_VALUE"""),4.0)</f>
        <v>4</v>
      </c>
      <c r="I2699" s="9"/>
      <c r="J2699" s="9"/>
      <c r="K2699" s="9"/>
      <c r="L2699" s="9"/>
      <c r="M2699" s="9"/>
      <c r="N2699" s="9"/>
      <c r="O2699" s="9"/>
      <c r="P2699" s="9"/>
      <c r="Q2699" s="9"/>
      <c r="R2699" s="9"/>
      <c r="S2699" s="9"/>
      <c r="T2699" s="9"/>
    </row>
    <row r="2700" ht="15.75" customHeight="1">
      <c r="A2700" s="11">
        <f>IFERROR(__xludf.DUMMYFUNCTION("""COMPUTED_VALUE"""),44471.0)</f>
        <v>44471</v>
      </c>
      <c r="B2700" s="9">
        <f>IFERROR(__xludf.DUMMYFUNCTION("""COMPUTED_VALUE"""),1003669.0)</f>
        <v>1003669</v>
      </c>
      <c r="C2700" s="9">
        <f>IFERROR(__xludf.DUMMYFUNCTION("""COMPUTED_VALUE"""),69321.0)</f>
        <v>69321</v>
      </c>
      <c r="D2700" s="9"/>
      <c r="E2700" s="9"/>
      <c r="F2700" s="9">
        <f>IFERROR(__xludf.DUMMYFUNCTION("""COMPUTED_VALUE"""),19.68)</f>
        <v>19.68</v>
      </c>
      <c r="G2700" s="9">
        <f>IFERROR(__xludf.DUMMYFUNCTION("""COMPUTED_VALUE"""),19.68)</f>
        <v>19.68</v>
      </c>
      <c r="H2700" s="9">
        <f>IFERROR(__xludf.DUMMYFUNCTION("""COMPUTED_VALUE"""),8.0)</f>
        <v>8</v>
      </c>
      <c r="I2700" s="9"/>
      <c r="J2700" s="9"/>
      <c r="K2700" s="9"/>
      <c r="L2700" s="9"/>
      <c r="M2700" s="9"/>
      <c r="N2700" s="9"/>
      <c r="O2700" s="9"/>
      <c r="P2700" s="9"/>
      <c r="Q2700" s="9"/>
      <c r="R2700" s="9"/>
      <c r="S2700" s="9"/>
      <c r="T2700" s="9"/>
    </row>
    <row r="2701" ht="15.75" customHeight="1">
      <c r="A2701" s="11">
        <f>IFERROR(__xludf.DUMMYFUNCTION("""COMPUTED_VALUE"""),44471.0)</f>
        <v>44471</v>
      </c>
      <c r="B2701" s="9">
        <f>IFERROR(__xludf.DUMMYFUNCTION("""COMPUTED_VALUE"""),1003670.0)</f>
        <v>1003670</v>
      </c>
      <c r="C2701" s="9">
        <f>IFERROR(__xludf.DUMMYFUNCTION("""COMPUTED_VALUE"""),118154.0)</f>
        <v>118154</v>
      </c>
      <c r="D2701" s="9"/>
      <c r="E2701" s="9"/>
      <c r="F2701" s="9">
        <f>IFERROR(__xludf.DUMMYFUNCTION("""COMPUTED_VALUE"""),3.0)</f>
        <v>3</v>
      </c>
      <c r="G2701" s="9">
        <f>IFERROR(__xludf.DUMMYFUNCTION("""COMPUTED_VALUE"""),3.0)</f>
        <v>3</v>
      </c>
      <c r="H2701" s="9">
        <f>IFERROR(__xludf.DUMMYFUNCTION("""COMPUTED_VALUE"""),1.0)</f>
        <v>1</v>
      </c>
      <c r="I2701" s="9"/>
      <c r="J2701" s="9"/>
      <c r="K2701" s="9"/>
      <c r="L2701" s="9"/>
      <c r="M2701" s="9"/>
      <c r="N2701" s="9"/>
      <c r="O2701" s="9"/>
      <c r="P2701" s="9"/>
      <c r="Q2701" s="9"/>
      <c r="R2701" s="9"/>
      <c r="S2701" s="9"/>
      <c r="T2701" s="9"/>
    </row>
    <row r="2702" ht="15.75" customHeight="1">
      <c r="A2702" s="11">
        <f>IFERROR(__xludf.DUMMYFUNCTION("""COMPUTED_VALUE"""),44471.0)</f>
        <v>44471</v>
      </c>
      <c r="B2702" s="9">
        <f>IFERROR(__xludf.DUMMYFUNCTION("""COMPUTED_VALUE"""),1003670.0)</f>
        <v>1003670</v>
      </c>
      <c r="C2702" s="9">
        <f>IFERROR(__xludf.DUMMYFUNCTION("""COMPUTED_VALUE"""),949.0)</f>
        <v>949</v>
      </c>
      <c r="D2702" s="9"/>
      <c r="E2702" s="9"/>
      <c r="F2702" s="9">
        <f>IFERROR(__xludf.DUMMYFUNCTION("""COMPUTED_VALUE"""),1.76)</f>
        <v>1.76</v>
      </c>
      <c r="G2702" s="9">
        <f>IFERROR(__xludf.DUMMYFUNCTION("""COMPUTED_VALUE"""),1.76)</f>
        <v>1.76</v>
      </c>
      <c r="H2702" s="9">
        <f>IFERROR(__xludf.DUMMYFUNCTION("""COMPUTED_VALUE"""),1.0)</f>
        <v>1</v>
      </c>
      <c r="I2702" s="9"/>
      <c r="J2702" s="9"/>
      <c r="K2702" s="9"/>
      <c r="L2702" s="9"/>
      <c r="M2702" s="9"/>
      <c r="N2702" s="9"/>
      <c r="O2702" s="9"/>
      <c r="P2702" s="9"/>
      <c r="Q2702" s="9"/>
      <c r="R2702" s="9"/>
      <c r="S2702" s="9"/>
      <c r="T2702" s="9"/>
    </row>
    <row r="2703" ht="15.75" customHeight="1">
      <c r="A2703" s="11">
        <f>IFERROR(__xludf.DUMMYFUNCTION("""COMPUTED_VALUE"""),44471.0)</f>
        <v>44471</v>
      </c>
      <c r="B2703" s="9">
        <f>IFERROR(__xludf.DUMMYFUNCTION("""COMPUTED_VALUE"""),1003670.0)</f>
        <v>1003670</v>
      </c>
      <c r="C2703" s="9">
        <f>IFERROR(__xludf.DUMMYFUNCTION("""COMPUTED_VALUE"""),90820.0)</f>
        <v>90820</v>
      </c>
      <c r="D2703" s="9"/>
      <c r="E2703" s="9"/>
      <c r="F2703" s="9">
        <f>IFERROR(__xludf.DUMMYFUNCTION("""COMPUTED_VALUE"""),2.03)</f>
        <v>2.03</v>
      </c>
      <c r="G2703" s="9">
        <f>IFERROR(__xludf.DUMMYFUNCTION("""COMPUTED_VALUE"""),2.03)</f>
        <v>2.03</v>
      </c>
      <c r="H2703" s="9">
        <f>IFERROR(__xludf.DUMMYFUNCTION("""COMPUTED_VALUE"""),1.0)</f>
        <v>1</v>
      </c>
      <c r="I2703" s="9"/>
      <c r="J2703" s="9"/>
      <c r="K2703" s="9"/>
      <c r="L2703" s="9"/>
      <c r="M2703" s="9"/>
      <c r="N2703" s="9"/>
      <c r="O2703" s="9"/>
      <c r="P2703" s="9"/>
      <c r="Q2703" s="9"/>
      <c r="R2703" s="9"/>
      <c r="S2703" s="9"/>
      <c r="T2703" s="9"/>
    </row>
    <row r="2704" ht="15.75" customHeight="1">
      <c r="A2704" s="11">
        <f>IFERROR(__xludf.DUMMYFUNCTION("""COMPUTED_VALUE"""),44471.0)</f>
        <v>44471</v>
      </c>
      <c r="B2704" s="9">
        <f>IFERROR(__xludf.DUMMYFUNCTION("""COMPUTED_VALUE"""),1003670.0)</f>
        <v>1003670</v>
      </c>
      <c r="C2704" s="9">
        <f>IFERROR(__xludf.DUMMYFUNCTION("""COMPUTED_VALUE"""),44398.0)</f>
        <v>44398</v>
      </c>
      <c r="D2704" s="9"/>
      <c r="E2704" s="9"/>
      <c r="F2704" s="9">
        <f>IFERROR(__xludf.DUMMYFUNCTION("""COMPUTED_VALUE"""),3.03)</f>
        <v>3.03</v>
      </c>
      <c r="G2704" s="9">
        <f>IFERROR(__xludf.DUMMYFUNCTION("""COMPUTED_VALUE"""),3.03)</f>
        <v>3.03</v>
      </c>
      <c r="H2704" s="9">
        <f>IFERROR(__xludf.DUMMYFUNCTION("""COMPUTED_VALUE"""),1.0)</f>
        <v>1</v>
      </c>
      <c r="I2704" s="9"/>
      <c r="J2704" s="9"/>
      <c r="K2704" s="9"/>
      <c r="L2704" s="9"/>
      <c r="M2704" s="9"/>
      <c r="N2704" s="9"/>
      <c r="O2704" s="9"/>
      <c r="P2704" s="9"/>
      <c r="Q2704" s="9"/>
      <c r="R2704" s="9"/>
      <c r="S2704" s="9"/>
      <c r="T2704" s="9"/>
    </row>
    <row r="2705" ht="15.75" customHeight="1">
      <c r="A2705" s="11">
        <f>IFERROR(__xludf.DUMMYFUNCTION("""COMPUTED_VALUE"""),44471.0)</f>
        <v>44471</v>
      </c>
      <c r="B2705" s="9">
        <f>IFERROR(__xludf.DUMMYFUNCTION("""COMPUTED_VALUE"""),1003670.0)</f>
        <v>1003670</v>
      </c>
      <c r="C2705" s="9">
        <f>IFERROR(__xludf.DUMMYFUNCTION("""COMPUTED_VALUE"""),121783.0)</f>
        <v>121783</v>
      </c>
      <c r="D2705" s="9"/>
      <c r="E2705" s="9"/>
      <c r="F2705" s="9">
        <f>IFERROR(__xludf.DUMMYFUNCTION("""COMPUTED_VALUE"""),4.06)</f>
        <v>4.06</v>
      </c>
      <c r="G2705" s="9">
        <f>IFERROR(__xludf.DUMMYFUNCTION("""COMPUTED_VALUE"""),4.06)</f>
        <v>4.06</v>
      </c>
      <c r="H2705" s="9">
        <f>IFERROR(__xludf.DUMMYFUNCTION("""COMPUTED_VALUE"""),1.0)</f>
        <v>1</v>
      </c>
      <c r="I2705" s="9"/>
      <c r="J2705" s="9"/>
      <c r="K2705" s="9"/>
      <c r="L2705" s="9"/>
      <c r="M2705" s="9"/>
      <c r="N2705" s="9"/>
      <c r="O2705" s="9"/>
      <c r="P2705" s="9"/>
      <c r="Q2705" s="9"/>
      <c r="R2705" s="9"/>
      <c r="S2705" s="9"/>
      <c r="T2705" s="9"/>
    </row>
    <row r="2706" ht="15.75" customHeight="1">
      <c r="A2706" s="11">
        <f>IFERROR(__xludf.DUMMYFUNCTION("""COMPUTED_VALUE"""),44471.0)</f>
        <v>44471</v>
      </c>
      <c r="B2706" s="9">
        <f>IFERROR(__xludf.DUMMYFUNCTION("""COMPUTED_VALUE"""),1003670.0)</f>
        <v>1003670</v>
      </c>
      <c r="C2706" s="9">
        <f>IFERROR(__xludf.DUMMYFUNCTION("""COMPUTED_VALUE"""),121787.0)</f>
        <v>121787</v>
      </c>
      <c r="D2706" s="9"/>
      <c r="E2706" s="9"/>
      <c r="F2706" s="9">
        <f>IFERROR(__xludf.DUMMYFUNCTION("""COMPUTED_VALUE"""),3.66)</f>
        <v>3.66</v>
      </c>
      <c r="G2706" s="9">
        <f>IFERROR(__xludf.DUMMYFUNCTION("""COMPUTED_VALUE"""),3.66)</f>
        <v>3.66</v>
      </c>
      <c r="H2706" s="9">
        <f>IFERROR(__xludf.DUMMYFUNCTION("""COMPUTED_VALUE"""),1.0)</f>
        <v>1</v>
      </c>
      <c r="I2706" s="9"/>
      <c r="J2706" s="9"/>
      <c r="K2706" s="9"/>
      <c r="L2706" s="9"/>
      <c r="M2706" s="9"/>
      <c r="N2706" s="9"/>
      <c r="O2706" s="9"/>
      <c r="P2706" s="9"/>
      <c r="Q2706" s="9"/>
      <c r="R2706" s="9"/>
      <c r="S2706" s="9"/>
      <c r="T2706" s="9"/>
    </row>
    <row r="2707" ht="15.75" customHeight="1">
      <c r="A2707" s="11">
        <f>IFERROR(__xludf.DUMMYFUNCTION("""COMPUTED_VALUE"""),44471.0)</f>
        <v>44471</v>
      </c>
      <c r="B2707" s="9">
        <f>IFERROR(__xludf.DUMMYFUNCTION("""COMPUTED_VALUE"""),1003670.0)</f>
        <v>1003670</v>
      </c>
      <c r="C2707" s="9">
        <f>IFERROR(__xludf.DUMMYFUNCTION("""COMPUTED_VALUE"""),107349.0)</f>
        <v>107349</v>
      </c>
      <c r="D2707" s="9"/>
      <c r="E2707" s="9"/>
      <c r="F2707" s="9">
        <f>IFERROR(__xludf.DUMMYFUNCTION("""COMPUTED_VALUE"""),2.69)</f>
        <v>2.69</v>
      </c>
      <c r="G2707" s="9">
        <f>IFERROR(__xludf.DUMMYFUNCTION("""COMPUTED_VALUE"""),2.69)</f>
        <v>2.69</v>
      </c>
      <c r="H2707" s="9">
        <f>IFERROR(__xludf.DUMMYFUNCTION("""COMPUTED_VALUE"""),1.0)</f>
        <v>1</v>
      </c>
      <c r="I2707" s="9"/>
      <c r="J2707" s="9"/>
      <c r="K2707" s="9"/>
      <c r="L2707" s="9"/>
      <c r="M2707" s="9"/>
      <c r="N2707" s="9"/>
      <c r="O2707" s="9"/>
      <c r="P2707" s="9"/>
      <c r="Q2707" s="9"/>
      <c r="R2707" s="9"/>
      <c r="S2707" s="9"/>
      <c r="T2707" s="9"/>
    </row>
    <row r="2708" ht="15.75" customHeight="1">
      <c r="A2708" s="11">
        <f>IFERROR(__xludf.DUMMYFUNCTION("""COMPUTED_VALUE"""),44471.0)</f>
        <v>44471</v>
      </c>
      <c r="B2708" s="9">
        <f>IFERROR(__xludf.DUMMYFUNCTION("""COMPUTED_VALUE"""),1003670.0)</f>
        <v>1003670</v>
      </c>
      <c r="C2708" s="9">
        <f>IFERROR(__xludf.DUMMYFUNCTION("""COMPUTED_VALUE"""),110719.0)</f>
        <v>110719</v>
      </c>
      <c r="D2708" s="9"/>
      <c r="E2708" s="9"/>
      <c r="F2708" s="9">
        <f>IFERROR(__xludf.DUMMYFUNCTION("""COMPUTED_VALUE"""),3.95)</f>
        <v>3.95</v>
      </c>
      <c r="G2708" s="9">
        <f>IFERROR(__xludf.DUMMYFUNCTION("""COMPUTED_VALUE"""),3.95)</f>
        <v>3.95</v>
      </c>
      <c r="H2708" s="9">
        <f>IFERROR(__xludf.DUMMYFUNCTION("""COMPUTED_VALUE"""),1.0)</f>
        <v>1</v>
      </c>
      <c r="I2708" s="9"/>
      <c r="J2708" s="9"/>
      <c r="K2708" s="9"/>
      <c r="L2708" s="9"/>
      <c r="M2708" s="9"/>
      <c r="N2708" s="9"/>
      <c r="O2708" s="9"/>
      <c r="P2708" s="9"/>
      <c r="Q2708" s="9"/>
      <c r="R2708" s="9"/>
      <c r="S2708" s="9"/>
      <c r="T2708" s="9"/>
    </row>
    <row r="2709" ht="15.75" customHeight="1">
      <c r="A2709" s="11">
        <f>IFERROR(__xludf.DUMMYFUNCTION("""COMPUTED_VALUE"""),44471.0)</f>
        <v>44471</v>
      </c>
      <c r="B2709" s="9">
        <f>IFERROR(__xludf.DUMMYFUNCTION("""COMPUTED_VALUE"""),1003670.0)</f>
        <v>1003670</v>
      </c>
      <c r="C2709" s="9">
        <f>IFERROR(__xludf.DUMMYFUNCTION("""COMPUTED_VALUE"""),76365.0)</f>
        <v>76365</v>
      </c>
      <c r="D2709" s="9"/>
      <c r="E2709" s="9"/>
      <c r="F2709" s="9">
        <f>IFERROR(__xludf.DUMMYFUNCTION("""COMPUTED_VALUE"""),2.08)</f>
        <v>2.08</v>
      </c>
      <c r="G2709" s="9">
        <f>IFERROR(__xludf.DUMMYFUNCTION("""COMPUTED_VALUE"""),2.08)</f>
        <v>2.08</v>
      </c>
      <c r="H2709" s="9">
        <f>IFERROR(__xludf.DUMMYFUNCTION("""COMPUTED_VALUE"""),1.0)</f>
        <v>1</v>
      </c>
      <c r="I2709" s="9"/>
      <c r="J2709" s="9"/>
      <c r="K2709" s="9"/>
      <c r="L2709" s="9"/>
      <c r="M2709" s="9"/>
      <c r="N2709" s="9"/>
      <c r="O2709" s="9"/>
      <c r="P2709" s="9"/>
      <c r="Q2709" s="9"/>
      <c r="R2709" s="9"/>
      <c r="S2709" s="9"/>
      <c r="T2709" s="9"/>
    </row>
    <row r="2710" ht="15.75" customHeight="1">
      <c r="A2710" s="11">
        <f>IFERROR(__xludf.DUMMYFUNCTION("""COMPUTED_VALUE"""),44471.0)</f>
        <v>44471</v>
      </c>
      <c r="B2710" s="9">
        <f>IFERROR(__xludf.DUMMYFUNCTION("""COMPUTED_VALUE"""),1003670.0)</f>
        <v>1003670</v>
      </c>
      <c r="C2710" s="9">
        <f>IFERROR(__xludf.DUMMYFUNCTION("""COMPUTED_VALUE"""),9716.0)</f>
        <v>9716</v>
      </c>
      <c r="D2710" s="9"/>
      <c r="E2710" s="9"/>
      <c r="F2710" s="9">
        <f>IFERROR(__xludf.DUMMYFUNCTION("""COMPUTED_VALUE"""),6.17)</f>
        <v>6.17</v>
      </c>
      <c r="G2710" s="9">
        <f>IFERROR(__xludf.DUMMYFUNCTION("""COMPUTED_VALUE"""),6.17)</f>
        <v>6.17</v>
      </c>
      <c r="H2710" s="9">
        <f>IFERROR(__xludf.DUMMYFUNCTION("""COMPUTED_VALUE"""),1.0)</f>
        <v>1</v>
      </c>
      <c r="I2710" s="9"/>
      <c r="J2710" s="9"/>
      <c r="K2710" s="9"/>
      <c r="L2710" s="9"/>
      <c r="M2710" s="9"/>
      <c r="N2710" s="9"/>
      <c r="O2710" s="9"/>
      <c r="P2710" s="9"/>
      <c r="Q2710" s="9"/>
      <c r="R2710" s="9"/>
      <c r="S2710" s="9"/>
      <c r="T2710" s="9"/>
    </row>
    <row r="2711" ht="15.75" customHeight="1">
      <c r="A2711" s="11">
        <f>IFERROR(__xludf.DUMMYFUNCTION("""COMPUTED_VALUE"""),44471.0)</f>
        <v>44471</v>
      </c>
      <c r="B2711" s="9">
        <f>IFERROR(__xludf.DUMMYFUNCTION("""COMPUTED_VALUE"""),1003670.0)</f>
        <v>1003670</v>
      </c>
      <c r="C2711" s="9">
        <f>IFERROR(__xludf.DUMMYFUNCTION("""COMPUTED_VALUE"""),80785.0)</f>
        <v>80785</v>
      </c>
      <c r="D2711" s="9"/>
      <c r="E2711" s="9"/>
      <c r="F2711" s="9">
        <f>IFERROR(__xludf.DUMMYFUNCTION("""COMPUTED_VALUE"""),1.49)</f>
        <v>1.49</v>
      </c>
      <c r="G2711" s="9">
        <f>IFERROR(__xludf.DUMMYFUNCTION("""COMPUTED_VALUE"""),1.49)</f>
        <v>1.49</v>
      </c>
      <c r="H2711" s="9">
        <f>IFERROR(__xludf.DUMMYFUNCTION("""COMPUTED_VALUE"""),1.0)</f>
        <v>1</v>
      </c>
      <c r="I2711" s="9"/>
      <c r="J2711" s="9"/>
      <c r="K2711" s="9"/>
      <c r="L2711" s="9"/>
      <c r="M2711" s="9"/>
      <c r="N2711" s="9"/>
      <c r="O2711" s="9"/>
      <c r="P2711" s="9"/>
      <c r="Q2711" s="9"/>
      <c r="R2711" s="9"/>
      <c r="S2711" s="9"/>
      <c r="T2711" s="9"/>
    </row>
    <row r="2712" ht="15.75" customHeight="1">
      <c r="A2712" s="11">
        <f>IFERROR(__xludf.DUMMYFUNCTION("""COMPUTED_VALUE"""),44471.0)</f>
        <v>44471</v>
      </c>
      <c r="B2712" s="9">
        <f>IFERROR(__xludf.DUMMYFUNCTION("""COMPUTED_VALUE"""),1003670.0)</f>
        <v>1003670</v>
      </c>
      <c r="C2712" s="9">
        <f>IFERROR(__xludf.DUMMYFUNCTION("""COMPUTED_VALUE"""),75028.0)</f>
        <v>75028</v>
      </c>
      <c r="D2712" s="9"/>
      <c r="E2712" s="9"/>
      <c r="F2712" s="9">
        <f>IFERROR(__xludf.DUMMYFUNCTION("""COMPUTED_VALUE"""),3.86)</f>
        <v>3.86</v>
      </c>
      <c r="G2712" s="9">
        <f>IFERROR(__xludf.DUMMYFUNCTION("""COMPUTED_VALUE"""),3.86)</f>
        <v>3.86</v>
      </c>
      <c r="H2712" s="9">
        <f>IFERROR(__xludf.DUMMYFUNCTION("""COMPUTED_VALUE"""),1.0)</f>
        <v>1</v>
      </c>
      <c r="I2712" s="9"/>
      <c r="J2712" s="9"/>
      <c r="K2712" s="9"/>
      <c r="L2712" s="9"/>
      <c r="M2712" s="9"/>
      <c r="N2712" s="9"/>
      <c r="O2712" s="9"/>
      <c r="P2712" s="9"/>
      <c r="Q2712" s="9"/>
      <c r="R2712" s="9"/>
      <c r="S2712" s="9"/>
      <c r="T2712" s="9"/>
    </row>
    <row r="2713" ht="15.75" customHeight="1">
      <c r="A2713" s="11">
        <f>IFERROR(__xludf.DUMMYFUNCTION("""COMPUTED_VALUE"""),44471.0)</f>
        <v>44471</v>
      </c>
      <c r="B2713" s="9">
        <f>IFERROR(__xludf.DUMMYFUNCTION("""COMPUTED_VALUE"""),1003670.0)</f>
        <v>1003670</v>
      </c>
      <c r="C2713" s="9">
        <f>IFERROR(__xludf.DUMMYFUNCTION("""COMPUTED_VALUE"""),4162.0)</f>
        <v>4162</v>
      </c>
      <c r="D2713" s="9"/>
      <c r="E2713" s="9"/>
      <c r="F2713" s="9">
        <f>IFERROR(__xludf.DUMMYFUNCTION("""COMPUTED_VALUE"""),4.49)</f>
        <v>4.49</v>
      </c>
      <c r="G2713" s="9">
        <f>IFERROR(__xludf.DUMMYFUNCTION("""COMPUTED_VALUE"""),4.49)</f>
        <v>4.49</v>
      </c>
      <c r="H2713" s="9">
        <f>IFERROR(__xludf.DUMMYFUNCTION("""COMPUTED_VALUE"""),1.0)</f>
        <v>1</v>
      </c>
      <c r="I2713" s="9"/>
      <c r="J2713" s="9"/>
      <c r="K2713" s="9"/>
      <c r="L2713" s="9"/>
      <c r="M2713" s="9"/>
      <c r="N2713" s="9"/>
      <c r="O2713" s="9"/>
      <c r="P2713" s="9"/>
      <c r="Q2713" s="9"/>
      <c r="R2713" s="9"/>
      <c r="S2713" s="9"/>
      <c r="T2713" s="9"/>
    </row>
    <row r="2714" ht="15.75" customHeight="1">
      <c r="A2714" s="11">
        <f>IFERROR(__xludf.DUMMYFUNCTION("""COMPUTED_VALUE"""),44471.0)</f>
        <v>44471</v>
      </c>
      <c r="B2714" s="9">
        <f>IFERROR(__xludf.DUMMYFUNCTION("""COMPUTED_VALUE"""),1003670.0)</f>
        <v>1003670</v>
      </c>
      <c r="C2714" s="9">
        <f>IFERROR(__xludf.DUMMYFUNCTION("""COMPUTED_VALUE"""),10531.0)</f>
        <v>10531</v>
      </c>
      <c r="D2714" s="10" t="str">
        <f>IFERROR(__xludf.DUMMYFUNCTION("""COMPUTED_VALUE"""),"Vive le bio")</f>
        <v>Vive le bio</v>
      </c>
      <c r="E2714" s="10"/>
      <c r="F2714" s="9">
        <f>IFERROR(__xludf.DUMMYFUNCTION("""COMPUTED_VALUE"""),2.78888888888888)</f>
        <v>2.788888889</v>
      </c>
      <c r="G2714" s="9">
        <f>IFERROR(__xludf.DUMMYFUNCTION("""COMPUTED_VALUE"""),2.51)</f>
        <v>2.51</v>
      </c>
      <c r="H2714" s="9">
        <f>IFERROR(__xludf.DUMMYFUNCTION("""COMPUTED_VALUE"""),1.0)</f>
        <v>1</v>
      </c>
      <c r="I2714" s="9"/>
      <c r="J2714" s="9"/>
      <c r="K2714" s="9"/>
      <c r="L2714" s="9"/>
      <c r="M2714" s="9"/>
      <c r="N2714" s="9"/>
      <c r="O2714" s="9"/>
      <c r="P2714" s="9"/>
      <c r="Q2714" s="9"/>
      <c r="R2714" s="9"/>
      <c r="S2714" s="9"/>
      <c r="T2714" s="9"/>
    </row>
    <row r="2715" ht="15.75" customHeight="1">
      <c r="A2715" s="11">
        <f>IFERROR(__xludf.DUMMYFUNCTION("""COMPUTED_VALUE"""),44471.0)</f>
        <v>44471</v>
      </c>
      <c r="B2715" s="9">
        <f>IFERROR(__xludf.DUMMYFUNCTION("""COMPUTED_VALUE"""),1003670.0)</f>
        <v>1003670</v>
      </c>
      <c r="C2715" s="9">
        <f>IFERROR(__xludf.DUMMYFUNCTION("""COMPUTED_VALUE"""),115757.0)</f>
        <v>115757</v>
      </c>
      <c r="D2715" s="10" t="str">
        <f>IFERROR(__xludf.DUMMYFUNCTION("""COMPUTED_VALUE"""),"Vive le bio")</f>
        <v>Vive le bio</v>
      </c>
      <c r="E2715" s="10"/>
      <c r="F2715" s="9">
        <f>IFERROR(__xludf.DUMMYFUNCTION("""COMPUTED_VALUE"""),2.61111111111111)</f>
        <v>2.611111111</v>
      </c>
      <c r="G2715" s="9">
        <f>IFERROR(__xludf.DUMMYFUNCTION("""COMPUTED_VALUE"""),2.35)</f>
        <v>2.35</v>
      </c>
      <c r="H2715" s="9">
        <f>IFERROR(__xludf.DUMMYFUNCTION("""COMPUTED_VALUE"""),2.0)</f>
        <v>2</v>
      </c>
      <c r="I2715" s="9"/>
      <c r="J2715" s="9"/>
      <c r="K2715" s="9"/>
      <c r="L2715" s="9"/>
      <c r="M2715" s="9"/>
      <c r="N2715" s="9"/>
      <c r="O2715" s="9"/>
      <c r="P2715" s="9"/>
      <c r="Q2715" s="9"/>
      <c r="R2715" s="9"/>
      <c r="S2715" s="9"/>
      <c r="T2715" s="9"/>
    </row>
    <row r="2716" ht="15.75" customHeight="1">
      <c r="A2716" s="11">
        <f>IFERROR(__xludf.DUMMYFUNCTION("""COMPUTED_VALUE"""),44471.0)</f>
        <v>44471</v>
      </c>
      <c r="B2716" s="9">
        <f>IFERROR(__xludf.DUMMYFUNCTION("""COMPUTED_VALUE"""),1003670.0)</f>
        <v>1003670</v>
      </c>
      <c r="C2716" s="9">
        <f>IFERROR(__xludf.DUMMYFUNCTION("""COMPUTED_VALUE"""),10569.0)</f>
        <v>10569</v>
      </c>
      <c r="D2716" s="9"/>
      <c r="E2716" s="9"/>
      <c r="F2716" s="9">
        <f>IFERROR(__xludf.DUMMYFUNCTION("""COMPUTED_VALUE"""),15.39)</f>
        <v>15.39</v>
      </c>
      <c r="G2716" s="9">
        <f>IFERROR(__xludf.DUMMYFUNCTION("""COMPUTED_VALUE"""),15.39)</f>
        <v>15.39</v>
      </c>
      <c r="H2716" s="9">
        <f>IFERROR(__xludf.DUMMYFUNCTION("""COMPUTED_VALUE"""),2.0)</f>
        <v>2</v>
      </c>
      <c r="I2716" s="9"/>
      <c r="J2716" s="9"/>
      <c r="K2716" s="9"/>
      <c r="L2716" s="9"/>
      <c r="M2716" s="9"/>
      <c r="N2716" s="9"/>
      <c r="O2716" s="9"/>
      <c r="P2716" s="9"/>
      <c r="Q2716" s="9"/>
      <c r="R2716" s="9"/>
      <c r="S2716" s="9"/>
      <c r="T2716" s="9"/>
    </row>
    <row r="2717" ht="15.75" customHeight="1">
      <c r="A2717" s="11">
        <f>IFERROR(__xludf.DUMMYFUNCTION("""COMPUTED_VALUE"""),44471.0)</f>
        <v>44471</v>
      </c>
      <c r="B2717" s="9">
        <f>IFERROR(__xludf.DUMMYFUNCTION("""COMPUTED_VALUE"""),1003670.0)</f>
        <v>1003670</v>
      </c>
      <c r="C2717" s="9">
        <f>IFERROR(__xludf.DUMMYFUNCTION("""COMPUTED_VALUE"""),76427.0)</f>
        <v>76427</v>
      </c>
      <c r="D2717" s="9"/>
      <c r="E2717" s="9"/>
      <c r="F2717" s="9">
        <f>IFERROR(__xludf.DUMMYFUNCTION("""COMPUTED_VALUE"""),7.1)</f>
        <v>7.1</v>
      </c>
      <c r="G2717" s="9">
        <f>IFERROR(__xludf.DUMMYFUNCTION("""COMPUTED_VALUE"""),7.1)</f>
        <v>7.1</v>
      </c>
      <c r="H2717" s="9">
        <f>IFERROR(__xludf.DUMMYFUNCTION("""COMPUTED_VALUE"""),2.0)</f>
        <v>2</v>
      </c>
      <c r="I2717" s="9"/>
      <c r="J2717" s="9"/>
      <c r="K2717" s="9"/>
      <c r="L2717" s="9"/>
      <c r="M2717" s="9"/>
      <c r="N2717" s="9"/>
      <c r="O2717" s="9"/>
      <c r="P2717" s="9"/>
      <c r="Q2717" s="9"/>
      <c r="R2717" s="9"/>
      <c r="S2717" s="9"/>
      <c r="T2717" s="9"/>
    </row>
    <row r="2718" ht="15.75" customHeight="1">
      <c r="A2718" s="11">
        <f>IFERROR(__xludf.DUMMYFUNCTION("""COMPUTED_VALUE"""),44471.0)</f>
        <v>44471</v>
      </c>
      <c r="B2718" s="9">
        <f>IFERROR(__xludf.DUMMYFUNCTION("""COMPUTED_VALUE"""),1003670.0)</f>
        <v>1003670</v>
      </c>
      <c r="C2718" s="9">
        <f>IFERROR(__xludf.DUMMYFUNCTION("""COMPUTED_VALUE"""),86994.0)</f>
        <v>86994</v>
      </c>
      <c r="D2718" s="10" t="str">
        <f>IFERROR(__xludf.DUMMYFUNCTION("""COMPUTED_VALUE"""),"Vive le bio")</f>
        <v>Vive le bio</v>
      </c>
      <c r="E2718" s="10"/>
      <c r="F2718" s="9">
        <f>IFERROR(__xludf.DUMMYFUNCTION("""COMPUTED_VALUE"""),5.7578947368421)</f>
        <v>5.757894737</v>
      </c>
      <c r="G2718" s="9">
        <f>IFERROR(__xludf.DUMMYFUNCTION("""COMPUTED_VALUE"""),5.47)</f>
        <v>5.47</v>
      </c>
      <c r="H2718" s="9">
        <f>IFERROR(__xludf.DUMMYFUNCTION("""COMPUTED_VALUE"""),2.0)</f>
        <v>2</v>
      </c>
      <c r="I2718" s="9"/>
      <c r="J2718" s="9"/>
      <c r="K2718" s="9"/>
      <c r="L2718" s="9"/>
      <c r="M2718" s="9"/>
      <c r="N2718" s="9"/>
      <c r="O2718" s="9"/>
      <c r="P2718" s="9"/>
      <c r="Q2718" s="9"/>
      <c r="R2718" s="9"/>
      <c r="S2718" s="9"/>
      <c r="T2718" s="9"/>
    </row>
    <row r="2719" ht="15.75" customHeight="1">
      <c r="A2719" s="11">
        <f>IFERROR(__xludf.DUMMYFUNCTION("""COMPUTED_VALUE"""),44471.0)</f>
        <v>44471</v>
      </c>
      <c r="B2719" s="9">
        <f>IFERROR(__xludf.DUMMYFUNCTION("""COMPUTED_VALUE"""),1003670.0)</f>
        <v>1003670</v>
      </c>
      <c r="C2719" s="9">
        <f>IFERROR(__xludf.DUMMYFUNCTION("""COMPUTED_VALUE"""),6216.0)</f>
        <v>6216</v>
      </c>
      <c r="D2719" s="9"/>
      <c r="E2719" s="9"/>
      <c r="F2719" s="9">
        <f>IFERROR(__xludf.DUMMYFUNCTION("""COMPUTED_VALUE"""),3.45)</f>
        <v>3.45</v>
      </c>
      <c r="G2719" s="9">
        <f>IFERROR(__xludf.DUMMYFUNCTION("""COMPUTED_VALUE"""),3.45)</f>
        <v>3.45</v>
      </c>
      <c r="H2719" s="9">
        <f>IFERROR(__xludf.DUMMYFUNCTION("""COMPUTED_VALUE"""),2.0)</f>
        <v>2</v>
      </c>
      <c r="I2719" s="9"/>
      <c r="J2719" s="9"/>
      <c r="K2719" s="9"/>
      <c r="L2719" s="9"/>
      <c r="M2719" s="9"/>
      <c r="N2719" s="9"/>
      <c r="O2719" s="9"/>
      <c r="P2719" s="9"/>
      <c r="Q2719" s="9"/>
      <c r="R2719" s="9"/>
      <c r="S2719" s="9"/>
      <c r="T2719" s="9"/>
    </row>
    <row r="2720" ht="15.75" customHeight="1">
      <c r="A2720" s="11">
        <f>IFERROR(__xludf.DUMMYFUNCTION("""COMPUTED_VALUE"""),44471.0)</f>
        <v>44471</v>
      </c>
      <c r="B2720" s="9">
        <f>IFERROR(__xludf.DUMMYFUNCTION("""COMPUTED_VALUE"""),1003670.0)</f>
        <v>1003670</v>
      </c>
      <c r="C2720" s="9">
        <f>IFERROR(__xludf.DUMMYFUNCTION("""COMPUTED_VALUE"""),6215.0)</f>
        <v>6215</v>
      </c>
      <c r="D2720" s="9"/>
      <c r="E2720" s="9"/>
      <c r="F2720" s="9">
        <f>IFERROR(__xludf.DUMMYFUNCTION("""COMPUTED_VALUE"""),6.7)</f>
        <v>6.7</v>
      </c>
      <c r="G2720" s="9">
        <f>IFERROR(__xludf.DUMMYFUNCTION("""COMPUTED_VALUE"""),6.7)</f>
        <v>6.7</v>
      </c>
      <c r="H2720" s="9">
        <f>IFERROR(__xludf.DUMMYFUNCTION("""COMPUTED_VALUE"""),2.0)</f>
        <v>2</v>
      </c>
      <c r="I2720" s="9"/>
      <c r="J2720" s="9"/>
      <c r="K2720" s="9"/>
      <c r="L2720" s="9"/>
      <c r="M2720" s="9"/>
      <c r="N2720" s="9"/>
      <c r="O2720" s="9"/>
      <c r="P2720" s="9"/>
      <c r="Q2720" s="9"/>
      <c r="R2720" s="9"/>
      <c r="S2720" s="9"/>
      <c r="T2720" s="9"/>
    </row>
    <row r="2721" ht="15.75" customHeight="1">
      <c r="A2721" s="11">
        <f>IFERROR(__xludf.DUMMYFUNCTION("""COMPUTED_VALUE"""),44471.0)</f>
        <v>44471</v>
      </c>
      <c r="B2721" s="9">
        <f>IFERROR(__xludf.DUMMYFUNCTION("""COMPUTED_VALUE"""),1003670.0)</f>
        <v>1003670</v>
      </c>
      <c r="C2721" s="9">
        <f>IFERROR(__xludf.DUMMYFUNCTION("""COMPUTED_VALUE"""),115754.0)</f>
        <v>115754</v>
      </c>
      <c r="D2721" s="10" t="str">
        <f>IFERROR(__xludf.DUMMYFUNCTION("""COMPUTED_VALUE"""),"Vive le bio")</f>
        <v>Vive le bio</v>
      </c>
      <c r="E2721" s="10"/>
      <c r="F2721" s="9">
        <f>IFERROR(__xludf.DUMMYFUNCTION("""COMPUTED_VALUE"""),3.47777777777777)</f>
        <v>3.477777778</v>
      </c>
      <c r="G2721" s="9">
        <f>IFERROR(__xludf.DUMMYFUNCTION("""COMPUTED_VALUE"""),3.13)</f>
        <v>3.13</v>
      </c>
      <c r="H2721" s="9">
        <f>IFERROR(__xludf.DUMMYFUNCTION("""COMPUTED_VALUE"""),3.0)</f>
        <v>3</v>
      </c>
      <c r="I2721" s="9"/>
      <c r="J2721" s="9"/>
      <c r="K2721" s="9"/>
      <c r="L2721" s="9"/>
      <c r="M2721" s="9"/>
      <c r="N2721" s="9"/>
      <c r="O2721" s="9"/>
      <c r="P2721" s="9"/>
      <c r="Q2721" s="9"/>
      <c r="R2721" s="9"/>
      <c r="S2721" s="9"/>
      <c r="T2721" s="9"/>
    </row>
    <row r="2722" ht="15.75" customHeight="1">
      <c r="A2722" s="11">
        <f>IFERROR(__xludf.DUMMYFUNCTION("""COMPUTED_VALUE"""),44471.0)</f>
        <v>44471</v>
      </c>
      <c r="B2722" s="9">
        <f>IFERROR(__xludf.DUMMYFUNCTION("""COMPUTED_VALUE"""),1003670.0)</f>
        <v>1003670</v>
      </c>
      <c r="C2722" s="9">
        <f>IFERROR(__xludf.DUMMYFUNCTION("""COMPUTED_VALUE"""),78492.0)</f>
        <v>78492</v>
      </c>
      <c r="D2722" s="9"/>
      <c r="E2722" s="9"/>
      <c r="F2722" s="9">
        <f>IFERROR(__xludf.DUMMYFUNCTION("""COMPUTED_VALUE"""),5.82)</f>
        <v>5.82</v>
      </c>
      <c r="G2722" s="9">
        <f>IFERROR(__xludf.DUMMYFUNCTION("""COMPUTED_VALUE"""),5.82)</f>
        <v>5.82</v>
      </c>
      <c r="H2722" s="9">
        <f>IFERROR(__xludf.DUMMYFUNCTION("""COMPUTED_VALUE"""),3.0)</f>
        <v>3</v>
      </c>
      <c r="I2722" s="9"/>
      <c r="J2722" s="9"/>
      <c r="K2722" s="9"/>
      <c r="L2722" s="9"/>
      <c r="M2722" s="9"/>
      <c r="N2722" s="9"/>
      <c r="O2722" s="9"/>
      <c r="P2722" s="9"/>
      <c r="Q2722" s="9"/>
      <c r="R2722" s="9"/>
      <c r="S2722" s="9"/>
      <c r="T2722" s="9"/>
    </row>
    <row r="2723" ht="15.75" customHeight="1">
      <c r="A2723" s="11">
        <f>IFERROR(__xludf.DUMMYFUNCTION("""COMPUTED_VALUE"""),44471.0)</f>
        <v>44471</v>
      </c>
      <c r="B2723" s="9">
        <f>IFERROR(__xludf.DUMMYFUNCTION("""COMPUTED_VALUE"""),1003670.0)</f>
        <v>1003670</v>
      </c>
      <c r="C2723" s="9">
        <f>IFERROR(__xludf.DUMMYFUNCTION("""COMPUTED_VALUE"""),115769.0)</f>
        <v>115769</v>
      </c>
      <c r="D2723" s="9"/>
      <c r="E2723" s="9"/>
      <c r="F2723" s="9">
        <f>IFERROR(__xludf.DUMMYFUNCTION("""COMPUTED_VALUE"""),5.36)</f>
        <v>5.36</v>
      </c>
      <c r="G2723" s="9">
        <f>IFERROR(__xludf.DUMMYFUNCTION("""COMPUTED_VALUE"""),5.36)</f>
        <v>5.36</v>
      </c>
      <c r="H2723" s="9">
        <f>IFERROR(__xludf.DUMMYFUNCTION("""COMPUTED_VALUE"""),3.0)</f>
        <v>3</v>
      </c>
      <c r="I2723" s="9"/>
      <c r="J2723" s="9"/>
      <c r="K2723" s="9"/>
      <c r="L2723" s="9"/>
      <c r="M2723" s="9"/>
      <c r="N2723" s="9"/>
      <c r="O2723" s="9"/>
      <c r="P2723" s="9"/>
      <c r="Q2723" s="9"/>
      <c r="R2723" s="9"/>
      <c r="S2723" s="9"/>
      <c r="T2723" s="9"/>
    </row>
    <row r="2724" ht="15.75" customHeight="1">
      <c r="A2724" s="11">
        <f>IFERROR(__xludf.DUMMYFUNCTION("""COMPUTED_VALUE"""),44471.0)</f>
        <v>44471</v>
      </c>
      <c r="B2724" s="9">
        <f>IFERROR(__xludf.DUMMYFUNCTION("""COMPUTED_VALUE"""),1003670.0)</f>
        <v>1003670</v>
      </c>
      <c r="C2724" s="9">
        <f>IFERROR(__xludf.DUMMYFUNCTION("""COMPUTED_VALUE"""),69064.0)</f>
        <v>69064</v>
      </c>
      <c r="D2724" s="9"/>
      <c r="E2724" s="9"/>
      <c r="F2724" s="9">
        <f>IFERROR(__xludf.DUMMYFUNCTION("""COMPUTED_VALUE"""),4.85)</f>
        <v>4.85</v>
      </c>
      <c r="G2724" s="9">
        <f>IFERROR(__xludf.DUMMYFUNCTION("""COMPUTED_VALUE"""),4.85)</f>
        <v>4.85</v>
      </c>
      <c r="H2724" s="9">
        <f>IFERROR(__xludf.DUMMYFUNCTION("""COMPUTED_VALUE"""),4.0)</f>
        <v>4</v>
      </c>
      <c r="I2724" s="9"/>
      <c r="J2724" s="9"/>
      <c r="K2724" s="9"/>
      <c r="L2724" s="9"/>
      <c r="M2724" s="9"/>
      <c r="N2724" s="9"/>
      <c r="O2724" s="9"/>
      <c r="P2724" s="9"/>
      <c r="Q2724" s="9"/>
      <c r="R2724" s="9"/>
      <c r="S2724" s="9"/>
      <c r="T2724" s="9"/>
    </row>
    <row r="2725" ht="15.75" customHeight="1">
      <c r="A2725" s="11">
        <f>IFERROR(__xludf.DUMMYFUNCTION("""COMPUTED_VALUE"""),44471.0)</f>
        <v>44471</v>
      </c>
      <c r="B2725" s="9">
        <f>IFERROR(__xludf.DUMMYFUNCTION("""COMPUTED_VALUE"""),1003672.0)</f>
        <v>1003672</v>
      </c>
      <c r="C2725" s="9">
        <f>IFERROR(__xludf.DUMMYFUNCTION("""COMPUTED_VALUE"""),108893.0)</f>
        <v>108893</v>
      </c>
      <c r="D2725" s="9"/>
      <c r="E2725" s="10" t="str">
        <f>IFERROR(__xludf.DUMMYFUNCTION("""COMPUTED_VALUE"""),"GREENRELAIS")</f>
        <v>GREENRELAIS</v>
      </c>
      <c r="F2725" s="10">
        <f>IFERROR(__xludf.DUMMYFUNCTION("""COMPUTED_VALUE"""),2.5)</f>
        <v>2.5</v>
      </c>
      <c r="G2725" s="9">
        <f>IFERROR(__xludf.DUMMYFUNCTION("""COMPUTED_VALUE"""),2.5)</f>
        <v>2.5</v>
      </c>
      <c r="H2725" s="9">
        <f>IFERROR(__xludf.DUMMYFUNCTION("""COMPUTED_VALUE"""),1.0)</f>
        <v>1</v>
      </c>
      <c r="I2725" s="9"/>
      <c r="J2725" s="9"/>
      <c r="K2725" s="9"/>
      <c r="L2725" s="9"/>
      <c r="M2725" s="9"/>
      <c r="N2725" s="9"/>
      <c r="O2725" s="9"/>
      <c r="P2725" s="9"/>
      <c r="Q2725" s="9"/>
      <c r="R2725" s="9"/>
      <c r="S2725" s="9"/>
      <c r="T2725" s="9"/>
    </row>
    <row r="2726" ht="15.75" customHeight="1">
      <c r="A2726" s="11">
        <f>IFERROR(__xludf.DUMMYFUNCTION("""COMPUTED_VALUE"""),44471.0)</f>
        <v>44471</v>
      </c>
      <c r="B2726" s="9">
        <f>IFERROR(__xludf.DUMMYFUNCTION("""COMPUTED_VALUE"""),1003672.0)</f>
        <v>1003672</v>
      </c>
      <c r="C2726" s="9">
        <f>IFERROR(__xludf.DUMMYFUNCTION("""COMPUTED_VALUE"""),3590.0)</f>
        <v>3590</v>
      </c>
      <c r="D2726" s="9"/>
      <c r="E2726" s="10" t="str">
        <f>IFERROR(__xludf.DUMMYFUNCTION("""COMPUTED_VALUE"""),"GREENRELAIS")</f>
        <v>GREENRELAIS</v>
      </c>
      <c r="F2726" s="10">
        <f>IFERROR(__xludf.DUMMYFUNCTION("""COMPUTED_VALUE"""),15.77)</f>
        <v>15.77</v>
      </c>
      <c r="G2726" s="9">
        <f>IFERROR(__xludf.DUMMYFUNCTION("""COMPUTED_VALUE"""),15.77)</f>
        <v>15.77</v>
      </c>
      <c r="H2726" s="9">
        <f>IFERROR(__xludf.DUMMYFUNCTION("""COMPUTED_VALUE"""),1.0)</f>
        <v>1</v>
      </c>
      <c r="I2726" s="9"/>
      <c r="J2726" s="9"/>
      <c r="K2726" s="9"/>
      <c r="L2726" s="9"/>
      <c r="M2726" s="9"/>
      <c r="N2726" s="9"/>
      <c r="O2726" s="9"/>
      <c r="P2726" s="9"/>
      <c r="Q2726" s="9"/>
      <c r="R2726" s="9"/>
      <c r="S2726" s="9"/>
      <c r="T2726" s="9"/>
    </row>
    <row r="2727" ht="15.75" customHeight="1">
      <c r="A2727" s="11">
        <f>IFERROR(__xludf.DUMMYFUNCTION("""COMPUTED_VALUE"""),44471.0)</f>
        <v>44471</v>
      </c>
      <c r="B2727" s="9">
        <f>IFERROR(__xludf.DUMMYFUNCTION("""COMPUTED_VALUE"""),1003672.0)</f>
        <v>1003672</v>
      </c>
      <c r="C2727" s="9">
        <f>IFERROR(__xludf.DUMMYFUNCTION("""COMPUTED_VALUE"""),108889.0)</f>
        <v>108889</v>
      </c>
      <c r="D2727" s="9"/>
      <c r="E2727" s="10" t="str">
        <f>IFERROR(__xludf.DUMMYFUNCTION("""COMPUTED_VALUE"""),"GREENRELAIS")</f>
        <v>GREENRELAIS</v>
      </c>
      <c r="F2727" s="10">
        <f>IFERROR(__xludf.DUMMYFUNCTION("""COMPUTED_VALUE"""),2.91)</f>
        <v>2.91</v>
      </c>
      <c r="G2727" s="9">
        <f>IFERROR(__xludf.DUMMYFUNCTION("""COMPUTED_VALUE"""),2.91)</f>
        <v>2.91</v>
      </c>
      <c r="H2727" s="9">
        <f>IFERROR(__xludf.DUMMYFUNCTION("""COMPUTED_VALUE"""),1.0)</f>
        <v>1</v>
      </c>
      <c r="I2727" s="9"/>
      <c r="J2727" s="9"/>
      <c r="K2727" s="9"/>
      <c r="L2727" s="9"/>
      <c r="M2727" s="9"/>
      <c r="N2727" s="9"/>
      <c r="O2727" s="9"/>
      <c r="P2727" s="9"/>
      <c r="Q2727" s="9"/>
      <c r="R2727" s="9"/>
      <c r="S2727" s="9"/>
      <c r="T2727" s="9"/>
    </row>
    <row r="2728" ht="15.75" customHeight="1">
      <c r="A2728" s="11">
        <f>IFERROR(__xludf.DUMMYFUNCTION("""COMPUTED_VALUE"""),44471.0)</f>
        <v>44471</v>
      </c>
      <c r="B2728" s="9">
        <f>IFERROR(__xludf.DUMMYFUNCTION("""COMPUTED_VALUE"""),1003672.0)</f>
        <v>1003672</v>
      </c>
      <c r="C2728" s="9">
        <f>IFERROR(__xludf.DUMMYFUNCTION("""COMPUTED_VALUE"""),30501.0)</f>
        <v>30501</v>
      </c>
      <c r="D2728" s="9"/>
      <c r="E2728" s="10" t="str">
        <f>IFERROR(__xludf.DUMMYFUNCTION("""COMPUTED_VALUE"""),"GREENRELAIS")</f>
        <v>GREENRELAIS</v>
      </c>
      <c r="F2728" s="10">
        <f>IFERROR(__xludf.DUMMYFUNCTION("""COMPUTED_VALUE"""),9.41)</f>
        <v>9.41</v>
      </c>
      <c r="G2728" s="9">
        <f>IFERROR(__xludf.DUMMYFUNCTION("""COMPUTED_VALUE"""),9.41)</f>
        <v>9.41</v>
      </c>
      <c r="H2728" s="9">
        <f>IFERROR(__xludf.DUMMYFUNCTION("""COMPUTED_VALUE"""),1.0)</f>
        <v>1</v>
      </c>
      <c r="I2728" s="9"/>
      <c r="J2728" s="9"/>
      <c r="K2728" s="9"/>
      <c r="L2728" s="9"/>
      <c r="M2728" s="9"/>
      <c r="N2728" s="9"/>
      <c r="O2728" s="9"/>
      <c r="P2728" s="9"/>
      <c r="Q2728" s="9"/>
      <c r="R2728" s="9"/>
      <c r="S2728" s="9"/>
      <c r="T2728" s="9"/>
    </row>
    <row r="2729" ht="15.75" customHeight="1">
      <c r="A2729" s="11">
        <f>IFERROR(__xludf.DUMMYFUNCTION("""COMPUTED_VALUE"""),44471.0)</f>
        <v>44471</v>
      </c>
      <c r="B2729" s="9">
        <f>IFERROR(__xludf.DUMMYFUNCTION("""COMPUTED_VALUE"""),1003672.0)</f>
        <v>1003672</v>
      </c>
      <c r="C2729" s="9">
        <f>IFERROR(__xludf.DUMMYFUNCTION("""COMPUTED_VALUE"""),72015.0)</f>
        <v>72015</v>
      </c>
      <c r="D2729" s="9"/>
      <c r="E2729" s="10" t="str">
        <f>IFERROR(__xludf.DUMMYFUNCTION("""COMPUTED_VALUE"""),"GREENRELAIS")</f>
        <v>GREENRELAIS</v>
      </c>
      <c r="F2729" s="10">
        <f>IFERROR(__xludf.DUMMYFUNCTION("""COMPUTED_VALUE"""),3.68)</f>
        <v>3.68</v>
      </c>
      <c r="G2729" s="9">
        <f>IFERROR(__xludf.DUMMYFUNCTION("""COMPUTED_VALUE"""),3.68)</f>
        <v>3.68</v>
      </c>
      <c r="H2729" s="9">
        <f>IFERROR(__xludf.DUMMYFUNCTION("""COMPUTED_VALUE"""),1.0)</f>
        <v>1</v>
      </c>
      <c r="I2729" s="9"/>
      <c r="J2729" s="9"/>
      <c r="K2729" s="9"/>
      <c r="L2729" s="9"/>
      <c r="M2729" s="9"/>
      <c r="N2729" s="9"/>
      <c r="O2729" s="9"/>
      <c r="P2729" s="9"/>
      <c r="Q2729" s="9"/>
      <c r="R2729" s="9"/>
      <c r="S2729" s="9"/>
      <c r="T2729" s="9"/>
    </row>
    <row r="2730" ht="15.75" customHeight="1">
      <c r="A2730" s="11">
        <f>IFERROR(__xludf.DUMMYFUNCTION("""COMPUTED_VALUE"""),44471.0)</f>
        <v>44471</v>
      </c>
      <c r="B2730" s="9">
        <f>IFERROR(__xludf.DUMMYFUNCTION("""COMPUTED_VALUE"""),1003672.0)</f>
        <v>1003672</v>
      </c>
      <c r="C2730" s="9">
        <f>IFERROR(__xludf.DUMMYFUNCTION("""COMPUTED_VALUE"""),188351.0)</f>
        <v>188351</v>
      </c>
      <c r="D2730" s="9"/>
      <c r="E2730" s="10" t="str">
        <f>IFERROR(__xludf.DUMMYFUNCTION("""COMPUTED_VALUE"""),"GREENRELAIS")</f>
        <v>GREENRELAIS</v>
      </c>
      <c r="F2730" s="10">
        <f>IFERROR(__xludf.DUMMYFUNCTION("""COMPUTED_VALUE"""),6.87)</f>
        <v>6.87</v>
      </c>
      <c r="G2730" s="9">
        <f>IFERROR(__xludf.DUMMYFUNCTION("""COMPUTED_VALUE"""),6.87)</f>
        <v>6.87</v>
      </c>
      <c r="H2730" s="9">
        <f>IFERROR(__xludf.DUMMYFUNCTION("""COMPUTED_VALUE"""),1.0)</f>
        <v>1</v>
      </c>
      <c r="I2730" s="9"/>
      <c r="J2730" s="9"/>
      <c r="K2730" s="9"/>
      <c r="L2730" s="9"/>
      <c r="M2730" s="9"/>
      <c r="N2730" s="9"/>
      <c r="O2730" s="9"/>
      <c r="P2730" s="9"/>
      <c r="Q2730" s="9"/>
      <c r="R2730" s="9"/>
      <c r="S2730" s="9"/>
      <c r="T2730" s="9"/>
    </row>
    <row r="2731" ht="15.75" customHeight="1">
      <c r="A2731" s="11">
        <f>IFERROR(__xludf.DUMMYFUNCTION("""COMPUTED_VALUE"""),44471.0)</f>
        <v>44471</v>
      </c>
      <c r="B2731" s="9">
        <f>IFERROR(__xludf.DUMMYFUNCTION("""COMPUTED_VALUE"""),1003672.0)</f>
        <v>1003672</v>
      </c>
      <c r="C2731" s="9">
        <f>IFERROR(__xludf.DUMMYFUNCTION("""COMPUTED_VALUE"""),12648.0)</f>
        <v>12648</v>
      </c>
      <c r="D2731" s="9"/>
      <c r="E2731" s="10" t="str">
        <f>IFERROR(__xludf.DUMMYFUNCTION("""COMPUTED_VALUE"""),"GREENRELAIS")</f>
        <v>GREENRELAIS</v>
      </c>
      <c r="F2731" s="10">
        <f>IFERROR(__xludf.DUMMYFUNCTION("""COMPUTED_VALUE"""),9.69)</f>
        <v>9.69</v>
      </c>
      <c r="G2731" s="9">
        <f>IFERROR(__xludf.DUMMYFUNCTION("""COMPUTED_VALUE"""),9.69)</f>
        <v>9.69</v>
      </c>
      <c r="H2731" s="9">
        <f>IFERROR(__xludf.DUMMYFUNCTION("""COMPUTED_VALUE"""),1.0)</f>
        <v>1</v>
      </c>
      <c r="I2731" s="9"/>
      <c r="J2731" s="9"/>
      <c r="K2731" s="9"/>
      <c r="L2731" s="9"/>
      <c r="M2731" s="9"/>
      <c r="N2731" s="9"/>
      <c r="O2731" s="9"/>
      <c r="P2731" s="9"/>
      <c r="Q2731" s="9"/>
      <c r="R2731" s="9"/>
      <c r="S2731" s="9"/>
      <c r="T2731" s="9"/>
    </row>
    <row r="2732" ht="15.75" customHeight="1">
      <c r="A2732" s="11">
        <f>IFERROR(__xludf.DUMMYFUNCTION("""COMPUTED_VALUE"""),44471.0)</f>
        <v>44471</v>
      </c>
      <c r="B2732" s="9">
        <f>IFERROR(__xludf.DUMMYFUNCTION("""COMPUTED_VALUE"""),1003672.0)</f>
        <v>1003672</v>
      </c>
      <c r="C2732" s="9">
        <f>IFERROR(__xludf.DUMMYFUNCTION("""COMPUTED_VALUE"""),10070.0)</f>
        <v>10070</v>
      </c>
      <c r="D2732" s="9"/>
      <c r="E2732" s="10" t="str">
        <f>IFERROR(__xludf.DUMMYFUNCTION("""COMPUTED_VALUE"""),"GREENRELAIS")</f>
        <v>GREENRELAIS</v>
      </c>
      <c r="F2732" s="10">
        <f>IFERROR(__xludf.DUMMYFUNCTION("""COMPUTED_VALUE"""),2.99)</f>
        <v>2.99</v>
      </c>
      <c r="G2732" s="9">
        <f>IFERROR(__xludf.DUMMYFUNCTION("""COMPUTED_VALUE"""),2.99)</f>
        <v>2.99</v>
      </c>
      <c r="H2732" s="9">
        <f>IFERROR(__xludf.DUMMYFUNCTION("""COMPUTED_VALUE"""),1.0)</f>
        <v>1</v>
      </c>
      <c r="I2732" s="9"/>
      <c r="J2732" s="9"/>
      <c r="K2732" s="9"/>
      <c r="L2732" s="9"/>
      <c r="M2732" s="9"/>
      <c r="N2732" s="9"/>
      <c r="O2732" s="9"/>
      <c r="P2732" s="9"/>
      <c r="Q2732" s="9"/>
      <c r="R2732" s="9"/>
      <c r="S2732" s="9"/>
      <c r="T2732" s="9"/>
    </row>
    <row r="2733" ht="15.75" customHeight="1">
      <c r="A2733" s="11">
        <f>IFERROR(__xludf.DUMMYFUNCTION("""COMPUTED_VALUE"""),44471.0)</f>
        <v>44471</v>
      </c>
      <c r="B2733" s="9">
        <f>IFERROR(__xludf.DUMMYFUNCTION("""COMPUTED_VALUE"""),1003672.0)</f>
        <v>1003672</v>
      </c>
      <c r="C2733" s="9">
        <f>IFERROR(__xludf.DUMMYFUNCTION("""COMPUTED_VALUE"""),108892.0)</f>
        <v>108892</v>
      </c>
      <c r="D2733" s="9"/>
      <c r="E2733" s="10" t="str">
        <f>IFERROR(__xludf.DUMMYFUNCTION("""COMPUTED_VALUE"""),"GREENRELAIS")</f>
        <v>GREENRELAIS</v>
      </c>
      <c r="F2733" s="10">
        <f>IFERROR(__xludf.DUMMYFUNCTION("""COMPUTED_VALUE"""),7.43)</f>
        <v>7.43</v>
      </c>
      <c r="G2733" s="9">
        <f>IFERROR(__xludf.DUMMYFUNCTION("""COMPUTED_VALUE"""),7.43)</f>
        <v>7.43</v>
      </c>
      <c r="H2733" s="9">
        <f>IFERROR(__xludf.DUMMYFUNCTION("""COMPUTED_VALUE"""),3.0)</f>
        <v>3</v>
      </c>
      <c r="I2733" s="9"/>
      <c r="J2733" s="9"/>
      <c r="K2733" s="9"/>
      <c r="L2733" s="9"/>
      <c r="M2733" s="9"/>
      <c r="N2733" s="9"/>
      <c r="O2733" s="9"/>
      <c r="P2733" s="9"/>
      <c r="Q2733" s="9"/>
      <c r="R2733" s="9"/>
      <c r="S2733" s="9"/>
      <c r="T2733" s="9"/>
    </row>
    <row r="2734" ht="15.75" customHeight="1">
      <c r="A2734" s="11">
        <f>IFERROR(__xludf.DUMMYFUNCTION("""COMPUTED_VALUE"""),44471.0)</f>
        <v>44471</v>
      </c>
      <c r="B2734" s="9">
        <f>IFERROR(__xludf.DUMMYFUNCTION("""COMPUTED_VALUE"""),1003672.0)</f>
        <v>1003672</v>
      </c>
      <c r="C2734" s="9">
        <f>IFERROR(__xludf.DUMMYFUNCTION("""COMPUTED_VALUE"""),108897.0)</f>
        <v>108897</v>
      </c>
      <c r="D2734" s="9"/>
      <c r="E2734" s="10" t="str">
        <f>IFERROR(__xludf.DUMMYFUNCTION("""COMPUTED_VALUE"""),"GREENRELAIS")</f>
        <v>GREENRELAIS</v>
      </c>
      <c r="F2734" s="10">
        <f>IFERROR(__xludf.DUMMYFUNCTION("""COMPUTED_VALUE"""),5.73)</f>
        <v>5.73</v>
      </c>
      <c r="G2734" s="9">
        <f>IFERROR(__xludf.DUMMYFUNCTION("""COMPUTED_VALUE"""),5.73)</f>
        <v>5.73</v>
      </c>
      <c r="H2734" s="9">
        <f>IFERROR(__xludf.DUMMYFUNCTION("""COMPUTED_VALUE"""),3.0)</f>
        <v>3</v>
      </c>
      <c r="I2734" s="9"/>
      <c r="J2734" s="9"/>
      <c r="K2734" s="9"/>
      <c r="L2734" s="9"/>
      <c r="M2734" s="9"/>
      <c r="N2734" s="9"/>
      <c r="O2734" s="9"/>
      <c r="P2734" s="9"/>
      <c r="Q2734" s="9"/>
      <c r="R2734" s="9"/>
      <c r="S2734" s="9"/>
      <c r="T2734" s="9"/>
    </row>
    <row r="2735" ht="15.75" customHeight="1">
      <c r="A2735" s="11">
        <f>IFERROR(__xludf.DUMMYFUNCTION("""COMPUTED_VALUE"""),44471.0)</f>
        <v>44471</v>
      </c>
      <c r="B2735" s="9">
        <f>IFERROR(__xludf.DUMMYFUNCTION("""COMPUTED_VALUE"""),1003673.0)</f>
        <v>1003673</v>
      </c>
      <c r="C2735" s="9">
        <f>IFERROR(__xludf.DUMMYFUNCTION("""COMPUTED_VALUE"""),121068.0)</f>
        <v>121068</v>
      </c>
      <c r="D2735" s="10" t="str">
        <f>IFERROR(__xludf.DUMMYFUNCTION("""COMPUTED_VALUE"""),"Zero Dechet")</f>
        <v>Zero Dechet</v>
      </c>
      <c r="E2735" s="10"/>
      <c r="F2735" s="9">
        <f>IFERROR(__xludf.DUMMYFUNCTION("""COMPUTED_VALUE"""),12.6705882352941)</f>
        <v>12.67058824</v>
      </c>
      <c r="G2735" s="9">
        <f>IFERROR(__xludf.DUMMYFUNCTION("""COMPUTED_VALUE"""),10.77)</f>
        <v>10.77</v>
      </c>
      <c r="H2735" s="9">
        <f>IFERROR(__xludf.DUMMYFUNCTION("""COMPUTED_VALUE"""),1.0)</f>
        <v>1</v>
      </c>
      <c r="I2735" s="9"/>
      <c r="J2735" s="9"/>
      <c r="K2735" s="9"/>
      <c r="L2735" s="9"/>
      <c r="M2735" s="9"/>
      <c r="N2735" s="9"/>
      <c r="O2735" s="9"/>
      <c r="P2735" s="9"/>
      <c r="Q2735" s="9"/>
      <c r="R2735" s="9"/>
      <c r="S2735" s="9"/>
      <c r="T2735" s="9"/>
    </row>
    <row r="2736" ht="15.75" customHeight="1">
      <c r="A2736" s="11">
        <f>IFERROR(__xludf.DUMMYFUNCTION("""COMPUTED_VALUE"""),44471.0)</f>
        <v>44471</v>
      </c>
      <c r="B2736" s="9">
        <f>IFERROR(__xludf.DUMMYFUNCTION("""COMPUTED_VALUE"""),1003674.0)</f>
        <v>1003674</v>
      </c>
      <c r="C2736" s="9">
        <f>IFERROR(__xludf.DUMMYFUNCTION("""COMPUTED_VALUE"""),104384.0)</f>
        <v>104384</v>
      </c>
      <c r="D2736" s="10" t="str">
        <f>IFERROR(__xludf.DUMMYFUNCTION("""COMPUTED_VALUE"""),"Offre Speciale")</f>
        <v>Offre Speciale</v>
      </c>
      <c r="E2736" s="10"/>
      <c r="F2736" s="9">
        <f>IFERROR(__xludf.DUMMYFUNCTION("""COMPUTED_VALUE"""),20.6829268292682)</f>
        <v>20.68292683</v>
      </c>
      <c r="G2736" s="9">
        <f>IFERROR(__xludf.DUMMYFUNCTION("""COMPUTED_VALUE"""),16.96)</f>
        <v>16.96</v>
      </c>
      <c r="H2736" s="9">
        <f>IFERROR(__xludf.DUMMYFUNCTION("""COMPUTED_VALUE"""),2.0)</f>
        <v>2</v>
      </c>
      <c r="I2736" s="9"/>
      <c r="J2736" s="9"/>
      <c r="K2736" s="9"/>
      <c r="L2736" s="9"/>
      <c r="M2736" s="9"/>
      <c r="N2736" s="9"/>
      <c r="O2736" s="9"/>
      <c r="P2736" s="9"/>
      <c r="Q2736" s="9"/>
      <c r="R2736" s="9"/>
      <c r="S2736" s="9"/>
      <c r="T2736" s="9"/>
    </row>
    <row r="2737" ht="15.75" customHeight="1">
      <c r="A2737" s="11">
        <f>IFERROR(__xludf.DUMMYFUNCTION("""COMPUTED_VALUE"""),44471.0)</f>
        <v>44471</v>
      </c>
      <c r="B2737" s="9">
        <f>IFERROR(__xludf.DUMMYFUNCTION("""COMPUTED_VALUE"""),1003676.0)</f>
        <v>1003676</v>
      </c>
      <c r="C2737" s="9">
        <f>IFERROR(__xludf.DUMMYFUNCTION("""COMPUTED_VALUE"""),109741.0)</f>
        <v>109741</v>
      </c>
      <c r="D2737" s="9"/>
      <c r="E2737" s="9"/>
      <c r="F2737" s="9">
        <f>IFERROR(__xludf.DUMMYFUNCTION("""COMPUTED_VALUE"""),9.66)</f>
        <v>9.66</v>
      </c>
      <c r="G2737" s="9">
        <f>IFERROR(__xludf.DUMMYFUNCTION("""COMPUTED_VALUE"""),9.66)</f>
        <v>9.66</v>
      </c>
      <c r="H2737" s="9">
        <f>IFERROR(__xludf.DUMMYFUNCTION("""COMPUTED_VALUE"""),1.0)</f>
        <v>1</v>
      </c>
      <c r="I2737" s="9"/>
      <c r="J2737" s="9"/>
      <c r="K2737" s="9"/>
      <c r="L2737" s="9"/>
      <c r="M2737" s="9"/>
      <c r="N2737" s="9"/>
      <c r="O2737" s="9"/>
      <c r="P2737" s="9"/>
      <c r="Q2737" s="9"/>
      <c r="R2737" s="9"/>
      <c r="S2737" s="9"/>
      <c r="T2737" s="9"/>
    </row>
    <row r="2738" ht="15.75" customHeight="1">
      <c r="A2738" s="11">
        <f>IFERROR(__xludf.DUMMYFUNCTION("""COMPUTED_VALUE"""),44471.0)</f>
        <v>44471</v>
      </c>
      <c r="B2738" s="9">
        <f>IFERROR(__xludf.DUMMYFUNCTION("""COMPUTED_VALUE"""),1003676.0)</f>
        <v>1003676</v>
      </c>
      <c r="C2738" s="9">
        <f>IFERROR(__xludf.DUMMYFUNCTION("""COMPUTED_VALUE"""),121068.0)</f>
        <v>121068</v>
      </c>
      <c r="D2738" s="10" t="str">
        <f>IFERROR(__xludf.DUMMYFUNCTION("""COMPUTED_VALUE"""),"Zero Dechet")</f>
        <v>Zero Dechet</v>
      </c>
      <c r="E2738" s="10"/>
      <c r="F2738" s="9">
        <f>IFERROR(__xludf.DUMMYFUNCTION("""COMPUTED_VALUE"""),12.6705882352941)</f>
        <v>12.67058824</v>
      </c>
      <c r="G2738" s="9">
        <f>IFERROR(__xludf.DUMMYFUNCTION("""COMPUTED_VALUE"""),10.77)</f>
        <v>10.77</v>
      </c>
      <c r="H2738" s="9">
        <f>IFERROR(__xludf.DUMMYFUNCTION("""COMPUTED_VALUE"""),1.0)</f>
        <v>1</v>
      </c>
      <c r="I2738" s="9"/>
      <c r="J2738" s="9"/>
      <c r="K2738" s="9"/>
      <c r="L2738" s="9"/>
      <c r="M2738" s="9"/>
      <c r="N2738" s="9"/>
      <c r="O2738" s="9"/>
      <c r="P2738" s="9"/>
      <c r="Q2738" s="9"/>
      <c r="R2738" s="9"/>
      <c r="S2738" s="9"/>
      <c r="T2738" s="9"/>
    </row>
    <row r="2739" ht="15.75" customHeight="1">
      <c r="A2739" s="11">
        <f>IFERROR(__xludf.DUMMYFUNCTION("""COMPUTED_VALUE"""),44471.0)</f>
        <v>44471</v>
      </c>
      <c r="B2739" s="9">
        <f>IFERROR(__xludf.DUMMYFUNCTION("""COMPUTED_VALUE"""),1003676.0)</f>
        <v>1003676</v>
      </c>
      <c r="C2739" s="9">
        <f>IFERROR(__xludf.DUMMYFUNCTION("""COMPUTED_VALUE"""),116770.0)</f>
        <v>116770</v>
      </c>
      <c r="D2739" s="9"/>
      <c r="E2739" s="9"/>
      <c r="F2739" s="9">
        <f>IFERROR(__xludf.DUMMYFUNCTION("""COMPUTED_VALUE"""),3.92)</f>
        <v>3.92</v>
      </c>
      <c r="G2739" s="9">
        <f>IFERROR(__xludf.DUMMYFUNCTION("""COMPUTED_VALUE"""),3.92)</f>
        <v>3.92</v>
      </c>
      <c r="H2739" s="9">
        <f>IFERROR(__xludf.DUMMYFUNCTION("""COMPUTED_VALUE"""),1.0)</f>
        <v>1</v>
      </c>
      <c r="I2739" s="9"/>
      <c r="J2739" s="9"/>
      <c r="K2739" s="9"/>
      <c r="L2739" s="9"/>
      <c r="M2739" s="9"/>
      <c r="N2739" s="9"/>
      <c r="O2739" s="9"/>
      <c r="P2739" s="9"/>
      <c r="Q2739" s="9"/>
      <c r="R2739" s="9"/>
      <c r="S2739" s="9"/>
      <c r="T2739" s="9"/>
    </row>
    <row r="2740" ht="15.75" customHeight="1">
      <c r="A2740" s="11">
        <f>IFERROR(__xludf.DUMMYFUNCTION("""COMPUTED_VALUE"""),44471.0)</f>
        <v>44471</v>
      </c>
      <c r="B2740" s="9">
        <f>IFERROR(__xludf.DUMMYFUNCTION("""COMPUTED_VALUE"""),1003676.0)</f>
        <v>1003676</v>
      </c>
      <c r="C2740" s="9">
        <f>IFERROR(__xludf.DUMMYFUNCTION("""COMPUTED_VALUE"""),80818.0)</f>
        <v>80818</v>
      </c>
      <c r="D2740" s="9"/>
      <c r="E2740" s="9"/>
      <c r="F2740" s="9">
        <f>IFERROR(__xludf.DUMMYFUNCTION("""COMPUTED_VALUE"""),1.66)</f>
        <v>1.66</v>
      </c>
      <c r="G2740" s="9">
        <f>IFERROR(__xludf.DUMMYFUNCTION("""COMPUTED_VALUE"""),1.66)</f>
        <v>1.66</v>
      </c>
      <c r="H2740" s="9">
        <f>IFERROR(__xludf.DUMMYFUNCTION("""COMPUTED_VALUE"""),1.0)</f>
        <v>1</v>
      </c>
      <c r="I2740" s="9"/>
      <c r="J2740" s="9"/>
      <c r="K2740" s="9"/>
      <c r="L2740" s="9"/>
      <c r="M2740" s="9"/>
      <c r="N2740" s="9"/>
      <c r="O2740" s="9"/>
      <c r="P2740" s="9"/>
      <c r="Q2740" s="9"/>
      <c r="R2740" s="9"/>
      <c r="S2740" s="9"/>
      <c r="T2740" s="9"/>
    </row>
    <row r="2741" ht="15.75" customHeight="1">
      <c r="A2741" s="11">
        <f>IFERROR(__xludf.DUMMYFUNCTION("""COMPUTED_VALUE"""),44471.0)</f>
        <v>44471</v>
      </c>
      <c r="B2741" s="9">
        <f>IFERROR(__xludf.DUMMYFUNCTION("""COMPUTED_VALUE"""),1003676.0)</f>
        <v>1003676</v>
      </c>
      <c r="C2741" s="9">
        <f>IFERROR(__xludf.DUMMYFUNCTION("""COMPUTED_VALUE"""),95210.0)</f>
        <v>95210</v>
      </c>
      <c r="D2741" s="9"/>
      <c r="E2741" s="9"/>
      <c r="F2741" s="9">
        <f>IFERROR(__xludf.DUMMYFUNCTION("""COMPUTED_VALUE"""),3.74)</f>
        <v>3.74</v>
      </c>
      <c r="G2741" s="9">
        <f>IFERROR(__xludf.DUMMYFUNCTION("""COMPUTED_VALUE"""),3.74)</f>
        <v>3.74</v>
      </c>
      <c r="H2741" s="9">
        <f>IFERROR(__xludf.DUMMYFUNCTION("""COMPUTED_VALUE"""),1.0)</f>
        <v>1</v>
      </c>
      <c r="I2741" s="9"/>
      <c r="J2741" s="9"/>
      <c r="K2741" s="9"/>
      <c r="L2741" s="9"/>
      <c r="M2741" s="9"/>
      <c r="N2741" s="9"/>
      <c r="O2741" s="9"/>
      <c r="P2741" s="9"/>
      <c r="Q2741" s="9"/>
      <c r="R2741" s="9"/>
      <c r="S2741" s="9"/>
      <c r="T2741" s="9"/>
    </row>
    <row r="2742" ht="15.75" customHeight="1">
      <c r="A2742" s="11">
        <f>IFERROR(__xludf.DUMMYFUNCTION("""COMPUTED_VALUE"""),44471.0)</f>
        <v>44471</v>
      </c>
      <c r="B2742" s="9">
        <f>IFERROR(__xludf.DUMMYFUNCTION("""COMPUTED_VALUE"""),1003677.0)</f>
        <v>1003677</v>
      </c>
      <c r="C2742" s="9">
        <f>IFERROR(__xludf.DUMMYFUNCTION("""COMPUTED_VALUE"""),126973.0)</f>
        <v>126973</v>
      </c>
      <c r="D2742" s="9"/>
      <c r="E2742" s="10" t="str">
        <f>IFERROR(__xludf.DUMMYFUNCTION("""COMPUTED_VALUE"""),"GREENRELAIS")</f>
        <v>GREENRELAIS</v>
      </c>
      <c r="F2742" s="10">
        <f>IFERROR(__xludf.DUMMYFUNCTION("""COMPUTED_VALUE"""),81.29)</f>
        <v>81.29</v>
      </c>
      <c r="G2742" s="9">
        <f>IFERROR(__xludf.DUMMYFUNCTION("""COMPUTED_VALUE"""),81.29)</f>
        <v>81.29</v>
      </c>
      <c r="H2742" s="9">
        <f>IFERROR(__xludf.DUMMYFUNCTION("""COMPUTED_VALUE"""),1.0)</f>
        <v>1</v>
      </c>
      <c r="I2742" s="9"/>
      <c r="J2742" s="9"/>
      <c r="K2742" s="9"/>
      <c r="L2742" s="9"/>
      <c r="M2742" s="9"/>
      <c r="N2742" s="9"/>
      <c r="O2742" s="9"/>
      <c r="P2742" s="9"/>
      <c r="Q2742" s="9"/>
      <c r="R2742" s="9"/>
      <c r="S2742" s="9"/>
      <c r="T2742" s="9"/>
    </row>
    <row r="2743" ht="15.75" customHeight="1">
      <c r="A2743" s="11">
        <f>IFERROR(__xludf.DUMMYFUNCTION("""COMPUTED_VALUE"""),44471.0)</f>
        <v>44471</v>
      </c>
      <c r="B2743" s="9">
        <f>IFERROR(__xludf.DUMMYFUNCTION("""COMPUTED_VALUE"""),1003678.0)</f>
        <v>1003678</v>
      </c>
      <c r="C2743" s="9">
        <f>IFERROR(__xludf.DUMMYFUNCTION("""COMPUTED_VALUE"""),41117.0)</f>
        <v>41117</v>
      </c>
      <c r="D2743" s="10" t="str">
        <f>IFERROR(__xludf.DUMMYFUNCTION("""COMPUTED_VALUE"""),"Offre Speciale")</f>
        <v>Offre Speciale</v>
      </c>
      <c r="E2743" s="10"/>
      <c r="F2743" s="9">
        <f>IFERROR(__xludf.DUMMYFUNCTION("""COMPUTED_VALUE"""),15.8374999999999)</f>
        <v>15.8375</v>
      </c>
      <c r="G2743" s="9">
        <f>IFERROR(__xludf.DUMMYFUNCTION("""COMPUTED_VALUE"""),12.67)</f>
        <v>12.67</v>
      </c>
      <c r="H2743" s="9">
        <f>IFERROR(__xludf.DUMMYFUNCTION("""COMPUTED_VALUE"""),2.0)</f>
        <v>2</v>
      </c>
      <c r="I2743" s="9"/>
      <c r="J2743" s="9"/>
      <c r="K2743" s="9"/>
      <c r="L2743" s="9"/>
      <c r="M2743" s="9"/>
      <c r="N2743" s="9"/>
      <c r="O2743" s="9"/>
      <c r="P2743" s="9"/>
      <c r="Q2743" s="9"/>
      <c r="R2743" s="9"/>
      <c r="S2743" s="9"/>
      <c r="T2743" s="9"/>
    </row>
    <row r="2744" ht="15.75" customHeight="1">
      <c r="A2744" s="11">
        <f>IFERROR(__xludf.DUMMYFUNCTION("""COMPUTED_VALUE"""),44471.0)</f>
        <v>44471</v>
      </c>
      <c r="B2744" s="9">
        <f>IFERROR(__xludf.DUMMYFUNCTION("""COMPUTED_VALUE"""),1003679.0)</f>
        <v>1003679</v>
      </c>
      <c r="C2744" s="9">
        <f>IFERROR(__xludf.DUMMYFUNCTION("""COMPUTED_VALUE"""),79107.0)</f>
        <v>79107</v>
      </c>
      <c r="D2744" s="9"/>
      <c r="E2744" s="9"/>
      <c r="F2744" s="9">
        <f>IFERROR(__xludf.DUMMYFUNCTION("""COMPUTED_VALUE"""),9.85)</f>
        <v>9.85</v>
      </c>
      <c r="G2744" s="9">
        <f>IFERROR(__xludf.DUMMYFUNCTION("""COMPUTED_VALUE"""),9.85)</f>
        <v>9.85</v>
      </c>
      <c r="H2744" s="9">
        <f>IFERROR(__xludf.DUMMYFUNCTION("""COMPUTED_VALUE"""),3.0)</f>
        <v>3</v>
      </c>
      <c r="I2744" s="9"/>
      <c r="J2744" s="9"/>
      <c r="K2744" s="9"/>
      <c r="L2744" s="9"/>
      <c r="M2744" s="9"/>
      <c r="N2744" s="9"/>
      <c r="O2744" s="9"/>
      <c r="P2744" s="9"/>
      <c r="Q2744" s="9"/>
      <c r="R2744" s="9"/>
      <c r="S2744" s="9"/>
      <c r="T2744" s="9"/>
    </row>
    <row r="2745" ht="15.75" customHeight="1">
      <c r="A2745" s="11">
        <f>IFERROR(__xludf.DUMMYFUNCTION("""COMPUTED_VALUE"""),44471.0)</f>
        <v>44471</v>
      </c>
      <c r="B2745" s="9">
        <f>IFERROR(__xludf.DUMMYFUNCTION("""COMPUTED_VALUE"""),1003680.0)</f>
        <v>1003680</v>
      </c>
      <c r="C2745" s="9">
        <f>IFERROR(__xludf.DUMMYFUNCTION("""COMPUTED_VALUE"""),114471.0)</f>
        <v>114471</v>
      </c>
      <c r="D2745" s="10" t="str">
        <f>IFERROR(__xludf.DUMMYFUNCTION("""COMPUTED_VALUE"""),"Vive le bio")</f>
        <v>Vive le bio</v>
      </c>
      <c r="E2745" s="10" t="str">
        <f>IFERROR(__xludf.DUMMYFUNCTION("""COMPUTED_VALUE"""),"GREENRELAIS")</f>
        <v>GREENRELAIS</v>
      </c>
      <c r="F2745" s="10">
        <f>IFERROR(__xludf.DUMMYFUNCTION("""COMPUTED_VALUE"""),7.34444444444444)</f>
        <v>7.344444444</v>
      </c>
      <c r="G2745" s="9">
        <f>IFERROR(__xludf.DUMMYFUNCTION("""COMPUTED_VALUE"""),6.61)</f>
        <v>6.61</v>
      </c>
      <c r="H2745" s="9">
        <f>IFERROR(__xludf.DUMMYFUNCTION("""COMPUTED_VALUE"""),1.0)</f>
        <v>1</v>
      </c>
      <c r="I2745" s="9"/>
      <c r="J2745" s="9"/>
      <c r="K2745" s="9"/>
      <c r="L2745" s="9"/>
      <c r="M2745" s="9"/>
      <c r="N2745" s="9"/>
      <c r="O2745" s="9"/>
      <c r="P2745" s="9"/>
      <c r="Q2745" s="9"/>
      <c r="R2745" s="9"/>
      <c r="S2745" s="9"/>
      <c r="T2745" s="9"/>
    </row>
    <row r="2746" ht="15.75" customHeight="1">
      <c r="A2746" s="11">
        <f>IFERROR(__xludf.DUMMYFUNCTION("""COMPUTED_VALUE"""),44471.0)</f>
        <v>44471</v>
      </c>
      <c r="B2746" s="9">
        <f>IFERROR(__xludf.DUMMYFUNCTION("""COMPUTED_VALUE"""),1003680.0)</f>
        <v>1003680</v>
      </c>
      <c r="C2746" s="9">
        <f>IFERROR(__xludf.DUMMYFUNCTION("""COMPUTED_VALUE"""),112847.0)</f>
        <v>112847</v>
      </c>
      <c r="D2746" s="9"/>
      <c r="E2746" s="10" t="str">
        <f>IFERROR(__xludf.DUMMYFUNCTION("""COMPUTED_VALUE"""),"GREENRELAIS")</f>
        <v>GREENRELAIS</v>
      </c>
      <c r="F2746" s="10">
        <f>IFERROR(__xludf.DUMMYFUNCTION("""COMPUTED_VALUE"""),2.89)</f>
        <v>2.89</v>
      </c>
      <c r="G2746" s="9">
        <f>IFERROR(__xludf.DUMMYFUNCTION("""COMPUTED_VALUE"""),2.89)</f>
        <v>2.89</v>
      </c>
      <c r="H2746" s="9">
        <f>IFERROR(__xludf.DUMMYFUNCTION("""COMPUTED_VALUE"""),1.0)</f>
        <v>1</v>
      </c>
      <c r="I2746" s="9"/>
      <c r="J2746" s="9"/>
      <c r="K2746" s="9"/>
      <c r="L2746" s="9"/>
      <c r="M2746" s="9"/>
      <c r="N2746" s="9"/>
      <c r="O2746" s="9"/>
      <c r="P2746" s="9"/>
      <c r="Q2746" s="9"/>
      <c r="R2746" s="9"/>
      <c r="S2746" s="9"/>
      <c r="T2746" s="9"/>
    </row>
    <row r="2747" ht="15.75" customHeight="1">
      <c r="A2747" s="11">
        <f>IFERROR(__xludf.DUMMYFUNCTION("""COMPUTED_VALUE"""),44471.0)</f>
        <v>44471</v>
      </c>
      <c r="B2747" s="9">
        <f>IFERROR(__xludf.DUMMYFUNCTION("""COMPUTED_VALUE"""),1003680.0)</f>
        <v>1003680</v>
      </c>
      <c r="C2747" s="9">
        <f>IFERROR(__xludf.DUMMYFUNCTION("""COMPUTED_VALUE"""),20055.0)</f>
        <v>20055</v>
      </c>
      <c r="D2747" s="9"/>
      <c r="E2747" s="10" t="str">
        <f>IFERROR(__xludf.DUMMYFUNCTION("""COMPUTED_VALUE"""),"GREENRELAIS")</f>
        <v>GREENRELAIS</v>
      </c>
      <c r="F2747" s="10">
        <f>IFERROR(__xludf.DUMMYFUNCTION("""COMPUTED_VALUE"""),1.82)</f>
        <v>1.82</v>
      </c>
      <c r="G2747" s="9">
        <f>IFERROR(__xludf.DUMMYFUNCTION("""COMPUTED_VALUE"""),1.82)</f>
        <v>1.82</v>
      </c>
      <c r="H2747" s="9">
        <f>IFERROR(__xludf.DUMMYFUNCTION("""COMPUTED_VALUE"""),1.0)</f>
        <v>1</v>
      </c>
      <c r="I2747" s="9"/>
      <c r="J2747" s="9"/>
      <c r="K2747" s="9"/>
      <c r="L2747" s="9"/>
      <c r="M2747" s="9"/>
      <c r="N2747" s="9"/>
      <c r="O2747" s="9"/>
      <c r="P2747" s="9"/>
      <c r="Q2747" s="9"/>
      <c r="R2747" s="9"/>
      <c r="S2747" s="9"/>
      <c r="T2747" s="9"/>
    </row>
    <row r="2748" ht="15.75" customHeight="1">
      <c r="A2748" s="11">
        <f>IFERROR(__xludf.DUMMYFUNCTION("""COMPUTED_VALUE"""),44471.0)</f>
        <v>44471</v>
      </c>
      <c r="B2748" s="9">
        <f>IFERROR(__xludf.DUMMYFUNCTION("""COMPUTED_VALUE"""),1003680.0)</f>
        <v>1003680</v>
      </c>
      <c r="C2748" s="9">
        <f>IFERROR(__xludf.DUMMYFUNCTION("""COMPUTED_VALUE"""),46955.0)</f>
        <v>46955</v>
      </c>
      <c r="D2748" s="9"/>
      <c r="E2748" s="10" t="str">
        <f>IFERROR(__xludf.DUMMYFUNCTION("""COMPUTED_VALUE"""),"GREENRELAIS")</f>
        <v>GREENRELAIS</v>
      </c>
      <c r="F2748" s="10">
        <f>IFERROR(__xludf.DUMMYFUNCTION("""COMPUTED_VALUE"""),7.84)</f>
        <v>7.84</v>
      </c>
      <c r="G2748" s="9">
        <f>IFERROR(__xludf.DUMMYFUNCTION("""COMPUTED_VALUE"""),7.84)</f>
        <v>7.84</v>
      </c>
      <c r="H2748" s="9">
        <f>IFERROR(__xludf.DUMMYFUNCTION("""COMPUTED_VALUE"""),1.0)</f>
        <v>1</v>
      </c>
      <c r="I2748" s="9"/>
      <c r="J2748" s="9"/>
      <c r="K2748" s="9"/>
      <c r="L2748" s="9"/>
      <c r="M2748" s="9"/>
      <c r="N2748" s="9"/>
      <c r="O2748" s="9"/>
      <c r="P2748" s="9"/>
      <c r="Q2748" s="9"/>
      <c r="R2748" s="9"/>
      <c r="S2748" s="9"/>
      <c r="T2748" s="9"/>
    </row>
    <row r="2749" ht="15.75" customHeight="1">
      <c r="A2749" s="11">
        <f>IFERROR(__xludf.DUMMYFUNCTION("""COMPUTED_VALUE"""),44471.0)</f>
        <v>44471</v>
      </c>
      <c r="B2749" s="9">
        <f>IFERROR(__xludf.DUMMYFUNCTION("""COMPUTED_VALUE"""),1003680.0)</f>
        <v>1003680</v>
      </c>
      <c r="C2749" s="9">
        <f>IFERROR(__xludf.DUMMYFUNCTION("""COMPUTED_VALUE"""),69064.0)</f>
        <v>69064</v>
      </c>
      <c r="D2749" s="9"/>
      <c r="E2749" s="10" t="str">
        <f>IFERROR(__xludf.DUMMYFUNCTION("""COMPUTED_VALUE"""),"GREENRELAIS")</f>
        <v>GREENRELAIS</v>
      </c>
      <c r="F2749" s="10">
        <f>IFERROR(__xludf.DUMMYFUNCTION("""COMPUTED_VALUE"""),1.21)</f>
        <v>1.21</v>
      </c>
      <c r="G2749" s="9">
        <f>IFERROR(__xludf.DUMMYFUNCTION("""COMPUTED_VALUE"""),1.21)</f>
        <v>1.21</v>
      </c>
      <c r="H2749" s="9">
        <f>IFERROR(__xludf.DUMMYFUNCTION("""COMPUTED_VALUE"""),1.0)</f>
        <v>1</v>
      </c>
      <c r="I2749" s="9"/>
      <c r="J2749" s="9"/>
      <c r="K2749" s="9"/>
      <c r="L2749" s="9"/>
      <c r="M2749" s="9"/>
      <c r="N2749" s="9"/>
      <c r="O2749" s="9"/>
      <c r="P2749" s="9"/>
      <c r="Q2749" s="9"/>
      <c r="R2749" s="9"/>
      <c r="S2749" s="9"/>
      <c r="T2749" s="9"/>
    </row>
    <row r="2750" ht="15.75" customHeight="1">
      <c r="A2750" s="11">
        <f>IFERROR(__xludf.DUMMYFUNCTION("""COMPUTED_VALUE"""),44471.0)</f>
        <v>44471</v>
      </c>
      <c r="B2750" s="9">
        <f>IFERROR(__xludf.DUMMYFUNCTION("""COMPUTED_VALUE"""),1003680.0)</f>
        <v>1003680</v>
      </c>
      <c r="C2750" s="9">
        <f>IFERROR(__xludf.DUMMYFUNCTION("""COMPUTED_VALUE"""),160748.0)</f>
        <v>160748</v>
      </c>
      <c r="D2750" s="9"/>
      <c r="E2750" s="10" t="str">
        <f>IFERROR(__xludf.DUMMYFUNCTION("""COMPUTED_VALUE"""),"GREENRELAIS")</f>
        <v>GREENRELAIS</v>
      </c>
      <c r="F2750" s="10">
        <f>IFERROR(__xludf.DUMMYFUNCTION("""COMPUTED_VALUE"""),3.96)</f>
        <v>3.96</v>
      </c>
      <c r="G2750" s="9">
        <f>IFERROR(__xludf.DUMMYFUNCTION("""COMPUTED_VALUE"""),3.96)</f>
        <v>3.96</v>
      </c>
      <c r="H2750" s="9">
        <f>IFERROR(__xludf.DUMMYFUNCTION("""COMPUTED_VALUE"""),1.0)</f>
        <v>1</v>
      </c>
      <c r="I2750" s="9"/>
      <c r="J2750" s="9"/>
      <c r="K2750" s="9"/>
      <c r="L2750" s="9"/>
      <c r="M2750" s="9"/>
      <c r="N2750" s="9"/>
      <c r="O2750" s="9"/>
      <c r="P2750" s="9"/>
      <c r="Q2750" s="9"/>
      <c r="R2750" s="9"/>
      <c r="S2750" s="9"/>
      <c r="T2750" s="9"/>
    </row>
    <row r="2751" ht="15.75" customHeight="1">
      <c r="A2751" s="11">
        <f>IFERROR(__xludf.DUMMYFUNCTION("""COMPUTED_VALUE"""),44471.0)</f>
        <v>44471</v>
      </c>
      <c r="B2751" s="9">
        <f>IFERROR(__xludf.DUMMYFUNCTION("""COMPUTED_VALUE"""),1003680.0)</f>
        <v>1003680</v>
      </c>
      <c r="C2751" s="9">
        <f>IFERROR(__xludf.DUMMYFUNCTION("""COMPUTED_VALUE"""),98941.0)</f>
        <v>98941</v>
      </c>
      <c r="D2751" s="10" t="str">
        <f>IFERROR(__xludf.DUMMYFUNCTION("""COMPUTED_VALUE"""),"Offre Speciale")</f>
        <v>Offre Speciale</v>
      </c>
      <c r="E2751" s="10" t="str">
        <f>IFERROR(__xludf.DUMMYFUNCTION("""COMPUTED_VALUE"""),"GREENRELAIS")</f>
        <v>GREENRELAIS</v>
      </c>
      <c r="F2751" s="10">
        <f>IFERROR(__xludf.DUMMYFUNCTION("""COMPUTED_VALUE"""),12.8933333333333)</f>
        <v>12.89333333</v>
      </c>
      <c r="G2751" s="9">
        <f>IFERROR(__xludf.DUMMYFUNCTION("""COMPUTED_VALUE"""),9.67)</f>
        <v>9.67</v>
      </c>
      <c r="H2751" s="9">
        <f>IFERROR(__xludf.DUMMYFUNCTION("""COMPUTED_VALUE"""),1.0)</f>
        <v>1</v>
      </c>
      <c r="I2751" s="9"/>
      <c r="J2751" s="9"/>
      <c r="K2751" s="9"/>
      <c r="L2751" s="9"/>
      <c r="M2751" s="9"/>
      <c r="N2751" s="9"/>
      <c r="O2751" s="9"/>
      <c r="P2751" s="9"/>
      <c r="Q2751" s="9"/>
      <c r="R2751" s="9"/>
      <c r="S2751" s="9"/>
      <c r="T2751" s="9"/>
    </row>
    <row r="2752" ht="15.75" customHeight="1">
      <c r="A2752" s="11">
        <f>IFERROR(__xludf.DUMMYFUNCTION("""COMPUTED_VALUE"""),44471.0)</f>
        <v>44471</v>
      </c>
      <c r="B2752" s="9">
        <f>IFERROR(__xludf.DUMMYFUNCTION("""COMPUTED_VALUE"""),1003680.0)</f>
        <v>1003680</v>
      </c>
      <c r="C2752" s="9">
        <f>IFERROR(__xludf.DUMMYFUNCTION("""COMPUTED_VALUE"""),45529.0)</f>
        <v>45529</v>
      </c>
      <c r="D2752" s="9"/>
      <c r="E2752" s="10" t="str">
        <f>IFERROR(__xludf.DUMMYFUNCTION("""COMPUTED_VALUE"""),"GREENRELAIS")</f>
        <v>GREENRELAIS</v>
      </c>
      <c r="F2752" s="10">
        <f>IFERROR(__xludf.DUMMYFUNCTION("""COMPUTED_VALUE"""),8.96)</f>
        <v>8.96</v>
      </c>
      <c r="G2752" s="9">
        <f>IFERROR(__xludf.DUMMYFUNCTION("""COMPUTED_VALUE"""),8.96)</f>
        <v>8.96</v>
      </c>
      <c r="H2752" s="9">
        <f>IFERROR(__xludf.DUMMYFUNCTION("""COMPUTED_VALUE"""),1.0)</f>
        <v>1</v>
      </c>
      <c r="I2752" s="9"/>
      <c r="J2752" s="9"/>
      <c r="K2752" s="9"/>
      <c r="L2752" s="9"/>
      <c r="M2752" s="9"/>
      <c r="N2752" s="9"/>
      <c r="O2752" s="9"/>
      <c r="P2752" s="9"/>
      <c r="Q2752" s="9"/>
      <c r="R2752" s="9"/>
      <c r="S2752" s="9"/>
      <c r="T2752" s="9"/>
    </row>
    <row r="2753" ht="15.75" customHeight="1">
      <c r="A2753" s="11">
        <f>IFERROR(__xludf.DUMMYFUNCTION("""COMPUTED_VALUE"""),44471.0)</f>
        <v>44471</v>
      </c>
      <c r="B2753" s="9">
        <f>IFERROR(__xludf.DUMMYFUNCTION("""COMPUTED_VALUE"""),1003680.0)</f>
        <v>1003680</v>
      </c>
      <c r="C2753" s="9">
        <f>IFERROR(__xludf.DUMMYFUNCTION("""COMPUTED_VALUE"""),80809.0)</f>
        <v>80809</v>
      </c>
      <c r="D2753" s="9"/>
      <c r="E2753" s="10" t="str">
        <f>IFERROR(__xludf.DUMMYFUNCTION("""COMPUTED_VALUE"""),"GREENRELAIS")</f>
        <v>GREENRELAIS</v>
      </c>
      <c r="F2753" s="10">
        <f>IFERROR(__xludf.DUMMYFUNCTION("""COMPUTED_VALUE"""),3.07)</f>
        <v>3.07</v>
      </c>
      <c r="G2753" s="9">
        <f>IFERROR(__xludf.DUMMYFUNCTION("""COMPUTED_VALUE"""),3.07)</f>
        <v>3.07</v>
      </c>
      <c r="H2753" s="9">
        <f>IFERROR(__xludf.DUMMYFUNCTION("""COMPUTED_VALUE"""),2.0)</f>
        <v>2</v>
      </c>
      <c r="I2753" s="9"/>
      <c r="J2753" s="9"/>
      <c r="K2753" s="9"/>
      <c r="L2753" s="9"/>
      <c r="M2753" s="9"/>
      <c r="N2753" s="9"/>
      <c r="O2753" s="9"/>
      <c r="P2753" s="9"/>
      <c r="Q2753" s="9"/>
      <c r="R2753" s="9"/>
      <c r="S2753" s="9"/>
      <c r="T2753" s="9"/>
    </row>
    <row r="2754" ht="15.75" customHeight="1">
      <c r="A2754" s="11">
        <f>IFERROR(__xludf.DUMMYFUNCTION("""COMPUTED_VALUE"""),44471.0)</f>
        <v>44471</v>
      </c>
      <c r="B2754" s="9">
        <f>IFERROR(__xludf.DUMMYFUNCTION("""COMPUTED_VALUE"""),1003680.0)</f>
        <v>1003680</v>
      </c>
      <c r="C2754" s="9">
        <f>IFERROR(__xludf.DUMMYFUNCTION("""COMPUTED_VALUE"""),108897.0)</f>
        <v>108897</v>
      </c>
      <c r="D2754" s="9"/>
      <c r="E2754" s="10" t="str">
        <f>IFERROR(__xludf.DUMMYFUNCTION("""COMPUTED_VALUE"""),"GREENRELAIS")</f>
        <v>GREENRELAIS</v>
      </c>
      <c r="F2754" s="10">
        <f>IFERROR(__xludf.DUMMYFUNCTION("""COMPUTED_VALUE"""),5.73)</f>
        <v>5.73</v>
      </c>
      <c r="G2754" s="9">
        <f>IFERROR(__xludf.DUMMYFUNCTION("""COMPUTED_VALUE"""),5.73)</f>
        <v>5.73</v>
      </c>
      <c r="H2754" s="9">
        <f>IFERROR(__xludf.DUMMYFUNCTION("""COMPUTED_VALUE"""),3.0)</f>
        <v>3</v>
      </c>
      <c r="I2754" s="9"/>
      <c r="J2754" s="9"/>
      <c r="K2754" s="9"/>
      <c r="L2754" s="9"/>
      <c r="M2754" s="9"/>
      <c r="N2754" s="9"/>
      <c r="O2754" s="9"/>
      <c r="P2754" s="9"/>
      <c r="Q2754" s="9"/>
      <c r="R2754" s="9"/>
      <c r="S2754" s="9"/>
      <c r="T2754" s="9"/>
    </row>
    <row r="2755" ht="15.75" customHeight="1">
      <c r="A2755" s="11">
        <f>IFERROR(__xludf.DUMMYFUNCTION("""COMPUTED_VALUE"""),44471.0)</f>
        <v>44471</v>
      </c>
      <c r="B2755" s="9">
        <f>IFERROR(__xludf.DUMMYFUNCTION("""COMPUTED_VALUE"""),1003681.0)</f>
        <v>1003681</v>
      </c>
      <c r="C2755" s="9">
        <f>IFERROR(__xludf.DUMMYFUNCTION("""COMPUTED_VALUE"""),118936.0)</f>
        <v>118936</v>
      </c>
      <c r="D2755" s="9"/>
      <c r="E2755" s="9"/>
      <c r="F2755" s="9">
        <f>IFERROR(__xludf.DUMMYFUNCTION("""COMPUTED_VALUE"""),73.14)</f>
        <v>73.14</v>
      </c>
      <c r="G2755" s="9">
        <f>IFERROR(__xludf.DUMMYFUNCTION("""COMPUTED_VALUE"""),73.14)</f>
        <v>73.14</v>
      </c>
      <c r="H2755" s="9">
        <f>IFERROR(__xludf.DUMMYFUNCTION("""COMPUTED_VALUE"""),3.0)</f>
        <v>3</v>
      </c>
      <c r="I2755" s="9"/>
      <c r="J2755" s="9"/>
      <c r="K2755" s="9"/>
      <c r="L2755" s="9"/>
      <c r="M2755" s="9"/>
      <c r="N2755" s="9"/>
      <c r="O2755" s="9"/>
      <c r="P2755" s="9"/>
      <c r="Q2755" s="9"/>
      <c r="R2755" s="9"/>
      <c r="S2755" s="9"/>
      <c r="T2755" s="9"/>
    </row>
    <row r="2756" ht="15.75" customHeight="1">
      <c r="A2756" s="11">
        <f>IFERROR(__xludf.DUMMYFUNCTION("""COMPUTED_VALUE"""),44471.0)</f>
        <v>44471</v>
      </c>
      <c r="B2756" s="9">
        <f>IFERROR(__xludf.DUMMYFUNCTION("""COMPUTED_VALUE"""),1003682.0)</f>
        <v>1003682</v>
      </c>
      <c r="C2756" s="9">
        <f>IFERROR(__xludf.DUMMYFUNCTION("""COMPUTED_VALUE"""),9513.0)</f>
        <v>9513</v>
      </c>
      <c r="D2756" s="9"/>
      <c r="E2756" s="9"/>
      <c r="F2756" s="9">
        <f>IFERROR(__xludf.DUMMYFUNCTION("""COMPUTED_VALUE"""),2.76)</f>
        <v>2.76</v>
      </c>
      <c r="G2756" s="9">
        <f>IFERROR(__xludf.DUMMYFUNCTION("""COMPUTED_VALUE"""),2.76)</f>
        <v>2.76</v>
      </c>
      <c r="H2756" s="9">
        <f>IFERROR(__xludf.DUMMYFUNCTION("""COMPUTED_VALUE"""),1.0)</f>
        <v>1</v>
      </c>
      <c r="I2756" s="9"/>
      <c r="J2756" s="9"/>
      <c r="K2756" s="9"/>
      <c r="L2756" s="9"/>
      <c r="M2756" s="9"/>
      <c r="N2756" s="9"/>
      <c r="O2756" s="9"/>
      <c r="P2756" s="9"/>
      <c r="Q2756" s="9"/>
      <c r="R2756" s="9"/>
      <c r="S2756" s="9"/>
      <c r="T2756" s="9"/>
    </row>
    <row r="2757" ht="15.75" customHeight="1">
      <c r="A2757" s="11">
        <f>IFERROR(__xludf.DUMMYFUNCTION("""COMPUTED_VALUE"""),44471.0)</f>
        <v>44471</v>
      </c>
      <c r="B2757" s="9">
        <f>IFERROR(__xludf.DUMMYFUNCTION("""COMPUTED_VALUE"""),1003682.0)</f>
        <v>1003682</v>
      </c>
      <c r="C2757" s="9">
        <f>IFERROR(__xludf.DUMMYFUNCTION("""COMPUTED_VALUE"""),110229.0)</f>
        <v>110229</v>
      </c>
      <c r="D2757" s="9"/>
      <c r="E2757" s="9"/>
      <c r="F2757" s="9">
        <f>IFERROR(__xludf.DUMMYFUNCTION("""COMPUTED_VALUE"""),2.14)</f>
        <v>2.14</v>
      </c>
      <c r="G2757" s="9">
        <f>IFERROR(__xludf.DUMMYFUNCTION("""COMPUTED_VALUE"""),2.14)</f>
        <v>2.14</v>
      </c>
      <c r="H2757" s="9">
        <f>IFERROR(__xludf.DUMMYFUNCTION("""COMPUTED_VALUE"""),1.0)</f>
        <v>1</v>
      </c>
      <c r="I2757" s="9"/>
      <c r="J2757" s="9"/>
      <c r="K2757" s="9"/>
      <c r="L2757" s="9"/>
      <c r="M2757" s="9"/>
      <c r="N2757" s="9"/>
      <c r="O2757" s="9"/>
      <c r="P2757" s="9"/>
      <c r="Q2757" s="9"/>
      <c r="R2757" s="9"/>
      <c r="S2757" s="9"/>
      <c r="T2757" s="9"/>
    </row>
    <row r="2758" ht="15.75" customHeight="1">
      <c r="A2758" s="11">
        <f>IFERROR(__xludf.DUMMYFUNCTION("""COMPUTED_VALUE"""),44471.0)</f>
        <v>44471</v>
      </c>
      <c r="B2758" s="9">
        <f>IFERROR(__xludf.DUMMYFUNCTION("""COMPUTED_VALUE"""),1003682.0)</f>
        <v>1003682</v>
      </c>
      <c r="C2758" s="9">
        <f>IFERROR(__xludf.DUMMYFUNCTION("""COMPUTED_VALUE"""),77235.0)</f>
        <v>77235</v>
      </c>
      <c r="D2758" s="9"/>
      <c r="E2758" s="9"/>
      <c r="F2758" s="9">
        <f>IFERROR(__xludf.DUMMYFUNCTION("""COMPUTED_VALUE"""),2.92)</f>
        <v>2.92</v>
      </c>
      <c r="G2758" s="9">
        <f>IFERROR(__xludf.DUMMYFUNCTION("""COMPUTED_VALUE"""),2.92)</f>
        <v>2.92</v>
      </c>
      <c r="H2758" s="9">
        <f>IFERROR(__xludf.DUMMYFUNCTION("""COMPUTED_VALUE"""),1.0)</f>
        <v>1</v>
      </c>
      <c r="I2758" s="9"/>
      <c r="J2758" s="9"/>
      <c r="K2758" s="9"/>
      <c r="L2758" s="9"/>
      <c r="M2758" s="9"/>
      <c r="N2758" s="9"/>
      <c r="O2758" s="9"/>
      <c r="P2758" s="9"/>
      <c r="Q2758" s="9"/>
      <c r="R2758" s="9"/>
      <c r="S2758" s="9"/>
      <c r="T2758" s="9"/>
    </row>
    <row r="2759" ht="15.75" customHeight="1">
      <c r="A2759" s="11">
        <f>IFERROR(__xludf.DUMMYFUNCTION("""COMPUTED_VALUE"""),44471.0)</f>
        <v>44471</v>
      </c>
      <c r="B2759" s="9">
        <f>IFERROR(__xludf.DUMMYFUNCTION("""COMPUTED_VALUE"""),1003682.0)</f>
        <v>1003682</v>
      </c>
      <c r="C2759" s="9">
        <f>IFERROR(__xludf.DUMMYFUNCTION("""COMPUTED_VALUE"""),76426.0)</f>
        <v>76426</v>
      </c>
      <c r="D2759" s="9"/>
      <c r="E2759" s="9"/>
      <c r="F2759" s="9">
        <f>IFERROR(__xludf.DUMMYFUNCTION("""COMPUTED_VALUE"""),3.05)</f>
        <v>3.05</v>
      </c>
      <c r="G2759" s="9">
        <f>IFERROR(__xludf.DUMMYFUNCTION("""COMPUTED_VALUE"""),3.05)</f>
        <v>3.05</v>
      </c>
      <c r="H2759" s="9">
        <f>IFERROR(__xludf.DUMMYFUNCTION("""COMPUTED_VALUE"""),1.0)</f>
        <v>1</v>
      </c>
      <c r="I2759" s="9"/>
      <c r="J2759" s="9"/>
      <c r="K2759" s="9"/>
      <c r="L2759" s="9"/>
      <c r="M2759" s="9"/>
      <c r="N2759" s="9"/>
      <c r="O2759" s="9"/>
      <c r="P2759" s="9"/>
      <c r="Q2759" s="9"/>
      <c r="R2759" s="9"/>
      <c r="S2759" s="9"/>
      <c r="T2759" s="9"/>
    </row>
    <row r="2760" ht="15.75" customHeight="1">
      <c r="A2760" s="11">
        <f>IFERROR(__xludf.DUMMYFUNCTION("""COMPUTED_VALUE"""),44471.0)</f>
        <v>44471</v>
      </c>
      <c r="B2760" s="9">
        <f>IFERROR(__xludf.DUMMYFUNCTION("""COMPUTED_VALUE"""),1003682.0)</f>
        <v>1003682</v>
      </c>
      <c r="C2760" s="9">
        <f>IFERROR(__xludf.DUMMYFUNCTION("""COMPUTED_VALUE"""),68216.0)</f>
        <v>68216</v>
      </c>
      <c r="D2760" s="9"/>
      <c r="E2760" s="9"/>
      <c r="F2760" s="9">
        <f>IFERROR(__xludf.DUMMYFUNCTION("""COMPUTED_VALUE"""),22.62)</f>
        <v>22.62</v>
      </c>
      <c r="G2760" s="9">
        <f>IFERROR(__xludf.DUMMYFUNCTION("""COMPUTED_VALUE"""),22.62)</f>
        <v>22.62</v>
      </c>
      <c r="H2760" s="9">
        <f>IFERROR(__xludf.DUMMYFUNCTION("""COMPUTED_VALUE"""),2.0)</f>
        <v>2</v>
      </c>
      <c r="I2760" s="9"/>
      <c r="J2760" s="9"/>
      <c r="K2760" s="9"/>
      <c r="L2760" s="9"/>
      <c r="M2760" s="9"/>
      <c r="N2760" s="9"/>
      <c r="O2760" s="9"/>
      <c r="P2760" s="9"/>
      <c r="Q2760" s="9"/>
      <c r="R2760" s="9"/>
      <c r="S2760" s="9"/>
      <c r="T2760" s="9"/>
    </row>
    <row r="2761" ht="15.75" customHeight="1">
      <c r="A2761" s="11">
        <f>IFERROR(__xludf.DUMMYFUNCTION("""COMPUTED_VALUE"""),44471.0)</f>
        <v>44471</v>
      </c>
      <c r="B2761" s="9">
        <f>IFERROR(__xludf.DUMMYFUNCTION("""COMPUTED_VALUE"""),1003682.0)</f>
        <v>1003682</v>
      </c>
      <c r="C2761" s="9">
        <f>IFERROR(__xludf.DUMMYFUNCTION("""COMPUTED_VALUE"""),87313.0)</f>
        <v>87313</v>
      </c>
      <c r="D2761" s="9"/>
      <c r="E2761" s="9"/>
      <c r="F2761" s="9">
        <f>IFERROR(__xludf.DUMMYFUNCTION("""COMPUTED_VALUE"""),17.41)</f>
        <v>17.41</v>
      </c>
      <c r="G2761" s="9">
        <f>IFERROR(__xludf.DUMMYFUNCTION("""COMPUTED_VALUE"""),17.41)</f>
        <v>17.41</v>
      </c>
      <c r="H2761" s="9">
        <f>IFERROR(__xludf.DUMMYFUNCTION("""COMPUTED_VALUE"""),2.0)</f>
        <v>2</v>
      </c>
      <c r="I2761" s="9"/>
      <c r="J2761" s="9"/>
      <c r="K2761" s="9"/>
      <c r="L2761" s="9"/>
      <c r="M2761" s="9"/>
      <c r="N2761" s="9"/>
      <c r="O2761" s="9"/>
      <c r="P2761" s="9"/>
      <c r="Q2761" s="9"/>
      <c r="R2761" s="9"/>
      <c r="S2761" s="9"/>
      <c r="T2761" s="9"/>
    </row>
    <row r="2762" ht="15.75" customHeight="1">
      <c r="A2762" s="11">
        <f>IFERROR(__xludf.DUMMYFUNCTION("""COMPUTED_VALUE"""),44471.0)</f>
        <v>44471</v>
      </c>
      <c r="B2762" s="9">
        <f>IFERROR(__xludf.DUMMYFUNCTION("""COMPUTED_VALUE"""),1003682.0)</f>
        <v>1003682</v>
      </c>
      <c r="C2762" s="9">
        <f>IFERROR(__xludf.DUMMYFUNCTION("""COMPUTED_VALUE"""),10523.0)</f>
        <v>10523</v>
      </c>
      <c r="D2762" s="9"/>
      <c r="E2762" s="9"/>
      <c r="F2762" s="9">
        <f>IFERROR(__xludf.DUMMYFUNCTION("""COMPUTED_VALUE"""),13.93)</f>
        <v>13.93</v>
      </c>
      <c r="G2762" s="9">
        <f>IFERROR(__xludf.DUMMYFUNCTION("""COMPUTED_VALUE"""),13.93)</f>
        <v>13.93</v>
      </c>
      <c r="H2762" s="9">
        <f>IFERROR(__xludf.DUMMYFUNCTION("""COMPUTED_VALUE"""),2.0)</f>
        <v>2</v>
      </c>
      <c r="I2762" s="9"/>
      <c r="J2762" s="9"/>
      <c r="K2762" s="9"/>
      <c r="L2762" s="9"/>
      <c r="M2762" s="9"/>
      <c r="N2762" s="9"/>
      <c r="O2762" s="9"/>
      <c r="P2762" s="9"/>
      <c r="Q2762" s="9"/>
      <c r="R2762" s="9"/>
      <c r="S2762" s="9"/>
      <c r="T2762" s="9"/>
    </row>
    <row r="2763" ht="15.75" customHeight="1">
      <c r="A2763" s="11">
        <f>IFERROR(__xludf.DUMMYFUNCTION("""COMPUTED_VALUE"""),44471.0)</f>
        <v>44471</v>
      </c>
      <c r="B2763" s="9">
        <f>IFERROR(__xludf.DUMMYFUNCTION("""COMPUTED_VALUE"""),1003682.0)</f>
        <v>1003682</v>
      </c>
      <c r="C2763" s="9">
        <f>IFERROR(__xludf.DUMMYFUNCTION("""COMPUTED_VALUE"""),19314.0)</f>
        <v>19314</v>
      </c>
      <c r="D2763" s="9"/>
      <c r="E2763" s="9"/>
      <c r="F2763" s="9">
        <f>IFERROR(__xludf.DUMMYFUNCTION("""COMPUTED_VALUE"""),12.14)</f>
        <v>12.14</v>
      </c>
      <c r="G2763" s="9">
        <f>IFERROR(__xludf.DUMMYFUNCTION("""COMPUTED_VALUE"""),12.14)</f>
        <v>12.14</v>
      </c>
      <c r="H2763" s="9">
        <f>IFERROR(__xludf.DUMMYFUNCTION("""COMPUTED_VALUE"""),3.0)</f>
        <v>3</v>
      </c>
      <c r="I2763" s="9"/>
      <c r="J2763" s="9"/>
      <c r="K2763" s="9"/>
      <c r="L2763" s="9"/>
      <c r="M2763" s="9"/>
      <c r="N2763" s="9"/>
      <c r="O2763" s="9"/>
      <c r="P2763" s="9"/>
      <c r="Q2763" s="9"/>
      <c r="R2763" s="9"/>
      <c r="S2763" s="9"/>
      <c r="T2763" s="9"/>
    </row>
    <row r="2764" ht="15.75" customHeight="1">
      <c r="A2764" s="11">
        <f>IFERROR(__xludf.DUMMYFUNCTION("""COMPUTED_VALUE"""),44471.0)</f>
        <v>44471</v>
      </c>
      <c r="B2764" s="9">
        <f>IFERROR(__xludf.DUMMYFUNCTION("""COMPUTED_VALUE"""),1003682.0)</f>
        <v>1003682</v>
      </c>
      <c r="C2764" s="9">
        <f>IFERROR(__xludf.DUMMYFUNCTION("""COMPUTED_VALUE"""),46132.0)</f>
        <v>46132</v>
      </c>
      <c r="D2764" s="9"/>
      <c r="E2764" s="9"/>
      <c r="F2764" s="9">
        <f>IFERROR(__xludf.DUMMYFUNCTION("""COMPUTED_VALUE"""),5.36)</f>
        <v>5.36</v>
      </c>
      <c r="G2764" s="9">
        <f>IFERROR(__xludf.DUMMYFUNCTION("""COMPUTED_VALUE"""),5.36)</f>
        <v>5.36</v>
      </c>
      <c r="H2764" s="9">
        <f>IFERROR(__xludf.DUMMYFUNCTION("""COMPUTED_VALUE"""),3.0)</f>
        <v>3</v>
      </c>
      <c r="I2764" s="9"/>
      <c r="J2764" s="9"/>
      <c r="K2764" s="9"/>
      <c r="L2764" s="9"/>
      <c r="M2764" s="9"/>
      <c r="N2764" s="9"/>
      <c r="O2764" s="9"/>
      <c r="P2764" s="9"/>
      <c r="Q2764" s="9"/>
      <c r="R2764" s="9"/>
      <c r="S2764" s="9"/>
      <c r="T2764" s="9"/>
    </row>
    <row r="2765" ht="15.75" customHeight="1">
      <c r="A2765" s="11">
        <f>IFERROR(__xludf.DUMMYFUNCTION("""COMPUTED_VALUE"""),44471.0)</f>
        <v>44471</v>
      </c>
      <c r="B2765" s="9">
        <f>IFERROR(__xludf.DUMMYFUNCTION("""COMPUTED_VALUE"""),1003682.0)</f>
        <v>1003682</v>
      </c>
      <c r="C2765" s="9">
        <f>IFERROR(__xludf.DUMMYFUNCTION("""COMPUTED_VALUE"""),82455.0)</f>
        <v>82455</v>
      </c>
      <c r="D2765" s="10" t="str">
        <f>IFERROR(__xludf.DUMMYFUNCTION("""COMPUTED_VALUE"""),"Vive le bio")</f>
        <v>Vive le bio</v>
      </c>
      <c r="E2765" s="10"/>
      <c r="F2765" s="9">
        <f>IFERROR(__xludf.DUMMYFUNCTION("""COMPUTED_VALUE"""),12.6111111111111)</f>
        <v>12.61111111</v>
      </c>
      <c r="G2765" s="9">
        <f>IFERROR(__xludf.DUMMYFUNCTION("""COMPUTED_VALUE"""),11.35)</f>
        <v>11.35</v>
      </c>
      <c r="H2765" s="9">
        <f>IFERROR(__xludf.DUMMYFUNCTION("""COMPUTED_VALUE"""),4.0)</f>
        <v>4</v>
      </c>
      <c r="I2765" s="9"/>
      <c r="J2765" s="9"/>
      <c r="K2765" s="9"/>
      <c r="L2765" s="9"/>
      <c r="M2765" s="9"/>
      <c r="N2765" s="9"/>
      <c r="O2765" s="9"/>
      <c r="P2765" s="9"/>
      <c r="Q2765" s="9"/>
      <c r="R2765" s="9"/>
      <c r="S2765" s="9"/>
      <c r="T2765" s="9"/>
    </row>
    <row r="2766" ht="15.75" customHeight="1">
      <c r="A2766" s="11">
        <f>IFERROR(__xludf.DUMMYFUNCTION("""COMPUTED_VALUE"""),44471.0)</f>
        <v>44471</v>
      </c>
      <c r="B2766" s="9">
        <f>IFERROR(__xludf.DUMMYFUNCTION("""COMPUTED_VALUE"""),1003683.0)</f>
        <v>1003683</v>
      </c>
      <c r="C2766" s="9">
        <f>IFERROR(__xludf.DUMMYFUNCTION("""COMPUTED_VALUE"""),180823.0)</f>
        <v>180823</v>
      </c>
      <c r="D2766" s="9"/>
      <c r="E2766" s="10" t="str">
        <f>IFERROR(__xludf.DUMMYFUNCTION("""COMPUTED_VALUE"""),"GREENRELAIS")</f>
        <v>GREENRELAIS</v>
      </c>
      <c r="F2766" s="10">
        <f>IFERROR(__xludf.DUMMYFUNCTION("""COMPUTED_VALUE"""),13.08)</f>
        <v>13.08</v>
      </c>
      <c r="G2766" s="9">
        <f>IFERROR(__xludf.DUMMYFUNCTION("""COMPUTED_VALUE"""),13.08)</f>
        <v>13.08</v>
      </c>
      <c r="H2766" s="9">
        <f>IFERROR(__xludf.DUMMYFUNCTION("""COMPUTED_VALUE"""),1.0)</f>
        <v>1</v>
      </c>
      <c r="I2766" s="9"/>
      <c r="J2766" s="9"/>
      <c r="K2766" s="9"/>
      <c r="L2766" s="9"/>
      <c r="M2766" s="9"/>
      <c r="N2766" s="9"/>
      <c r="O2766" s="9"/>
      <c r="P2766" s="9"/>
      <c r="Q2766" s="9"/>
      <c r="R2766" s="9"/>
      <c r="S2766" s="9"/>
      <c r="T2766" s="9"/>
    </row>
    <row r="2767" ht="15.75" customHeight="1">
      <c r="A2767" s="11">
        <f>IFERROR(__xludf.DUMMYFUNCTION("""COMPUTED_VALUE"""),44471.0)</f>
        <v>44471</v>
      </c>
      <c r="B2767" s="9">
        <f>IFERROR(__xludf.DUMMYFUNCTION("""COMPUTED_VALUE"""),1003683.0)</f>
        <v>1003683</v>
      </c>
      <c r="C2767" s="9">
        <f>IFERROR(__xludf.DUMMYFUNCTION("""COMPUTED_VALUE"""),180824.0)</f>
        <v>180824</v>
      </c>
      <c r="D2767" s="9"/>
      <c r="E2767" s="10" t="str">
        <f>IFERROR(__xludf.DUMMYFUNCTION("""COMPUTED_VALUE"""),"GREENRELAIS")</f>
        <v>GREENRELAIS</v>
      </c>
      <c r="F2767" s="10">
        <f>IFERROR(__xludf.DUMMYFUNCTION("""COMPUTED_VALUE"""),13.08)</f>
        <v>13.08</v>
      </c>
      <c r="G2767" s="9">
        <f>IFERROR(__xludf.DUMMYFUNCTION("""COMPUTED_VALUE"""),13.08)</f>
        <v>13.08</v>
      </c>
      <c r="H2767" s="9">
        <f>IFERROR(__xludf.DUMMYFUNCTION("""COMPUTED_VALUE"""),1.0)</f>
        <v>1</v>
      </c>
      <c r="I2767" s="9"/>
      <c r="J2767" s="9"/>
      <c r="K2767" s="9"/>
      <c r="L2767" s="9"/>
      <c r="M2767" s="9"/>
      <c r="N2767" s="9"/>
      <c r="O2767" s="9"/>
      <c r="P2767" s="9"/>
      <c r="Q2767" s="9"/>
      <c r="R2767" s="9"/>
      <c r="S2767" s="9"/>
      <c r="T2767" s="9"/>
    </row>
    <row r="2768" ht="15.75" customHeight="1">
      <c r="A2768" s="11">
        <f>IFERROR(__xludf.DUMMYFUNCTION("""COMPUTED_VALUE"""),44471.0)</f>
        <v>44471</v>
      </c>
      <c r="B2768" s="9">
        <f>IFERROR(__xludf.DUMMYFUNCTION("""COMPUTED_VALUE"""),1003683.0)</f>
        <v>1003683</v>
      </c>
      <c r="C2768" s="9">
        <f>IFERROR(__xludf.DUMMYFUNCTION("""COMPUTED_VALUE"""),111730.0)</f>
        <v>111730</v>
      </c>
      <c r="D2768" s="9"/>
      <c r="E2768" s="10" t="str">
        <f>IFERROR(__xludf.DUMMYFUNCTION("""COMPUTED_VALUE"""),"GREENRELAIS")</f>
        <v>GREENRELAIS</v>
      </c>
      <c r="F2768" s="10">
        <f>IFERROR(__xludf.DUMMYFUNCTION("""COMPUTED_VALUE"""),9.68)</f>
        <v>9.68</v>
      </c>
      <c r="G2768" s="9">
        <f>IFERROR(__xludf.DUMMYFUNCTION("""COMPUTED_VALUE"""),9.68)</f>
        <v>9.68</v>
      </c>
      <c r="H2768" s="9">
        <f>IFERROR(__xludf.DUMMYFUNCTION("""COMPUTED_VALUE"""),1.0)</f>
        <v>1</v>
      </c>
      <c r="I2768" s="9"/>
      <c r="J2768" s="9"/>
      <c r="K2768" s="9"/>
      <c r="L2768" s="9"/>
      <c r="M2768" s="9"/>
      <c r="N2768" s="9"/>
      <c r="O2768" s="9"/>
      <c r="P2768" s="9"/>
      <c r="Q2768" s="9"/>
      <c r="R2768" s="9"/>
      <c r="S2768" s="9"/>
      <c r="T2768" s="9"/>
    </row>
    <row r="2769" ht="15.75" customHeight="1">
      <c r="A2769" s="11">
        <f>IFERROR(__xludf.DUMMYFUNCTION("""COMPUTED_VALUE"""),44471.0)</f>
        <v>44471</v>
      </c>
      <c r="B2769" s="9">
        <f>IFERROR(__xludf.DUMMYFUNCTION("""COMPUTED_VALUE"""),1003683.0)</f>
        <v>1003683</v>
      </c>
      <c r="C2769" s="9">
        <f>IFERROR(__xludf.DUMMYFUNCTION("""COMPUTED_VALUE"""),119120.0)</f>
        <v>119120</v>
      </c>
      <c r="D2769" s="9"/>
      <c r="E2769" s="10" t="str">
        <f>IFERROR(__xludf.DUMMYFUNCTION("""COMPUTED_VALUE"""),"GREENRELAIS")</f>
        <v>GREENRELAIS</v>
      </c>
      <c r="F2769" s="10">
        <f>IFERROR(__xludf.DUMMYFUNCTION("""COMPUTED_VALUE"""),5.13)</f>
        <v>5.13</v>
      </c>
      <c r="G2769" s="9">
        <f>IFERROR(__xludf.DUMMYFUNCTION("""COMPUTED_VALUE"""),5.13)</f>
        <v>5.13</v>
      </c>
      <c r="H2769" s="9">
        <f>IFERROR(__xludf.DUMMYFUNCTION("""COMPUTED_VALUE"""),1.0)</f>
        <v>1</v>
      </c>
      <c r="I2769" s="9"/>
      <c r="J2769" s="9"/>
      <c r="K2769" s="9"/>
      <c r="L2769" s="9"/>
      <c r="M2769" s="9"/>
      <c r="N2769" s="9"/>
      <c r="O2769" s="9"/>
      <c r="P2769" s="9"/>
      <c r="Q2769" s="9"/>
      <c r="R2769" s="9"/>
      <c r="S2769" s="9"/>
      <c r="T2769" s="9"/>
    </row>
    <row r="2770" ht="15.75" customHeight="1">
      <c r="A2770" s="11">
        <f>IFERROR(__xludf.DUMMYFUNCTION("""COMPUTED_VALUE"""),44471.0)</f>
        <v>44471</v>
      </c>
      <c r="B2770" s="9">
        <f>IFERROR(__xludf.DUMMYFUNCTION("""COMPUTED_VALUE"""),1003683.0)</f>
        <v>1003683</v>
      </c>
      <c r="C2770" s="9">
        <f>IFERROR(__xludf.DUMMYFUNCTION("""COMPUTED_VALUE"""),119119.0)</f>
        <v>119119</v>
      </c>
      <c r="D2770" s="9"/>
      <c r="E2770" s="10" t="str">
        <f>IFERROR(__xludf.DUMMYFUNCTION("""COMPUTED_VALUE"""),"GREENRELAIS")</f>
        <v>GREENRELAIS</v>
      </c>
      <c r="F2770" s="10">
        <f>IFERROR(__xludf.DUMMYFUNCTION("""COMPUTED_VALUE"""),5.13)</f>
        <v>5.13</v>
      </c>
      <c r="G2770" s="9">
        <f>IFERROR(__xludf.DUMMYFUNCTION("""COMPUTED_VALUE"""),5.13)</f>
        <v>5.13</v>
      </c>
      <c r="H2770" s="9">
        <f>IFERROR(__xludf.DUMMYFUNCTION("""COMPUTED_VALUE"""),1.0)</f>
        <v>1</v>
      </c>
      <c r="I2770" s="9"/>
      <c r="J2770" s="9"/>
      <c r="K2770" s="9"/>
      <c r="L2770" s="9"/>
      <c r="M2770" s="9"/>
      <c r="N2770" s="9"/>
      <c r="O2770" s="9"/>
      <c r="P2770" s="9"/>
      <c r="Q2770" s="9"/>
      <c r="R2770" s="9"/>
      <c r="S2770" s="9"/>
      <c r="T2770" s="9"/>
    </row>
    <row r="2771" ht="15.75" customHeight="1">
      <c r="A2771" s="11">
        <f>IFERROR(__xludf.DUMMYFUNCTION("""COMPUTED_VALUE"""),44471.0)</f>
        <v>44471</v>
      </c>
      <c r="B2771" s="9">
        <f>IFERROR(__xludf.DUMMYFUNCTION("""COMPUTED_VALUE"""),1003683.0)</f>
        <v>1003683</v>
      </c>
      <c r="C2771" s="9">
        <f>IFERROR(__xludf.DUMMYFUNCTION("""COMPUTED_VALUE"""),121532.0)</f>
        <v>121532</v>
      </c>
      <c r="D2771" s="9"/>
      <c r="E2771" s="10" t="str">
        <f>IFERROR(__xludf.DUMMYFUNCTION("""COMPUTED_VALUE"""),"GREENRELAIS")</f>
        <v>GREENRELAIS</v>
      </c>
      <c r="F2771" s="10">
        <f>IFERROR(__xludf.DUMMYFUNCTION("""COMPUTED_VALUE"""),15.5)</f>
        <v>15.5</v>
      </c>
      <c r="G2771" s="9">
        <f>IFERROR(__xludf.DUMMYFUNCTION("""COMPUTED_VALUE"""),15.5)</f>
        <v>15.5</v>
      </c>
      <c r="H2771" s="9">
        <f>IFERROR(__xludf.DUMMYFUNCTION("""COMPUTED_VALUE"""),3.0)</f>
        <v>3</v>
      </c>
      <c r="I2771" s="9"/>
      <c r="J2771" s="9"/>
      <c r="K2771" s="9"/>
      <c r="L2771" s="9"/>
      <c r="M2771" s="9"/>
      <c r="N2771" s="9"/>
      <c r="O2771" s="9"/>
      <c r="P2771" s="9"/>
      <c r="Q2771" s="9"/>
      <c r="R2771" s="9"/>
      <c r="S2771" s="9"/>
      <c r="T2771" s="9"/>
    </row>
    <row r="2772" ht="15.75" customHeight="1">
      <c r="A2772" s="11">
        <f>IFERROR(__xludf.DUMMYFUNCTION("""COMPUTED_VALUE"""),44471.0)</f>
        <v>44471</v>
      </c>
      <c r="B2772" s="9">
        <f>IFERROR(__xludf.DUMMYFUNCTION("""COMPUTED_VALUE"""),1003684.0)</f>
        <v>1003684</v>
      </c>
      <c r="C2772" s="9">
        <f>IFERROR(__xludf.DUMMYFUNCTION("""COMPUTED_VALUE"""),147263.0)</f>
        <v>147263</v>
      </c>
      <c r="D2772" s="10" t="str">
        <f>IFERROR(__xludf.DUMMYFUNCTION("""COMPUTED_VALUE"""),"Zero Dechet")</f>
        <v>Zero Dechet</v>
      </c>
      <c r="E2772" s="10"/>
      <c r="F2772" s="9">
        <f>IFERROR(__xludf.DUMMYFUNCTION("""COMPUTED_VALUE"""),18.025)</f>
        <v>18.025</v>
      </c>
      <c r="G2772" s="9">
        <f>IFERROR(__xludf.DUMMYFUNCTION("""COMPUTED_VALUE"""),14.42)</f>
        <v>14.42</v>
      </c>
      <c r="H2772" s="9">
        <f>IFERROR(__xludf.DUMMYFUNCTION("""COMPUTED_VALUE"""),1.0)</f>
        <v>1</v>
      </c>
      <c r="I2772" s="9"/>
      <c r="J2772" s="9"/>
      <c r="K2772" s="9"/>
      <c r="L2772" s="9"/>
      <c r="M2772" s="9"/>
      <c r="N2772" s="9"/>
      <c r="O2772" s="9"/>
      <c r="P2772" s="9"/>
      <c r="Q2772" s="9"/>
      <c r="R2772" s="9"/>
      <c r="S2772" s="9"/>
      <c r="T2772" s="9"/>
    </row>
    <row r="2773" ht="15.75" customHeight="1">
      <c r="A2773" s="11">
        <f>IFERROR(__xludf.DUMMYFUNCTION("""COMPUTED_VALUE"""),44471.0)</f>
        <v>44471</v>
      </c>
      <c r="B2773" s="9">
        <f>IFERROR(__xludf.DUMMYFUNCTION("""COMPUTED_VALUE"""),1003684.0)</f>
        <v>1003684</v>
      </c>
      <c r="C2773" s="9">
        <f>IFERROR(__xludf.DUMMYFUNCTION("""COMPUTED_VALUE"""),122375.0)</f>
        <v>122375</v>
      </c>
      <c r="D2773" s="9"/>
      <c r="E2773" s="9"/>
      <c r="F2773" s="9">
        <f>IFERROR(__xludf.DUMMYFUNCTION("""COMPUTED_VALUE"""),22.96)</f>
        <v>22.96</v>
      </c>
      <c r="G2773" s="9">
        <f>IFERROR(__xludf.DUMMYFUNCTION("""COMPUTED_VALUE"""),22.96)</f>
        <v>22.96</v>
      </c>
      <c r="H2773" s="9">
        <f>IFERROR(__xludf.DUMMYFUNCTION("""COMPUTED_VALUE"""),1.0)</f>
        <v>1</v>
      </c>
      <c r="I2773" s="9"/>
      <c r="J2773" s="9"/>
      <c r="K2773" s="9"/>
      <c r="L2773" s="9"/>
      <c r="M2773" s="9"/>
      <c r="N2773" s="9"/>
      <c r="O2773" s="9"/>
      <c r="P2773" s="9"/>
      <c r="Q2773" s="9"/>
      <c r="R2773" s="9"/>
      <c r="S2773" s="9"/>
      <c r="T2773" s="9"/>
    </row>
    <row r="2774" ht="15.75" customHeight="1">
      <c r="A2774" s="11">
        <f>IFERROR(__xludf.DUMMYFUNCTION("""COMPUTED_VALUE"""),44471.0)</f>
        <v>44471</v>
      </c>
      <c r="B2774" s="9">
        <f>IFERROR(__xludf.DUMMYFUNCTION("""COMPUTED_VALUE"""),1003684.0)</f>
        <v>1003684</v>
      </c>
      <c r="C2774" s="9">
        <f>IFERROR(__xludf.DUMMYFUNCTION("""COMPUTED_VALUE"""),116845.0)</f>
        <v>116845</v>
      </c>
      <c r="D2774" s="9"/>
      <c r="E2774" s="9"/>
      <c r="F2774" s="9">
        <f>IFERROR(__xludf.DUMMYFUNCTION("""COMPUTED_VALUE"""),64.99)</f>
        <v>64.99</v>
      </c>
      <c r="G2774" s="9">
        <f>IFERROR(__xludf.DUMMYFUNCTION("""COMPUTED_VALUE"""),64.99)</f>
        <v>64.99</v>
      </c>
      <c r="H2774" s="9">
        <f>IFERROR(__xludf.DUMMYFUNCTION("""COMPUTED_VALUE"""),6.0)</f>
        <v>6</v>
      </c>
      <c r="I2774" s="9"/>
      <c r="J2774" s="9"/>
      <c r="K2774" s="9"/>
      <c r="L2774" s="9"/>
      <c r="M2774" s="9"/>
      <c r="N2774" s="9"/>
      <c r="O2774" s="9"/>
      <c r="P2774" s="9"/>
      <c r="Q2774" s="9"/>
      <c r="R2774" s="9"/>
      <c r="S2774" s="9"/>
      <c r="T2774" s="9"/>
    </row>
    <row r="2775" ht="15.75" customHeight="1">
      <c r="A2775" s="11">
        <f>IFERROR(__xludf.DUMMYFUNCTION("""COMPUTED_VALUE"""),44471.0)</f>
        <v>44471</v>
      </c>
      <c r="B2775" s="9">
        <f>IFERROR(__xludf.DUMMYFUNCTION("""COMPUTED_VALUE"""),1003685.0)</f>
        <v>1003685</v>
      </c>
      <c r="C2775" s="9">
        <f>IFERROR(__xludf.DUMMYFUNCTION("""COMPUTED_VALUE"""),110864.0)</f>
        <v>110864</v>
      </c>
      <c r="D2775" s="9"/>
      <c r="E2775" s="9"/>
      <c r="F2775" s="9">
        <f>IFERROR(__xludf.DUMMYFUNCTION("""COMPUTED_VALUE"""),25.71)</f>
        <v>25.71</v>
      </c>
      <c r="G2775" s="9">
        <f>IFERROR(__xludf.DUMMYFUNCTION("""COMPUTED_VALUE"""),25.71)</f>
        <v>25.71</v>
      </c>
      <c r="H2775" s="9">
        <f>IFERROR(__xludf.DUMMYFUNCTION("""COMPUTED_VALUE"""),1.0)</f>
        <v>1</v>
      </c>
      <c r="I2775" s="9"/>
      <c r="J2775" s="9"/>
      <c r="K2775" s="9"/>
      <c r="L2775" s="9"/>
      <c r="M2775" s="9"/>
      <c r="N2775" s="9"/>
      <c r="O2775" s="9"/>
      <c r="P2775" s="9"/>
      <c r="Q2775" s="9"/>
      <c r="R2775" s="9"/>
      <c r="S2775" s="9"/>
      <c r="T2775" s="9"/>
    </row>
    <row r="2776" ht="15.75" customHeight="1">
      <c r="A2776" s="11">
        <f>IFERROR(__xludf.DUMMYFUNCTION("""COMPUTED_VALUE"""),44471.0)</f>
        <v>44471</v>
      </c>
      <c r="B2776" s="9">
        <f>IFERROR(__xludf.DUMMYFUNCTION("""COMPUTED_VALUE"""),1003686.0)</f>
        <v>1003686</v>
      </c>
      <c r="C2776" s="9">
        <f>IFERROR(__xludf.DUMMYFUNCTION("""COMPUTED_VALUE"""),77246.0)</f>
        <v>77246</v>
      </c>
      <c r="D2776" s="9"/>
      <c r="E2776" s="10" t="str">
        <f>IFERROR(__xludf.DUMMYFUNCTION("""COMPUTED_VALUE"""),"GREENRELAIS")</f>
        <v>GREENRELAIS</v>
      </c>
      <c r="F2776" s="10">
        <f>IFERROR(__xludf.DUMMYFUNCTION("""COMPUTED_VALUE"""),5.32)</f>
        <v>5.32</v>
      </c>
      <c r="G2776" s="9">
        <f>IFERROR(__xludf.DUMMYFUNCTION("""COMPUTED_VALUE"""),5.32)</f>
        <v>5.32</v>
      </c>
      <c r="H2776" s="9">
        <f>IFERROR(__xludf.DUMMYFUNCTION("""COMPUTED_VALUE"""),1.0)</f>
        <v>1</v>
      </c>
      <c r="I2776" s="9"/>
      <c r="J2776" s="9"/>
      <c r="K2776" s="9"/>
      <c r="L2776" s="9"/>
      <c r="M2776" s="9"/>
      <c r="N2776" s="9"/>
      <c r="O2776" s="9"/>
      <c r="P2776" s="9"/>
      <c r="Q2776" s="9"/>
      <c r="R2776" s="9"/>
      <c r="S2776" s="9"/>
      <c r="T2776" s="9"/>
    </row>
    <row r="2777" ht="15.75" customHeight="1">
      <c r="A2777" s="11">
        <f>IFERROR(__xludf.DUMMYFUNCTION("""COMPUTED_VALUE"""),44471.0)</f>
        <v>44471</v>
      </c>
      <c r="B2777" s="9">
        <f>IFERROR(__xludf.DUMMYFUNCTION("""COMPUTED_VALUE"""),1003686.0)</f>
        <v>1003686</v>
      </c>
      <c r="C2777" s="9">
        <f>IFERROR(__xludf.DUMMYFUNCTION("""COMPUTED_VALUE"""),108840.0)</f>
        <v>108840</v>
      </c>
      <c r="D2777" s="10" t="str">
        <f>IFERROR(__xludf.DUMMYFUNCTION("""COMPUTED_VALUE"""),"Offre Speciale")</f>
        <v>Offre Speciale</v>
      </c>
      <c r="E2777" s="10" t="str">
        <f>IFERROR(__xludf.DUMMYFUNCTION("""COMPUTED_VALUE"""),"GREENRELAIS")</f>
        <v>GREENRELAIS</v>
      </c>
      <c r="F2777" s="10">
        <f>IFERROR(__xludf.DUMMYFUNCTION("""COMPUTED_VALUE"""),4.86585365853658)</f>
        <v>4.865853659</v>
      </c>
      <c r="G2777" s="9">
        <f>IFERROR(__xludf.DUMMYFUNCTION("""COMPUTED_VALUE"""),3.99)</f>
        <v>3.99</v>
      </c>
      <c r="H2777" s="9">
        <f>IFERROR(__xludf.DUMMYFUNCTION("""COMPUTED_VALUE"""),1.0)</f>
        <v>1</v>
      </c>
      <c r="I2777" s="9"/>
      <c r="J2777" s="9"/>
      <c r="K2777" s="9"/>
      <c r="L2777" s="9"/>
      <c r="M2777" s="9"/>
      <c r="N2777" s="9"/>
      <c r="O2777" s="9"/>
      <c r="P2777" s="9"/>
      <c r="Q2777" s="9"/>
      <c r="R2777" s="9"/>
      <c r="S2777" s="9"/>
      <c r="T2777" s="9"/>
    </row>
    <row r="2778" ht="15.75" customHeight="1">
      <c r="A2778" s="11">
        <f>IFERROR(__xludf.DUMMYFUNCTION("""COMPUTED_VALUE"""),44471.0)</f>
        <v>44471</v>
      </c>
      <c r="B2778" s="9">
        <f>IFERROR(__xludf.DUMMYFUNCTION("""COMPUTED_VALUE"""),1003686.0)</f>
        <v>1003686</v>
      </c>
      <c r="C2778" s="9">
        <f>IFERROR(__xludf.DUMMYFUNCTION("""COMPUTED_VALUE"""),109310.0)</f>
        <v>109310</v>
      </c>
      <c r="D2778" s="9"/>
      <c r="E2778" s="10" t="str">
        <f>IFERROR(__xludf.DUMMYFUNCTION("""COMPUTED_VALUE"""),"GREENRELAIS")</f>
        <v>GREENRELAIS</v>
      </c>
      <c r="F2778" s="10">
        <f>IFERROR(__xludf.DUMMYFUNCTION("""COMPUTED_VALUE"""),12.54)</f>
        <v>12.54</v>
      </c>
      <c r="G2778" s="9">
        <f>IFERROR(__xludf.DUMMYFUNCTION("""COMPUTED_VALUE"""),12.54)</f>
        <v>12.54</v>
      </c>
      <c r="H2778" s="9">
        <f>IFERROR(__xludf.DUMMYFUNCTION("""COMPUTED_VALUE"""),2.0)</f>
        <v>2</v>
      </c>
      <c r="I2778" s="9"/>
      <c r="J2778" s="9"/>
      <c r="K2778" s="9"/>
      <c r="L2778" s="9"/>
      <c r="M2778" s="9"/>
      <c r="N2778" s="9"/>
      <c r="O2778" s="9"/>
      <c r="P2778" s="9"/>
      <c r="Q2778" s="9"/>
      <c r="R2778" s="9"/>
      <c r="S2778" s="9"/>
      <c r="T2778" s="9"/>
    </row>
    <row r="2779" ht="15.75" customHeight="1">
      <c r="A2779" s="11">
        <f>IFERROR(__xludf.DUMMYFUNCTION("""COMPUTED_VALUE"""),44471.0)</f>
        <v>44471</v>
      </c>
      <c r="B2779" s="9">
        <f>IFERROR(__xludf.DUMMYFUNCTION("""COMPUTED_VALUE"""),1003686.0)</f>
        <v>1003686</v>
      </c>
      <c r="C2779" s="9">
        <f>IFERROR(__xludf.DUMMYFUNCTION("""COMPUTED_VALUE"""),109308.0)</f>
        <v>109308</v>
      </c>
      <c r="D2779" s="9"/>
      <c r="E2779" s="10" t="str">
        <f>IFERROR(__xludf.DUMMYFUNCTION("""COMPUTED_VALUE"""),"GREENRELAIS")</f>
        <v>GREENRELAIS</v>
      </c>
      <c r="F2779" s="10">
        <f>IFERROR(__xludf.DUMMYFUNCTION("""COMPUTED_VALUE"""),16.33)</f>
        <v>16.33</v>
      </c>
      <c r="G2779" s="9">
        <f>IFERROR(__xludf.DUMMYFUNCTION("""COMPUTED_VALUE"""),16.33)</f>
        <v>16.33</v>
      </c>
      <c r="H2779" s="9">
        <f>IFERROR(__xludf.DUMMYFUNCTION("""COMPUTED_VALUE"""),2.0)</f>
        <v>2</v>
      </c>
      <c r="I2779" s="9"/>
      <c r="J2779" s="9"/>
      <c r="K2779" s="9"/>
      <c r="L2779" s="9"/>
      <c r="M2779" s="9"/>
      <c r="N2779" s="9"/>
      <c r="O2779" s="9"/>
      <c r="P2779" s="9"/>
      <c r="Q2779" s="9"/>
      <c r="R2779" s="9"/>
      <c r="S2779" s="9"/>
      <c r="T2779" s="9"/>
    </row>
    <row r="2780" ht="15.75" customHeight="1">
      <c r="A2780" s="11">
        <f>IFERROR(__xludf.DUMMYFUNCTION("""COMPUTED_VALUE"""),44471.0)</f>
        <v>44471</v>
      </c>
      <c r="B2780" s="9">
        <f>IFERROR(__xludf.DUMMYFUNCTION("""COMPUTED_VALUE"""),1003686.0)</f>
        <v>1003686</v>
      </c>
      <c r="C2780" s="9">
        <f>IFERROR(__xludf.DUMMYFUNCTION("""COMPUTED_VALUE"""),117187.0)</f>
        <v>117187</v>
      </c>
      <c r="D2780" s="9"/>
      <c r="E2780" s="10" t="str">
        <f>IFERROR(__xludf.DUMMYFUNCTION("""COMPUTED_VALUE"""),"GREENRELAIS")</f>
        <v>GREENRELAIS</v>
      </c>
      <c r="F2780" s="10">
        <f>IFERROR(__xludf.DUMMYFUNCTION("""COMPUTED_VALUE"""),12.97)</f>
        <v>12.97</v>
      </c>
      <c r="G2780" s="9">
        <f>IFERROR(__xludf.DUMMYFUNCTION("""COMPUTED_VALUE"""),12.97)</f>
        <v>12.97</v>
      </c>
      <c r="H2780" s="9">
        <f>IFERROR(__xludf.DUMMYFUNCTION("""COMPUTED_VALUE"""),4.0)</f>
        <v>4</v>
      </c>
      <c r="I2780" s="9"/>
      <c r="J2780" s="9"/>
      <c r="K2780" s="9"/>
      <c r="L2780" s="9"/>
      <c r="M2780" s="9"/>
      <c r="N2780" s="9"/>
      <c r="O2780" s="9"/>
      <c r="P2780" s="9"/>
      <c r="Q2780" s="9"/>
      <c r="R2780" s="9"/>
      <c r="S2780" s="9"/>
      <c r="T2780" s="9"/>
    </row>
    <row r="2781" ht="15.75" customHeight="1">
      <c r="A2781" s="11">
        <f>IFERROR(__xludf.DUMMYFUNCTION("""COMPUTED_VALUE"""),44471.0)</f>
        <v>44471</v>
      </c>
      <c r="B2781" s="9">
        <f>IFERROR(__xludf.DUMMYFUNCTION("""COMPUTED_VALUE"""),1003686.0)</f>
        <v>1003686</v>
      </c>
      <c r="C2781" s="9">
        <f>IFERROR(__xludf.DUMMYFUNCTION("""COMPUTED_VALUE"""),48283.0)</f>
        <v>48283</v>
      </c>
      <c r="D2781" s="9"/>
      <c r="E2781" s="10" t="str">
        <f>IFERROR(__xludf.DUMMYFUNCTION("""COMPUTED_VALUE"""),"GREENRELAIS")</f>
        <v>GREENRELAIS</v>
      </c>
      <c r="F2781" s="10">
        <f>IFERROR(__xludf.DUMMYFUNCTION("""COMPUTED_VALUE"""),8.35)</f>
        <v>8.35</v>
      </c>
      <c r="G2781" s="9">
        <f>IFERROR(__xludf.DUMMYFUNCTION("""COMPUTED_VALUE"""),8.35)</f>
        <v>8.35</v>
      </c>
      <c r="H2781" s="9">
        <f>IFERROR(__xludf.DUMMYFUNCTION("""COMPUTED_VALUE"""),6.0)</f>
        <v>6</v>
      </c>
      <c r="I2781" s="9"/>
      <c r="J2781" s="9"/>
      <c r="K2781" s="9"/>
      <c r="L2781" s="9"/>
      <c r="M2781" s="9"/>
      <c r="N2781" s="9"/>
      <c r="O2781" s="9"/>
      <c r="P2781" s="9"/>
      <c r="Q2781" s="9"/>
      <c r="R2781" s="9"/>
      <c r="S2781" s="9"/>
      <c r="T2781" s="9"/>
    </row>
    <row r="2782" ht="15.75" customHeight="1">
      <c r="A2782" s="11">
        <f>IFERROR(__xludf.DUMMYFUNCTION("""COMPUTED_VALUE"""),44471.0)</f>
        <v>44471</v>
      </c>
      <c r="B2782" s="9">
        <f>IFERROR(__xludf.DUMMYFUNCTION("""COMPUTED_VALUE"""),1003687.0)</f>
        <v>1003687</v>
      </c>
      <c r="C2782" s="9">
        <f>IFERROR(__xludf.DUMMYFUNCTION("""COMPUTED_VALUE"""),71375.0)</f>
        <v>71375</v>
      </c>
      <c r="D2782" s="9"/>
      <c r="E2782" s="9"/>
      <c r="F2782" s="9">
        <f>IFERROR(__xludf.DUMMYFUNCTION("""COMPUTED_VALUE"""),3.38)</f>
        <v>3.38</v>
      </c>
      <c r="G2782" s="9">
        <f>IFERROR(__xludf.DUMMYFUNCTION("""COMPUTED_VALUE"""),3.38)</f>
        <v>3.38</v>
      </c>
      <c r="H2782" s="9">
        <f>IFERROR(__xludf.DUMMYFUNCTION("""COMPUTED_VALUE"""),1.0)</f>
        <v>1</v>
      </c>
      <c r="I2782" s="9"/>
      <c r="J2782" s="9"/>
      <c r="K2782" s="9"/>
      <c r="L2782" s="9"/>
      <c r="M2782" s="9"/>
      <c r="N2782" s="9"/>
      <c r="O2782" s="9"/>
      <c r="P2782" s="9"/>
      <c r="Q2782" s="9"/>
      <c r="R2782" s="9"/>
      <c r="S2782" s="9"/>
      <c r="T2782" s="9"/>
    </row>
    <row r="2783" ht="15.75" customHeight="1">
      <c r="A2783" s="11">
        <f>IFERROR(__xludf.DUMMYFUNCTION("""COMPUTED_VALUE"""),44471.0)</f>
        <v>44471</v>
      </c>
      <c r="B2783" s="9">
        <f>IFERROR(__xludf.DUMMYFUNCTION("""COMPUTED_VALUE"""),1003687.0)</f>
        <v>1003687</v>
      </c>
      <c r="C2783" s="9">
        <f>IFERROR(__xludf.DUMMYFUNCTION("""COMPUTED_VALUE"""),128351.0)</f>
        <v>128351</v>
      </c>
      <c r="D2783" s="9"/>
      <c r="E2783" s="9"/>
      <c r="F2783" s="9">
        <f>IFERROR(__xludf.DUMMYFUNCTION("""COMPUTED_VALUE"""),9.49)</f>
        <v>9.49</v>
      </c>
      <c r="G2783" s="9">
        <f>IFERROR(__xludf.DUMMYFUNCTION("""COMPUTED_VALUE"""),9.49)</f>
        <v>9.49</v>
      </c>
      <c r="H2783" s="9">
        <f>IFERROR(__xludf.DUMMYFUNCTION("""COMPUTED_VALUE"""),1.0)</f>
        <v>1</v>
      </c>
      <c r="I2783" s="9"/>
      <c r="J2783" s="9"/>
      <c r="K2783" s="9"/>
      <c r="L2783" s="9"/>
      <c r="M2783" s="9"/>
      <c r="N2783" s="9"/>
      <c r="O2783" s="9"/>
      <c r="P2783" s="9"/>
      <c r="Q2783" s="9"/>
      <c r="R2783" s="9"/>
      <c r="S2783" s="9"/>
      <c r="T2783" s="9"/>
    </row>
    <row r="2784" ht="15.75" customHeight="1">
      <c r="A2784" s="11">
        <f>IFERROR(__xludf.DUMMYFUNCTION("""COMPUTED_VALUE"""),44471.0)</f>
        <v>44471</v>
      </c>
      <c r="B2784" s="9">
        <f>IFERROR(__xludf.DUMMYFUNCTION("""COMPUTED_VALUE"""),1003687.0)</f>
        <v>1003687</v>
      </c>
      <c r="C2784" s="9">
        <f>IFERROR(__xludf.DUMMYFUNCTION("""COMPUTED_VALUE"""),128348.0)</f>
        <v>128348</v>
      </c>
      <c r="D2784" s="9"/>
      <c r="E2784" s="9"/>
      <c r="F2784" s="9">
        <f>IFERROR(__xludf.DUMMYFUNCTION("""COMPUTED_VALUE"""),11.07)</f>
        <v>11.07</v>
      </c>
      <c r="G2784" s="9">
        <f>IFERROR(__xludf.DUMMYFUNCTION("""COMPUTED_VALUE"""),11.07)</f>
        <v>11.07</v>
      </c>
      <c r="H2784" s="9">
        <f>IFERROR(__xludf.DUMMYFUNCTION("""COMPUTED_VALUE"""),2.0)</f>
        <v>2</v>
      </c>
      <c r="I2784" s="9"/>
      <c r="J2784" s="9"/>
      <c r="K2784" s="9"/>
      <c r="L2784" s="9"/>
      <c r="M2784" s="9"/>
      <c r="N2784" s="9"/>
      <c r="O2784" s="9"/>
      <c r="P2784" s="9"/>
      <c r="Q2784" s="9"/>
      <c r="R2784" s="9"/>
      <c r="S2784" s="9"/>
      <c r="T2784" s="9"/>
    </row>
    <row r="2785" ht="15.75" customHeight="1">
      <c r="A2785" s="11">
        <f>IFERROR(__xludf.DUMMYFUNCTION("""COMPUTED_VALUE"""),44471.0)</f>
        <v>44471</v>
      </c>
      <c r="B2785" s="9">
        <f>IFERROR(__xludf.DUMMYFUNCTION("""COMPUTED_VALUE"""),1003688.0)</f>
        <v>1003688</v>
      </c>
      <c r="C2785" s="9">
        <f>IFERROR(__xludf.DUMMYFUNCTION("""COMPUTED_VALUE"""),102939.0)</f>
        <v>102939</v>
      </c>
      <c r="D2785" s="9"/>
      <c r="E2785" s="10" t="str">
        <f>IFERROR(__xludf.DUMMYFUNCTION("""COMPUTED_VALUE"""),"GREENRELAIS")</f>
        <v>GREENRELAIS</v>
      </c>
      <c r="F2785" s="10">
        <f>IFERROR(__xludf.DUMMYFUNCTION("""COMPUTED_VALUE"""),12.21)</f>
        <v>12.21</v>
      </c>
      <c r="G2785" s="9">
        <f>IFERROR(__xludf.DUMMYFUNCTION("""COMPUTED_VALUE"""),12.21)</f>
        <v>12.21</v>
      </c>
      <c r="H2785" s="9">
        <f>IFERROR(__xludf.DUMMYFUNCTION("""COMPUTED_VALUE"""),1.0)</f>
        <v>1</v>
      </c>
      <c r="I2785" s="9"/>
      <c r="J2785" s="9"/>
      <c r="K2785" s="9"/>
      <c r="L2785" s="9"/>
      <c r="M2785" s="9"/>
      <c r="N2785" s="9"/>
      <c r="O2785" s="9"/>
      <c r="P2785" s="9"/>
      <c r="Q2785" s="9"/>
      <c r="R2785" s="9"/>
      <c r="S2785" s="9"/>
      <c r="T2785" s="9"/>
    </row>
    <row r="2786" ht="15.75" customHeight="1">
      <c r="A2786" s="11">
        <f>IFERROR(__xludf.DUMMYFUNCTION("""COMPUTED_VALUE"""),44471.0)</f>
        <v>44471</v>
      </c>
      <c r="B2786" s="9">
        <f>IFERROR(__xludf.DUMMYFUNCTION("""COMPUTED_VALUE"""),1003688.0)</f>
        <v>1003688</v>
      </c>
      <c r="C2786" s="9">
        <f>IFERROR(__xludf.DUMMYFUNCTION("""COMPUTED_VALUE"""),7258.0)</f>
        <v>7258</v>
      </c>
      <c r="D2786" s="10" t="str">
        <f>IFERROR(__xludf.DUMMYFUNCTION("""COMPUTED_VALUE"""),"Vive le bio")</f>
        <v>Vive le bio</v>
      </c>
      <c r="E2786" s="10" t="str">
        <f>IFERROR(__xludf.DUMMYFUNCTION("""COMPUTED_VALUE"""),"GREENRELAIS")</f>
        <v>GREENRELAIS</v>
      </c>
      <c r="F2786" s="10">
        <f>IFERROR(__xludf.DUMMYFUNCTION("""COMPUTED_VALUE"""),7.63157894736842)</f>
        <v>7.631578947</v>
      </c>
      <c r="G2786" s="9">
        <f>IFERROR(__xludf.DUMMYFUNCTION("""COMPUTED_VALUE"""),7.25)</f>
        <v>7.25</v>
      </c>
      <c r="H2786" s="9">
        <f>IFERROR(__xludf.DUMMYFUNCTION("""COMPUTED_VALUE"""),3.0)</f>
        <v>3</v>
      </c>
      <c r="I2786" s="9"/>
      <c r="J2786" s="9"/>
      <c r="K2786" s="9"/>
      <c r="L2786" s="9"/>
      <c r="M2786" s="9"/>
      <c r="N2786" s="9"/>
      <c r="O2786" s="9"/>
      <c r="P2786" s="9"/>
      <c r="Q2786" s="9"/>
      <c r="R2786" s="9"/>
      <c r="S2786" s="9"/>
      <c r="T2786" s="9"/>
    </row>
    <row r="2787" ht="15.75" customHeight="1">
      <c r="A2787" s="11">
        <f>IFERROR(__xludf.DUMMYFUNCTION("""COMPUTED_VALUE"""),44471.0)</f>
        <v>44471</v>
      </c>
      <c r="B2787" s="9">
        <f>IFERROR(__xludf.DUMMYFUNCTION("""COMPUTED_VALUE"""),1003688.0)</f>
        <v>1003688</v>
      </c>
      <c r="C2787" s="9">
        <f>IFERROR(__xludf.DUMMYFUNCTION("""COMPUTED_VALUE"""),103592.0)</f>
        <v>103592</v>
      </c>
      <c r="D2787" s="10" t="str">
        <f>IFERROR(__xludf.DUMMYFUNCTION("""COMPUTED_VALUE"""),"Love &amp; Green Couches et Culottes sept 2021")</f>
        <v>Love &amp; Green Couches et Culottes sept 2021</v>
      </c>
      <c r="E2787" s="10" t="str">
        <f>IFERROR(__xludf.DUMMYFUNCTION("""COMPUTED_VALUE"""),"GREENRELAIS")</f>
        <v>GREENRELAIS</v>
      </c>
      <c r="F2787" s="10">
        <f>IFERROR(__xludf.DUMMYFUNCTION("""COMPUTED_VALUE"""),46.9857142857142)</f>
        <v>46.98571429</v>
      </c>
      <c r="G2787" s="9">
        <f>IFERROR(__xludf.DUMMYFUNCTION("""COMPUTED_VALUE"""),32.89)</f>
        <v>32.89</v>
      </c>
      <c r="H2787" s="9">
        <f>IFERROR(__xludf.DUMMYFUNCTION("""COMPUTED_VALUE"""),3.0)</f>
        <v>3</v>
      </c>
      <c r="I2787" s="9"/>
      <c r="J2787" s="9"/>
      <c r="K2787" s="9"/>
      <c r="L2787" s="9"/>
      <c r="M2787" s="9"/>
      <c r="N2787" s="9"/>
      <c r="O2787" s="9"/>
      <c r="P2787" s="9"/>
      <c r="Q2787" s="9"/>
      <c r="R2787" s="9"/>
      <c r="S2787" s="9"/>
      <c r="T2787" s="9"/>
    </row>
    <row r="2788" ht="15.75" customHeight="1">
      <c r="A2788" s="11">
        <f>IFERROR(__xludf.DUMMYFUNCTION("""COMPUTED_VALUE"""),44471.0)</f>
        <v>44471</v>
      </c>
      <c r="B2788" s="9">
        <f>IFERROR(__xludf.DUMMYFUNCTION("""COMPUTED_VALUE"""),1003688.0)</f>
        <v>1003688</v>
      </c>
      <c r="C2788" s="9">
        <f>IFERROR(__xludf.DUMMYFUNCTION("""COMPUTED_VALUE"""),122026.0)</f>
        <v>122026</v>
      </c>
      <c r="D2788" s="10" t="str">
        <f>IFERROR(__xludf.DUMMYFUNCTION("""COMPUTED_VALUE"""),"Love &amp; Green Couches et Culottes sept 2021")</f>
        <v>Love &amp; Green Couches et Culottes sept 2021</v>
      </c>
      <c r="E2788" s="10" t="str">
        <f>IFERROR(__xludf.DUMMYFUNCTION("""COMPUTED_VALUE"""),"GREENRELAIS")</f>
        <v>GREENRELAIS</v>
      </c>
      <c r="F2788" s="10">
        <f>IFERROR(__xludf.DUMMYFUNCTION("""COMPUTED_VALUE"""),30.0571428571428)</f>
        <v>30.05714286</v>
      </c>
      <c r="G2788" s="9">
        <f>IFERROR(__xludf.DUMMYFUNCTION("""COMPUTED_VALUE"""),21.04)</f>
        <v>21.04</v>
      </c>
      <c r="H2788" s="9">
        <f>IFERROR(__xludf.DUMMYFUNCTION("""COMPUTED_VALUE"""),3.0)</f>
        <v>3</v>
      </c>
      <c r="I2788" s="9"/>
      <c r="J2788" s="9"/>
      <c r="K2788" s="9"/>
      <c r="L2788" s="9"/>
      <c r="M2788" s="9"/>
      <c r="N2788" s="9"/>
      <c r="O2788" s="9"/>
      <c r="P2788" s="9"/>
      <c r="Q2788" s="9"/>
      <c r="R2788" s="9"/>
      <c r="S2788" s="9"/>
      <c r="T2788" s="9"/>
    </row>
    <row r="2789" ht="15.75" customHeight="1">
      <c r="A2789" s="11">
        <f>IFERROR(__xludf.DUMMYFUNCTION("""COMPUTED_VALUE"""),44471.0)</f>
        <v>44471</v>
      </c>
      <c r="B2789" s="9">
        <f>IFERROR(__xludf.DUMMYFUNCTION("""COMPUTED_VALUE"""),1003689.0)</f>
        <v>1003689</v>
      </c>
      <c r="C2789" s="9">
        <f>IFERROR(__xludf.DUMMYFUNCTION("""COMPUTED_VALUE"""),145102.0)</f>
        <v>145102</v>
      </c>
      <c r="D2789" s="9"/>
      <c r="E2789" s="9"/>
      <c r="F2789" s="9">
        <f>IFERROR(__xludf.DUMMYFUNCTION("""COMPUTED_VALUE"""),47.48)</f>
        <v>47.48</v>
      </c>
      <c r="G2789" s="9">
        <f>IFERROR(__xludf.DUMMYFUNCTION("""COMPUTED_VALUE"""),47.48)</f>
        <v>47.48</v>
      </c>
      <c r="H2789" s="9">
        <f>IFERROR(__xludf.DUMMYFUNCTION("""COMPUTED_VALUE"""),2.0)</f>
        <v>2</v>
      </c>
      <c r="I2789" s="9"/>
      <c r="J2789" s="9"/>
      <c r="K2789" s="9"/>
      <c r="L2789" s="9"/>
      <c r="M2789" s="9"/>
      <c r="N2789" s="9"/>
      <c r="O2789" s="9"/>
      <c r="P2789" s="9"/>
      <c r="Q2789" s="9"/>
      <c r="R2789" s="9"/>
      <c r="S2789" s="9"/>
      <c r="T2789" s="9"/>
    </row>
    <row r="2790" ht="15.75" customHeight="1">
      <c r="A2790" s="11">
        <f>IFERROR(__xludf.DUMMYFUNCTION("""COMPUTED_VALUE"""),44471.0)</f>
        <v>44471</v>
      </c>
      <c r="B2790" s="9">
        <f>IFERROR(__xludf.DUMMYFUNCTION("""COMPUTED_VALUE"""),1003689.0)</f>
        <v>1003689</v>
      </c>
      <c r="C2790" s="9">
        <f>IFERROR(__xludf.DUMMYFUNCTION("""COMPUTED_VALUE"""),145105.0)</f>
        <v>145105</v>
      </c>
      <c r="D2790" s="9"/>
      <c r="E2790" s="9"/>
      <c r="F2790" s="9">
        <f>IFERROR(__xludf.DUMMYFUNCTION("""COMPUTED_VALUE"""),15.82)</f>
        <v>15.82</v>
      </c>
      <c r="G2790" s="9">
        <f>IFERROR(__xludf.DUMMYFUNCTION("""COMPUTED_VALUE"""),15.82)</f>
        <v>15.82</v>
      </c>
      <c r="H2790" s="9">
        <f>IFERROR(__xludf.DUMMYFUNCTION("""COMPUTED_VALUE"""),2.0)</f>
        <v>2</v>
      </c>
      <c r="I2790" s="9"/>
      <c r="J2790" s="9"/>
      <c r="K2790" s="9"/>
      <c r="L2790" s="9"/>
      <c r="M2790" s="9"/>
      <c r="N2790" s="9"/>
      <c r="O2790" s="9"/>
      <c r="P2790" s="9"/>
      <c r="Q2790" s="9"/>
      <c r="R2790" s="9"/>
      <c r="S2790" s="9"/>
      <c r="T2790" s="9"/>
    </row>
    <row r="2791" ht="15.75" customHeight="1">
      <c r="A2791" s="11">
        <f>IFERROR(__xludf.DUMMYFUNCTION("""COMPUTED_VALUE"""),44471.0)</f>
        <v>44471</v>
      </c>
      <c r="B2791" s="9">
        <f>IFERROR(__xludf.DUMMYFUNCTION("""COMPUTED_VALUE"""),1003690.0)</f>
        <v>1003690</v>
      </c>
      <c r="C2791" s="9">
        <f>IFERROR(__xludf.DUMMYFUNCTION("""COMPUTED_VALUE"""),149510.0)</f>
        <v>149510</v>
      </c>
      <c r="D2791" s="9"/>
      <c r="E2791" s="9"/>
      <c r="F2791" s="9">
        <f>IFERROR(__xludf.DUMMYFUNCTION("""COMPUTED_VALUE"""),2.11)</f>
        <v>2.11</v>
      </c>
      <c r="G2791" s="9">
        <f>IFERROR(__xludf.DUMMYFUNCTION("""COMPUTED_VALUE"""),2.11)</f>
        <v>2.11</v>
      </c>
      <c r="H2791" s="9">
        <f>IFERROR(__xludf.DUMMYFUNCTION("""COMPUTED_VALUE"""),1.0)</f>
        <v>1</v>
      </c>
      <c r="I2791" s="9"/>
      <c r="J2791" s="9"/>
      <c r="K2791" s="9"/>
      <c r="L2791" s="9"/>
      <c r="M2791" s="9"/>
      <c r="N2791" s="9"/>
      <c r="O2791" s="9"/>
      <c r="P2791" s="9"/>
      <c r="Q2791" s="9"/>
      <c r="R2791" s="9"/>
      <c r="S2791" s="9"/>
      <c r="T2791" s="9"/>
    </row>
    <row r="2792" ht="15.75" customHeight="1">
      <c r="A2792" s="11">
        <f>IFERROR(__xludf.DUMMYFUNCTION("""COMPUTED_VALUE"""),44471.0)</f>
        <v>44471</v>
      </c>
      <c r="B2792" s="9">
        <f>IFERROR(__xludf.DUMMYFUNCTION("""COMPUTED_VALUE"""),1003690.0)</f>
        <v>1003690</v>
      </c>
      <c r="C2792" s="9">
        <f>IFERROR(__xludf.DUMMYFUNCTION("""COMPUTED_VALUE"""),149495.0)</f>
        <v>149495</v>
      </c>
      <c r="D2792" s="9"/>
      <c r="E2792" s="9"/>
      <c r="F2792" s="9">
        <f>IFERROR(__xludf.DUMMYFUNCTION("""COMPUTED_VALUE"""),5.66)</f>
        <v>5.66</v>
      </c>
      <c r="G2792" s="9">
        <f>IFERROR(__xludf.DUMMYFUNCTION("""COMPUTED_VALUE"""),5.66)</f>
        <v>5.66</v>
      </c>
      <c r="H2792" s="9">
        <f>IFERROR(__xludf.DUMMYFUNCTION("""COMPUTED_VALUE"""),2.0)</f>
        <v>2</v>
      </c>
      <c r="I2792" s="9"/>
      <c r="J2792" s="9"/>
      <c r="K2792" s="9"/>
      <c r="L2792" s="9"/>
      <c r="M2792" s="9"/>
      <c r="N2792" s="9"/>
      <c r="O2792" s="9"/>
      <c r="P2792" s="9"/>
      <c r="Q2792" s="9"/>
      <c r="R2792" s="9"/>
      <c r="S2792" s="9"/>
      <c r="T2792" s="9"/>
    </row>
    <row r="2793" ht="15.75" customHeight="1">
      <c r="A2793" s="11">
        <f>IFERROR(__xludf.DUMMYFUNCTION("""COMPUTED_VALUE"""),44471.0)</f>
        <v>44471</v>
      </c>
      <c r="B2793" s="9">
        <f>IFERROR(__xludf.DUMMYFUNCTION("""COMPUTED_VALUE"""),1003690.0)</f>
        <v>1003690</v>
      </c>
      <c r="C2793" s="9">
        <f>IFERROR(__xludf.DUMMYFUNCTION("""COMPUTED_VALUE"""),7264.0)</f>
        <v>7264</v>
      </c>
      <c r="D2793" s="9"/>
      <c r="E2793" s="9"/>
      <c r="F2793" s="9">
        <f>IFERROR(__xludf.DUMMYFUNCTION("""COMPUTED_VALUE"""),7.09)</f>
        <v>7.09</v>
      </c>
      <c r="G2793" s="9">
        <f>IFERROR(__xludf.DUMMYFUNCTION("""COMPUTED_VALUE"""),7.09)</f>
        <v>7.09</v>
      </c>
      <c r="H2793" s="9">
        <f>IFERROR(__xludf.DUMMYFUNCTION("""COMPUTED_VALUE"""),3.0)</f>
        <v>3</v>
      </c>
      <c r="I2793" s="9"/>
      <c r="J2793" s="9"/>
      <c r="K2793" s="9"/>
      <c r="L2793" s="9"/>
      <c r="M2793" s="9"/>
      <c r="N2793" s="9"/>
      <c r="O2793" s="9"/>
      <c r="P2793" s="9"/>
      <c r="Q2793" s="9"/>
      <c r="R2793" s="9"/>
      <c r="S2793" s="9"/>
      <c r="T2793" s="9"/>
    </row>
    <row r="2794" ht="15.75" customHeight="1">
      <c r="A2794" s="11">
        <f>IFERROR(__xludf.DUMMYFUNCTION("""COMPUTED_VALUE"""),44471.0)</f>
        <v>44471</v>
      </c>
      <c r="B2794" s="9">
        <f>IFERROR(__xludf.DUMMYFUNCTION("""COMPUTED_VALUE"""),1003690.0)</f>
        <v>1003690</v>
      </c>
      <c r="C2794" s="9">
        <f>IFERROR(__xludf.DUMMYFUNCTION("""COMPUTED_VALUE"""),149510.0)</f>
        <v>149510</v>
      </c>
      <c r="D2794" s="9"/>
      <c r="E2794" s="9"/>
      <c r="F2794" s="9">
        <f>IFERROR(__xludf.DUMMYFUNCTION("""COMPUTED_VALUE"""),12.56)</f>
        <v>12.56</v>
      </c>
      <c r="G2794" s="9">
        <f>IFERROR(__xludf.DUMMYFUNCTION("""COMPUTED_VALUE"""),12.56)</f>
        <v>12.56</v>
      </c>
      <c r="H2794" s="9">
        <f>IFERROR(__xludf.DUMMYFUNCTION("""COMPUTED_VALUE"""),6.0)</f>
        <v>6</v>
      </c>
      <c r="I2794" s="9"/>
      <c r="J2794" s="9"/>
      <c r="K2794" s="9"/>
      <c r="L2794" s="9"/>
      <c r="M2794" s="9"/>
      <c r="N2794" s="9"/>
      <c r="O2794" s="9"/>
      <c r="P2794" s="9"/>
      <c r="Q2794" s="9"/>
      <c r="R2794" s="9"/>
      <c r="S2794" s="9"/>
      <c r="T2794" s="9"/>
    </row>
    <row r="2795" ht="15.75" customHeight="1">
      <c r="A2795" s="11">
        <f>IFERROR(__xludf.DUMMYFUNCTION("""COMPUTED_VALUE"""),44471.0)</f>
        <v>44471</v>
      </c>
      <c r="B2795" s="9">
        <f>IFERROR(__xludf.DUMMYFUNCTION("""COMPUTED_VALUE"""),1003690.0)</f>
        <v>1003690</v>
      </c>
      <c r="C2795" s="9">
        <f>IFERROR(__xludf.DUMMYFUNCTION("""COMPUTED_VALUE"""),7263.0)</f>
        <v>7263</v>
      </c>
      <c r="D2795" s="9"/>
      <c r="E2795" s="9"/>
      <c r="F2795" s="9">
        <f>IFERROR(__xludf.DUMMYFUNCTION("""COMPUTED_VALUE"""),13.19)</f>
        <v>13.19</v>
      </c>
      <c r="G2795" s="9">
        <f>IFERROR(__xludf.DUMMYFUNCTION("""COMPUTED_VALUE"""),13.19)</f>
        <v>13.19</v>
      </c>
      <c r="H2795" s="9">
        <f>IFERROR(__xludf.DUMMYFUNCTION("""COMPUTED_VALUE"""),6.0)</f>
        <v>6</v>
      </c>
      <c r="I2795" s="9"/>
      <c r="J2795" s="9"/>
      <c r="K2795" s="9"/>
      <c r="L2795" s="9"/>
      <c r="M2795" s="9"/>
      <c r="N2795" s="9"/>
      <c r="O2795" s="9"/>
      <c r="P2795" s="9"/>
      <c r="Q2795" s="9"/>
      <c r="R2795" s="9"/>
      <c r="S2795" s="9"/>
      <c r="T2795" s="9"/>
    </row>
    <row r="2796" ht="15.75" customHeight="1">
      <c r="A2796" s="11">
        <f>IFERROR(__xludf.DUMMYFUNCTION("""COMPUTED_VALUE"""),44471.0)</f>
        <v>44471</v>
      </c>
      <c r="B2796" s="9">
        <f>IFERROR(__xludf.DUMMYFUNCTION("""COMPUTED_VALUE"""),1003691.0)</f>
        <v>1003691</v>
      </c>
      <c r="C2796" s="9">
        <f>IFERROR(__xludf.DUMMYFUNCTION("""COMPUTED_VALUE"""),82453.0)</f>
        <v>82453</v>
      </c>
      <c r="D2796" s="9"/>
      <c r="E2796" s="9"/>
      <c r="F2796" s="9">
        <f>IFERROR(__xludf.DUMMYFUNCTION("""COMPUTED_VALUE"""),2.5)</f>
        <v>2.5</v>
      </c>
      <c r="G2796" s="9">
        <f>IFERROR(__xludf.DUMMYFUNCTION("""COMPUTED_VALUE"""),2.5)</f>
        <v>2.5</v>
      </c>
      <c r="H2796" s="9">
        <f>IFERROR(__xludf.DUMMYFUNCTION("""COMPUTED_VALUE"""),1.0)</f>
        <v>1</v>
      </c>
      <c r="I2796" s="9"/>
      <c r="J2796" s="9"/>
      <c r="K2796" s="9"/>
      <c r="L2796" s="9"/>
      <c r="M2796" s="9"/>
      <c r="N2796" s="9"/>
      <c r="O2796" s="9"/>
      <c r="P2796" s="9"/>
      <c r="Q2796" s="9"/>
      <c r="R2796" s="9"/>
      <c r="S2796" s="9"/>
      <c r="T2796" s="9"/>
    </row>
    <row r="2797" ht="15.75" customHeight="1">
      <c r="A2797" s="11">
        <f>IFERROR(__xludf.DUMMYFUNCTION("""COMPUTED_VALUE"""),44471.0)</f>
        <v>44471</v>
      </c>
      <c r="B2797" s="9">
        <f>IFERROR(__xludf.DUMMYFUNCTION("""COMPUTED_VALUE"""),1003691.0)</f>
        <v>1003691</v>
      </c>
      <c r="C2797" s="9">
        <f>IFERROR(__xludf.DUMMYFUNCTION("""COMPUTED_VALUE"""),71842.0)</f>
        <v>71842</v>
      </c>
      <c r="D2797" s="10" t="str">
        <f>IFERROR(__xludf.DUMMYFUNCTION("""COMPUTED_VALUE"""),"Vive le bio")</f>
        <v>Vive le bio</v>
      </c>
      <c r="E2797" s="10"/>
      <c r="F2797" s="9">
        <f>IFERROR(__xludf.DUMMYFUNCTION("""COMPUTED_VALUE"""),4.34444444444444)</f>
        <v>4.344444444</v>
      </c>
      <c r="G2797" s="9">
        <f>IFERROR(__xludf.DUMMYFUNCTION("""COMPUTED_VALUE"""),3.91)</f>
        <v>3.91</v>
      </c>
      <c r="H2797" s="9">
        <f>IFERROR(__xludf.DUMMYFUNCTION("""COMPUTED_VALUE"""),1.0)</f>
        <v>1</v>
      </c>
      <c r="I2797" s="9"/>
      <c r="J2797" s="9"/>
      <c r="K2797" s="9"/>
      <c r="L2797" s="9"/>
      <c r="M2797" s="9"/>
      <c r="N2797" s="9"/>
      <c r="O2797" s="9"/>
      <c r="P2797" s="9"/>
      <c r="Q2797" s="9"/>
      <c r="R2797" s="9"/>
      <c r="S2797" s="9"/>
      <c r="T2797" s="9"/>
    </row>
    <row r="2798" ht="15.75" customHeight="1">
      <c r="A2798" s="11">
        <f>IFERROR(__xludf.DUMMYFUNCTION("""COMPUTED_VALUE"""),44471.0)</f>
        <v>44471</v>
      </c>
      <c r="B2798" s="9">
        <f>IFERROR(__xludf.DUMMYFUNCTION("""COMPUTED_VALUE"""),1003691.0)</f>
        <v>1003691</v>
      </c>
      <c r="C2798" s="9">
        <f>IFERROR(__xludf.DUMMYFUNCTION("""COMPUTED_VALUE"""),120803.0)</f>
        <v>120803</v>
      </c>
      <c r="D2798" s="9"/>
      <c r="E2798" s="9"/>
      <c r="F2798" s="9">
        <f>IFERROR(__xludf.DUMMYFUNCTION("""COMPUTED_VALUE"""),12.04)</f>
        <v>12.04</v>
      </c>
      <c r="G2798" s="9">
        <f>IFERROR(__xludf.DUMMYFUNCTION("""COMPUTED_VALUE"""),12.04)</f>
        <v>12.04</v>
      </c>
      <c r="H2798" s="9">
        <f>IFERROR(__xludf.DUMMYFUNCTION("""COMPUTED_VALUE"""),1.0)</f>
        <v>1</v>
      </c>
      <c r="I2798" s="9"/>
      <c r="J2798" s="9"/>
      <c r="K2798" s="9"/>
      <c r="L2798" s="9"/>
      <c r="M2798" s="9"/>
      <c r="N2798" s="9"/>
      <c r="O2798" s="9"/>
      <c r="P2798" s="9"/>
      <c r="Q2798" s="9"/>
      <c r="R2798" s="9"/>
      <c r="S2798" s="9"/>
      <c r="T2798" s="9"/>
    </row>
    <row r="2799" ht="15.75" customHeight="1">
      <c r="A2799" s="11">
        <f>IFERROR(__xludf.DUMMYFUNCTION("""COMPUTED_VALUE"""),44471.0)</f>
        <v>44471</v>
      </c>
      <c r="B2799" s="9">
        <f>IFERROR(__xludf.DUMMYFUNCTION("""COMPUTED_VALUE"""),1003691.0)</f>
        <v>1003691</v>
      </c>
      <c r="C2799" s="9">
        <f>IFERROR(__xludf.DUMMYFUNCTION("""COMPUTED_VALUE"""),107358.0)</f>
        <v>107358</v>
      </c>
      <c r="D2799" s="9"/>
      <c r="E2799" s="9"/>
      <c r="F2799" s="9">
        <f>IFERROR(__xludf.DUMMYFUNCTION("""COMPUTED_VALUE"""),4.55)</f>
        <v>4.55</v>
      </c>
      <c r="G2799" s="9">
        <f>IFERROR(__xludf.DUMMYFUNCTION("""COMPUTED_VALUE"""),4.55)</f>
        <v>4.55</v>
      </c>
      <c r="H2799" s="9">
        <f>IFERROR(__xludf.DUMMYFUNCTION("""COMPUTED_VALUE"""),1.0)</f>
        <v>1</v>
      </c>
      <c r="I2799" s="9"/>
      <c r="J2799" s="9"/>
      <c r="K2799" s="9"/>
      <c r="L2799" s="9"/>
      <c r="M2799" s="9"/>
      <c r="N2799" s="9"/>
      <c r="O2799" s="9"/>
      <c r="P2799" s="9"/>
      <c r="Q2799" s="9"/>
      <c r="R2799" s="9"/>
      <c r="S2799" s="9"/>
      <c r="T2799" s="9"/>
    </row>
    <row r="2800" ht="15.75" customHeight="1">
      <c r="A2800" s="11">
        <f>IFERROR(__xludf.DUMMYFUNCTION("""COMPUTED_VALUE"""),44471.0)</f>
        <v>44471</v>
      </c>
      <c r="B2800" s="9">
        <f>IFERROR(__xludf.DUMMYFUNCTION("""COMPUTED_VALUE"""),1003691.0)</f>
        <v>1003691</v>
      </c>
      <c r="C2800" s="9">
        <f>IFERROR(__xludf.DUMMYFUNCTION("""COMPUTED_VALUE"""),101083.0)</f>
        <v>101083</v>
      </c>
      <c r="D2800" s="9"/>
      <c r="E2800" s="9"/>
      <c r="F2800" s="9">
        <f>IFERROR(__xludf.DUMMYFUNCTION("""COMPUTED_VALUE"""),18.03)</f>
        <v>18.03</v>
      </c>
      <c r="G2800" s="9">
        <f>IFERROR(__xludf.DUMMYFUNCTION("""COMPUTED_VALUE"""),18.03)</f>
        <v>18.03</v>
      </c>
      <c r="H2800" s="9">
        <f>IFERROR(__xludf.DUMMYFUNCTION("""COMPUTED_VALUE"""),1.0)</f>
        <v>1</v>
      </c>
      <c r="I2800" s="9"/>
      <c r="J2800" s="9"/>
      <c r="K2800" s="9"/>
      <c r="L2800" s="9"/>
      <c r="M2800" s="9"/>
      <c r="N2800" s="9"/>
      <c r="O2800" s="9"/>
      <c r="P2800" s="9"/>
      <c r="Q2800" s="9"/>
      <c r="R2800" s="9"/>
      <c r="S2800" s="9"/>
      <c r="T2800" s="9"/>
    </row>
    <row r="2801" ht="15.75" customHeight="1">
      <c r="A2801" s="11">
        <f>IFERROR(__xludf.DUMMYFUNCTION("""COMPUTED_VALUE"""),44471.0)</f>
        <v>44471</v>
      </c>
      <c r="B2801" s="9">
        <f>IFERROR(__xludf.DUMMYFUNCTION("""COMPUTED_VALUE"""),1003691.0)</f>
        <v>1003691</v>
      </c>
      <c r="C2801" s="9">
        <f>IFERROR(__xludf.DUMMYFUNCTION("""COMPUTED_VALUE"""),11815.0)</f>
        <v>11815</v>
      </c>
      <c r="D2801" s="10" t="str">
        <f>IFERROR(__xludf.DUMMYFUNCTION("""COMPUTED_VALUE"""),"Offre Speciale")</f>
        <v>Offre Speciale</v>
      </c>
      <c r="E2801" s="10"/>
      <c r="F2801" s="9">
        <f>IFERROR(__xludf.DUMMYFUNCTION("""COMPUTED_VALUE"""),7.91139240506329)</f>
        <v>7.911392405</v>
      </c>
      <c r="G2801" s="9">
        <f>IFERROR(__xludf.DUMMYFUNCTION("""COMPUTED_VALUE"""),6.25)</f>
        <v>6.25</v>
      </c>
      <c r="H2801" s="9">
        <f>IFERROR(__xludf.DUMMYFUNCTION("""COMPUTED_VALUE"""),1.0)</f>
        <v>1</v>
      </c>
      <c r="I2801" s="9"/>
      <c r="J2801" s="9"/>
      <c r="K2801" s="9"/>
      <c r="L2801" s="9"/>
      <c r="M2801" s="9"/>
      <c r="N2801" s="9"/>
      <c r="O2801" s="9"/>
      <c r="P2801" s="9"/>
      <c r="Q2801" s="9"/>
      <c r="R2801" s="9"/>
      <c r="S2801" s="9"/>
      <c r="T2801" s="9"/>
    </row>
    <row r="2802" ht="15.75" customHeight="1">
      <c r="A2802" s="11">
        <f>IFERROR(__xludf.DUMMYFUNCTION("""COMPUTED_VALUE"""),44471.0)</f>
        <v>44471</v>
      </c>
      <c r="B2802" s="9">
        <f>IFERROR(__xludf.DUMMYFUNCTION("""COMPUTED_VALUE"""),1003691.0)</f>
        <v>1003691</v>
      </c>
      <c r="C2802" s="9">
        <f>IFERROR(__xludf.DUMMYFUNCTION("""COMPUTED_VALUE"""),29117.0)</f>
        <v>29117</v>
      </c>
      <c r="D2802" s="9"/>
      <c r="E2802" s="9"/>
      <c r="F2802" s="9">
        <f>IFERROR(__xludf.DUMMYFUNCTION("""COMPUTED_VALUE"""),2.42)</f>
        <v>2.42</v>
      </c>
      <c r="G2802" s="9">
        <f>IFERROR(__xludf.DUMMYFUNCTION("""COMPUTED_VALUE"""),2.42)</f>
        <v>2.42</v>
      </c>
      <c r="H2802" s="9">
        <f>IFERROR(__xludf.DUMMYFUNCTION("""COMPUTED_VALUE"""),1.0)</f>
        <v>1</v>
      </c>
      <c r="I2802" s="9"/>
      <c r="J2802" s="9"/>
      <c r="K2802" s="9"/>
      <c r="L2802" s="9"/>
      <c r="M2802" s="9"/>
      <c r="N2802" s="9"/>
      <c r="O2802" s="9"/>
      <c r="P2802" s="9"/>
      <c r="Q2802" s="9"/>
      <c r="R2802" s="9"/>
      <c r="S2802" s="9"/>
      <c r="T2802" s="9"/>
    </row>
    <row r="2803" ht="15.75" customHeight="1">
      <c r="A2803" s="11">
        <f>IFERROR(__xludf.DUMMYFUNCTION("""COMPUTED_VALUE"""),44471.0)</f>
        <v>44471</v>
      </c>
      <c r="B2803" s="9">
        <f>IFERROR(__xludf.DUMMYFUNCTION("""COMPUTED_VALUE"""),1003691.0)</f>
        <v>1003691</v>
      </c>
      <c r="C2803" s="9">
        <f>IFERROR(__xludf.DUMMYFUNCTION("""COMPUTED_VALUE"""),69064.0)</f>
        <v>69064</v>
      </c>
      <c r="D2803" s="9"/>
      <c r="E2803" s="9"/>
      <c r="F2803" s="9">
        <f>IFERROR(__xludf.DUMMYFUNCTION("""COMPUTED_VALUE"""),1.21)</f>
        <v>1.21</v>
      </c>
      <c r="G2803" s="9">
        <f>IFERROR(__xludf.DUMMYFUNCTION("""COMPUTED_VALUE"""),1.21)</f>
        <v>1.21</v>
      </c>
      <c r="H2803" s="9">
        <f>IFERROR(__xludf.DUMMYFUNCTION("""COMPUTED_VALUE"""),1.0)</f>
        <v>1</v>
      </c>
      <c r="I2803" s="9"/>
      <c r="J2803" s="9"/>
      <c r="K2803" s="9"/>
      <c r="L2803" s="9"/>
      <c r="M2803" s="9"/>
      <c r="N2803" s="9"/>
      <c r="O2803" s="9"/>
      <c r="P2803" s="9"/>
      <c r="Q2803" s="9"/>
      <c r="R2803" s="9"/>
      <c r="S2803" s="9"/>
      <c r="T2803" s="9"/>
    </row>
    <row r="2804" ht="15.75" customHeight="1">
      <c r="A2804" s="11">
        <f>IFERROR(__xludf.DUMMYFUNCTION("""COMPUTED_VALUE"""),44471.0)</f>
        <v>44471</v>
      </c>
      <c r="B2804" s="9">
        <f>IFERROR(__xludf.DUMMYFUNCTION("""COMPUTED_VALUE"""),1003691.0)</f>
        <v>1003691</v>
      </c>
      <c r="C2804" s="9">
        <f>IFERROR(__xludf.DUMMYFUNCTION("""COMPUTED_VALUE"""),46759.0)</f>
        <v>46759</v>
      </c>
      <c r="D2804" s="9"/>
      <c r="E2804" s="9"/>
      <c r="F2804" s="9">
        <f>IFERROR(__xludf.DUMMYFUNCTION("""COMPUTED_VALUE"""),1.46)</f>
        <v>1.46</v>
      </c>
      <c r="G2804" s="9">
        <f>IFERROR(__xludf.DUMMYFUNCTION("""COMPUTED_VALUE"""),1.46)</f>
        <v>1.46</v>
      </c>
      <c r="H2804" s="9">
        <f>IFERROR(__xludf.DUMMYFUNCTION("""COMPUTED_VALUE"""),1.0)</f>
        <v>1</v>
      </c>
      <c r="I2804" s="9"/>
      <c r="J2804" s="9"/>
      <c r="K2804" s="9"/>
      <c r="L2804" s="9"/>
      <c r="M2804" s="9"/>
      <c r="N2804" s="9"/>
      <c r="O2804" s="9"/>
      <c r="P2804" s="9"/>
      <c r="Q2804" s="9"/>
      <c r="R2804" s="9"/>
      <c r="S2804" s="9"/>
      <c r="T2804" s="9"/>
    </row>
    <row r="2805" ht="15.75" customHeight="1">
      <c r="A2805" s="11">
        <f>IFERROR(__xludf.DUMMYFUNCTION("""COMPUTED_VALUE"""),44471.0)</f>
        <v>44471</v>
      </c>
      <c r="B2805" s="9">
        <f>IFERROR(__xludf.DUMMYFUNCTION("""COMPUTED_VALUE"""),1003691.0)</f>
        <v>1003691</v>
      </c>
      <c r="C2805" s="9">
        <f>IFERROR(__xludf.DUMMYFUNCTION("""COMPUTED_VALUE"""),78827.0)</f>
        <v>78827</v>
      </c>
      <c r="D2805" s="9"/>
      <c r="E2805" s="9"/>
      <c r="F2805" s="9">
        <f>IFERROR(__xludf.DUMMYFUNCTION("""COMPUTED_VALUE"""),1.92)</f>
        <v>1.92</v>
      </c>
      <c r="G2805" s="9">
        <f>IFERROR(__xludf.DUMMYFUNCTION("""COMPUTED_VALUE"""),1.92)</f>
        <v>1.92</v>
      </c>
      <c r="H2805" s="9">
        <f>IFERROR(__xludf.DUMMYFUNCTION("""COMPUTED_VALUE"""),1.0)</f>
        <v>1</v>
      </c>
      <c r="I2805" s="9"/>
      <c r="J2805" s="9"/>
      <c r="K2805" s="9"/>
      <c r="L2805" s="9"/>
      <c r="M2805" s="9"/>
      <c r="N2805" s="9"/>
      <c r="O2805" s="9"/>
      <c r="P2805" s="9"/>
      <c r="Q2805" s="9"/>
      <c r="R2805" s="9"/>
      <c r="S2805" s="9"/>
      <c r="T2805" s="9"/>
    </row>
    <row r="2806" ht="15.75" customHeight="1">
      <c r="A2806" s="11">
        <f>IFERROR(__xludf.DUMMYFUNCTION("""COMPUTED_VALUE"""),44471.0)</f>
        <v>44471</v>
      </c>
      <c r="B2806" s="9">
        <f>IFERROR(__xludf.DUMMYFUNCTION("""COMPUTED_VALUE"""),1003691.0)</f>
        <v>1003691</v>
      </c>
      <c r="C2806" s="9">
        <f>IFERROR(__xludf.DUMMYFUNCTION("""COMPUTED_VALUE"""),5665.0)</f>
        <v>5665</v>
      </c>
      <c r="D2806" s="10" t="str">
        <f>IFERROR(__xludf.DUMMYFUNCTION("""COMPUTED_VALUE"""),"Vive le bio")</f>
        <v>Vive le bio</v>
      </c>
      <c r="E2806" s="10"/>
      <c r="F2806" s="9">
        <f>IFERROR(__xludf.DUMMYFUNCTION("""COMPUTED_VALUE"""),4.35555555555555)</f>
        <v>4.355555556</v>
      </c>
      <c r="G2806" s="9">
        <f>IFERROR(__xludf.DUMMYFUNCTION("""COMPUTED_VALUE"""),3.92)</f>
        <v>3.92</v>
      </c>
      <c r="H2806" s="9">
        <f>IFERROR(__xludf.DUMMYFUNCTION("""COMPUTED_VALUE"""),1.0)</f>
        <v>1</v>
      </c>
      <c r="I2806" s="9"/>
      <c r="J2806" s="9"/>
      <c r="K2806" s="9"/>
      <c r="L2806" s="9"/>
      <c r="M2806" s="9"/>
      <c r="N2806" s="9"/>
      <c r="O2806" s="9"/>
      <c r="P2806" s="9"/>
      <c r="Q2806" s="9"/>
      <c r="R2806" s="9"/>
      <c r="S2806" s="9"/>
      <c r="T2806" s="9"/>
    </row>
    <row r="2807" ht="15.75" customHeight="1">
      <c r="A2807" s="11">
        <f>IFERROR(__xludf.DUMMYFUNCTION("""COMPUTED_VALUE"""),44471.0)</f>
        <v>44471</v>
      </c>
      <c r="B2807" s="9">
        <f>IFERROR(__xludf.DUMMYFUNCTION("""COMPUTED_VALUE"""),1003691.0)</f>
        <v>1003691</v>
      </c>
      <c r="C2807" s="9">
        <f>IFERROR(__xludf.DUMMYFUNCTION("""COMPUTED_VALUE"""),90690.0)</f>
        <v>90690</v>
      </c>
      <c r="D2807" s="9"/>
      <c r="E2807" s="9"/>
      <c r="F2807" s="9">
        <f>IFERROR(__xludf.DUMMYFUNCTION("""COMPUTED_VALUE"""),1.55)</f>
        <v>1.55</v>
      </c>
      <c r="G2807" s="9">
        <f>IFERROR(__xludf.DUMMYFUNCTION("""COMPUTED_VALUE"""),1.55)</f>
        <v>1.55</v>
      </c>
      <c r="H2807" s="9">
        <f>IFERROR(__xludf.DUMMYFUNCTION("""COMPUTED_VALUE"""),1.0)</f>
        <v>1</v>
      </c>
      <c r="I2807" s="9"/>
      <c r="J2807" s="9"/>
      <c r="K2807" s="9"/>
      <c r="L2807" s="9"/>
      <c r="M2807" s="9"/>
      <c r="N2807" s="9"/>
      <c r="O2807" s="9"/>
      <c r="P2807" s="9"/>
      <c r="Q2807" s="9"/>
      <c r="R2807" s="9"/>
      <c r="S2807" s="9"/>
      <c r="T2807" s="9"/>
    </row>
    <row r="2808" ht="15.75" customHeight="1">
      <c r="A2808" s="11">
        <f>IFERROR(__xludf.DUMMYFUNCTION("""COMPUTED_VALUE"""),44471.0)</f>
        <v>44471</v>
      </c>
      <c r="B2808" s="9">
        <f>IFERROR(__xludf.DUMMYFUNCTION("""COMPUTED_VALUE"""),1003691.0)</f>
        <v>1003691</v>
      </c>
      <c r="C2808" s="9">
        <f>IFERROR(__xludf.DUMMYFUNCTION("""COMPUTED_VALUE"""),107307.0)</f>
        <v>107307</v>
      </c>
      <c r="D2808" s="9"/>
      <c r="E2808" s="9"/>
      <c r="F2808" s="9">
        <f>IFERROR(__xludf.DUMMYFUNCTION("""COMPUTED_VALUE"""),4.46)</f>
        <v>4.46</v>
      </c>
      <c r="G2808" s="9">
        <f>IFERROR(__xludf.DUMMYFUNCTION("""COMPUTED_VALUE"""),4.46)</f>
        <v>4.46</v>
      </c>
      <c r="H2808" s="9">
        <f>IFERROR(__xludf.DUMMYFUNCTION("""COMPUTED_VALUE"""),1.0)</f>
        <v>1</v>
      </c>
      <c r="I2808" s="9"/>
      <c r="J2808" s="9"/>
      <c r="K2808" s="9"/>
      <c r="L2808" s="9"/>
      <c r="M2808" s="9"/>
      <c r="N2808" s="9"/>
      <c r="O2808" s="9"/>
      <c r="P2808" s="9"/>
      <c r="Q2808" s="9"/>
      <c r="R2808" s="9"/>
      <c r="S2808" s="9"/>
      <c r="T2808" s="9"/>
    </row>
    <row r="2809" ht="15.75" customHeight="1">
      <c r="A2809" s="11">
        <f>IFERROR(__xludf.DUMMYFUNCTION("""COMPUTED_VALUE"""),44471.0)</f>
        <v>44471</v>
      </c>
      <c r="B2809" s="9">
        <f>IFERROR(__xludf.DUMMYFUNCTION("""COMPUTED_VALUE"""),1003691.0)</f>
        <v>1003691</v>
      </c>
      <c r="C2809" s="9">
        <f>IFERROR(__xludf.DUMMYFUNCTION("""COMPUTED_VALUE"""),71839.0)</f>
        <v>71839</v>
      </c>
      <c r="D2809" s="9"/>
      <c r="E2809" s="9"/>
      <c r="F2809" s="9">
        <f>IFERROR(__xludf.DUMMYFUNCTION("""COMPUTED_VALUE"""),3.12)</f>
        <v>3.12</v>
      </c>
      <c r="G2809" s="9">
        <f>IFERROR(__xludf.DUMMYFUNCTION("""COMPUTED_VALUE"""),3.12)</f>
        <v>3.12</v>
      </c>
      <c r="H2809" s="9">
        <f>IFERROR(__xludf.DUMMYFUNCTION("""COMPUTED_VALUE"""),1.0)</f>
        <v>1</v>
      </c>
      <c r="I2809" s="9"/>
      <c r="J2809" s="9"/>
      <c r="K2809" s="9"/>
      <c r="L2809" s="9"/>
      <c r="M2809" s="9"/>
      <c r="N2809" s="9"/>
      <c r="O2809" s="9"/>
      <c r="P2809" s="9"/>
      <c r="Q2809" s="9"/>
      <c r="R2809" s="9"/>
      <c r="S2809" s="9"/>
      <c r="T2809" s="9"/>
    </row>
    <row r="2810" ht="15.75" customHeight="1">
      <c r="A2810" s="11">
        <f>IFERROR(__xludf.DUMMYFUNCTION("""COMPUTED_VALUE"""),44471.0)</f>
        <v>44471</v>
      </c>
      <c r="B2810" s="9">
        <f>IFERROR(__xludf.DUMMYFUNCTION("""COMPUTED_VALUE"""),1003691.0)</f>
        <v>1003691</v>
      </c>
      <c r="C2810" s="9">
        <f>IFERROR(__xludf.DUMMYFUNCTION("""COMPUTED_VALUE"""),4162.0)</f>
        <v>4162</v>
      </c>
      <c r="D2810" s="9"/>
      <c r="E2810" s="9"/>
      <c r="F2810" s="9">
        <f>IFERROR(__xludf.DUMMYFUNCTION("""COMPUTED_VALUE"""),4.49)</f>
        <v>4.49</v>
      </c>
      <c r="G2810" s="9">
        <f>IFERROR(__xludf.DUMMYFUNCTION("""COMPUTED_VALUE"""),4.49)</f>
        <v>4.49</v>
      </c>
      <c r="H2810" s="9">
        <f>IFERROR(__xludf.DUMMYFUNCTION("""COMPUTED_VALUE"""),1.0)</f>
        <v>1</v>
      </c>
      <c r="I2810" s="9"/>
      <c r="J2810" s="9"/>
      <c r="K2810" s="9"/>
      <c r="L2810" s="9"/>
      <c r="M2810" s="9"/>
      <c r="N2810" s="9"/>
      <c r="O2810" s="9"/>
      <c r="P2810" s="9"/>
      <c r="Q2810" s="9"/>
      <c r="R2810" s="9"/>
      <c r="S2810" s="9"/>
      <c r="T2810" s="9"/>
    </row>
    <row r="2811" ht="15.75" customHeight="1">
      <c r="A2811" s="11">
        <f>IFERROR(__xludf.DUMMYFUNCTION("""COMPUTED_VALUE"""),44471.0)</f>
        <v>44471</v>
      </c>
      <c r="B2811" s="9">
        <f>IFERROR(__xludf.DUMMYFUNCTION("""COMPUTED_VALUE"""),1003691.0)</f>
        <v>1003691</v>
      </c>
      <c r="C2811" s="9">
        <f>IFERROR(__xludf.DUMMYFUNCTION("""COMPUTED_VALUE"""),114003.0)</f>
        <v>114003</v>
      </c>
      <c r="D2811" s="9"/>
      <c r="E2811" s="9"/>
      <c r="F2811" s="9">
        <f>IFERROR(__xludf.DUMMYFUNCTION("""COMPUTED_VALUE"""),7.73)</f>
        <v>7.73</v>
      </c>
      <c r="G2811" s="9">
        <f>IFERROR(__xludf.DUMMYFUNCTION("""COMPUTED_VALUE"""),7.73)</f>
        <v>7.73</v>
      </c>
      <c r="H2811" s="9">
        <f>IFERROR(__xludf.DUMMYFUNCTION("""COMPUTED_VALUE"""),2.0)</f>
        <v>2</v>
      </c>
      <c r="I2811" s="9"/>
      <c r="J2811" s="9"/>
      <c r="K2811" s="9"/>
      <c r="L2811" s="9"/>
      <c r="M2811" s="9"/>
      <c r="N2811" s="9"/>
      <c r="O2811" s="9"/>
      <c r="P2811" s="9"/>
      <c r="Q2811" s="9"/>
      <c r="R2811" s="9"/>
      <c r="S2811" s="9"/>
      <c r="T2811" s="9"/>
    </row>
    <row r="2812" ht="15.75" customHeight="1">
      <c r="A2812" s="11">
        <f>IFERROR(__xludf.DUMMYFUNCTION("""COMPUTED_VALUE"""),44471.0)</f>
        <v>44471</v>
      </c>
      <c r="B2812" s="9">
        <f>IFERROR(__xludf.DUMMYFUNCTION("""COMPUTED_VALUE"""),1003692.0)</f>
        <v>1003692</v>
      </c>
      <c r="C2812" s="9">
        <f>IFERROR(__xludf.DUMMYFUNCTION("""COMPUTED_VALUE"""),118484.0)</f>
        <v>118484</v>
      </c>
      <c r="D2812" s="10" t="str">
        <f>IFERROR(__xludf.DUMMYFUNCTION("""COMPUTED_VALUE"""),"Offre speciale")</f>
        <v>Offre speciale</v>
      </c>
      <c r="E2812" s="10"/>
      <c r="F2812" s="9">
        <f>IFERROR(__xludf.DUMMYFUNCTION("""COMPUTED_VALUE"""),4.92222222222222)</f>
        <v>4.922222222</v>
      </c>
      <c r="G2812" s="9">
        <f>IFERROR(__xludf.DUMMYFUNCTION("""COMPUTED_VALUE"""),4.43)</f>
        <v>4.43</v>
      </c>
      <c r="H2812" s="9">
        <f>IFERROR(__xludf.DUMMYFUNCTION("""COMPUTED_VALUE"""),1.0)</f>
        <v>1</v>
      </c>
      <c r="I2812" s="9"/>
      <c r="J2812" s="9"/>
      <c r="K2812" s="9"/>
      <c r="L2812" s="9"/>
      <c r="M2812" s="9"/>
      <c r="N2812" s="9"/>
      <c r="O2812" s="9"/>
      <c r="P2812" s="9"/>
      <c r="Q2812" s="9"/>
      <c r="R2812" s="9"/>
      <c r="S2812" s="9"/>
      <c r="T2812" s="9"/>
    </row>
    <row r="2813" ht="15.75" customHeight="1">
      <c r="A2813" s="11">
        <f>IFERROR(__xludf.DUMMYFUNCTION("""COMPUTED_VALUE"""),44471.0)</f>
        <v>44471</v>
      </c>
      <c r="B2813" s="9">
        <f>IFERROR(__xludf.DUMMYFUNCTION("""COMPUTED_VALUE"""),1003692.0)</f>
        <v>1003692</v>
      </c>
      <c r="C2813" s="9">
        <f>IFERROR(__xludf.DUMMYFUNCTION("""COMPUTED_VALUE"""),44117.0)</f>
        <v>44117</v>
      </c>
      <c r="D2813" s="9"/>
      <c r="E2813" s="9"/>
      <c r="F2813" s="9">
        <f>IFERROR(__xludf.DUMMYFUNCTION("""COMPUTED_VALUE"""),1.2)</f>
        <v>1.2</v>
      </c>
      <c r="G2813" s="9">
        <f>IFERROR(__xludf.DUMMYFUNCTION("""COMPUTED_VALUE"""),1.2)</f>
        <v>1.2</v>
      </c>
      <c r="H2813" s="9">
        <f>IFERROR(__xludf.DUMMYFUNCTION("""COMPUTED_VALUE"""),1.0)</f>
        <v>1</v>
      </c>
      <c r="I2813" s="9"/>
      <c r="J2813" s="9"/>
      <c r="K2813" s="9"/>
      <c r="L2813" s="9"/>
      <c r="M2813" s="9"/>
      <c r="N2813" s="9"/>
      <c r="O2813" s="9"/>
      <c r="P2813" s="9"/>
      <c r="Q2813" s="9"/>
      <c r="R2813" s="9"/>
      <c r="S2813" s="9"/>
      <c r="T2813" s="9"/>
    </row>
    <row r="2814" ht="15.75" customHeight="1">
      <c r="A2814" s="11">
        <f>IFERROR(__xludf.DUMMYFUNCTION("""COMPUTED_VALUE"""),44471.0)</f>
        <v>44471</v>
      </c>
      <c r="B2814" s="9">
        <f>IFERROR(__xludf.DUMMYFUNCTION("""COMPUTED_VALUE"""),1003692.0)</f>
        <v>1003692</v>
      </c>
      <c r="C2814" s="9">
        <f>IFERROR(__xludf.DUMMYFUNCTION("""COMPUTED_VALUE"""),111605.0)</f>
        <v>111605</v>
      </c>
      <c r="D2814" s="10" t="str">
        <f>IFERROR(__xludf.DUMMYFUNCTION("""COMPUTED_VALUE"""),"DLC courtes")</f>
        <v>DLC courtes</v>
      </c>
      <c r="E2814" s="10"/>
      <c r="F2814" s="9">
        <f>IFERROR(__xludf.DUMMYFUNCTION("""COMPUTED_VALUE"""),1.85714285714285)</f>
        <v>1.857142857</v>
      </c>
      <c r="G2814" s="9">
        <f>IFERROR(__xludf.DUMMYFUNCTION("""COMPUTED_VALUE"""),1.3)</f>
        <v>1.3</v>
      </c>
      <c r="H2814" s="9">
        <f>IFERROR(__xludf.DUMMYFUNCTION("""COMPUTED_VALUE"""),1.0)</f>
        <v>1</v>
      </c>
      <c r="I2814" s="9"/>
      <c r="J2814" s="9"/>
      <c r="K2814" s="9"/>
      <c r="L2814" s="9"/>
      <c r="M2814" s="9"/>
      <c r="N2814" s="9"/>
      <c r="O2814" s="9"/>
      <c r="P2814" s="9"/>
      <c r="Q2814" s="9"/>
      <c r="R2814" s="9"/>
      <c r="S2814" s="9"/>
      <c r="T2814" s="9"/>
    </row>
    <row r="2815" ht="15.75" customHeight="1">
      <c r="A2815" s="11">
        <f>IFERROR(__xludf.DUMMYFUNCTION("""COMPUTED_VALUE"""),44471.0)</f>
        <v>44471</v>
      </c>
      <c r="B2815" s="9">
        <f>IFERROR(__xludf.DUMMYFUNCTION("""COMPUTED_VALUE"""),1003692.0)</f>
        <v>1003692</v>
      </c>
      <c r="C2815" s="9">
        <f>IFERROR(__xludf.DUMMYFUNCTION("""COMPUTED_VALUE"""),129491.0)</f>
        <v>129491</v>
      </c>
      <c r="D2815" s="9"/>
      <c r="E2815" s="9"/>
      <c r="F2815" s="9">
        <f>IFERROR(__xludf.DUMMYFUNCTION("""COMPUTED_VALUE"""),3.31)</f>
        <v>3.31</v>
      </c>
      <c r="G2815" s="9">
        <f>IFERROR(__xludf.DUMMYFUNCTION("""COMPUTED_VALUE"""),3.31)</f>
        <v>3.31</v>
      </c>
      <c r="H2815" s="9">
        <f>IFERROR(__xludf.DUMMYFUNCTION("""COMPUTED_VALUE"""),1.0)</f>
        <v>1</v>
      </c>
      <c r="I2815" s="9"/>
      <c r="J2815" s="9"/>
      <c r="K2815" s="9"/>
      <c r="L2815" s="9"/>
      <c r="M2815" s="9"/>
      <c r="N2815" s="9"/>
      <c r="O2815" s="9"/>
      <c r="P2815" s="9"/>
      <c r="Q2815" s="9"/>
      <c r="R2815" s="9"/>
      <c r="S2815" s="9"/>
      <c r="T2815" s="9"/>
    </row>
    <row r="2816" ht="15.75" customHeight="1">
      <c r="A2816" s="11">
        <f>IFERROR(__xludf.DUMMYFUNCTION("""COMPUTED_VALUE"""),44471.0)</f>
        <v>44471</v>
      </c>
      <c r="B2816" s="9">
        <f>IFERROR(__xludf.DUMMYFUNCTION("""COMPUTED_VALUE"""),1003692.0)</f>
        <v>1003692</v>
      </c>
      <c r="C2816" s="9">
        <f>IFERROR(__xludf.DUMMYFUNCTION("""COMPUTED_VALUE"""),78566.0)</f>
        <v>78566</v>
      </c>
      <c r="D2816" s="9"/>
      <c r="E2816" s="9"/>
      <c r="F2816" s="9">
        <f>IFERROR(__xludf.DUMMYFUNCTION("""COMPUTED_VALUE"""),2.69)</f>
        <v>2.69</v>
      </c>
      <c r="G2816" s="9">
        <f>IFERROR(__xludf.DUMMYFUNCTION("""COMPUTED_VALUE"""),2.69)</f>
        <v>2.69</v>
      </c>
      <c r="H2816" s="9">
        <f>IFERROR(__xludf.DUMMYFUNCTION("""COMPUTED_VALUE"""),1.0)</f>
        <v>1</v>
      </c>
      <c r="I2816" s="9"/>
      <c r="J2816" s="9"/>
      <c r="K2816" s="9"/>
      <c r="L2816" s="9"/>
      <c r="M2816" s="9"/>
      <c r="N2816" s="9"/>
      <c r="O2816" s="9"/>
      <c r="P2816" s="9"/>
      <c r="Q2816" s="9"/>
      <c r="R2816" s="9"/>
      <c r="S2816" s="9"/>
      <c r="T2816" s="9"/>
    </row>
    <row r="2817" ht="15.75" customHeight="1">
      <c r="A2817" s="11">
        <f>IFERROR(__xludf.DUMMYFUNCTION("""COMPUTED_VALUE"""),44471.0)</f>
        <v>44471</v>
      </c>
      <c r="B2817" s="9">
        <f>IFERROR(__xludf.DUMMYFUNCTION("""COMPUTED_VALUE"""),1003692.0)</f>
        <v>1003692</v>
      </c>
      <c r="C2817" s="9">
        <f>IFERROR(__xludf.DUMMYFUNCTION("""COMPUTED_VALUE"""),88971.0)</f>
        <v>88971</v>
      </c>
      <c r="D2817" s="10" t="str">
        <f>IFERROR(__xludf.DUMMYFUNCTION("""COMPUTED_VALUE"""),"DLC courtes")</f>
        <v>DLC courtes</v>
      </c>
      <c r="E2817" s="10"/>
      <c r="F2817" s="9">
        <f>IFERROR(__xludf.DUMMYFUNCTION("""COMPUTED_VALUE"""),4.2)</f>
        <v>4.2</v>
      </c>
      <c r="G2817" s="9">
        <f>IFERROR(__xludf.DUMMYFUNCTION("""COMPUTED_VALUE"""),2.94)</f>
        <v>2.94</v>
      </c>
      <c r="H2817" s="9">
        <f>IFERROR(__xludf.DUMMYFUNCTION("""COMPUTED_VALUE"""),1.0)</f>
        <v>1</v>
      </c>
      <c r="I2817" s="9"/>
      <c r="J2817" s="9"/>
      <c r="K2817" s="9"/>
      <c r="L2817" s="9"/>
      <c r="M2817" s="9"/>
      <c r="N2817" s="9"/>
      <c r="O2817" s="9"/>
      <c r="P2817" s="9"/>
      <c r="Q2817" s="9"/>
      <c r="R2817" s="9"/>
      <c r="S2817" s="9"/>
      <c r="T2817" s="9"/>
    </row>
    <row r="2818" ht="15.75" customHeight="1">
      <c r="A2818" s="11">
        <f>IFERROR(__xludf.DUMMYFUNCTION("""COMPUTED_VALUE"""),44471.0)</f>
        <v>44471</v>
      </c>
      <c r="B2818" s="9">
        <f>IFERROR(__xludf.DUMMYFUNCTION("""COMPUTED_VALUE"""),1003692.0)</f>
        <v>1003692</v>
      </c>
      <c r="C2818" s="9">
        <f>IFERROR(__xludf.DUMMYFUNCTION("""COMPUTED_VALUE"""),108087.0)</f>
        <v>108087</v>
      </c>
      <c r="D2818" s="9"/>
      <c r="E2818" s="9"/>
      <c r="F2818" s="9">
        <f>IFERROR(__xludf.DUMMYFUNCTION("""COMPUTED_VALUE"""),1.24)</f>
        <v>1.24</v>
      </c>
      <c r="G2818" s="9">
        <f>IFERROR(__xludf.DUMMYFUNCTION("""COMPUTED_VALUE"""),1.24)</f>
        <v>1.24</v>
      </c>
      <c r="H2818" s="9">
        <f>IFERROR(__xludf.DUMMYFUNCTION("""COMPUTED_VALUE"""),1.0)</f>
        <v>1</v>
      </c>
      <c r="I2818" s="9"/>
      <c r="J2818" s="9"/>
      <c r="K2818" s="9"/>
      <c r="L2818" s="9"/>
      <c r="M2818" s="9"/>
      <c r="N2818" s="9"/>
      <c r="O2818" s="9"/>
      <c r="P2818" s="9"/>
      <c r="Q2818" s="9"/>
      <c r="R2818" s="9"/>
      <c r="S2818" s="9"/>
      <c r="T2818" s="9"/>
    </row>
    <row r="2819" ht="15.75" customHeight="1">
      <c r="A2819" s="11">
        <f>IFERROR(__xludf.DUMMYFUNCTION("""COMPUTED_VALUE"""),44471.0)</f>
        <v>44471</v>
      </c>
      <c r="B2819" s="9">
        <f>IFERROR(__xludf.DUMMYFUNCTION("""COMPUTED_VALUE"""),1003692.0)</f>
        <v>1003692</v>
      </c>
      <c r="C2819" s="9">
        <f>IFERROR(__xludf.DUMMYFUNCTION("""COMPUTED_VALUE"""),108084.0)</f>
        <v>108084</v>
      </c>
      <c r="D2819" s="9"/>
      <c r="E2819" s="9"/>
      <c r="F2819" s="9">
        <f>IFERROR(__xludf.DUMMYFUNCTION("""COMPUTED_VALUE"""),1.18)</f>
        <v>1.18</v>
      </c>
      <c r="G2819" s="9">
        <f>IFERROR(__xludf.DUMMYFUNCTION("""COMPUTED_VALUE"""),1.18)</f>
        <v>1.18</v>
      </c>
      <c r="H2819" s="9">
        <f>IFERROR(__xludf.DUMMYFUNCTION("""COMPUTED_VALUE"""),1.0)</f>
        <v>1</v>
      </c>
      <c r="I2819" s="9"/>
      <c r="J2819" s="9"/>
      <c r="K2819" s="9"/>
      <c r="L2819" s="9"/>
      <c r="M2819" s="9"/>
      <c r="N2819" s="9"/>
      <c r="O2819" s="9"/>
      <c r="P2819" s="9"/>
      <c r="Q2819" s="9"/>
      <c r="R2819" s="9"/>
      <c r="S2819" s="9"/>
      <c r="T2819" s="9"/>
    </row>
    <row r="2820" ht="15.75" customHeight="1">
      <c r="A2820" s="11">
        <f>IFERROR(__xludf.DUMMYFUNCTION("""COMPUTED_VALUE"""),44471.0)</f>
        <v>44471</v>
      </c>
      <c r="B2820" s="9">
        <f>IFERROR(__xludf.DUMMYFUNCTION("""COMPUTED_VALUE"""),1003692.0)</f>
        <v>1003692</v>
      </c>
      <c r="C2820" s="9">
        <f>IFERROR(__xludf.DUMMYFUNCTION("""COMPUTED_VALUE"""),105329.0)</f>
        <v>105329</v>
      </c>
      <c r="D2820" s="9"/>
      <c r="E2820" s="9"/>
      <c r="F2820" s="9">
        <f>IFERROR(__xludf.DUMMYFUNCTION("""COMPUTED_VALUE"""),1.12)</f>
        <v>1.12</v>
      </c>
      <c r="G2820" s="9">
        <f>IFERROR(__xludf.DUMMYFUNCTION("""COMPUTED_VALUE"""),1.12)</f>
        <v>1.12</v>
      </c>
      <c r="H2820" s="9">
        <f>IFERROR(__xludf.DUMMYFUNCTION("""COMPUTED_VALUE"""),1.0)</f>
        <v>1</v>
      </c>
      <c r="I2820" s="9"/>
      <c r="J2820" s="9"/>
      <c r="K2820" s="9"/>
      <c r="L2820" s="9"/>
      <c r="M2820" s="9"/>
      <c r="N2820" s="9"/>
      <c r="O2820" s="9"/>
      <c r="P2820" s="9"/>
      <c r="Q2820" s="9"/>
      <c r="R2820" s="9"/>
      <c r="S2820" s="9"/>
      <c r="T2820" s="9"/>
    </row>
    <row r="2821" ht="15.75" customHeight="1">
      <c r="A2821" s="11">
        <f>IFERROR(__xludf.DUMMYFUNCTION("""COMPUTED_VALUE"""),44471.0)</f>
        <v>44471</v>
      </c>
      <c r="B2821" s="9">
        <f>IFERROR(__xludf.DUMMYFUNCTION("""COMPUTED_VALUE"""),1003692.0)</f>
        <v>1003692</v>
      </c>
      <c r="C2821" s="9">
        <f>IFERROR(__xludf.DUMMYFUNCTION("""COMPUTED_VALUE"""),124761.0)</f>
        <v>124761</v>
      </c>
      <c r="D2821" s="10" t="str">
        <f>IFERROR(__xludf.DUMMYFUNCTION("""COMPUTED_VALUE"""),"Offre speciale")</f>
        <v>Offre speciale</v>
      </c>
      <c r="E2821" s="10"/>
      <c r="F2821" s="9">
        <f>IFERROR(__xludf.DUMMYFUNCTION("""COMPUTED_VALUE"""),7.15555555555555)</f>
        <v>7.155555556</v>
      </c>
      <c r="G2821" s="9">
        <f>IFERROR(__xludf.DUMMYFUNCTION("""COMPUTED_VALUE"""),6.44)</f>
        <v>6.44</v>
      </c>
      <c r="H2821" s="9">
        <f>IFERROR(__xludf.DUMMYFUNCTION("""COMPUTED_VALUE"""),1.0)</f>
        <v>1</v>
      </c>
      <c r="I2821" s="9"/>
      <c r="J2821" s="9"/>
      <c r="K2821" s="9"/>
      <c r="L2821" s="9"/>
      <c r="M2821" s="9"/>
      <c r="N2821" s="9"/>
      <c r="O2821" s="9"/>
      <c r="P2821" s="9"/>
      <c r="Q2821" s="9"/>
      <c r="R2821" s="9"/>
      <c r="S2821" s="9"/>
      <c r="T2821" s="9"/>
    </row>
    <row r="2822" ht="15.75" customHeight="1">
      <c r="A2822" s="11">
        <f>IFERROR(__xludf.DUMMYFUNCTION("""COMPUTED_VALUE"""),44471.0)</f>
        <v>44471</v>
      </c>
      <c r="B2822" s="9">
        <f>IFERROR(__xludf.DUMMYFUNCTION("""COMPUTED_VALUE"""),1003692.0)</f>
        <v>1003692</v>
      </c>
      <c r="C2822" s="9">
        <f>IFERROR(__xludf.DUMMYFUNCTION("""COMPUTED_VALUE"""),88965.0)</f>
        <v>88965</v>
      </c>
      <c r="D2822" s="10" t="str">
        <f>IFERROR(__xludf.DUMMYFUNCTION("""COMPUTED_VALUE"""),"DLC courtes")</f>
        <v>DLC courtes</v>
      </c>
      <c r="E2822" s="10"/>
      <c r="F2822" s="9">
        <f>IFERROR(__xludf.DUMMYFUNCTION("""COMPUTED_VALUE"""),5.12499999999999)</f>
        <v>5.125</v>
      </c>
      <c r="G2822" s="9">
        <f>IFERROR(__xludf.DUMMYFUNCTION("""COMPUTED_VALUE"""),4.1)</f>
        <v>4.1</v>
      </c>
      <c r="H2822" s="9">
        <f>IFERROR(__xludf.DUMMYFUNCTION("""COMPUTED_VALUE"""),1.0)</f>
        <v>1</v>
      </c>
      <c r="I2822" s="9"/>
      <c r="J2822" s="9"/>
      <c r="K2822" s="9"/>
      <c r="L2822" s="9"/>
      <c r="M2822" s="9"/>
      <c r="N2822" s="9"/>
      <c r="O2822" s="9"/>
      <c r="P2822" s="9"/>
      <c r="Q2822" s="9"/>
      <c r="R2822" s="9"/>
      <c r="S2822" s="9"/>
      <c r="T2822" s="9"/>
    </row>
    <row r="2823" ht="15.75" customHeight="1">
      <c r="A2823" s="11">
        <f>IFERROR(__xludf.DUMMYFUNCTION("""COMPUTED_VALUE"""),44471.0)</f>
        <v>44471</v>
      </c>
      <c r="B2823" s="9">
        <f>IFERROR(__xludf.DUMMYFUNCTION("""COMPUTED_VALUE"""),1003692.0)</f>
        <v>1003692</v>
      </c>
      <c r="C2823" s="9">
        <f>IFERROR(__xludf.DUMMYFUNCTION("""COMPUTED_VALUE"""),100283.0)</f>
        <v>100283</v>
      </c>
      <c r="D2823" s="10" t="str">
        <f>IFERROR(__xludf.DUMMYFUNCTION("""COMPUTED_VALUE"""),"Offre speciale")</f>
        <v>Offre speciale</v>
      </c>
      <c r="E2823" s="10"/>
      <c r="F2823" s="9">
        <f>IFERROR(__xludf.DUMMYFUNCTION("""COMPUTED_VALUE"""),3.0)</f>
        <v>3</v>
      </c>
      <c r="G2823" s="9">
        <f>IFERROR(__xludf.DUMMYFUNCTION("""COMPUTED_VALUE"""),2.55)</f>
        <v>2.55</v>
      </c>
      <c r="H2823" s="9">
        <f>IFERROR(__xludf.DUMMYFUNCTION("""COMPUTED_VALUE"""),2.0)</f>
        <v>2</v>
      </c>
      <c r="I2823" s="9"/>
      <c r="J2823" s="9"/>
      <c r="K2823" s="9"/>
      <c r="L2823" s="9"/>
      <c r="M2823" s="9"/>
      <c r="N2823" s="9"/>
      <c r="O2823" s="9"/>
      <c r="P2823" s="9"/>
      <c r="Q2823" s="9"/>
      <c r="R2823" s="9"/>
      <c r="S2823" s="9"/>
      <c r="T2823" s="9"/>
    </row>
    <row r="2824" ht="15.75" customHeight="1">
      <c r="A2824" s="11">
        <f>IFERROR(__xludf.DUMMYFUNCTION("""COMPUTED_VALUE"""),44471.0)</f>
        <v>44471</v>
      </c>
      <c r="B2824" s="9">
        <f>IFERROR(__xludf.DUMMYFUNCTION("""COMPUTED_VALUE"""),1003692.0)</f>
        <v>1003692</v>
      </c>
      <c r="C2824" s="9">
        <f>IFERROR(__xludf.DUMMYFUNCTION("""COMPUTED_VALUE"""),11065.0)</f>
        <v>11065</v>
      </c>
      <c r="D2824" s="10" t="str">
        <f>IFERROR(__xludf.DUMMYFUNCTION("""COMPUTED_VALUE"""),"Vive le bio")</f>
        <v>Vive le bio</v>
      </c>
      <c r="E2824" s="10"/>
      <c r="F2824" s="9">
        <f>IFERROR(__xludf.DUMMYFUNCTION("""COMPUTED_VALUE"""),5.42222222222222)</f>
        <v>5.422222222</v>
      </c>
      <c r="G2824" s="9">
        <f>IFERROR(__xludf.DUMMYFUNCTION("""COMPUTED_VALUE"""),4.88)</f>
        <v>4.88</v>
      </c>
      <c r="H2824" s="9">
        <f>IFERROR(__xludf.DUMMYFUNCTION("""COMPUTED_VALUE"""),2.0)</f>
        <v>2</v>
      </c>
      <c r="I2824" s="9"/>
      <c r="J2824" s="9"/>
      <c r="K2824" s="9"/>
      <c r="L2824" s="9"/>
      <c r="M2824" s="9"/>
      <c r="N2824" s="9"/>
      <c r="O2824" s="9"/>
      <c r="P2824" s="9"/>
      <c r="Q2824" s="9"/>
      <c r="R2824" s="9"/>
      <c r="S2824" s="9"/>
      <c r="T2824" s="9"/>
    </row>
    <row r="2825" ht="15.75" customHeight="1">
      <c r="A2825" s="11">
        <f>IFERROR(__xludf.DUMMYFUNCTION("""COMPUTED_VALUE"""),44471.0)</f>
        <v>44471</v>
      </c>
      <c r="B2825" s="9">
        <f>IFERROR(__xludf.DUMMYFUNCTION("""COMPUTED_VALUE"""),1003692.0)</f>
        <v>1003692</v>
      </c>
      <c r="C2825" s="9">
        <f>IFERROR(__xludf.DUMMYFUNCTION("""COMPUTED_VALUE"""),121839.0)</f>
        <v>121839</v>
      </c>
      <c r="D2825" s="10" t="str">
        <f>IFERROR(__xludf.DUMMYFUNCTION("""COMPUTED_VALUE"""),"Offre speciale")</f>
        <v>Offre speciale</v>
      </c>
      <c r="E2825" s="10"/>
      <c r="F2825" s="9">
        <f>IFERROR(__xludf.DUMMYFUNCTION("""COMPUTED_VALUE"""),3.27058823529411)</f>
        <v>3.270588235</v>
      </c>
      <c r="G2825" s="9">
        <f>IFERROR(__xludf.DUMMYFUNCTION("""COMPUTED_VALUE"""),2.78)</f>
        <v>2.78</v>
      </c>
      <c r="H2825" s="9">
        <f>IFERROR(__xludf.DUMMYFUNCTION("""COMPUTED_VALUE"""),2.0)</f>
        <v>2</v>
      </c>
      <c r="I2825" s="9"/>
      <c r="J2825" s="9"/>
      <c r="K2825" s="9"/>
      <c r="L2825" s="9"/>
      <c r="M2825" s="9"/>
      <c r="N2825" s="9"/>
      <c r="O2825" s="9"/>
      <c r="P2825" s="9"/>
      <c r="Q2825" s="9"/>
      <c r="R2825" s="9"/>
      <c r="S2825" s="9"/>
      <c r="T2825" s="9"/>
    </row>
    <row r="2826" ht="15.75" customHeight="1">
      <c r="A2826" s="11">
        <f>IFERROR(__xludf.DUMMYFUNCTION("""COMPUTED_VALUE"""),44471.0)</f>
        <v>44471</v>
      </c>
      <c r="B2826" s="9">
        <f>IFERROR(__xludf.DUMMYFUNCTION("""COMPUTED_VALUE"""),1003692.0)</f>
        <v>1003692</v>
      </c>
      <c r="C2826" s="9">
        <f>IFERROR(__xludf.DUMMYFUNCTION("""COMPUTED_VALUE"""),121840.0)</f>
        <v>121840</v>
      </c>
      <c r="D2826" s="10" t="str">
        <f>IFERROR(__xludf.DUMMYFUNCTION("""COMPUTED_VALUE"""),"Offre speciale")</f>
        <v>Offre speciale</v>
      </c>
      <c r="E2826" s="10"/>
      <c r="F2826" s="9">
        <f>IFERROR(__xludf.DUMMYFUNCTION("""COMPUTED_VALUE"""),3.27058823529411)</f>
        <v>3.270588235</v>
      </c>
      <c r="G2826" s="9">
        <f>IFERROR(__xludf.DUMMYFUNCTION("""COMPUTED_VALUE"""),2.78)</f>
        <v>2.78</v>
      </c>
      <c r="H2826" s="9">
        <f>IFERROR(__xludf.DUMMYFUNCTION("""COMPUTED_VALUE"""),2.0)</f>
        <v>2</v>
      </c>
      <c r="I2826" s="9"/>
      <c r="J2826" s="9"/>
      <c r="K2826" s="9"/>
      <c r="L2826" s="9"/>
      <c r="M2826" s="9"/>
      <c r="N2826" s="9"/>
      <c r="O2826" s="9"/>
      <c r="P2826" s="9"/>
      <c r="Q2826" s="9"/>
      <c r="R2826" s="9"/>
      <c r="S2826" s="9"/>
      <c r="T2826" s="9"/>
    </row>
    <row r="2827" ht="15.75" customHeight="1">
      <c r="A2827" s="11">
        <f>IFERROR(__xludf.DUMMYFUNCTION("""COMPUTED_VALUE"""),44471.0)</f>
        <v>44471</v>
      </c>
      <c r="B2827" s="9">
        <f>IFERROR(__xludf.DUMMYFUNCTION("""COMPUTED_VALUE"""),1003692.0)</f>
        <v>1003692</v>
      </c>
      <c r="C2827" s="9">
        <f>IFERROR(__xludf.DUMMYFUNCTION("""COMPUTED_VALUE"""),103865.0)</f>
        <v>103865</v>
      </c>
      <c r="D2827" s="9"/>
      <c r="E2827" s="9"/>
      <c r="F2827" s="9">
        <f>IFERROR(__xludf.DUMMYFUNCTION("""COMPUTED_VALUE"""),5.35)</f>
        <v>5.35</v>
      </c>
      <c r="G2827" s="9">
        <f>IFERROR(__xludf.DUMMYFUNCTION("""COMPUTED_VALUE"""),5.35)</f>
        <v>5.35</v>
      </c>
      <c r="H2827" s="9">
        <f>IFERROR(__xludf.DUMMYFUNCTION("""COMPUTED_VALUE"""),2.0)</f>
        <v>2</v>
      </c>
      <c r="I2827" s="9"/>
      <c r="J2827" s="9"/>
      <c r="K2827" s="9"/>
      <c r="L2827" s="9"/>
      <c r="M2827" s="9"/>
      <c r="N2827" s="9"/>
      <c r="O2827" s="9"/>
      <c r="P2827" s="9"/>
      <c r="Q2827" s="9"/>
      <c r="R2827" s="9"/>
      <c r="S2827" s="9"/>
      <c r="T2827" s="9"/>
    </row>
    <row r="2828" ht="15.75" customHeight="1">
      <c r="A2828" s="11">
        <f>IFERROR(__xludf.DUMMYFUNCTION("""COMPUTED_VALUE"""),44471.0)</f>
        <v>44471</v>
      </c>
      <c r="B2828" s="9">
        <f>IFERROR(__xludf.DUMMYFUNCTION("""COMPUTED_VALUE"""),1003692.0)</f>
        <v>1003692</v>
      </c>
      <c r="C2828" s="9">
        <f>IFERROR(__xludf.DUMMYFUNCTION("""COMPUTED_VALUE"""),5559.0)</f>
        <v>5559</v>
      </c>
      <c r="D2828" s="10" t="str">
        <f>IFERROR(__xludf.DUMMYFUNCTION("""COMPUTED_VALUE"""),"Vive le bio")</f>
        <v>Vive le bio</v>
      </c>
      <c r="E2828" s="10"/>
      <c r="F2828" s="9">
        <f>IFERROR(__xludf.DUMMYFUNCTION("""COMPUTED_VALUE"""),3.83333333333333)</f>
        <v>3.833333333</v>
      </c>
      <c r="G2828" s="9">
        <f>IFERROR(__xludf.DUMMYFUNCTION("""COMPUTED_VALUE"""),3.45)</f>
        <v>3.45</v>
      </c>
      <c r="H2828" s="9">
        <f>IFERROR(__xludf.DUMMYFUNCTION("""COMPUTED_VALUE"""),2.0)</f>
        <v>2</v>
      </c>
      <c r="I2828" s="9"/>
      <c r="J2828" s="9"/>
      <c r="K2828" s="9"/>
      <c r="L2828" s="9"/>
      <c r="M2828" s="9"/>
      <c r="N2828" s="9"/>
      <c r="O2828" s="9"/>
      <c r="P2828" s="9"/>
      <c r="Q2828" s="9"/>
      <c r="R2828" s="9"/>
      <c r="S2828" s="9"/>
      <c r="T2828" s="9"/>
    </row>
    <row r="2829" ht="15.75" customHeight="1">
      <c r="A2829" s="11">
        <f>IFERROR(__xludf.DUMMYFUNCTION("""COMPUTED_VALUE"""),44471.0)</f>
        <v>44471</v>
      </c>
      <c r="B2829" s="9">
        <f>IFERROR(__xludf.DUMMYFUNCTION("""COMPUTED_VALUE"""),1003692.0)</f>
        <v>1003692</v>
      </c>
      <c r="C2829" s="9">
        <f>IFERROR(__xludf.DUMMYFUNCTION("""COMPUTED_VALUE"""),86470.0)</f>
        <v>86470</v>
      </c>
      <c r="D2829" s="9"/>
      <c r="E2829" s="9"/>
      <c r="F2829" s="9">
        <f>IFERROR(__xludf.DUMMYFUNCTION("""COMPUTED_VALUE"""),2.71)</f>
        <v>2.71</v>
      </c>
      <c r="G2829" s="9">
        <f>IFERROR(__xludf.DUMMYFUNCTION("""COMPUTED_VALUE"""),2.71)</f>
        <v>2.71</v>
      </c>
      <c r="H2829" s="9">
        <f>IFERROR(__xludf.DUMMYFUNCTION("""COMPUTED_VALUE"""),2.0)</f>
        <v>2</v>
      </c>
      <c r="I2829" s="9"/>
      <c r="J2829" s="9"/>
      <c r="K2829" s="9"/>
      <c r="L2829" s="9"/>
      <c r="M2829" s="9"/>
      <c r="N2829" s="9"/>
      <c r="O2829" s="9"/>
      <c r="P2829" s="9"/>
      <c r="Q2829" s="9"/>
      <c r="R2829" s="9"/>
      <c r="S2829" s="9"/>
      <c r="T2829" s="9"/>
    </row>
    <row r="2830" ht="15.75" customHeight="1">
      <c r="A2830" s="11">
        <f>IFERROR(__xludf.DUMMYFUNCTION("""COMPUTED_VALUE"""),44471.0)</f>
        <v>44471</v>
      </c>
      <c r="B2830" s="9">
        <f>IFERROR(__xludf.DUMMYFUNCTION("""COMPUTED_VALUE"""),1003692.0)</f>
        <v>1003692</v>
      </c>
      <c r="C2830" s="9">
        <f>IFERROR(__xludf.DUMMYFUNCTION("""COMPUTED_VALUE"""),84203.0)</f>
        <v>84203</v>
      </c>
      <c r="D2830" s="10" t="str">
        <f>IFERROR(__xludf.DUMMYFUNCTION("""COMPUTED_VALUE"""),"Offre speciale")</f>
        <v>Offre speciale</v>
      </c>
      <c r="E2830" s="10"/>
      <c r="F2830" s="9">
        <f>IFERROR(__xludf.DUMMYFUNCTION("""COMPUTED_VALUE"""),8.36470588235294)</f>
        <v>8.364705882</v>
      </c>
      <c r="G2830" s="9">
        <f>IFERROR(__xludf.DUMMYFUNCTION("""COMPUTED_VALUE"""),7.11)</f>
        <v>7.11</v>
      </c>
      <c r="H2830" s="9">
        <f>IFERROR(__xludf.DUMMYFUNCTION("""COMPUTED_VALUE"""),2.0)</f>
        <v>2</v>
      </c>
      <c r="I2830" s="9"/>
      <c r="J2830" s="9"/>
      <c r="K2830" s="9"/>
      <c r="L2830" s="9"/>
      <c r="M2830" s="9"/>
      <c r="N2830" s="9"/>
      <c r="O2830" s="9"/>
      <c r="P2830" s="9"/>
      <c r="Q2830" s="9"/>
      <c r="R2830" s="9"/>
      <c r="S2830" s="9"/>
      <c r="T2830" s="9"/>
    </row>
    <row r="2831" ht="15.75" customHeight="1">
      <c r="A2831" s="11">
        <f>IFERROR(__xludf.DUMMYFUNCTION("""COMPUTED_VALUE"""),44471.0)</f>
        <v>44471</v>
      </c>
      <c r="B2831" s="9">
        <f>IFERROR(__xludf.DUMMYFUNCTION("""COMPUTED_VALUE"""),1003692.0)</f>
        <v>1003692</v>
      </c>
      <c r="C2831" s="9">
        <f>IFERROR(__xludf.DUMMYFUNCTION("""COMPUTED_VALUE"""),11071.0)</f>
        <v>11071</v>
      </c>
      <c r="D2831" s="10" t="str">
        <f>IFERROR(__xludf.DUMMYFUNCTION("""COMPUTED_VALUE"""),"Hipp 2021")</f>
        <v>Hipp 2021</v>
      </c>
      <c r="E2831" s="10"/>
      <c r="F2831" s="9">
        <f>IFERROR(__xludf.DUMMYFUNCTION("""COMPUTED_VALUE"""),5.21176470588235)</f>
        <v>5.211764706</v>
      </c>
      <c r="G2831" s="9">
        <f>IFERROR(__xludf.DUMMYFUNCTION("""COMPUTED_VALUE"""),4.43)</f>
        <v>4.43</v>
      </c>
      <c r="H2831" s="9">
        <f>IFERROR(__xludf.DUMMYFUNCTION("""COMPUTED_VALUE"""),2.0)</f>
        <v>2</v>
      </c>
      <c r="I2831" s="9"/>
      <c r="J2831" s="9"/>
      <c r="K2831" s="9"/>
      <c r="L2831" s="9"/>
      <c r="M2831" s="9"/>
      <c r="N2831" s="9"/>
      <c r="O2831" s="9"/>
      <c r="P2831" s="9"/>
      <c r="Q2831" s="9"/>
      <c r="R2831" s="9"/>
      <c r="S2831" s="9"/>
      <c r="T2831" s="9"/>
    </row>
    <row r="2832" ht="15.75" customHeight="1">
      <c r="A2832" s="11">
        <f>IFERROR(__xludf.DUMMYFUNCTION("""COMPUTED_VALUE"""),44471.0)</f>
        <v>44471</v>
      </c>
      <c r="B2832" s="9">
        <f>IFERROR(__xludf.DUMMYFUNCTION("""COMPUTED_VALUE"""),1003692.0)</f>
        <v>1003692</v>
      </c>
      <c r="C2832" s="9">
        <f>IFERROR(__xludf.DUMMYFUNCTION("""COMPUTED_VALUE"""),41328.0)</f>
        <v>41328</v>
      </c>
      <c r="D2832" s="9"/>
      <c r="E2832" s="9"/>
      <c r="F2832" s="9">
        <f>IFERROR(__xludf.DUMMYFUNCTION("""COMPUTED_VALUE"""),30.49)</f>
        <v>30.49</v>
      </c>
      <c r="G2832" s="9">
        <f>IFERROR(__xludf.DUMMYFUNCTION("""COMPUTED_VALUE"""),30.49)</f>
        <v>30.49</v>
      </c>
      <c r="H2832" s="9">
        <f>IFERROR(__xludf.DUMMYFUNCTION("""COMPUTED_VALUE"""),12.0)</f>
        <v>12</v>
      </c>
      <c r="I2832" s="9"/>
      <c r="J2832" s="9"/>
      <c r="K2832" s="9"/>
      <c r="L2832" s="9"/>
      <c r="M2832" s="9"/>
      <c r="N2832" s="9"/>
      <c r="O2832" s="9"/>
      <c r="P2832" s="9"/>
      <c r="Q2832" s="9"/>
      <c r="R2832" s="9"/>
      <c r="S2832" s="9"/>
      <c r="T2832" s="9"/>
    </row>
    <row r="2833" ht="15.75" customHeight="1">
      <c r="A2833" s="11">
        <f>IFERROR(__xludf.DUMMYFUNCTION("""COMPUTED_VALUE"""),44471.0)</f>
        <v>44471</v>
      </c>
      <c r="B2833" s="9">
        <f>IFERROR(__xludf.DUMMYFUNCTION("""COMPUTED_VALUE"""),1003693.0)</f>
        <v>1003693</v>
      </c>
      <c r="C2833" s="9">
        <f>IFERROR(__xludf.DUMMYFUNCTION("""COMPUTED_VALUE"""),100060.0)</f>
        <v>100060</v>
      </c>
      <c r="D2833" s="10" t="str">
        <f>IFERROR(__xludf.DUMMYFUNCTION("""COMPUTED_VALUE"""),"Vive le bio")</f>
        <v>Vive le bio</v>
      </c>
      <c r="E2833" s="10"/>
      <c r="F2833" s="9">
        <f>IFERROR(__xludf.DUMMYFUNCTION("""COMPUTED_VALUE"""),9.53333333333333)</f>
        <v>9.533333333</v>
      </c>
      <c r="G2833" s="9">
        <f>IFERROR(__xludf.DUMMYFUNCTION("""COMPUTED_VALUE"""),8.58)</f>
        <v>8.58</v>
      </c>
      <c r="H2833" s="9">
        <f>IFERROR(__xludf.DUMMYFUNCTION("""COMPUTED_VALUE"""),1.0)</f>
        <v>1</v>
      </c>
      <c r="I2833" s="9"/>
      <c r="J2833" s="9"/>
      <c r="K2833" s="9"/>
      <c r="L2833" s="9"/>
      <c r="M2833" s="9"/>
      <c r="N2833" s="9"/>
      <c r="O2833" s="9"/>
      <c r="P2833" s="9"/>
      <c r="Q2833" s="9"/>
      <c r="R2833" s="9"/>
      <c r="S2833" s="9"/>
      <c r="T2833" s="9"/>
    </row>
    <row r="2834" ht="15.75" customHeight="1">
      <c r="A2834" s="11">
        <f>IFERROR(__xludf.DUMMYFUNCTION("""COMPUTED_VALUE"""),44471.0)</f>
        <v>44471</v>
      </c>
      <c r="B2834" s="9">
        <f>IFERROR(__xludf.DUMMYFUNCTION("""COMPUTED_VALUE"""),1003693.0)</f>
        <v>1003693</v>
      </c>
      <c r="C2834" s="9">
        <f>IFERROR(__xludf.DUMMYFUNCTION("""COMPUTED_VALUE"""),117139.0)</f>
        <v>117139</v>
      </c>
      <c r="D2834" s="9"/>
      <c r="E2834" s="9"/>
      <c r="F2834" s="9">
        <f>IFERROR(__xludf.DUMMYFUNCTION("""COMPUTED_VALUE"""),8.07)</f>
        <v>8.07</v>
      </c>
      <c r="G2834" s="9">
        <f>IFERROR(__xludf.DUMMYFUNCTION("""COMPUTED_VALUE"""),8.07)</f>
        <v>8.07</v>
      </c>
      <c r="H2834" s="9">
        <f>IFERROR(__xludf.DUMMYFUNCTION("""COMPUTED_VALUE"""),1.0)</f>
        <v>1</v>
      </c>
      <c r="I2834" s="9"/>
      <c r="J2834" s="9"/>
      <c r="K2834" s="9"/>
      <c r="L2834" s="9"/>
      <c r="M2834" s="9"/>
      <c r="N2834" s="9"/>
      <c r="O2834" s="9"/>
      <c r="P2834" s="9"/>
      <c r="Q2834" s="9"/>
      <c r="R2834" s="9"/>
      <c r="S2834" s="9"/>
      <c r="T2834" s="9"/>
    </row>
    <row r="2835" ht="15.75" customHeight="1">
      <c r="A2835" s="11">
        <f>IFERROR(__xludf.DUMMYFUNCTION("""COMPUTED_VALUE"""),44471.0)</f>
        <v>44471</v>
      </c>
      <c r="B2835" s="9">
        <f>IFERROR(__xludf.DUMMYFUNCTION("""COMPUTED_VALUE"""),1003693.0)</f>
        <v>1003693</v>
      </c>
      <c r="C2835" s="9">
        <f>IFERROR(__xludf.DUMMYFUNCTION("""COMPUTED_VALUE"""),8726.0)</f>
        <v>8726</v>
      </c>
      <c r="D2835" s="10" t="str">
        <f>IFERROR(__xludf.DUMMYFUNCTION("""COMPUTED_VALUE"""),"Vive le bio")</f>
        <v>Vive le bio</v>
      </c>
      <c r="E2835" s="10"/>
      <c r="F2835" s="9">
        <f>IFERROR(__xludf.DUMMYFUNCTION("""COMPUTED_VALUE"""),9.17777777777777)</f>
        <v>9.177777778</v>
      </c>
      <c r="G2835" s="9">
        <f>IFERROR(__xludf.DUMMYFUNCTION("""COMPUTED_VALUE"""),8.26)</f>
        <v>8.26</v>
      </c>
      <c r="H2835" s="9">
        <f>IFERROR(__xludf.DUMMYFUNCTION("""COMPUTED_VALUE"""),1.0)</f>
        <v>1</v>
      </c>
      <c r="I2835" s="9"/>
      <c r="J2835" s="9"/>
      <c r="K2835" s="9"/>
      <c r="L2835" s="9"/>
      <c r="M2835" s="9"/>
      <c r="N2835" s="9"/>
      <c r="O2835" s="9"/>
      <c r="P2835" s="9"/>
      <c r="Q2835" s="9"/>
      <c r="R2835" s="9"/>
      <c r="S2835" s="9"/>
      <c r="T2835" s="9"/>
    </row>
    <row r="2836" ht="15.75" customHeight="1">
      <c r="A2836" s="11">
        <f>IFERROR(__xludf.DUMMYFUNCTION("""COMPUTED_VALUE"""),44471.0)</f>
        <v>44471</v>
      </c>
      <c r="B2836" s="9">
        <f>IFERROR(__xludf.DUMMYFUNCTION("""COMPUTED_VALUE"""),1003693.0)</f>
        <v>1003693</v>
      </c>
      <c r="C2836" s="9">
        <f>IFERROR(__xludf.DUMMYFUNCTION("""COMPUTED_VALUE"""),117830.0)</f>
        <v>117830</v>
      </c>
      <c r="D2836" s="9"/>
      <c r="E2836" s="9"/>
      <c r="F2836" s="9">
        <f>IFERROR(__xludf.DUMMYFUNCTION("""COMPUTED_VALUE"""),14.17)</f>
        <v>14.17</v>
      </c>
      <c r="G2836" s="9">
        <f>IFERROR(__xludf.DUMMYFUNCTION("""COMPUTED_VALUE"""),14.17)</f>
        <v>14.17</v>
      </c>
      <c r="H2836" s="9">
        <f>IFERROR(__xludf.DUMMYFUNCTION("""COMPUTED_VALUE"""),1.0)</f>
        <v>1</v>
      </c>
      <c r="I2836" s="9"/>
      <c r="J2836" s="9"/>
      <c r="K2836" s="9"/>
      <c r="L2836" s="9"/>
      <c r="M2836" s="9"/>
      <c r="N2836" s="9"/>
      <c r="O2836" s="9"/>
      <c r="P2836" s="9"/>
      <c r="Q2836" s="9"/>
      <c r="R2836" s="9"/>
      <c r="S2836" s="9"/>
      <c r="T2836" s="9"/>
    </row>
    <row r="2837" ht="15.75" customHeight="1">
      <c r="A2837" s="11">
        <f>IFERROR(__xludf.DUMMYFUNCTION("""COMPUTED_VALUE"""),44471.0)</f>
        <v>44471</v>
      </c>
      <c r="B2837" s="9">
        <f>IFERROR(__xludf.DUMMYFUNCTION("""COMPUTED_VALUE"""),1003694.0)</f>
        <v>1003694</v>
      </c>
      <c r="C2837" s="9">
        <f>IFERROR(__xludf.DUMMYFUNCTION("""COMPUTED_VALUE"""),109381.0)</f>
        <v>109381</v>
      </c>
      <c r="D2837" s="9"/>
      <c r="E2837" s="10" t="str">
        <f>IFERROR(__xludf.DUMMYFUNCTION("""COMPUTED_VALUE"""),"PREMIERE")</f>
        <v>PREMIERE</v>
      </c>
      <c r="F2837" s="10">
        <f>IFERROR(__xludf.DUMMYFUNCTION("""COMPUTED_VALUE"""),2.14)</f>
        <v>2.14</v>
      </c>
      <c r="G2837" s="9">
        <f>IFERROR(__xludf.DUMMYFUNCTION("""COMPUTED_VALUE"""),2.14)</f>
        <v>2.14</v>
      </c>
      <c r="H2837" s="9">
        <f>IFERROR(__xludf.DUMMYFUNCTION("""COMPUTED_VALUE"""),1.0)</f>
        <v>1</v>
      </c>
      <c r="I2837" s="9"/>
      <c r="J2837" s="9"/>
      <c r="K2837" s="9"/>
      <c r="L2837" s="9"/>
      <c r="M2837" s="9"/>
      <c r="N2837" s="9"/>
      <c r="O2837" s="9"/>
      <c r="P2837" s="9"/>
      <c r="Q2837" s="9"/>
      <c r="R2837" s="9"/>
      <c r="S2837" s="9"/>
      <c r="T2837" s="9"/>
    </row>
    <row r="2838" ht="15.75" customHeight="1">
      <c r="A2838" s="11">
        <f>IFERROR(__xludf.DUMMYFUNCTION("""COMPUTED_VALUE"""),44471.0)</f>
        <v>44471</v>
      </c>
      <c r="B2838" s="9">
        <f>IFERROR(__xludf.DUMMYFUNCTION("""COMPUTED_VALUE"""),1003694.0)</f>
        <v>1003694</v>
      </c>
      <c r="C2838" s="9">
        <f>IFERROR(__xludf.DUMMYFUNCTION("""COMPUTED_VALUE"""),12648.0)</f>
        <v>12648</v>
      </c>
      <c r="D2838" s="9"/>
      <c r="E2838" s="10" t="str">
        <f>IFERROR(__xludf.DUMMYFUNCTION("""COMPUTED_VALUE"""),"PREMIERE")</f>
        <v>PREMIERE</v>
      </c>
      <c r="F2838" s="10">
        <f>IFERROR(__xludf.DUMMYFUNCTION("""COMPUTED_VALUE"""),9.69)</f>
        <v>9.69</v>
      </c>
      <c r="G2838" s="9">
        <f>IFERROR(__xludf.DUMMYFUNCTION("""COMPUTED_VALUE"""),9.69)</f>
        <v>9.69</v>
      </c>
      <c r="H2838" s="9">
        <f>IFERROR(__xludf.DUMMYFUNCTION("""COMPUTED_VALUE"""),1.0)</f>
        <v>1</v>
      </c>
      <c r="I2838" s="9"/>
      <c r="J2838" s="9"/>
      <c r="K2838" s="9"/>
      <c r="L2838" s="9"/>
      <c r="M2838" s="9"/>
      <c r="N2838" s="9"/>
      <c r="O2838" s="9"/>
      <c r="P2838" s="9"/>
      <c r="Q2838" s="9"/>
      <c r="R2838" s="9"/>
      <c r="S2838" s="9"/>
      <c r="T2838" s="9"/>
    </row>
    <row r="2839" ht="15.75" customHeight="1">
      <c r="A2839" s="11">
        <f>IFERROR(__xludf.DUMMYFUNCTION("""COMPUTED_VALUE"""),44471.0)</f>
        <v>44471</v>
      </c>
      <c r="B2839" s="9">
        <f>IFERROR(__xludf.DUMMYFUNCTION("""COMPUTED_VALUE"""),1003694.0)</f>
        <v>1003694</v>
      </c>
      <c r="C2839" s="9">
        <f>IFERROR(__xludf.DUMMYFUNCTION("""COMPUTED_VALUE"""),100692.0)</f>
        <v>100692</v>
      </c>
      <c r="D2839" s="9"/>
      <c r="E2839" s="10" t="str">
        <f>IFERROR(__xludf.DUMMYFUNCTION("""COMPUTED_VALUE"""),"PREMIERE")</f>
        <v>PREMIERE</v>
      </c>
      <c r="F2839" s="10">
        <f>IFERROR(__xludf.DUMMYFUNCTION("""COMPUTED_VALUE"""),26.83)</f>
        <v>26.83</v>
      </c>
      <c r="G2839" s="9">
        <f>IFERROR(__xludf.DUMMYFUNCTION("""COMPUTED_VALUE"""),26.83)</f>
        <v>26.83</v>
      </c>
      <c r="H2839" s="9">
        <f>IFERROR(__xludf.DUMMYFUNCTION("""COMPUTED_VALUE"""),12.0)</f>
        <v>12</v>
      </c>
      <c r="I2839" s="9"/>
      <c r="J2839" s="9"/>
      <c r="K2839" s="9"/>
      <c r="L2839" s="9"/>
      <c r="M2839" s="9"/>
      <c r="N2839" s="9"/>
      <c r="O2839" s="9"/>
      <c r="P2839" s="9"/>
      <c r="Q2839" s="9"/>
      <c r="R2839" s="9"/>
      <c r="S2839" s="9"/>
      <c r="T2839" s="9"/>
    </row>
    <row r="2840" ht="15.75" customHeight="1">
      <c r="A2840" s="11">
        <f>IFERROR(__xludf.DUMMYFUNCTION("""COMPUTED_VALUE"""),44471.0)</f>
        <v>44471</v>
      </c>
      <c r="B2840" s="9">
        <f>IFERROR(__xludf.DUMMYFUNCTION("""COMPUTED_VALUE"""),1003695.0)</f>
        <v>1003695</v>
      </c>
      <c r="C2840" s="9">
        <f>IFERROR(__xludf.DUMMYFUNCTION("""COMPUTED_VALUE"""),102188.0)</f>
        <v>102188</v>
      </c>
      <c r="D2840" s="9"/>
      <c r="E2840" s="9"/>
      <c r="F2840" s="9">
        <f>IFERROR(__xludf.DUMMYFUNCTION("""COMPUTED_VALUE"""),2.76)</f>
        <v>2.76</v>
      </c>
      <c r="G2840" s="9">
        <f>IFERROR(__xludf.DUMMYFUNCTION("""COMPUTED_VALUE"""),2.76)</f>
        <v>2.76</v>
      </c>
      <c r="H2840" s="9">
        <f>IFERROR(__xludf.DUMMYFUNCTION("""COMPUTED_VALUE"""),1.0)</f>
        <v>1</v>
      </c>
      <c r="I2840" s="9"/>
      <c r="J2840" s="9"/>
      <c r="K2840" s="9"/>
      <c r="L2840" s="9"/>
      <c r="M2840" s="9"/>
      <c r="N2840" s="9"/>
      <c r="O2840" s="9"/>
      <c r="P2840" s="9"/>
      <c r="Q2840" s="9"/>
      <c r="R2840" s="9"/>
      <c r="S2840" s="9"/>
      <c r="T2840" s="9"/>
    </row>
    <row r="2841" ht="15.75" customHeight="1">
      <c r="A2841" s="11">
        <f>IFERROR(__xludf.DUMMYFUNCTION("""COMPUTED_VALUE"""),44471.0)</f>
        <v>44471</v>
      </c>
      <c r="B2841" s="9">
        <f>IFERROR(__xludf.DUMMYFUNCTION("""COMPUTED_VALUE"""),1003695.0)</f>
        <v>1003695</v>
      </c>
      <c r="C2841" s="9">
        <f>IFERROR(__xludf.DUMMYFUNCTION("""COMPUTED_VALUE"""),8883.0)</f>
        <v>8883</v>
      </c>
      <c r="D2841" s="9"/>
      <c r="E2841" s="9"/>
      <c r="F2841" s="9">
        <f>IFERROR(__xludf.DUMMYFUNCTION("""COMPUTED_VALUE"""),2.43)</f>
        <v>2.43</v>
      </c>
      <c r="G2841" s="9">
        <f>IFERROR(__xludf.DUMMYFUNCTION("""COMPUTED_VALUE"""),2.43)</f>
        <v>2.43</v>
      </c>
      <c r="H2841" s="9">
        <f>IFERROR(__xludf.DUMMYFUNCTION("""COMPUTED_VALUE"""),1.0)</f>
        <v>1</v>
      </c>
      <c r="I2841" s="9"/>
      <c r="J2841" s="9"/>
      <c r="K2841" s="9"/>
      <c r="L2841" s="9"/>
      <c r="M2841" s="9"/>
      <c r="N2841" s="9"/>
      <c r="O2841" s="9"/>
      <c r="P2841" s="9"/>
      <c r="Q2841" s="9"/>
      <c r="R2841" s="9"/>
      <c r="S2841" s="9"/>
      <c r="T2841" s="9"/>
    </row>
    <row r="2842" ht="15.75" customHeight="1">
      <c r="A2842" s="11">
        <f>IFERROR(__xludf.DUMMYFUNCTION("""COMPUTED_VALUE"""),44471.0)</f>
        <v>44471</v>
      </c>
      <c r="B2842" s="9">
        <f>IFERROR(__xludf.DUMMYFUNCTION("""COMPUTED_VALUE"""),1003695.0)</f>
        <v>1003695</v>
      </c>
      <c r="C2842" s="9">
        <f>IFERROR(__xludf.DUMMYFUNCTION("""COMPUTED_VALUE"""),109312.0)</f>
        <v>109312</v>
      </c>
      <c r="D2842" s="9"/>
      <c r="E2842" s="9"/>
      <c r="F2842" s="9">
        <f>IFERROR(__xludf.DUMMYFUNCTION("""COMPUTED_VALUE"""),2.68)</f>
        <v>2.68</v>
      </c>
      <c r="G2842" s="9">
        <f>IFERROR(__xludf.DUMMYFUNCTION("""COMPUTED_VALUE"""),2.68)</f>
        <v>2.68</v>
      </c>
      <c r="H2842" s="9">
        <f>IFERROR(__xludf.DUMMYFUNCTION("""COMPUTED_VALUE"""),1.0)</f>
        <v>1</v>
      </c>
      <c r="I2842" s="9"/>
      <c r="J2842" s="9"/>
      <c r="K2842" s="9"/>
      <c r="L2842" s="9"/>
      <c r="M2842" s="9"/>
      <c r="N2842" s="9"/>
      <c r="O2842" s="9"/>
      <c r="P2842" s="9"/>
      <c r="Q2842" s="9"/>
      <c r="R2842" s="9"/>
      <c r="S2842" s="9"/>
      <c r="T2842" s="9"/>
    </row>
    <row r="2843" ht="15.75" customHeight="1">
      <c r="A2843" s="11">
        <f>IFERROR(__xludf.DUMMYFUNCTION("""COMPUTED_VALUE"""),44471.0)</f>
        <v>44471</v>
      </c>
      <c r="B2843" s="9">
        <f>IFERROR(__xludf.DUMMYFUNCTION("""COMPUTED_VALUE"""),1003695.0)</f>
        <v>1003695</v>
      </c>
      <c r="C2843" s="9">
        <f>IFERROR(__xludf.DUMMYFUNCTION("""COMPUTED_VALUE"""),77601.0)</f>
        <v>77601</v>
      </c>
      <c r="D2843" s="9"/>
      <c r="E2843" s="9"/>
      <c r="F2843" s="9">
        <f>IFERROR(__xludf.DUMMYFUNCTION("""COMPUTED_VALUE"""),9.1)</f>
        <v>9.1</v>
      </c>
      <c r="G2843" s="9">
        <f>IFERROR(__xludf.DUMMYFUNCTION("""COMPUTED_VALUE"""),9.1)</f>
        <v>9.1</v>
      </c>
      <c r="H2843" s="9">
        <f>IFERROR(__xludf.DUMMYFUNCTION("""COMPUTED_VALUE"""),2.0)</f>
        <v>2</v>
      </c>
      <c r="I2843" s="9"/>
      <c r="J2843" s="9"/>
      <c r="K2843" s="9"/>
      <c r="L2843" s="9"/>
      <c r="M2843" s="9"/>
      <c r="N2843" s="9"/>
      <c r="O2843" s="9"/>
      <c r="P2843" s="9"/>
      <c r="Q2843" s="9"/>
      <c r="R2843" s="9"/>
      <c r="S2843" s="9"/>
      <c r="T2843" s="9"/>
    </row>
    <row r="2844" ht="15.75" customHeight="1">
      <c r="A2844" s="11">
        <f>IFERROR(__xludf.DUMMYFUNCTION("""COMPUTED_VALUE"""),44471.0)</f>
        <v>44471</v>
      </c>
      <c r="B2844" s="9">
        <f>IFERROR(__xludf.DUMMYFUNCTION("""COMPUTED_VALUE"""),1003695.0)</f>
        <v>1003695</v>
      </c>
      <c r="C2844" s="9">
        <f>IFERROR(__xludf.DUMMYFUNCTION("""COMPUTED_VALUE"""),109309.0)</f>
        <v>109309</v>
      </c>
      <c r="D2844" s="9"/>
      <c r="E2844" s="9"/>
      <c r="F2844" s="9">
        <f>IFERROR(__xludf.DUMMYFUNCTION("""COMPUTED_VALUE"""),16.53)</f>
        <v>16.53</v>
      </c>
      <c r="G2844" s="9">
        <f>IFERROR(__xludf.DUMMYFUNCTION("""COMPUTED_VALUE"""),16.53)</f>
        <v>16.53</v>
      </c>
      <c r="H2844" s="9">
        <f>IFERROR(__xludf.DUMMYFUNCTION("""COMPUTED_VALUE"""),2.0)</f>
        <v>2</v>
      </c>
      <c r="I2844" s="9"/>
      <c r="J2844" s="9"/>
      <c r="K2844" s="9"/>
      <c r="L2844" s="9"/>
      <c r="M2844" s="9"/>
      <c r="N2844" s="9"/>
      <c r="O2844" s="9"/>
      <c r="P2844" s="9"/>
      <c r="Q2844" s="9"/>
      <c r="R2844" s="9"/>
      <c r="S2844" s="9"/>
      <c r="T2844" s="9"/>
    </row>
    <row r="2845" ht="15.75" customHeight="1">
      <c r="A2845" s="11">
        <f>IFERROR(__xludf.DUMMYFUNCTION("""COMPUTED_VALUE"""),44471.0)</f>
        <v>44471</v>
      </c>
      <c r="B2845" s="9">
        <f>IFERROR(__xludf.DUMMYFUNCTION("""COMPUTED_VALUE"""),1003695.0)</f>
        <v>1003695</v>
      </c>
      <c r="C2845" s="9">
        <f>IFERROR(__xludf.DUMMYFUNCTION("""COMPUTED_VALUE"""),90727.0)</f>
        <v>90727</v>
      </c>
      <c r="D2845" s="9"/>
      <c r="E2845" s="9"/>
      <c r="F2845" s="9">
        <f>IFERROR(__xludf.DUMMYFUNCTION("""COMPUTED_VALUE"""),22.11)</f>
        <v>22.11</v>
      </c>
      <c r="G2845" s="9">
        <f>IFERROR(__xludf.DUMMYFUNCTION("""COMPUTED_VALUE"""),22.11)</f>
        <v>22.11</v>
      </c>
      <c r="H2845" s="9">
        <f>IFERROR(__xludf.DUMMYFUNCTION("""COMPUTED_VALUE"""),2.0)</f>
        <v>2</v>
      </c>
      <c r="I2845" s="9"/>
      <c r="J2845" s="9"/>
      <c r="K2845" s="9"/>
      <c r="L2845" s="9"/>
      <c r="M2845" s="9"/>
      <c r="N2845" s="9"/>
      <c r="O2845" s="9"/>
      <c r="P2845" s="9"/>
      <c r="Q2845" s="9"/>
      <c r="R2845" s="9"/>
      <c r="S2845" s="9"/>
      <c r="T2845" s="9"/>
    </row>
    <row r="2846" ht="15.75" customHeight="1">
      <c r="A2846" s="11">
        <f>IFERROR(__xludf.DUMMYFUNCTION("""COMPUTED_VALUE"""),44471.0)</f>
        <v>44471</v>
      </c>
      <c r="B2846" s="9">
        <f>IFERROR(__xludf.DUMMYFUNCTION("""COMPUTED_VALUE"""),1003695.0)</f>
        <v>1003695</v>
      </c>
      <c r="C2846" s="9">
        <f>IFERROR(__xludf.DUMMYFUNCTION("""COMPUTED_VALUE"""),80315.0)</f>
        <v>80315</v>
      </c>
      <c r="D2846" s="9"/>
      <c r="E2846" s="9"/>
      <c r="F2846" s="9">
        <f>IFERROR(__xludf.DUMMYFUNCTION("""COMPUTED_VALUE"""),5.34)</f>
        <v>5.34</v>
      </c>
      <c r="G2846" s="9">
        <f>IFERROR(__xludf.DUMMYFUNCTION("""COMPUTED_VALUE"""),5.34)</f>
        <v>5.34</v>
      </c>
      <c r="H2846" s="9">
        <f>IFERROR(__xludf.DUMMYFUNCTION("""COMPUTED_VALUE"""),2.0)</f>
        <v>2</v>
      </c>
      <c r="I2846" s="9"/>
      <c r="J2846" s="9"/>
      <c r="K2846" s="9"/>
      <c r="L2846" s="9"/>
      <c r="M2846" s="9"/>
      <c r="N2846" s="9"/>
      <c r="O2846" s="9"/>
      <c r="P2846" s="9"/>
      <c r="Q2846" s="9"/>
      <c r="R2846" s="9"/>
      <c r="S2846" s="9"/>
      <c r="T2846" s="9"/>
    </row>
    <row r="2847" ht="15.75" customHeight="1">
      <c r="A2847" s="11">
        <f>IFERROR(__xludf.DUMMYFUNCTION("""COMPUTED_VALUE"""),44471.0)</f>
        <v>44471</v>
      </c>
      <c r="B2847" s="9">
        <f>IFERROR(__xludf.DUMMYFUNCTION("""COMPUTED_VALUE"""),1003695.0)</f>
        <v>1003695</v>
      </c>
      <c r="C2847" s="9">
        <f>IFERROR(__xludf.DUMMYFUNCTION("""COMPUTED_VALUE"""),109311.0)</f>
        <v>109311</v>
      </c>
      <c r="D2847" s="9"/>
      <c r="E2847" s="9"/>
      <c r="F2847" s="9">
        <f>IFERROR(__xludf.DUMMYFUNCTION("""COMPUTED_VALUE"""),16.26)</f>
        <v>16.26</v>
      </c>
      <c r="G2847" s="9">
        <f>IFERROR(__xludf.DUMMYFUNCTION("""COMPUTED_VALUE"""),16.26)</f>
        <v>16.26</v>
      </c>
      <c r="H2847" s="9">
        <f>IFERROR(__xludf.DUMMYFUNCTION("""COMPUTED_VALUE"""),2.0)</f>
        <v>2</v>
      </c>
      <c r="I2847" s="9"/>
      <c r="J2847" s="9"/>
      <c r="K2847" s="9"/>
      <c r="L2847" s="9"/>
      <c r="M2847" s="9"/>
      <c r="N2847" s="9"/>
      <c r="O2847" s="9"/>
      <c r="P2847" s="9"/>
      <c r="Q2847" s="9"/>
      <c r="R2847" s="9"/>
      <c r="S2847" s="9"/>
      <c r="T2847" s="9"/>
    </row>
    <row r="2848" ht="15.75" customHeight="1">
      <c r="A2848" s="11">
        <f>IFERROR(__xludf.DUMMYFUNCTION("""COMPUTED_VALUE"""),44471.0)</f>
        <v>44471</v>
      </c>
      <c r="B2848" s="9">
        <f>IFERROR(__xludf.DUMMYFUNCTION("""COMPUTED_VALUE"""),1003695.0)</f>
        <v>1003695</v>
      </c>
      <c r="C2848" s="9">
        <f>IFERROR(__xludf.DUMMYFUNCTION("""COMPUTED_VALUE"""),73572.0)</f>
        <v>73572</v>
      </c>
      <c r="D2848" s="9"/>
      <c r="E2848" s="9"/>
      <c r="F2848" s="9">
        <f>IFERROR(__xludf.DUMMYFUNCTION("""COMPUTED_VALUE"""),2.98)</f>
        <v>2.98</v>
      </c>
      <c r="G2848" s="9">
        <f>IFERROR(__xludf.DUMMYFUNCTION("""COMPUTED_VALUE"""),2.98)</f>
        <v>2.98</v>
      </c>
      <c r="H2848" s="9">
        <f>IFERROR(__xludf.DUMMYFUNCTION("""COMPUTED_VALUE"""),2.0)</f>
        <v>2</v>
      </c>
      <c r="I2848" s="9"/>
      <c r="J2848" s="9"/>
      <c r="K2848" s="9"/>
      <c r="L2848" s="9"/>
      <c r="M2848" s="9"/>
      <c r="N2848" s="9"/>
      <c r="O2848" s="9"/>
      <c r="P2848" s="9"/>
      <c r="Q2848" s="9"/>
      <c r="R2848" s="9"/>
      <c r="S2848" s="9"/>
      <c r="T2848" s="9"/>
    </row>
    <row r="2849" ht="15.75" customHeight="1">
      <c r="A2849" s="11">
        <f>IFERROR(__xludf.DUMMYFUNCTION("""COMPUTED_VALUE"""),44471.0)</f>
        <v>44471</v>
      </c>
      <c r="B2849" s="9">
        <f>IFERROR(__xludf.DUMMYFUNCTION("""COMPUTED_VALUE"""),1003695.0)</f>
        <v>1003695</v>
      </c>
      <c r="C2849" s="9">
        <f>IFERROR(__xludf.DUMMYFUNCTION("""COMPUTED_VALUE"""),116202.0)</f>
        <v>116202</v>
      </c>
      <c r="D2849" s="9"/>
      <c r="E2849" s="9"/>
      <c r="F2849" s="9">
        <f>IFERROR(__xludf.DUMMYFUNCTION("""COMPUTED_VALUE"""),2.49)</f>
        <v>2.49</v>
      </c>
      <c r="G2849" s="9">
        <f>IFERROR(__xludf.DUMMYFUNCTION("""COMPUTED_VALUE"""),2.49)</f>
        <v>2.49</v>
      </c>
      <c r="H2849" s="9">
        <f>IFERROR(__xludf.DUMMYFUNCTION("""COMPUTED_VALUE"""),2.0)</f>
        <v>2</v>
      </c>
      <c r="I2849" s="9"/>
      <c r="J2849" s="9"/>
      <c r="K2849" s="9"/>
      <c r="L2849" s="9"/>
      <c r="M2849" s="9"/>
      <c r="N2849" s="9"/>
      <c r="O2849" s="9"/>
      <c r="P2849" s="9"/>
      <c r="Q2849" s="9"/>
      <c r="R2849" s="9"/>
      <c r="S2849" s="9"/>
      <c r="T2849" s="9"/>
    </row>
    <row r="2850" ht="15.75" customHeight="1">
      <c r="A2850" s="11">
        <f>IFERROR(__xludf.DUMMYFUNCTION("""COMPUTED_VALUE"""),44471.0)</f>
        <v>44471</v>
      </c>
      <c r="B2850" s="9">
        <f>IFERROR(__xludf.DUMMYFUNCTION("""COMPUTED_VALUE"""),1003695.0)</f>
        <v>1003695</v>
      </c>
      <c r="C2850" s="9">
        <f>IFERROR(__xludf.DUMMYFUNCTION("""COMPUTED_VALUE"""),102344.0)</f>
        <v>102344</v>
      </c>
      <c r="D2850" s="9"/>
      <c r="E2850" s="9"/>
      <c r="F2850" s="9">
        <f>IFERROR(__xludf.DUMMYFUNCTION("""COMPUTED_VALUE"""),8.0)</f>
        <v>8</v>
      </c>
      <c r="G2850" s="9">
        <f>IFERROR(__xludf.DUMMYFUNCTION("""COMPUTED_VALUE"""),8.0)</f>
        <v>8</v>
      </c>
      <c r="H2850" s="9">
        <f>IFERROR(__xludf.DUMMYFUNCTION("""COMPUTED_VALUE"""),3.0)</f>
        <v>3</v>
      </c>
      <c r="I2850" s="9"/>
      <c r="J2850" s="9"/>
      <c r="K2850" s="9"/>
      <c r="L2850" s="9"/>
      <c r="M2850" s="9"/>
      <c r="N2850" s="9"/>
      <c r="O2850" s="9"/>
      <c r="P2850" s="9"/>
      <c r="Q2850" s="9"/>
      <c r="R2850" s="9"/>
      <c r="S2850" s="9"/>
      <c r="T2850" s="9"/>
    </row>
    <row r="2851" ht="15.75" customHeight="1">
      <c r="A2851" s="11">
        <f>IFERROR(__xludf.DUMMYFUNCTION("""COMPUTED_VALUE"""),44471.0)</f>
        <v>44471</v>
      </c>
      <c r="B2851" s="9">
        <f>IFERROR(__xludf.DUMMYFUNCTION("""COMPUTED_VALUE"""),1003695.0)</f>
        <v>1003695</v>
      </c>
      <c r="C2851" s="9">
        <f>IFERROR(__xludf.DUMMYFUNCTION("""COMPUTED_VALUE"""),121695.0)</f>
        <v>121695</v>
      </c>
      <c r="D2851" s="9"/>
      <c r="E2851" s="9"/>
      <c r="F2851" s="9">
        <f>IFERROR(__xludf.DUMMYFUNCTION("""COMPUTED_VALUE"""),3.22)</f>
        <v>3.22</v>
      </c>
      <c r="G2851" s="9">
        <f>IFERROR(__xludf.DUMMYFUNCTION("""COMPUTED_VALUE"""),3.22)</f>
        <v>3.22</v>
      </c>
      <c r="H2851" s="9">
        <f>IFERROR(__xludf.DUMMYFUNCTION("""COMPUTED_VALUE"""),3.0)</f>
        <v>3</v>
      </c>
      <c r="I2851" s="9"/>
      <c r="J2851" s="9"/>
      <c r="K2851" s="9"/>
      <c r="L2851" s="9"/>
      <c r="M2851" s="9"/>
      <c r="N2851" s="9"/>
      <c r="O2851" s="9"/>
      <c r="P2851" s="9"/>
      <c r="Q2851" s="9"/>
      <c r="R2851" s="9"/>
      <c r="S2851" s="9"/>
      <c r="T2851" s="9"/>
    </row>
    <row r="2852" ht="15.75" customHeight="1">
      <c r="A2852" s="11">
        <f>IFERROR(__xludf.DUMMYFUNCTION("""COMPUTED_VALUE"""),44471.0)</f>
        <v>44471</v>
      </c>
      <c r="B2852" s="9">
        <f>IFERROR(__xludf.DUMMYFUNCTION("""COMPUTED_VALUE"""),1003695.0)</f>
        <v>1003695</v>
      </c>
      <c r="C2852" s="9">
        <f>IFERROR(__xludf.DUMMYFUNCTION("""COMPUTED_VALUE"""),86782.0)</f>
        <v>86782</v>
      </c>
      <c r="D2852" s="9"/>
      <c r="E2852" s="9"/>
      <c r="F2852" s="9">
        <f>IFERROR(__xludf.DUMMYFUNCTION("""COMPUTED_VALUE"""),44.22)</f>
        <v>44.22</v>
      </c>
      <c r="G2852" s="9">
        <f>IFERROR(__xludf.DUMMYFUNCTION("""COMPUTED_VALUE"""),44.22)</f>
        <v>44.22</v>
      </c>
      <c r="H2852" s="9">
        <f>IFERROR(__xludf.DUMMYFUNCTION("""COMPUTED_VALUE"""),4.0)</f>
        <v>4</v>
      </c>
      <c r="I2852" s="9"/>
      <c r="J2852" s="9"/>
      <c r="K2852" s="9"/>
      <c r="L2852" s="9"/>
      <c r="M2852" s="9"/>
      <c r="N2852" s="9"/>
      <c r="O2852" s="9"/>
      <c r="P2852" s="9"/>
      <c r="Q2852" s="9"/>
      <c r="R2852" s="9"/>
      <c r="S2852" s="9"/>
      <c r="T2852" s="9"/>
    </row>
    <row r="2853" ht="15.75" customHeight="1">
      <c r="A2853" s="11">
        <f>IFERROR(__xludf.DUMMYFUNCTION("""COMPUTED_VALUE"""),44471.0)</f>
        <v>44471</v>
      </c>
      <c r="B2853" s="9">
        <f>IFERROR(__xludf.DUMMYFUNCTION("""COMPUTED_VALUE"""),1003696.0)</f>
        <v>1003696</v>
      </c>
      <c r="C2853" s="9">
        <f>IFERROR(__xludf.DUMMYFUNCTION("""COMPUTED_VALUE"""),147302.0)</f>
        <v>147302</v>
      </c>
      <c r="D2853" s="9"/>
      <c r="E2853" s="9"/>
      <c r="F2853" s="9">
        <f>IFERROR(__xludf.DUMMYFUNCTION("""COMPUTED_VALUE"""),15.75)</f>
        <v>15.75</v>
      </c>
      <c r="G2853" s="9">
        <f>IFERROR(__xludf.DUMMYFUNCTION("""COMPUTED_VALUE"""),15.75)</f>
        <v>15.75</v>
      </c>
      <c r="H2853" s="9">
        <f>IFERROR(__xludf.DUMMYFUNCTION("""COMPUTED_VALUE"""),1.0)</f>
        <v>1</v>
      </c>
      <c r="I2853" s="9"/>
      <c r="J2853" s="9"/>
      <c r="K2853" s="9"/>
      <c r="L2853" s="9"/>
      <c r="M2853" s="9"/>
      <c r="N2853" s="9"/>
      <c r="O2853" s="9"/>
      <c r="P2853" s="9"/>
      <c r="Q2853" s="9"/>
      <c r="R2853" s="9"/>
      <c r="S2853" s="9"/>
      <c r="T2853" s="9"/>
    </row>
    <row r="2854" ht="15.75" customHeight="1">
      <c r="A2854" s="11">
        <f>IFERROR(__xludf.DUMMYFUNCTION("""COMPUTED_VALUE"""),44471.0)</f>
        <v>44471</v>
      </c>
      <c r="B2854" s="9">
        <f>IFERROR(__xludf.DUMMYFUNCTION("""COMPUTED_VALUE"""),1003697.0)</f>
        <v>1003697</v>
      </c>
      <c r="C2854" s="9">
        <f>IFERROR(__xludf.DUMMYFUNCTION("""COMPUTED_VALUE"""),94040.0)</f>
        <v>94040</v>
      </c>
      <c r="D2854" s="9"/>
      <c r="E2854" s="9"/>
      <c r="F2854" s="9">
        <f>IFERROR(__xludf.DUMMYFUNCTION("""COMPUTED_VALUE"""),3.79)</f>
        <v>3.79</v>
      </c>
      <c r="G2854" s="9">
        <f>IFERROR(__xludf.DUMMYFUNCTION("""COMPUTED_VALUE"""),3.79)</f>
        <v>3.79</v>
      </c>
      <c r="H2854" s="9">
        <f>IFERROR(__xludf.DUMMYFUNCTION("""COMPUTED_VALUE"""),1.0)</f>
        <v>1</v>
      </c>
      <c r="I2854" s="9"/>
      <c r="J2854" s="9"/>
      <c r="K2854" s="9"/>
      <c r="L2854" s="9"/>
      <c r="M2854" s="9"/>
      <c r="N2854" s="9"/>
      <c r="O2854" s="9"/>
      <c r="P2854" s="9"/>
      <c r="Q2854" s="9"/>
      <c r="R2854" s="9"/>
      <c r="S2854" s="9"/>
      <c r="T2854" s="9"/>
    </row>
    <row r="2855" ht="15.75" customHeight="1">
      <c r="A2855" s="11">
        <f>IFERROR(__xludf.DUMMYFUNCTION("""COMPUTED_VALUE"""),44471.0)</f>
        <v>44471</v>
      </c>
      <c r="B2855" s="9">
        <f>IFERROR(__xludf.DUMMYFUNCTION("""COMPUTED_VALUE"""),1003697.0)</f>
        <v>1003697</v>
      </c>
      <c r="C2855" s="9">
        <f>IFERROR(__xludf.DUMMYFUNCTION("""COMPUTED_VALUE"""),90723.0)</f>
        <v>90723</v>
      </c>
      <c r="D2855" s="9"/>
      <c r="E2855" s="9"/>
      <c r="F2855" s="9">
        <f>IFERROR(__xludf.DUMMYFUNCTION("""COMPUTED_VALUE"""),10.68)</f>
        <v>10.68</v>
      </c>
      <c r="G2855" s="9">
        <f>IFERROR(__xludf.DUMMYFUNCTION("""COMPUTED_VALUE"""),10.68)</f>
        <v>10.68</v>
      </c>
      <c r="H2855" s="9">
        <f>IFERROR(__xludf.DUMMYFUNCTION("""COMPUTED_VALUE"""),1.0)</f>
        <v>1</v>
      </c>
      <c r="I2855" s="9"/>
      <c r="J2855" s="9"/>
      <c r="K2855" s="9"/>
      <c r="L2855" s="9"/>
      <c r="M2855" s="9"/>
      <c r="N2855" s="9"/>
      <c r="O2855" s="9"/>
      <c r="P2855" s="9"/>
      <c r="Q2855" s="9"/>
      <c r="R2855" s="9"/>
      <c r="S2855" s="9"/>
      <c r="T2855" s="9"/>
    </row>
    <row r="2856" ht="15.75" customHeight="1">
      <c r="A2856" s="11">
        <f>IFERROR(__xludf.DUMMYFUNCTION("""COMPUTED_VALUE"""),44471.0)</f>
        <v>44471</v>
      </c>
      <c r="B2856" s="9">
        <f>IFERROR(__xludf.DUMMYFUNCTION("""COMPUTED_VALUE"""),1003697.0)</f>
        <v>1003697</v>
      </c>
      <c r="C2856" s="9">
        <f>IFERROR(__xludf.DUMMYFUNCTION("""COMPUTED_VALUE"""),90727.0)</f>
        <v>90727</v>
      </c>
      <c r="D2856" s="9"/>
      <c r="E2856" s="9"/>
      <c r="F2856" s="9">
        <f>IFERROR(__xludf.DUMMYFUNCTION("""COMPUTED_VALUE"""),11.05)</f>
        <v>11.05</v>
      </c>
      <c r="G2856" s="9">
        <f>IFERROR(__xludf.DUMMYFUNCTION("""COMPUTED_VALUE"""),11.05)</f>
        <v>11.05</v>
      </c>
      <c r="H2856" s="9">
        <f>IFERROR(__xludf.DUMMYFUNCTION("""COMPUTED_VALUE"""),1.0)</f>
        <v>1</v>
      </c>
      <c r="I2856" s="9"/>
      <c r="J2856" s="9"/>
      <c r="K2856" s="9"/>
      <c r="L2856" s="9"/>
      <c r="M2856" s="9"/>
      <c r="N2856" s="9"/>
      <c r="O2856" s="9"/>
      <c r="P2856" s="9"/>
      <c r="Q2856" s="9"/>
      <c r="R2856" s="9"/>
      <c r="S2856" s="9"/>
      <c r="T2856" s="9"/>
    </row>
    <row r="2857" ht="15.75" customHeight="1">
      <c r="A2857" s="11">
        <f>IFERROR(__xludf.DUMMYFUNCTION("""COMPUTED_VALUE"""),44471.0)</f>
        <v>44471</v>
      </c>
      <c r="B2857" s="9">
        <f>IFERROR(__xludf.DUMMYFUNCTION("""COMPUTED_VALUE"""),1003697.0)</f>
        <v>1003697</v>
      </c>
      <c r="C2857" s="9">
        <f>IFERROR(__xludf.DUMMYFUNCTION("""COMPUTED_VALUE"""),68404.0)</f>
        <v>68404</v>
      </c>
      <c r="D2857" s="9"/>
      <c r="E2857" s="9"/>
      <c r="F2857" s="9">
        <f>IFERROR(__xludf.DUMMYFUNCTION("""COMPUTED_VALUE"""),2.08)</f>
        <v>2.08</v>
      </c>
      <c r="G2857" s="9">
        <f>IFERROR(__xludf.DUMMYFUNCTION("""COMPUTED_VALUE"""),2.08)</f>
        <v>2.08</v>
      </c>
      <c r="H2857" s="9">
        <f>IFERROR(__xludf.DUMMYFUNCTION("""COMPUTED_VALUE"""),1.0)</f>
        <v>1</v>
      </c>
      <c r="I2857" s="9"/>
      <c r="J2857" s="9"/>
      <c r="K2857" s="9"/>
      <c r="L2857" s="9"/>
      <c r="M2857" s="9"/>
      <c r="N2857" s="9"/>
      <c r="O2857" s="9"/>
      <c r="P2857" s="9"/>
      <c r="Q2857" s="9"/>
      <c r="R2857" s="9"/>
      <c r="S2857" s="9"/>
      <c r="T2857" s="9"/>
    </row>
    <row r="2858" ht="15.75" customHeight="1">
      <c r="A2858" s="11">
        <f>IFERROR(__xludf.DUMMYFUNCTION("""COMPUTED_VALUE"""),44471.0)</f>
        <v>44471</v>
      </c>
      <c r="B2858" s="9">
        <f>IFERROR(__xludf.DUMMYFUNCTION("""COMPUTED_VALUE"""),1003697.0)</f>
        <v>1003697</v>
      </c>
      <c r="C2858" s="9">
        <f>IFERROR(__xludf.DUMMYFUNCTION("""COMPUTED_VALUE"""),5663.0)</f>
        <v>5663</v>
      </c>
      <c r="D2858" s="9"/>
      <c r="E2858" s="9"/>
      <c r="F2858" s="9">
        <f>IFERROR(__xludf.DUMMYFUNCTION("""COMPUTED_VALUE"""),2.71)</f>
        <v>2.71</v>
      </c>
      <c r="G2858" s="9">
        <f>IFERROR(__xludf.DUMMYFUNCTION("""COMPUTED_VALUE"""),2.71)</f>
        <v>2.71</v>
      </c>
      <c r="H2858" s="9">
        <f>IFERROR(__xludf.DUMMYFUNCTION("""COMPUTED_VALUE"""),1.0)</f>
        <v>1</v>
      </c>
      <c r="I2858" s="9"/>
      <c r="J2858" s="9"/>
      <c r="K2858" s="9"/>
      <c r="L2858" s="9"/>
      <c r="M2858" s="9"/>
      <c r="N2858" s="9"/>
      <c r="O2858" s="9"/>
      <c r="P2858" s="9"/>
      <c r="Q2858" s="9"/>
      <c r="R2858" s="9"/>
      <c r="S2858" s="9"/>
      <c r="T2858" s="9"/>
    </row>
    <row r="2859" ht="15.75" customHeight="1">
      <c r="A2859" s="11">
        <f>IFERROR(__xludf.DUMMYFUNCTION("""COMPUTED_VALUE"""),44471.0)</f>
        <v>44471</v>
      </c>
      <c r="B2859" s="9">
        <f>IFERROR(__xludf.DUMMYFUNCTION("""COMPUTED_VALUE"""),1003697.0)</f>
        <v>1003697</v>
      </c>
      <c r="C2859" s="9">
        <f>IFERROR(__xludf.DUMMYFUNCTION("""COMPUTED_VALUE"""),76281.0)</f>
        <v>76281</v>
      </c>
      <c r="D2859" s="10" t="str">
        <f>IFERROR(__xludf.DUMMYFUNCTION("""COMPUTED_VALUE"""),"Vive le bio")</f>
        <v>Vive le bio</v>
      </c>
      <c r="E2859" s="10"/>
      <c r="F2859" s="9">
        <f>IFERROR(__xludf.DUMMYFUNCTION("""COMPUTED_VALUE"""),3.04444444444444)</f>
        <v>3.044444444</v>
      </c>
      <c r="G2859" s="9">
        <f>IFERROR(__xludf.DUMMYFUNCTION("""COMPUTED_VALUE"""),2.74)</f>
        <v>2.74</v>
      </c>
      <c r="H2859" s="9">
        <f>IFERROR(__xludf.DUMMYFUNCTION("""COMPUTED_VALUE"""),1.0)</f>
        <v>1</v>
      </c>
      <c r="I2859" s="9"/>
      <c r="J2859" s="9"/>
      <c r="K2859" s="9"/>
      <c r="L2859" s="9"/>
      <c r="M2859" s="9"/>
      <c r="N2859" s="9"/>
      <c r="O2859" s="9"/>
      <c r="P2859" s="9"/>
      <c r="Q2859" s="9"/>
      <c r="R2859" s="9"/>
      <c r="S2859" s="9"/>
      <c r="T2859" s="9"/>
    </row>
    <row r="2860" ht="15.75" customHeight="1">
      <c r="A2860" s="11">
        <f>IFERROR(__xludf.DUMMYFUNCTION("""COMPUTED_VALUE"""),44471.0)</f>
        <v>44471</v>
      </c>
      <c r="B2860" s="9">
        <f>IFERROR(__xludf.DUMMYFUNCTION("""COMPUTED_VALUE"""),1003697.0)</f>
        <v>1003697</v>
      </c>
      <c r="C2860" s="9">
        <f>IFERROR(__xludf.DUMMYFUNCTION("""COMPUTED_VALUE"""),77473.0)</f>
        <v>77473</v>
      </c>
      <c r="D2860" s="9"/>
      <c r="E2860" s="9"/>
      <c r="F2860" s="9">
        <f>IFERROR(__xludf.DUMMYFUNCTION("""COMPUTED_VALUE"""),2.84)</f>
        <v>2.84</v>
      </c>
      <c r="G2860" s="9">
        <f>IFERROR(__xludf.DUMMYFUNCTION("""COMPUTED_VALUE"""),2.84)</f>
        <v>2.84</v>
      </c>
      <c r="H2860" s="9">
        <f>IFERROR(__xludf.DUMMYFUNCTION("""COMPUTED_VALUE"""),1.0)</f>
        <v>1</v>
      </c>
      <c r="I2860" s="9"/>
      <c r="J2860" s="9"/>
      <c r="K2860" s="9"/>
      <c r="L2860" s="9"/>
      <c r="M2860" s="9"/>
      <c r="N2860" s="9"/>
      <c r="O2860" s="9"/>
      <c r="P2860" s="9"/>
      <c r="Q2860" s="9"/>
      <c r="R2860" s="9"/>
      <c r="S2860" s="9"/>
      <c r="T2860" s="9"/>
    </row>
    <row r="2861" ht="15.75" customHeight="1">
      <c r="A2861" s="11">
        <f>IFERROR(__xludf.DUMMYFUNCTION("""COMPUTED_VALUE"""),44471.0)</f>
        <v>44471</v>
      </c>
      <c r="B2861" s="9">
        <f>IFERROR(__xludf.DUMMYFUNCTION("""COMPUTED_VALUE"""),1003697.0)</f>
        <v>1003697</v>
      </c>
      <c r="C2861" s="9">
        <f>IFERROR(__xludf.DUMMYFUNCTION("""COMPUTED_VALUE"""),76360.0)</f>
        <v>76360</v>
      </c>
      <c r="D2861" s="10" t="str">
        <f>IFERROR(__xludf.DUMMYFUNCTION("""COMPUTED_VALUE"""),"Vive le bio")</f>
        <v>Vive le bio</v>
      </c>
      <c r="E2861" s="10"/>
      <c r="F2861" s="9">
        <f>IFERROR(__xludf.DUMMYFUNCTION("""COMPUTED_VALUE"""),2.17777777777777)</f>
        <v>2.177777778</v>
      </c>
      <c r="G2861" s="9">
        <f>IFERROR(__xludf.DUMMYFUNCTION("""COMPUTED_VALUE"""),1.96)</f>
        <v>1.96</v>
      </c>
      <c r="H2861" s="9">
        <f>IFERROR(__xludf.DUMMYFUNCTION("""COMPUTED_VALUE"""),1.0)</f>
        <v>1</v>
      </c>
      <c r="I2861" s="9"/>
      <c r="J2861" s="9"/>
      <c r="K2861" s="9"/>
      <c r="L2861" s="9"/>
      <c r="M2861" s="9"/>
      <c r="N2861" s="9"/>
      <c r="O2861" s="9"/>
      <c r="P2861" s="9"/>
      <c r="Q2861" s="9"/>
      <c r="R2861" s="9"/>
      <c r="S2861" s="9"/>
      <c r="T2861" s="9"/>
    </row>
    <row r="2862" ht="15.75" customHeight="1">
      <c r="A2862" s="11">
        <f>IFERROR(__xludf.DUMMYFUNCTION("""COMPUTED_VALUE"""),44471.0)</f>
        <v>44471</v>
      </c>
      <c r="B2862" s="9">
        <f>IFERROR(__xludf.DUMMYFUNCTION("""COMPUTED_VALUE"""),1003697.0)</f>
        <v>1003697</v>
      </c>
      <c r="C2862" s="9">
        <f>IFERROR(__xludf.DUMMYFUNCTION("""COMPUTED_VALUE"""),109311.0)</f>
        <v>109311</v>
      </c>
      <c r="D2862" s="9"/>
      <c r="E2862" s="9"/>
      <c r="F2862" s="9">
        <f>IFERROR(__xludf.DUMMYFUNCTION("""COMPUTED_VALUE"""),8.13)</f>
        <v>8.13</v>
      </c>
      <c r="G2862" s="9">
        <f>IFERROR(__xludf.DUMMYFUNCTION("""COMPUTED_VALUE"""),8.13)</f>
        <v>8.13</v>
      </c>
      <c r="H2862" s="9">
        <f>IFERROR(__xludf.DUMMYFUNCTION("""COMPUTED_VALUE"""),1.0)</f>
        <v>1</v>
      </c>
      <c r="I2862" s="9"/>
      <c r="J2862" s="9"/>
      <c r="K2862" s="9"/>
      <c r="L2862" s="9"/>
      <c r="M2862" s="9"/>
      <c r="N2862" s="9"/>
      <c r="O2862" s="9"/>
      <c r="P2862" s="9"/>
      <c r="Q2862" s="9"/>
      <c r="R2862" s="9"/>
      <c r="S2862" s="9"/>
      <c r="T2862" s="9"/>
    </row>
    <row r="2863" ht="15.75" customHeight="1">
      <c r="A2863" s="11">
        <f>IFERROR(__xludf.DUMMYFUNCTION("""COMPUTED_VALUE"""),44471.0)</f>
        <v>44471</v>
      </c>
      <c r="B2863" s="9">
        <f>IFERROR(__xludf.DUMMYFUNCTION("""COMPUTED_VALUE"""),1003697.0)</f>
        <v>1003697</v>
      </c>
      <c r="C2863" s="9">
        <f>IFERROR(__xludf.DUMMYFUNCTION("""COMPUTED_VALUE"""),98941.0)</f>
        <v>98941</v>
      </c>
      <c r="D2863" s="10" t="str">
        <f>IFERROR(__xludf.DUMMYFUNCTION("""COMPUTED_VALUE"""),"Offre Speciale")</f>
        <v>Offre Speciale</v>
      </c>
      <c r="E2863" s="10"/>
      <c r="F2863" s="9">
        <f>IFERROR(__xludf.DUMMYFUNCTION("""COMPUTED_VALUE"""),12.8933333333333)</f>
        <v>12.89333333</v>
      </c>
      <c r="G2863" s="9">
        <f>IFERROR(__xludf.DUMMYFUNCTION("""COMPUTED_VALUE"""),9.67)</f>
        <v>9.67</v>
      </c>
      <c r="H2863" s="9">
        <f>IFERROR(__xludf.DUMMYFUNCTION("""COMPUTED_VALUE"""),1.0)</f>
        <v>1</v>
      </c>
      <c r="I2863" s="9"/>
      <c r="J2863" s="9"/>
      <c r="K2863" s="9"/>
      <c r="L2863" s="9"/>
      <c r="M2863" s="9"/>
      <c r="N2863" s="9"/>
      <c r="O2863" s="9"/>
      <c r="P2863" s="9"/>
      <c r="Q2863" s="9"/>
      <c r="R2863" s="9"/>
      <c r="S2863" s="9"/>
      <c r="T2863" s="9"/>
    </row>
    <row r="2864" ht="15.75" customHeight="1">
      <c r="A2864" s="11">
        <f>IFERROR(__xludf.DUMMYFUNCTION("""COMPUTED_VALUE"""),44471.0)</f>
        <v>44471</v>
      </c>
      <c r="B2864" s="9">
        <f>IFERROR(__xludf.DUMMYFUNCTION("""COMPUTED_VALUE"""),1003697.0)</f>
        <v>1003697</v>
      </c>
      <c r="C2864" s="9">
        <f>IFERROR(__xludf.DUMMYFUNCTION("""COMPUTED_VALUE"""),109185.0)</f>
        <v>109185</v>
      </c>
      <c r="D2864" s="9"/>
      <c r="E2864" s="9"/>
      <c r="F2864" s="9">
        <f>IFERROR(__xludf.DUMMYFUNCTION("""COMPUTED_VALUE"""),9.67)</f>
        <v>9.67</v>
      </c>
      <c r="G2864" s="9">
        <f>IFERROR(__xludf.DUMMYFUNCTION("""COMPUTED_VALUE"""),9.67)</f>
        <v>9.67</v>
      </c>
      <c r="H2864" s="9">
        <f>IFERROR(__xludf.DUMMYFUNCTION("""COMPUTED_VALUE"""),1.0)</f>
        <v>1</v>
      </c>
      <c r="I2864" s="9"/>
      <c r="J2864" s="9"/>
      <c r="K2864" s="9"/>
      <c r="L2864" s="9"/>
      <c r="M2864" s="9"/>
      <c r="N2864" s="9"/>
      <c r="O2864" s="9"/>
      <c r="P2864" s="9"/>
      <c r="Q2864" s="9"/>
      <c r="R2864" s="9"/>
      <c r="S2864" s="9"/>
      <c r="T2864" s="9"/>
    </row>
    <row r="2865" ht="15.75" customHeight="1">
      <c r="A2865" s="11">
        <f>IFERROR(__xludf.DUMMYFUNCTION("""COMPUTED_VALUE"""),44471.0)</f>
        <v>44471</v>
      </c>
      <c r="B2865" s="9">
        <f>IFERROR(__xludf.DUMMYFUNCTION("""COMPUTED_VALUE"""),1003697.0)</f>
        <v>1003697</v>
      </c>
      <c r="C2865" s="9">
        <f>IFERROR(__xludf.DUMMYFUNCTION("""COMPUTED_VALUE"""),117642.0)</f>
        <v>117642</v>
      </c>
      <c r="D2865" s="10" t="str">
        <f>IFERROR(__xludf.DUMMYFUNCTION("""COMPUTED_VALUE"""),"Offre Speciale")</f>
        <v>Offre Speciale</v>
      </c>
      <c r="E2865" s="10"/>
      <c r="F2865" s="9">
        <f>IFERROR(__xludf.DUMMYFUNCTION("""COMPUTED_VALUE"""),9.27777777777777)</f>
        <v>9.277777778</v>
      </c>
      <c r="G2865" s="9">
        <f>IFERROR(__xludf.DUMMYFUNCTION("""COMPUTED_VALUE"""),8.35)</f>
        <v>8.35</v>
      </c>
      <c r="H2865" s="9">
        <f>IFERROR(__xludf.DUMMYFUNCTION("""COMPUTED_VALUE"""),1.0)</f>
        <v>1</v>
      </c>
      <c r="I2865" s="9"/>
      <c r="J2865" s="9"/>
      <c r="K2865" s="9"/>
      <c r="L2865" s="9"/>
      <c r="M2865" s="9"/>
      <c r="N2865" s="9"/>
      <c r="O2865" s="9"/>
      <c r="P2865" s="9"/>
      <c r="Q2865" s="9"/>
      <c r="R2865" s="9"/>
      <c r="S2865" s="9"/>
      <c r="T2865" s="9"/>
    </row>
    <row r="2866" ht="15.75" customHeight="1">
      <c r="A2866" s="11">
        <f>IFERROR(__xludf.DUMMYFUNCTION("""COMPUTED_VALUE"""),44471.0)</f>
        <v>44471</v>
      </c>
      <c r="B2866" s="9">
        <f>IFERROR(__xludf.DUMMYFUNCTION("""COMPUTED_VALUE"""),1003697.0)</f>
        <v>1003697</v>
      </c>
      <c r="C2866" s="9">
        <f>IFERROR(__xludf.DUMMYFUNCTION("""COMPUTED_VALUE"""),119244.0)</f>
        <v>119244</v>
      </c>
      <c r="D2866" s="9"/>
      <c r="E2866" s="9"/>
      <c r="F2866" s="9">
        <f>IFERROR(__xludf.DUMMYFUNCTION("""COMPUTED_VALUE"""),3.99)</f>
        <v>3.99</v>
      </c>
      <c r="G2866" s="9">
        <f>IFERROR(__xludf.DUMMYFUNCTION("""COMPUTED_VALUE"""),3.99)</f>
        <v>3.99</v>
      </c>
      <c r="H2866" s="9">
        <f>IFERROR(__xludf.DUMMYFUNCTION("""COMPUTED_VALUE"""),1.0)</f>
        <v>1</v>
      </c>
      <c r="I2866" s="9"/>
      <c r="J2866" s="9"/>
      <c r="K2866" s="9"/>
      <c r="L2866" s="9"/>
      <c r="M2866" s="9"/>
      <c r="N2866" s="9"/>
      <c r="O2866" s="9"/>
      <c r="P2866" s="9"/>
      <c r="Q2866" s="9"/>
      <c r="R2866" s="9"/>
      <c r="S2866" s="9"/>
      <c r="T2866" s="9"/>
    </row>
    <row r="2867" ht="15.75" customHeight="1">
      <c r="A2867" s="11">
        <f>IFERROR(__xludf.DUMMYFUNCTION("""COMPUTED_VALUE"""),44471.0)</f>
        <v>44471</v>
      </c>
      <c r="B2867" s="9">
        <f>IFERROR(__xludf.DUMMYFUNCTION("""COMPUTED_VALUE"""),1003697.0)</f>
        <v>1003697</v>
      </c>
      <c r="C2867" s="9">
        <f>IFERROR(__xludf.DUMMYFUNCTION("""COMPUTED_VALUE"""),109293.0)</f>
        <v>109293</v>
      </c>
      <c r="D2867" s="9"/>
      <c r="E2867" s="9"/>
      <c r="F2867" s="9">
        <f>IFERROR(__xludf.DUMMYFUNCTION("""COMPUTED_VALUE"""),2.37)</f>
        <v>2.37</v>
      </c>
      <c r="G2867" s="9">
        <f>IFERROR(__xludf.DUMMYFUNCTION("""COMPUTED_VALUE"""),2.37)</f>
        <v>2.37</v>
      </c>
      <c r="H2867" s="9">
        <f>IFERROR(__xludf.DUMMYFUNCTION("""COMPUTED_VALUE"""),1.0)</f>
        <v>1</v>
      </c>
      <c r="I2867" s="9"/>
      <c r="J2867" s="9"/>
      <c r="K2867" s="9"/>
      <c r="L2867" s="9"/>
      <c r="M2867" s="9"/>
      <c r="N2867" s="9"/>
      <c r="O2867" s="9"/>
      <c r="P2867" s="9"/>
      <c r="Q2867" s="9"/>
      <c r="R2867" s="9"/>
      <c r="S2867" s="9"/>
      <c r="T2867" s="9"/>
    </row>
    <row r="2868" ht="15.75" customHeight="1">
      <c r="A2868" s="11">
        <f>IFERROR(__xludf.DUMMYFUNCTION("""COMPUTED_VALUE"""),44471.0)</f>
        <v>44471</v>
      </c>
      <c r="B2868" s="9">
        <f>IFERROR(__xludf.DUMMYFUNCTION("""COMPUTED_VALUE"""),1003697.0)</f>
        <v>1003697</v>
      </c>
      <c r="C2868" s="9">
        <f>IFERROR(__xludf.DUMMYFUNCTION("""COMPUTED_VALUE"""),88268.0)</f>
        <v>88268</v>
      </c>
      <c r="D2868" s="9"/>
      <c r="E2868" s="9"/>
      <c r="F2868" s="9">
        <f>IFERROR(__xludf.DUMMYFUNCTION("""COMPUTED_VALUE"""),1.06)</f>
        <v>1.06</v>
      </c>
      <c r="G2868" s="9">
        <f>IFERROR(__xludf.DUMMYFUNCTION("""COMPUTED_VALUE"""),1.06)</f>
        <v>1.06</v>
      </c>
      <c r="H2868" s="9">
        <f>IFERROR(__xludf.DUMMYFUNCTION("""COMPUTED_VALUE"""),1.0)</f>
        <v>1</v>
      </c>
      <c r="I2868" s="9"/>
      <c r="J2868" s="9"/>
      <c r="K2868" s="9"/>
      <c r="L2868" s="9"/>
      <c r="M2868" s="9"/>
      <c r="N2868" s="9"/>
      <c r="O2868" s="9"/>
      <c r="P2868" s="9"/>
      <c r="Q2868" s="9"/>
      <c r="R2868" s="9"/>
      <c r="S2868" s="9"/>
      <c r="T2868" s="9"/>
    </row>
    <row r="2869" ht="15.75" customHeight="1">
      <c r="A2869" s="11">
        <f>IFERROR(__xludf.DUMMYFUNCTION("""COMPUTED_VALUE"""),44471.0)</f>
        <v>44471</v>
      </c>
      <c r="B2869" s="9">
        <f>IFERROR(__xludf.DUMMYFUNCTION("""COMPUTED_VALUE"""),1003697.0)</f>
        <v>1003697</v>
      </c>
      <c r="C2869" s="9">
        <f>IFERROR(__xludf.DUMMYFUNCTION("""COMPUTED_VALUE"""),104317.0)</f>
        <v>104317</v>
      </c>
      <c r="D2869" s="9"/>
      <c r="E2869" s="9"/>
      <c r="F2869" s="9">
        <f>IFERROR(__xludf.DUMMYFUNCTION("""COMPUTED_VALUE"""),6.67)</f>
        <v>6.67</v>
      </c>
      <c r="G2869" s="9">
        <f>IFERROR(__xludf.DUMMYFUNCTION("""COMPUTED_VALUE"""),6.67)</f>
        <v>6.67</v>
      </c>
      <c r="H2869" s="9">
        <f>IFERROR(__xludf.DUMMYFUNCTION("""COMPUTED_VALUE"""),2.0)</f>
        <v>2</v>
      </c>
      <c r="I2869" s="9"/>
      <c r="J2869" s="9"/>
      <c r="K2869" s="9"/>
      <c r="L2869" s="9"/>
      <c r="M2869" s="9"/>
      <c r="N2869" s="9"/>
      <c r="O2869" s="9"/>
      <c r="P2869" s="9"/>
      <c r="Q2869" s="9"/>
      <c r="R2869" s="9"/>
      <c r="S2869" s="9"/>
      <c r="T2869" s="9"/>
    </row>
    <row r="2870" ht="15.75" customHeight="1">
      <c r="A2870" s="11">
        <f>IFERROR(__xludf.DUMMYFUNCTION("""COMPUTED_VALUE"""),44471.0)</f>
        <v>44471</v>
      </c>
      <c r="B2870" s="9">
        <f>IFERROR(__xludf.DUMMYFUNCTION("""COMPUTED_VALUE"""),1003698.0)</f>
        <v>1003698</v>
      </c>
      <c r="C2870" s="9">
        <f>IFERROR(__xludf.DUMMYFUNCTION("""COMPUTED_VALUE"""),6478.0)</f>
        <v>6478</v>
      </c>
      <c r="D2870" s="9"/>
      <c r="E2870" s="10" t="str">
        <f>IFERROR(__xludf.DUMMYFUNCTION("""COMPUTED_VALUE"""),"GREENRELAIS")</f>
        <v>GREENRELAIS</v>
      </c>
      <c r="F2870" s="10">
        <f>IFERROR(__xludf.DUMMYFUNCTION("""COMPUTED_VALUE"""),3.63)</f>
        <v>3.63</v>
      </c>
      <c r="G2870" s="9">
        <f>IFERROR(__xludf.DUMMYFUNCTION("""COMPUTED_VALUE"""),3.63)</f>
        <v>3.63</v>
      </c>
      <c r="H2870" s="9">
        <f>IFERROR(__xludf.DUMMYFUNCTION("""COMPUTED_VALUE"""),1.0)</f>
        <v>1</v>
      </c>
      <c r="I2870" s="9"/>
      <c r="J2870" s="9"/>
      <c r="K2870" s="9"/>
      <c r="L2870" s="9"/>
      <c r="M2870" s="9"/>
      <c r="N2870" s="9"/>
      <c r="O2870" s="9"/>
      <c r="P2870" s="9"/>
      <c r="Q2870" s="9"/>
      <c r="R2870" s="9"/>
      <c r="S2870" s="9"/>
      <c r="T2870" s="9"/>
    </row>
    <row r="2871" ht="15.75" customHeight="1">
      <c r="A2871" s="11">
        <f>IFERROR(__xludf.DUMMYFUNCTION("""COMPUTED_VALUE"""),44471.0)</f>
        <v>44471</v>
      </c>
      <c r="B2871" s="9">
        <f>IFERROR(__xludf.DUMMYFUNCTION("""COMPUTED_VALUE"""),1003698.0)</f>
        <v>1003698</v>
      </c>
      <c r="C2871" s="9">
        <f>IFERROR(__xludf.DUMMYFUNCTION("""COMPUTED_VALUE"""),6476.0)</f>
        <v>6476</v>
      </c>
      <c r="D2871" s="9"/>
      <c r="E2871" s="10" t="str">
        <f>IFERROR(__xludf.DUMMYFUNCTION("""COMPUTED_VALUE"""),"GREENRELAIS")</f>
        <v>GREENRELAIS</v>
      </c>
      <c r="F2871" s="10">
        <f>IFERROR(__xludf.DUMMYFUNCTION("""COMPUTED_VALUE"""),2.77)</f>
        <v>2.77</v>
      </c>
      <c r="G2871" s="9">
        <f>IFERROR(__xludf.DUMMYFUNCTION("""COMPUTED_VALUE"""),2.77)</f>
        <v>2.77</v>
      </c>
      <c r="H2871" s="9">
        <f>IFERROR(__xludf.DUMMYFUNCTION("""COMPUTED_VALUE"""),1.0)</f>
        <v>1</v>
      </c>
      <c r="I2871" s="9"/>
      <c r="J2871" s="9"/>
      <c r="K2871" s="9"/>
      <c r="L2871" s="9"/>
      <c r="M2871" s="9"/>
      <c r="N2871" s="9"/>
      <c r="O2871" s="9"/>
      <c r="P2871" s="9"/>
      <c r="Q2871" s="9"/>
      <c r="R2871" s="9"/>
      <c r="S2871" s="9"/>
      <c r="T2871" s="9"/>
    </row>
    <row r="2872" ht="15.75" customHeight="1">
      <c r="A2872" s="11">
        <f>IFERROR(__xludf.DUMMYFUNCTION("""COMPUTED_VALUE"""),44471.0)</f>
        <v>44471</v>
      </c>
      <c r="B2872" s="9">
        <f>IFERROR(__xludf.DUMMYFUNCTION("""COMPUTED_VALUE"""),1003698.0)</f>
        <v>1003698</v>
      </c>
      <c r="C2872" s="9">
        <f>IFERROR(__xludf.DUMMYFUNCTION("""COMPUTED_VALUE"""),69323.0)</f>
        <v>69323</v>
      </c>
      <c r="D2872" s="9"/>
      <c r="E2872" s="10" t="str">
        <f>IFERROR(__xludf.DUMMYFUNCTION("""COMPUTED_VALUE"""),"GREENRELAIS")</f>
        <v>GREENRELAIS</v>
      </c>
      <c r="F2872" s="10">
        <f>IFERROR(__xludf.DUMMYFUNCTION("""COMPUTED_VALUE"""),3.44)</f>
        <v>3.44</v>
      </c>
      <c r="G2872" s="9">
        <f>IFERROR(__xludf.DUMMYFUNCTION("""COMPUTED_VALUE"""),3.44)</f>
        <v>3.44</v>
      </c>
      <c r="H2872" s="9">
        <f>IFERROR(__xludf.DUMMYFUNCTION("""COMPUTED_VALUE"""),1.0)</f>
        <v>1</v>
      </c>
      <c r="I2872" s="9"/>
      <c r="J2872" s="9"/>
      <c r="K2872" s="9"/>
      <c r="L2872" s="9"/>
      <c r="M2872" s="9"/>
      <c r="N2872" s="9"/>
      <c r="O2872" s="9"/>
      <c r="P2872" s="9"/>
      <c r="Q2872" s="9"/>
      <c r="R2872" s="9"/>
      <c r="S2872" s="9"/>
      <c r="T2872" s="9"/>
    </row>
    <row r="2873" ht="15.75" customHeight="1">
      <c r="A2873" s="11">
        <f>IFERROR(__xludf.DUMMYFUNCTION("""COMPUTED_VALUE"""),44471.0)</f>
        <v>44471</v>
      </c>
      <c r="B2873" s="9">
        <f>IFERROR(__xludf.DUMMYFUNCTION("""COMPUTED_VALUE"""),1003698.0)</f>
        <v>1003698</v>
      </c>
      <c r="C2873" s="9">
        <f>IFERROR(__xludf.DUMMYFUNCTION("""COMPUTED_VALUE"""),116181.0)</f>
        <v>116181</v>
      </c>
      <c r="D2873" s="9"/>
      <c r="E2873" s="10" t="str">
        <f>IFERROR(__xludf.DUMMYFUNCTION("""COMPUTED_VALUE"""),"GREENRELAIS")</f>
        <v>GREENRELAIS</v>
      </c>
      <c r="F2873" s="10">
        <f>IFERROR(__xludf.DUMMYFUNCTION("""COMPUTED_VALUE"""),1.72)</f>
        <v>1.72</v>
      </c>
      <c r="G2873" s="9">
        <f>IFERROR(__xludf.DUMMYFUNCTION("""COMPUTED_VALUE"""),1.72)</f>
        <v>1.72</v>
      </c>
      <c r="H2873" s="9">
        <f>IFERROR(__xludf.DUMMYFUNCTION("""COMPUTED_VALUE"""),1.0)</f>
        <v>1</v>
      </c>
      <c r="I2873" s="9"/>
      <c r="J2873" s="9"/>
      <c r="K2873" s="9"/>
      <c r="L2873" s="9"/>
      <c r="M2873" s="9"/>
      <c r="N2873" s="9"/>
      <c r="O2873" s="9"/>
      <c r="P2873" s="9"/>
      <c r="Q2873" s="9"/>
      <c r="R2873" s="9"/>
      <c r="S2873" s="9"/>
      <c r="T2873" s="9"/>
    </row>
    <row r="2874" ht="15.75" customHeight="1">
      <c r="A2874" s="11">
        <f>IFERROR(__xludf.DUMMYFUNCTION("""COMPUTED_VALUE"""),44471.0)</f>
        <v>44471</v>
      </c>
      <c r="B2874" s="9">
        <f>IFERROR(__xludf.DUMMYFUNCTION("""COMPUTED_VALUE"""),1003698.0)</f>
        <v>1003698</v>
      </c>
      <c r="C2874" s="9">
        <f>IFERROR(__xludf.DUMMYFUNCTION("""COMPUTED_VALUE"""),112190.0)</f>
        <v>112190</v>
      </c>
      <c r="D2874" s="9"/>
      <c r="E2874" s="10" t="str">
        <f>IFERROR(__xludf.DUMMYFUNCTION("""COMPUTED_VALUE"""),"GREENRELAIS")</f>
        <v>GREENRELAIS</v>
      </c>
      <c r="F2874" s="10">
        <f>IFERROR(__xludf.DUMMYFUNCTION("""COMPUTED_VALUE"""),3.82)</f>
        <v>3.82</v>
      </c>
      <c r="G2874" s="9">
        <f>IFERROR(__xludf.DUMMYFUNCTION("""COMPUTED_VALUE"""),3.82)</f>
        <v>3.82</v>
      </c>
      <c r="H2874" s="9">
        <f>IFERROR(__xludf.DUMMYFUNCTION("""COMPUTED_VALUE"""),1.0)</f>
        <v>1</v>
      </c>
      <c r="I2874" s="9"/>
      <c r="J2874" s="9"/>
      <c r="K2874" s="9"/>
      <c r="L2874" s="9"/>
      <c r="M2874" s="9"/>
      <c r="N2874" s="9"/>
      <c r="O2874" s="9"/>
      <c r="P2874" s="9"/>
      <c r="Q2874" s="9"/>
      <c r="R2874" s="9"/>
      <c r="S2874" s="9"/>
      <c r="T2874" s="9"/>
    </row>
    <row r="2875" ht="15.75" customHeight="1">
      <c r="A2875" s="11">
        <f>IFERROR(__xludf.DUMMYFUNCTION("""COMPUTED_VALUE"""),44471.0)</f>
        <v>44471</v>
      </c>
      <c r="B2875" s="9">
        <f>IFERROR(__xludf.DUMMYFUNCTION("""COMPUTED_VALUE"""),1003698.0)</f>
        <v>1003698</v>
      </c>
      <c r="C2875" s="9">
        <f>IFERROR(__xludf.DUMMYFUNCTION("""COMPUTED_VALUE"""),15423.0)</f>
        <v>15423</v>
      </c>
      <c r="D2875" s="9"/>
      <c r="E2875" s="10" t="str">
        <f>IFERROR(__xludf.DUMMYFUNCTION("""COMPUTED_VALUE"""),"GREENRELAIS")</f>
        <v>GREENRELAIS</v>
      </c>
      <c r="F2875" s="10">
        <f>IFERROR(__xludf.DUMMYFUNCTION("""COMPUTED_VALUE"""),6.43)</f>
        <v>6.43</v>
      </c>
      <c r="G2875" s="9">
        <f>IFERROR(__xludf.DUMMYFUNCTION("""COMPUTED_VALUE"""),6.43)</f>
        <v>6.43</v>
      </c>
      <c r="H2875" s="9">
        <f>IFERROR(__xludf.DUMMYFUNCTION("""COMPUTED_VALUE"""),1.0)</f>
        <v>1</v>
      </c>
      <c r="I2875" s="9"/>
      <c r="J2875" s="9"/>
      <c r="K2875" s="9"/>
      <c r="L2875" s="9"/>
      <c r="M2875" s="9"/>
      <c r="N2875" s="9"/>
      <c r="O2875" s="9"/>
      <c r="P2875" s="9"/>
      <c r="Q2875" s="9"/>
      <c r="R2875" s="9"/>
      <c r="S2875" s="9"/>
      <c r="T2875" s="9"/>
    </row>
    <row r="2876" ht="15.75" customHeight="1">
      <c r="A2876" s="11">
        <f>IFERROR(__xludf.DUMMYFUNCTION("""COMPUTED_VALUE"""),44471.0)</f>
        <v>44471</v>
      </c>
      <c r="B2876" s="9">
        <f>IFERROR(__xludf.DUMMYFUNCTION("""COMPUTED_VALUE"""),1003698.0)</f>
        <v>1003698</v>
      </c>
      <c r="C2876" s="9">
        <f>IFERROR(__xludf.DUMMYFUNCTION("""COMPUTED_VALUE"""),77253.0)</f>
        <v>77253</v>
      </c>
      <c r="D2876" s="9"/>
      <c r="E2876" s="10" t="str">
        <f>IFERROR(__xludf.DUMMYFUNCTION("""COMPUTED_VALUE"""),"GREENRELAIS")</f>
        <v>GREENRELAIS</v>
      </c>
      <c r="F2876" s="10">
        <f>IFERROR(__xludf.DUMMYFUNCTION("""COMPUTED_VALUE"""),1.62)</f>
        <v>1.62</v>
      </c>
      <c r="G2876" s="9">
        <f>IFERROR(__xludf.DUMMYFUNCTION("""COMPUTED_VALUE"""),1.62)</f>
        <v>1.62</v>
      </c>
      <c r="H2876" s="9">
        <f>IFERROR(__xludf.DUMMYFUNCTION("""COMPUTED_VALUE"""),1.0)</f>
        <v>1</v>
      </c>
      <c r="I2876" s="9"/>
      <c r="J2876" s="9"/>
      <c r="K2876" s="9"/>
      <c r="L2876" s="9"/>
      <c r="M2876" s="9"/>
      <c r="N2876" s="9"/>
      <c r="O2876" s="9"/>
      <c r="P2876" s="9"/>
      <c r="Q2876" s="9"/>
      <c r="R2876" s="9"/>
      <c r="S2876" s="9"/>
      <c r="T2876" s="9"/>
    </row>
    <row r="2877" ht="15.75" customHeight="1">
      <c r="A2877" s="11">
        <f>IFERROR(__xludf.DUMMYFUNCTION("""COMPUTED_VALUE"""),44471.0)</f>
        <v>44471</v>
      </c>
      <c r="B2877" s="9">
        <f>IFERROR(__xludf.DUMMYFUNCTION("""COMPUTED_VALUE"""),1003698.0)</f>
        <v>1003698</v>
      </c>
      <c r="C2877" s="9">
        <f>IFERROR(__xludf.DUMMYFUNCTION("""COMPUTED_VALUE"""),19832.0)</f>
        <v>19832</v>
      </c>
      <c r="D2877" s="9"/>
      <c r="E2877" s="10" t="str">
        <f>IFERROR(__xludf.DUMMYFUNCTION("""COMPUTED_VALUE"""),"GREENRELAIS")</f>
        <v>GREENRELAIS</v>
      </c>
      <c r="F2877" s="10">
        <f>IFERROR(__xludf.DUMMYFUNCTION("""COMPUTED_VALUE"""),19.33)</f>
        <v>19.33</v>
      </c>
      <c r="G2877" s="9">
        <f>IFERROR(__xludf.DUMMYFUNCTION("""COMPUTED_VALUE"""),19.33)</f>
        <v>19.33</v>
      </c>
      <c r="H2877" s="9">
        <f>IFERROR(__xludf.DUMMYFUNCTION("""COMPUTED_VALUE"""),2.0)</f>
        <v>2</v>
      </c>
      <c r="I2877" s="9"/>
      <c r="J2877" s="9"/>
      <c r="K2877" s="9"/>
      <c r="L2877" s="9"/>
      <c r="M2877" s="9"/>
      <c r="N2877" s="9"/>
      <c r="O2877" s="9"/>
      <c r="P2877" s="9"/>
      <c r="Q2877" s="9"/>
      <c r="R2877" s="9"/>
      <c r="S2877" s="9"/>
      <c r="T2877" s="9"/>
    </row>
    <row r="2878" ht="15.75" customHeight="1">
      <c r="A2878" s="11">
        <f>IFERROR(__xludf.DUMMYFUNCTION("""COMPUTED_VALUE"""),44471.0)</f>
        <v>44471</v>
      </c>
      <c r="B2878" s="9">
        <f>IFERROR(__xludf.DUMMYFUNCTION("""COMPUTED_VALUE"""),1003698.0)</f>
        <v>1003698</v>
      </c>
      <c r="C2878" s="9">
        <f>IFERROR(__xludf.DUMMYFUNCTION("""COMPUTED_VALUE"""),118216.0)</f>
        <v>118216</v>
      </c>
      <c r="D2878" s="9"/>
      <c r="E2878" s="10" t="str">
        <f>IFERROR(__xludf.DUMMYFUNCTION("""COMPUTED_VALUE"""),"GREENRELAIS")</f>
        <v>GREENRELAIS</v>
      </c>
      <c r="F2878" s="10">
        <f>IFERROR(__xludf.DUMMYFUNCTION("""COMPUTED_VALUE"""),25.12)</f>
        <v>25.12</v>
      </c>
      <c r="G2878" s="9">
        <f>IFERROR(__xludf.DUMMYFUNCTION("""COMPUTED_VALUE"""),25.12)</f>
        <v>25.12</v>
      </c>
      <c r="H2878" s="9">
        <f>IFERROR(__xludf.DUMMYFUNCTION("""COMPUTED_VALUE"""),3.0)</f>
        <v>3</v>
      </c>
      <c r="I2878" s="9"/>
      <c r="J2878" s="9"/>
      <c r="K2878" s="9"/>
      <c r="L2878" s="9"/>
      <c r="M2878" s="9"/>
      <c r="N2878" s="9"/>
      <c r="O2878" s="9"/>
      <c r="P2878" s="9"/>
      <c r="Q2878" s="9"/>
      <c r="R2878" s="9"/>
      <c r="S2878" s="9"/>
      <c r="T2878" s="9"/>
    </row>
    <row r="2879" ht="15.75" customHeight="1">
      <c r="A2879" s="11">
        <f>IFERROR(__xludf.DUMMYFUNCTION("""COMPUTED_VALUE"""),44471.0)</f>
        <v>44471</v>
      </c>
      <c r="B2879" s="9">
        <f>IFERROR(__xludf.DUMMYFUNCTION("""COMPUTED_VALUE"""),1003698.0)</f>
        <v>1003698</v>
      </c>
      <c r="C2879" s="9">
        <f>IFERROR(__xludf.DUMMYFUNCTION("""COMPUTED_VALUE"""),119288.0)</f>
        <v>119288</v>
      </c>
      <c r="D2879" s="10" t="str">
        <f>IFERROR(__xludf.DUMMYFUNCTION("""COMPUTED_VALUE"""),"dlc courte")</f>
        <v>dlc courte</v>
      </c>
      <c r="E2879" s="10" t="str">
        <f>IFERROR(__xludf.DUMMYFUNCTION("""COMPUTED_VALUE"""),"GREENRELAIS")</f>
        <v>GREENRELAIS</v>
      </c>
      <c r="F2879" s="10">
        <f>IFERROR(__xludf.DUMMYFUNCTION("""COMPUTED_VALUE"""),9.44)</f>
        <v>9.44</v>
      </c>
      <c r="G2879" s="9">
        <f>IFERROR(__xludf.DUMMYFUNCTION("""COMPUTED_VALUE"""),4.72)</f>
        <v>4.72</v>
      </c>
      <c r="H2879" s="9">
        <f>IFERROR(__xludf.DUMMYFUNCTION("""COMPUTED_VALUE"""),3.0)</f>
        <v>3</v>
      </c>
      <c r="I2879" s="9"/>
      <c r="J2879" s="9"/>
      <c r="K2879" s="9"/>
      <c r="L2879" s="9"/>
      <c r="M2879" s="9"/>
      <c r="N2879" s="9"/>
      <c r="O2879" s="9"/>
      <c r="P2879" s="9"/>
      <c r="Q2879" s="9"/>
      <c r="R2879" s="9"/>
      <c r="S2879" s="9"/>
      <c r="T2879" s="9"/>
    </row>
    <row r="2880" ht="15.75" customHeight="1">
      <c r="A2880" s="11">
        <f>IFERROR(__xludf.DUMMYFUNCTION("""COMPUTED_VALUE"""),44471.0)</f>
        <v>44471</v>
      </c>
      <c r="B2880" s="9">
        <f>IFERROR(__xludf.DUMMYFUNCTION("""COMPUTED_VALUE"""),1003699.0)</f>
        <v>1003699</v>
      </c>
      <c r="C2880" s="9">
        <f>IFERROR(__xludf.DUMMYFUNCTION("""COMPUTED_VALUE"""),78338.0)</f>
        <v>78338</v>
      </c>
      <c r="D2880" s="9"/>
      <c r="E2880" s="9"/>
      <c r="F2880" s="9">
        <f>IFERROR(__xludf.DUMMYFUNCTION("""COMPUTED_VALUE"""),38.0)</f>
        <v>38</v>
      </c>
      <c r="G2880" s="9">
        <f>IFERROR(__xludf.DUMMYFUNCTION("""COMPUTED_VALUE"""),38.0)</f>
        <v>38</v>
      </c>
      <c r="H2880" s="9">
        <f>IFERROR(__xludf.DUMMYFUNCTION("""COMPUTED_VALUE"""),2.0)</f>
        <v>2</v>
      </c>
      <c r="I2880" s="9"/>
      <c r="J2880" s="9"/>
      <c r="K2880" s="9"/>
      <c r="L2880" s="9"/>
      <c r="M2880" s="9"/>
      <c r="N2880" s="9"/>
      <c r="O2880" s="9"/>
      <c r="P2880" s="9"/>
      <c r="Q2880" s="9"/>
      <c r="R2880" s="9"/>
      <c r="S2880" s="9"/>
      <c r="T2880" s="9"/>
    </row>
    <row r="2881" ht="15.75" customHeight="1">
      <c r="A2881" s="11">
        <f>IFERROR(__xludf.DUMMYFUNCTION("""COMPUTED_VALUE"""),44471.0)</f>
        <v>44471</v>
      </c>
      <c r="B2881" s="9">
        <f>IFERROR(__xludf.DUMMYFUNCTION("""COMPUTED_VALUE"""),1003699.0)</f>
        <v>1003699</v>
      </c>
      <c r="C2881" s="9">
        <f>IFERROR(__xludf.DUMMYFUNCTION("""COMPUTED_VALUE"""),49360.0)</f>
        <v>49360</v>
      </c>
      <c r="D2881" s="9"/>
      <c r="E2881" s="9"/>
      <c r="F2881" s="9">
        <f>IFERROR(__xludf.DUMMYFUNCTION("""COMPUTED_VALUE"""),23.86)</f>
        <v>23.86</v>
      </c>
      <c r="G2881" s="9">
        <f>IFERROR(__xludf.DUMMYFUNCTION("""COMPUTED_VALUE"""),23.86)</f>
        <v>23.86</v>
      </c>
      <c r="H2881" s="9">
        <f>IFERROR(__xludf.DUMMYFUNCTION("""COMPUTED_VALUE"""),5.0)</f>
        <v>5</v>
      </c>
      <c r="I2881" s="9"/>
      <c r="J2881" s="9"/>
      <c r="K2881" s="9"/>
      <c r="L2881" s="9"/>
      <c r="M2881" s="9"/>
      <c r="N2881" s="9"/>
      <c r="O2881" s="9"/>
      <c r="P2881" s="9"/>
      <c r="Q2881" s="9"/>
      <c r="R2881" s="9"/>
      <c r="S2881" s="9"/>
      <c r="T2881" s="9"/>
    </row>
    <row r="2882" ht="15.75" customHeight="1">
      <c r="A2882" s="11">
        <f>IFERROR(__xludf.DUMMYFUNCTION("""COMPUTED_VALUE"""),44471.0)</f>
        <v>44471</v>
      </c>
      <c r="B2882" s="9">
        <f>IFERROR(__xludf.DUMMYFUNCTION("""COMPUTED_VALUE"""),1003699.0)</f>
        <v>1003699</v>
      </c>
      <c r="C2882" s="9">
        <f>IFERROR(__xludf.DUMMYFUNCTION("""COMPUTED_VALUE"""),11296.0)</f>
        <v>11296</v>
      </c>
      <c r="D2882" s="9"/>
      <c r="E2882" s="9"/>
      <c r="F2882" s="9">
        <f>IFERROR(__xludf.DUMMYFUNCTION("""COMPUTED_VALUE"""),35.97)</f>
        <v>35.97</v>
      </c>
      <c r="G2882" s="9">
        <f>IFERROR(__xludf.DUMMYFUNCTION("""COMPUTED_VALUE"""),35.97)</f>
        <v>35.97</v>
      </c>
      <c r="H2882" s="9">
        <f>IFERROR(__xludf.DUMMYFUNCTION("""COMPUTED_VALUE"""),5.0)</f>
        <v>5</v>
      </c>
      <c r="I2882" s="9"/>
      <c r="J2882" s="9"/>
      <c r="K2882" s="9"/>
      <c r="L2882" s="9"/>
      <c r="M2882" s="9"/>
      <c r="N2882" s="9"/>
      <c r="O2882" s="9"/>
      <c r="P2882" s="9"/>
      <c r="Q2882" s="9"/>
      <c r="R2882" s="9"/>
      <c r="S2882" s="9"/>
      <c r="T2882" s="9"/>
    </row>
    <row r="2883" ht="15.75" customHeight="1">
      <c r="A2883" s="11">
        <f>IFERROR(__xludf.DUMMYFUNCTION("""COMPUTED_VALUE"""),44471.0)</f>
        <v>44471</v>
      </c>
      <c r="B2883" s="9">
        <f>IFERROR(__xludf.DUMMYFUNCTION("""COMPUTED_VALUE"""),1003700.0)</f>
        <v>1003700</v>
      </c>
      <c r="C2883" s="9">
        <f>IFERROR(__xludf.DUMMYFUNCTION("""COMPUTED_VALUE"""),110977.0)</f>
        <v>110977</v>
      </c>
      <c r="D2883" s="9"/>
      <c r="E2883" s="10" t="str">
        <f>IFERROR(__xludf.DUMMYFUNCTION("""COMPUTED_VALUE"""),"GREENRELAIS")</f>
        <v>GREENRELAIS</v>
      </c>
      <c r="F2883" s="10">
        <f>IFERROR(__xludf.DUMMYFUNCTION("""COMPUTED_VALUE"""),23.74)</f>
        <v>23.74</v>
      </c>
      <c r="G2883" s="9">
        <f>IFERROR(__xludf.DUMMYFUNCTION("""COMPUTED_VALUE"""),23.74)</f>
        <v>23.74</v>
      </c>
      <c r="H2883" s="9">
        <f>IFERROR(__xludf.DUMMYFUNCTION("""COMPUTED_VALUE"""),1.0)</f>
        <v>1</v>
      </c>
      <c r="I2883" s="9"/>
      <c r="J2883" s="9"/>
      <c r="K2883" s="9"/>
      <c r="L2883" s="9"/>
      <c r="M2883" s="9"/>
      <c r="N2883" s="9"/>
      <c r="O2883" s="9"/>
      <c r="P2883" s="9"/>
      <c r="Q2883" s="9"/>
      <c r="R2883" s="9"/>
      <c r="S2883" s="9"/>
      <c r="T2883" s="9"/>
    </row>
    <row r="2884" ht="15.75" customHeight="1">
      <c r="A2884" s="11">
        <f>IFERROR(__xludf.DUMMYFUNCTION("""COMPUTED_VALUE"""),44471.0)</f>
        <v>44471</v>
      </c>
      <c r="B2884" s="9">
        <f>IFERROR(__xludf.DUMMYFUNCTION("""COMPUTED_VALUE"""),1003700.0)</f>
        <v>1003700</v>
      </c>
      <c r="C2884" s="9">
        <f>IFERROR(__xludf.DUMMYFUNCTION("""COMPUTED_VALUE"""),11809.0)</f>
        <v>11809</v>
      </c>
      <c r="D2884" s="10" t="str">
        <f>IFERROR(__xludf.DUMMYFUNCTION("""COMPUTED_VALUE"""),"Offre Speciale")</f>
        <v>Offre Speciale</v>
      </c>
      <c r="E2884" s="10" t="str">
        <f>IFERROR(__xludf.DUMMYFUNCTION("""COMPUTED_VALUE"""),"GREENRELAIS")</f>
        <v>GREENRELAIS</v>
      </c>
      <c r="F2884" s="10">
        <f>IFERROR(__xludf.DUMMYFUNCTION("""COMPUTED_VALUE"""),4.96202531645569)</f>
        <v>4.962025316</v>
      </c>
      <c r="G2884" s="9">
        <f>IFERROR(__xludf.DUMMYFUNCTION("""COMPUTED_VALUE"""),3.92)</f>
        <v>3.92</v>
      </c>
      <c r="H2884" s="9">
        <f>IFERROR(__xludf.DUMMYFUNCTION("""COMPUTED_VALUE"""),1.0)</f>
        <v>1</v>
      </c>
      <c r="I2884" s="9"/>
      <c r="J2884" s="9"/>
      <c r="K2884" s="9"/>
      <c r="L2884" s="9"/>
      <c r="M2884" s="9"/>
      <c r="N2884" s="9"/>
      <c r="O2884" s="9"/>
      <c r="P2884" s="9"/>
      <c r="Q2884" s="9"/>
      <c r="R2884" s="9"/>
      <c r="S2884" s="9"/>
      <c r="T2884" s="9"/>
    </row>
    <row r="2885" ht="15.75" customHeight="1">
      <c r="A2885" s="11">
        <f>IFERROR(__xludf.DUMMYFUNCTION("""COMPUTED_VALUE"""),44471.0)</f>
        <v>44471</v>
      </c>
      <c r="B2885" s="9">
        <f>IFERROR(__xludf.DUMMYFUNCTION("""COMPUTED_VALUE"""),1003700.0)</f>
        <v>1003700</v>
      </c>
      <c r="C2885" s="9">
        <f>IFERROR(__xludf.DUMMYFUNCTION("""COMPUTED_VALUE"""),7358.0)</f>
        <v>7358</v>
      </c>
      <c r="D2885" s="9"/>
      <c r="E2885" s="10" t="str">
        <f>IFERROR(__xludf.DUMMYFUNCTION("""COMPUTED_VALUE"""),"GREENRELAIS")</f>
        <v>GREENRELAIS</v>
      </c>
      <c r="F2885" s="10">
        <f>IFERROR(__xludf.DUMMYFUNCTION("""COMPUTED_VALUE"""),8.41)</f>
        <v>8.41</v>
      </c>
      <c r="G2885" s="9">
        <f>IFERROR(__xludf.DUMMYFUNCTION("""COMPUTED_VALUE"""),8.41)</f>
        <v>8.41</v>
      </c>
      <c r="H2885" s="9">
        <f>IFERROR(__xludf.DUMMYFUNCTION("""COMPUTED_VALUE"""),2.0)</f>
        <v>2</v>
      </c>
      <c r="I2885" s="9"/>
      <c r="J2885" s="9"/>
      <c r="K2885" s="9"/>
      <c r="L2885" s="9"/>
      <c r="M2885" s="9"/>
      <c r="N2885" s="9"/>
      <c r="O2885" s="9"/>
      <c r="P2885" s="9"/>
      <c r="Q2885" s="9"/>
      <c r="R2885" s="9"/>
      <c r="S2885" s="9"/>
      <c r="T2885" s="9"/>
    </row>
    <row r="2886" ht="15.75" customHeight="1">
      <c r="A2886" s="11">
        <f>IFERROR(__xludf.DUMMYFUNCTION("""COMPUTED_VALUE"""),44471.0)</f>
        <v>44471</v>
      </c>
      <c r="B2886" s="9">
        <f>IFERROR(__xludf.DUMMYFUNCTION("""COMPUTED_VALUE"""),1003700.0)</f>
        <v>1003700</v>
      </c>
      <c r="C2886" s="9">
        <f>IFERROR(__xludf.DUMMYFUNCTION("""COMPUTED_VALUE"""),88215.0)</f>
        <v>88215</v>
      </c>
      <c r="D2886" s="9"/>
      <c r="E2886" s="10" t="str">
        <f>IFERROR(__xludf.DUMMYFUNCTION("""COMPUTED_VALUE"""),"GREENRELAIS")</f>
        <v>GREENRELAIS</v>
      </c>
      <c r="F2886" s="10">
        <f>IFERROR(__xludf.DUMMYFUNCTION("""COMPUTED_VALUE"""),6.09)</f>
        <v>6.09</v>
      </c>
      <c r="G2886" s="9">
        <f>IFERROR(__xludf.DUMMYFUNCTION("""COMPUTED_VALUE"""),6.09)</f>
        <v>6.09</v>
      </c>
      <c r="H2886" s="9">
        <f>IFERROR(__xludf.DUMMYFUNCTION("""COMPUTED_VALUE"""),2.0)</f>
        <v>2</v>
      </c>
      <c r="I2886" s="9"/>
      <c r="J2886" s="9"/>
      <c r="K2886" s="9"/>
      <c r="L2886" s="9"/>
      <c r="M2886" s="9"/>
      <c r="N2886" s="9"/>
      <c r="O2886" s="9"/>
      <c r="P2886" s="9"/>
      <c r="Q2886" s="9"/>
      <c r="R2886" s="9"/>
      <c r="S2886" s="9"/>
      <c r="T2886" s="9"/>
    </row>
    <row r="2887" ht="15.75" customHeight="1">
      <c r="A2887" s="11">
        <f>IFERROR(__xludf.DUMMYFUNCTION("""COMPUTED_VALUE"""),44471.0)</f>
        <v>44471</v>
      </c>
      <c r="B2887" s="9">
        <f>IFERROR(__xludf.DUMMYFUNCTION("""COMPUTED_VALUE"""),1003700.0)</f>
        <v>1003700</v>
      </c>
      <c r="C2887" s="9">
        <f>IFERROR(__xludf.DUMMYFUNCTION("""COMPUTED_VALUE"""),102750.0)</f>
        <v>102750</v>
      </c>
      <c r="D2887" s="9"/>
      <c r="E2887" s="10" t="str">
        <f>IFERROR(__xludf.DUMMYFUNCTION("""COMPUTED_VALUE"""),"GREENRELAIS")</f>
        <v>GREENRELAIS</v>
      </c>
      <c r="F2887" s="10">
        <f>IFERROR(__xludf.DUMMYFUNCTION("""COMPUTED_VALUE"""),23.59)</f>
        <v>23.59</v>
      </c>
      <c r="G2887" s="9">
        <f>IFERROR(__xludf.DUMMYFUNCTION("""COMPUTED_VALUE"""),23.59)</f>
        <v>23.59</v>
      </c>
      <c r="H2887" s="9">
        <f>IFERROR(__xludf.DUMMYFUNCTION("""COMPUTED_VALUE"""),2.0)</f>
        <v>2</v>
      </c>
      <c r="I2887" s="9"/>
      <c r="J2887" s="9"/>
      <c r="K2887" s="9"/>
      <c r="L2887" s="9"/>
      <c r="M2887" s="9"/>
      <c r="N2887" s="9"/>
      <c r="O2887" s="9"/>
      <c r="P2887" s="9"/>
      <c r="Q2887" s="9"/>
      <c r="R2887" s="9"/>
      <c r="S2887" s="9"/>
      <c r="T2887" s="9"/>
    </row>
    <row r="2888" ht="15.75" customHeight="1">
      <c r="A2888" s="11">
        <f>IFERROR(__xludf.DUMMYFUNCTION("""COMPUTED_VALUE"""),44471.0)</f>
        <v>44471</v>
      </c>
      <c r="B2888" s="9">
        <f>IFERROR(__xludf.DUMMYFUNCTION("""COMPUTED_VALUE"""),1003700.0)</f>
        <v>1003700</v>
      </c>
      <c r="C2888" s="9">
        <f>IFERROR(__xludf.DUMMYFUNCTION("""COMPUTED_VALUE"""),80785.0)</f>
        <v>80785</v>
      </c>
      <c r="D2888" s="9"/>
      <c r="E2888" s="10" t="str">
        <f>IFERROR(__xludf.DUMMYFUNCTION("""COMPUTED_VALUE"""),"GREENRELAIS")</f>
        <v>GREENRELAIS</v>
      </c>
      <c r="F2888" s="10">
        <f>IFERROR(__xludf.DUMMYFUNCTION("""COMPUTED_VALUE"""),7.44)</f>
        <v>7.44</v>
      </c>
      <c r="G2888" s="9">
        <f>IFERROR(__xludf.DUMMYFUNCTION("""COMPUTED_VALUE"""),7.44)</f>
        <v>7.44</v>
      </c>
      <c r="H2888" s="9">
        <f>IFERROR(__xludf.DUMMYFUNCTION("""COMPUTED_VALUE"""),5.0)</f>
        <v>5</v>
      </c>
      <c r="I2888" s="9"/>
      <c r="J2888" s="9"/>
      <c r="K2888" s="9"/>
      <c r="L2888" s="9"/>
      <c r="M2888" s="9"/>
      <c r="N2888" s="9"/>
      <c r="O2888" s="9"/>
      <c r="P2888" s="9"/>
      <c r="Q2888" s="9"/>
      <c r="R2888" s="9"/>
      <c r="S2888" s="9"/>
      <c r="T2888" s="9"/>
    </row>
    <row r="2889" ht="15.75" customHeight="1">
      <c r="A2889" s="11">
        <f>IFERROR(__xludf.DUMMYFUNCTION("""COMPUTED_VALUE"""),44471.0)</f>
        <v>44471</v>
      </c>
      <c r="B2889" s="9">
        <f>IFERROR(__xludf.DUMMYFUNCTION("""COMPUTED_VALUE"""),1003701.0)</f>
        <v>1003701</v>
      </c>
      <c r="C2889" s="9">
        <f>IFERROR(__xludf.DUMMYFUNCTION("""COMPUTED_VALUE"""),110848.0)</f>
        <v>110848</v>
      </c>
      <c r="D2889" s="10" t="str">
        <f>IFERROR(__xludf.DUMMYFUNCTION("""COMPUTED_VALUE"""),"Vive le bio")</f>
        <v>Vive le bio</v>
      </c>
      <c r="E2889" s="10"/>
      <c r="F2889" s="9">
        <f>IFERROR(__xludf.DUMMYFUNCTION("""COMPUTED_VALUE"""),6.98888888888888)</f>
        <v>6.988888889</v>
      </c>
      <c r="G2889" s="9">
        <f>IFERROR(__xludf.DUMMYFUNCTION("""COMPUTED_VALUE"""),6.29)</f>
        <v>6.29</v>
      </c>
      <c r="H2889" s="9">
        <f>IFERROR(__xludf.DUMMYFUNCTION("""COMPUTED_VALUE"""),1.0)</f>
        <v>1</v>
      </c>
      <c r="I2889" s="9"/>
      <c r="J2889" s="9"/>
      <c r="K2889" s="9"/>
      <c r="L2889" s="9"/>
      <c r="M2889" s="9"/>
      <c r="N2889" s="9"/>
      <c r="O2889" s="9"/>
      <c r="P2889" s="9"/>
      <c r="Q2889" s="9"/>
      <c r="R2889" s="9"/>
      <c r="S2889" s="9"/>
      <c r="T2889" s="9"/>
    </row>
    <row r="2890" ht="15.75" customHeight="1">
      <c r="A2890" s="11">
        <f>IFERROR(__xludf.DUMMYFUNCTION("""COMPUTED_VALUE"""),44471.0)</f>
        <v>44471</v>
      </c>
      <c r="B2890" s="9">
        <f>IFERROR(__xludf.DUMMYFUNCTION("""COMPUTED_VALUE"""),1003701.0)</f>
        <v>1003701</v>
      </c>
      <c r="C2890" s="9">
        <f>IFERROR(__xludf.DUMMYFUNCTION("""COMPUTED_VALUE"""),121966.0)</f>
        <v>121966</v>
      </c>
      <c r="D2890" s="9"/>
      <c r="E2890" s="9"/>
      <c r="F2890" s="9">
        <f>IFERROR(__xludf.DUMMYFUNCTION("""COMPUTED_VALUE"""),6.99)</f>
        <v>6.99</v>
      </c>
      <c r="G2890" s="9">
        <f>IFERROR(__xludf.DUMMYFUNCTION("""COMPUTED_VALUE"""),6.99)</f>
        <v>6.99</v>
      </c>
      <c r="H2890" s="9">
        <f>IFERROR(__xludf.DUMMYFUNCTION("""COMPUTED_VALUE"""),1.0)</f>
        <v>1</v>
      </c>
      <c r="I2890" s="9"/>
      <c r="J2890" s="9"/>
      <c r="K2890" s="9"/>
      <c r="L2890" s="9"/>
      <c r="M2890" s="9"/>
      <c r="N2890" s="9"/>
      <c r="O2890" s="9"/>
      <c r="P2890" s="9"/>
      <c r="Q2890" s="9"/>
      <c r="R2890" s="9"/>
      <c r="S2890" s="9"/>
      <c r="T2890" s="9"/>
    </row>
    <row r="2891" ht="15.75" customHeight="1">
      <c r="A2891" s="11">
        <f>IFERROR(__xludf.DUMMYFUNCTION("""COMPUTED_VALUE"""),44471.0)</f>
        <v>44471</v>
      </c>
      <c r="B2891" s="9">
        <f>IFERROR(__xludf.DUMMYFUNCTION("""COMPUTED_VALUE"""),1003702.0)</f>
        <v>1003702</v>
      </c>
      <c r="C2891" s="9">
        <f>IFERROR(__xludf.DUMMYFUNCTION("""COMPUTED_VALUE"""),72862.0)</f>
        <v>72862</v>
      </c>
      <c r="D2891" s="9"/>
      <c r="E2891" s="10" t="str">
        <f>IFERROR(__xludf.DUMMYFUNCTION("""COMPUTED_VALUE"""),"GREENRELAIS")</f>
        <v>GREENRELAIS</v>
      </c>
      <c r="F2891" s="10">
        <f>IFERROR(__xludf.DUMMYFUNCTION("""COMPUTED_VALUE"""),7.0)</f>
        <v>7</v>
      </c>
      <c r="G2891" s="9">
        <f>IFERROR(__xludf.DUMMYFUNCTION("""COMPUTED_VALUE"""),7.0)</f>
        <v>7</v>
      </c>
      <c r="H2891" s="9">
        <f>IFERROR(__xludf.DUMMYFUNCTION("""COMPUTED_VALUE"""),1.0)</f>
        <v>1</v>
      </c>
      <c r="I2891" s="9"/>
      <c r="J2891" s="9"/>
      <c r="K2891" s="9"/>
      <c r="L2891" s="9"/>
      <c r="M2891" s="9"/>
      <c r="N2891" s="9"/>
      <c r="O2891" s="9"/>
      <c r="P2891" s="9"/>
      <c r="Q2891" s="9"/>
      <c r="R2891" s="9"/>
      <c r="S2891" s="9"/>
      <c r="T2891" s="9"/>
    </row>
    <row r="2892" ht="15.75" customHeight="1">
      <c r="A2892" s="11">
        <f>IFERROR(__xludf.DUMMYFUNCTION("""COMPUTED_VALUE"""),44471.0)</f>
        <v>44471</v>
      </c>
      <c r="B2892" s="9">
        <f>IFERROR(__xludf.DUMMYFUNCTION("""COMPUTED_VALUE"""),1003702.0)</f>
        <v>1003702</v>
      </c>
      <c r="C2892" s="9">
        <f>IFERROR(__xludf.DUMMYFUNCTION("""COMPUTED_VALUE"""),11412.0)</f>
        <v>11412</v>
      </c>
      <c r="D2892" s="9"/>
      <c r="E2892" s="10" t="str">
        <f>IFERROR(__xludf.DUMMYFUNCTION("""COMPUTED_VALUE"""),"GREENRELAIS")</f>
        <v>GREENRELAIS</v>
      </c>
      <c r="F2892" s="10">
        <f>IFERROR(__xludf.DUMMYFUNCTION("""COMPUTED_VALUE"""),5.54)</f>
        <v>5.54</v>
      </c>
      <c r="G2892" s="9">
        <f>IFERROR(__xludf.DUMMYFUNCTION("""COMPUTED_VALUE"""),5.54)</f>
        <v>5.54</v>
      </c>
      <c r="H2892" s="9">
        <f>IFERROR(__xludf.DUMMYFUNCTION("""COMPUTED_VALUE"""),1.0)</f>
        <v>1</v>
      </c>
      <c r="I2892" s="9"/>
      <c r="J2892" s="9"/>
      <c r="K2892" s="9"/>
      <c r="L2892" s="9"/>
      <c r="M2892" s="9"/>
      <c r="N2892" s="9"/>
      <c r="O2892" s="9"/>
      <c r="P2892" s="9"/>
      <c r="Q2892" s="9"/>
      <c r="R2892" s="9"/>
      <c r="S2892" s="9"/>
      <c r="T2892" s="9"/>
    </row>
    <row r="2893" ht="15.75" customHeight="1">
      <c r="A2893" s="11">
        <f>IFERROR(__xludf.DUMMYFUNCTION("""COMPUTED_VALUE"""),44471.0)</f>
        <v>44471</v>
      </c>
      <c r="B2893" s="9">
        <f>IFERROR(__xludf.DUMMYFUNCTION("""COMPUTED_VALUE"""),1003702.0)</f>
        <v>1003702</v>
      </c>
      <c r="C2893" s="9">
        <f>IFERROR(__xludf.DUMMYFUNCTION("""COMPUTED_VALUE"""),121615.0)</f>
        <v>121615</v>
      </c>
      <c r="D2893" s="9"/>
      <c r="E2893" s="10" t="str">
        <f>IFERROR(__xludf.DUMMYFUNCTION("""COMPUTED_VALUE"""),"GREENRELAIS")</f>
        <v>GREENRELAIS</v>
      </c>
      <c r="F2893" s="10">
        <f>IFERROR(__xludf.DUMMYFUNCTION("""COMPUTED_VALUE"""),8.6)</f>
        <v>8.6</v>
      </c>
      <c r="G2893" s="9">
        <f>IFERROR(__xludf.DUMMYFUNCTION("""COMPUTED_VALUE"""),8.6)</f>
        <v>8.6</v>
      </c>
      <c r="H2893" s="9">
        <f>IFERROR(__xludf.DUMMYFUNCTION("""COMPUTED_VALUE"""),1.0)</f>
        <v>1</v>
      </c>
      <c r="I2893" s="9"/>
      <c r="J2893" s="9"/>
      <c r="K2893" s="9"/>
      <c r="L2893" s="9"/>
      <c r="M2893" s="9"/>
      <c r="N2893" s="9"/>
      <c r="O2893" s="9"/>
      <c r="P2893" s="9"/>
      <c r="Q2893" s="9"/>
      <c r="R2893" s="9"/>
      <c r="S2893" s="9"/>
      <c r="T2893" s="9"/>
    </row>
    <row r="2894" ht="15.75" customHeight="1">
      <c r="A2894" s="11">
        <f>IFERROR(__xludf.DUMMYFUNCTION("""COMPUTED_VALUE"""),44471.0)</f>
        <v>44471</v>
      </c>
      <c r="B2894" s="9">
        <f>IFERROR(__xludf.DUMMYFUNCTION("""COMPUTED_VALUE"""),1003702.0)</f>
        <v>1003702</v>
      </c>
      <c r="C2894" s="9">
        <f>IFERROR(__xludf.DUMMYFUNCTION("""COMPUTED_VALUE"""),122149.0)</f>
        <v>122149</v>
      </c>
      <c r="D2894" s="9"/>
      <c r="E2894" s="10" t="str">
        <f>IFERROR(__xludf.DUMMYFUNCTION("""COMPUTED_VALUE"""),"GREENRELAIS")</f>
        <v>GREENRELAIS</v>
      </c>
      <c r="F2894" s="10">
        <f>IFERROR(__xludf.DUMMYFUNCTION("""COMPUTED_VALUE"""),14.18)</f>
        <v>14.18</v>
      </c>
      <c r="G2894" s="9">
        <f>IFERROR(__xludf.DUMMYFUNCTION("""COMPUTED_VALUE"""),14.18)</f>
        <v>14.18</v>
      </c>
      <c r="H2894" s="9">
        <f>IFERROR(__xludf.DUMMYFUNCTION("""COMPUTED_VALUE"""),1.0)</f>
        <v>1</v>
      </c>
      <c r="I2894" s="9"/>
      <c r="J2894" s="9"/>
      <c r="K2894" s="9"/>
      <c r="L2894" s="9"/>
      <c r="M2894" s="9"/>
      <c r="N2894" s="9"/>
      <c r="O2894" s="9"/>
      <c r="P2894" s="9"/>
      <c r="Q2894" s="9"/>
      <c r="R2894" s="9"/>
      <c r="S2894" s="9"/>
      <c r="T2894" s="9"/>
    </row>
    <row r="2895" ht="15.75" customHeight="1">
      <c r="A2895" s="11">
        <f>IFERROR(__xludf.DUMMYFUNCTION("""COMPUTED_VALUE"""),44471.0)</f>
        <v>44471</v>
      </c>
      <c r="B2895" s="9">
        <f>IFERROR(__xludf.DUMMYFUNCTION("""COMPUTED_VALUE"""),1003702.0)</f>
        <v>1003702</v>
      </c>
      <c r="C2895" s="9">
        <f>IFERROR(__xludf.DUMMYFUNCTION("""COMPUTED_VALUE"""),109474.0)</f>
        <v>109474</v>
      </c>
      <c r="D2895" s="9"/>
      <c r="E2895" s="10" t="str">
        <f>IFERROR(__xludf.DUMMYFUNCTION("""COMPUTED_VALUE"""),"GREENRELAIS")</f>
        <v>GREENRELAIS</v>
      </c>
      <c r="F2895" s="10">
        <f>IFERROR(__xludf.DUMMYFUNCTION("""COMPUTED_VALUE"""),3.22)</f>
        <v>3.22</v>
      </c>
      <c r="G2895" s="9">
        <f>IFERROR(__xludf.DUMMYFUNCTION("""COMPUTED_VALUE"""),3.22)</f>
        <v>3.22</v>
      </c>
      <c r="H2895" s="9">
        <f>IFERROR(__xludf.DUMMYFUNCTION("""COMPUTED_VALUE"""),1.0)</f>
        <v>1</v>
      </c>
      <c r="I2895" s="9"/>
      <c r="J2895" s="9"/>
      <c r="K2895" s="9"/>
      <c r="L2895" s="9"/>
      <c r="M2895" s="9"/>
      <c r="N2895" s="9"/>
      <c r="O2895" s="9"/>
      <c r="P2895" s="9"/>
      <c r="Q2895" s="9"/>
      <c r="R2895" s="9"/>
      <c r="S2895" s="9"/>
      <c r="T2895" s="9"/>
    </row>
    <row r="2896" ht="15.75" customHeight="1">
      <c r="A2896" s="11">
        <f>IFERROR(__xludf.DUMMYFUNCTION("""COMPUTED_VALUE"""),44471.0)</f>
        <v>44471</v>
      </c>
      <c r="B2896" s="9">
        <f>IFERROR(__xludf.DUMMYFUNCTION("""COMPUTED_VALUE"""),1003702.0)</f>
        <v>1003702</v>
      </c>
      <c r="C2896" s="9">
        <f>IFERROR(__xludf.DUMMYFUNCTION("""COMPUTED_VALUE"""),86166.0)</f>
        <v>86166</v>
      </c>
      <c r="D2896" s="10" t="str">
        <f>IFERROR(__xludf.DUMMYFUNCTION("""COMPUTED_VALUE"""),"Vive le bio")</f>
        <v>Vive le bio</v>
      </c>
      <c r="E2896" s="10" t="str">
        <f>IFERROR(__xludf.DUMMYFUNCTION("""COMPUTED_VALUE"""),"GREENRELAIS")</f>
        <v>GREENRELAIS</v>
      </c>
      <c r="F2896" s="10">
        <f>IFERROR(__xludf.DUMMYFUNCTION("""COMPUTED_VALUE"""),13.0555555555555)</f>
        <v>13.05555556</v>
      </c>
      <c r="G2896" s="9">
        <f>IFERROR(__xludf.DUMMYFUNCTION("""COMPUTED_VALUE"""),11.75)</f>
        <v>11.75</v>
      </c>
      <c r="H2896" s="9">
        <f>IFERROR(__xludf.DUMMYFUNCTION("""COMPUTED_VALUE"""),1.0)</f>
        <v>1</v>
      </c>
      <c r="I2896" s="9"/>
      <c r="J2896" s="9"/>
      <c r="K2896" s="9"/>
      <c r="L2896" s="9"/>
      <c r="M2896" s="9"/>
      <c r="N2896" s="9"/>
      <c r="O2896" s="9"/>
      <c r="P2896" s="9"/>
      <c r="Q2896" s="9"/>
      <c r="R2896" s="9"/>
      <c r="S2896" s="9"/>
      <c r="T2896" s="9"/>
    </row>
    <row r="2897" ht="15.75" customHeight="1">
      <c r="A2897" s="11">
        <f>IFERROR(__xludf.DUMMYFUNCTION("""COMPUTED_VALUE"""),44471.0)</f>
        <v>44471</v>
      </c>
      <c r="B2897" s="9">
        <f>IFERROR(__xludf.DUMMYFUNCTION("""COMPUTED_VALUE"""),1003702.0)</f>
        <v>1003702</v>
      </c>
      <c r="C2897" s="9">
        <f>IFERROR(__xludf.DUMMYFUNCTION("""COMPUTED_VALUE"""),11446.0)</f>
        <v>11446</v>
      </c>
      <c r="D2897" s="9"/>
      <c r="E2897" s="10" t="str">
        <f>IFERROR(__xludf.DUMMYFUNCTION("""COMPUTED_VALUE"""),"GREENRELAIS")</f>
        <v>GREENRELAIS</v>
      </c>
      <c r="F2897" s="10">
        <f>IFERROR(__xludf.DUMMYFUNCTION("""COMPUTED_VALUE"""),9.15)</f>
        <v>9.15</v>
      </c>
      <c r="G2897" s="9">
        <f>IFERROR(__xludf.DUMMYFUNCTION("""COMPUTED_VALUE"""),9.15)</f>
        <v>9.15</v>
      </c>
      <c r="H2897" s="9">
        <f>IFERROR(__xludf.DUMMYFUNCTION("""COMPUTED_VALUE"""),1.0)</f>
        <v>1</v>
      </c>
      <c r="I2897" s="9"/>
      <c r="J2897" s="9"/>
      <c r="K2897" s="9"/>
      <c r="L2897" s="9"/>
      <c r="M2897" s="9"/>
      <c r="N2897" s="9"/>
      <c r="O2897" s="9"/>
      <c r="P2897" s="9"/>
      <c r="Q2897" s="9"/>
      <c r="R2897" s="9"/>
      <c r="S2897" s="9"/>
      <c r="T2897" s="9"/>
    </row>
    <row r="2898" ht="15.75" customHeight="1">
      <c r="A2898" s="11">
        <f>IFERROR(__xludf.DUMMYFUNCTION("""COMPUTED_VALUE"""),44471.0)</f>
        <v>44471</v>
      </c>
      <c r="B2898" s="9">
        <f>IFERROR(__xludf.DUMMYFUNCTION("""COMPUTED_VALUE"""),1003703.0)</f>
        <v>1003703</v>
      </c>
      <c r="C2898" s="9">
        <f>IFERROR(__xludf.DUMMYFUNCTION("""COMPUTED_VALUE"""),93419.0)</f>
        <v>93419</v>
      </c>
      <c r="D2898" s="9"/>
      <c r="E2898" s="9"/>
      <c r="F2898" s="9">
        <f>IFERROR(__xludf.DUMMYFUNCTION("""COMPUTED_VALUE"""),18.51)</f>
        <v>18.51</v>
      </c>
      <c r="G2898" s="9">
        <f>IFERROR(__xludf.DUMMYFUNCTION("""COMPUTED_VALUE"""),18.51)</f>
        <v>18.51</v>
      </c>
      <c r="H2898" s="9">
        <f>IFERROR(__xludf.DUMMYFUNCTION("""COMPUTED_VALUE"""),1.0)</f>
        <v>1</v>
      </c>
      <c r="I2898" s="9"/>
      <c r="J2898" s="9"/>
      <c r="K2898" s="9"/>
      <c r="L2898" s="9"/>
      <c r="M2898" s="9"/>
      <c r="N2898" s="9"/>
      <c r="O2898" s="9"/>
      <c r="P2898" s="9"/>
      <c r="Q2898" s="9"/>
      <c r="R2898" s="9"/>
      <c r="S2898" s="9"/>
      <c r="T2898" s="9"/>
    </row>
    <row r="2899" ht="15.75" customHeight="1">
      <c r="A2899" s="11">
        <f>IFERROR(__xludf.DUMMYFUNCTION("""COMPUTED_VALUE"""),44471.0)</f>
        <v>44471</v>
      </c>
      <c r="B2899" s="9">
        <f>IFERROR(__xludf.DUMMYFUNCTION("""COMPUTED_VALUE"""),1003703.0)</f>
        <v>1003703</v>
      </c>
      <c r="C2899" s="9">
        <f>IFERROR(__xludf.DUMMYFUNCTION("""COMPUTED_VALUE"""),93417.0)</f>
        <v>93417</v>
      </c>
      <c r="D2899" s="9"/>
      <c r="E2899" s="9"/>
      <c r="F2899" s="9">
        <f>IFERROR(__xludf.DUMMYFUNCTION("""COMPUTED_VALUE"""),26.05)</f>
        <v>26.05</v>
      </c>
      <c r="G2899" s="9">
        <f>IFERROR(__xludf.DUMMYFUNCTION("""COMPUTED_VALUE"""),26.05)</f>
        <v>26.05</v>
      </c>
      <c r="H2899" s="9">
        <f>IFERROR(__xludf.DUMMYFUNCTION("""COMPUTED_VALUE"""),1.0)</f>
        <v>1</v>
      </c>
      <c r="I2899" s="9"/>
      <c r="J2899" s="9"/>
      <c r="K2899" s="9"/>
      <c r="L2899" s="9"/>
      <c r="M2899" s="9"/>
      <c r="N2899" s="9"/>
      <c r="O2899" s="9"/>
      <c r="P2899" s="9"/>
      <c r="Q2899" s="9"/>
      <c r="R2899" s="9"/>
      <c r="S2899" s="9"/>
      <c r="T2899" s="9"/>
    </row>
    <row r="2900" ht="15.75" customHeight="1">
      <c r="A2900" s="11">
        <f>IFERROR(__xludf.DUMMYFUNCTION("""COMPUTED_VALUE"""),44471.0)</f>
        <v>44471</v>
      </c>
      <c r="B2900" s="9">
        <f>IFERROR(__xludf.DUMMYFUNCTION("""COMPUTED_VALUE"""),1003704.0)</f>
        <v>1003704</v>
      </c>
      <c r="C2900" s="9">
        <f>IFERROR(__xludf.DUMMYFUNCTION("""COMPUTED_VALUE"""),86821.0)</f>
        <v>86821</v>
      </c>
      <c r="D2900" s="9"/>
      <c r="E2900" s="10" t="str">
        <f>IFERROR(__xludf.DUMMYFUNCTION("""COMPUTED_VALUE"""),"GREENRELAIS")</f>
        <v>GREENRELAIS</v>
      </c>
      <c r="F2900" s="10">
        <f>IFERROR(__xludf.DUMMYFUNCTION("""COMPUTED_VALUE"""),3.88)</f>
        <v>3.88</v>
      </c>
      <c r="G2900" s="9">
        <f>IFERROR(__xludf.DUMMYFUNCTION("""COMPUTED_VALUE"""),3.88)</f>
        <v>3.88</v>
      </c>
      <c r="H2900" s="9">
        <f>IFERROR(__xludf.DUMMYFUNCTION("""COMPUTED_VALUE"""),1.0)</f>
        <v>1</v>
      </c>
      <c r="I2900" s="9"/>
      <c r="J2900" s="9"/>
      <c r="K2900" s="9"/>
      <c r="L2900" s="9"/>
      <c r="M2900" s="9"/>
      <c r="N2900" s="9"/>
      <c r="O2900" s="9"/>
      <c r="P2900" s="9"/>
      <c r="Q2900" s="9"/>
      <c r="R2900" s="9"/>
      <c r="S2900" s="9"/>
      <c r="T2900" s="9"/>
    </row>
    <row r="2901" ht="15.75" customHeight="1">
      <c r="A2901" s="11">
        <f>IFERROR(__xludf.DUMMYFUNCTION("""COMPUTED_VALUE"""),44471.0)</f>
        <v>44471</v>
      </c>
      <c r="B2901" s="9">
        <f>IFERROR(__xludf.DUMMYFUNCTION("""COMPUTED_VALUE"""),1003704.0)</f>
        <v>1003704</v>
      </c>
      <c r="C2901" s="9">
        <f>IFERROR(__xludf.DUMMYFUNCTION("""COMPUTED_VALUE"""),5902.0)</f>
        <v>5902</v>
      </c>
      <c r="D2901" s="9"/>
      <c r="E2901" s="10" t="str">
        <f>IFERROR(__xludf.DUMMYFUNCTION("""COMPUTED_VALUE"""),"GREENRELAIS")</f>
        <v>GREENRELAIS</v>
      </c>
      <c r="F2901" s="10">
        <f>IFERROR(__xludf.DUMMYFUNCTION("""COMPUTED_VALUE"""),7.02)</f>
        <v>7.02</v>
      </c>
      <c r="G2901" s="9">
        <f>IFERROR(__xludf.DUMMYFUNCTION("""COMPUTED_VALUE"""),7.02)</f>
        <v>7.02</v>
      </c>
      <c r="H2901" s="9">
        <f>IFERROR(__xludf.DUMMYFUNCTION("""COMPUTED_VALUE"""),1.0)</f>
        <v>1</v>
      </c>
      <c r="I2901" s="9"/>
      <c r="J2901" s="9"/>
      <c r="K2901" s="9"/>
      <c r="L2901" s="9"/>
      <c r="M2901" s="9"/>
      <c r="N2901" s="9"/>
      <c r="O2901" s="9"/>
      <c r="P2901" s="9"/>
      <c r="Q2901" s="9"/>
      <c r="R2901" s="9"/>
      <c r="S2901" s="9"/>
      <c r="T2901" s="9"/>
    </row>
    <row r="2902" ht="15.75" customHeight="1">
      <c r="A2902" s="11">
        <f>IFERROR(__xludf.DUMMYFUNCTION("""COMPUTED_VALUE"""),44471.0)</f>
        <v>44471</v>
      </c>
      <c r="B2902" s="9">
        <f>IFERROR(__xludf.DUMMYFUNCTION("""COMPUTED_VALUE"""),1003704.0)</f>
        <v>1003704</v>
      </c>
      <c r="C2902" s="9">
        <f>IFERROR(__xludf.DUMMYFUNCTION("""COMPUTED_VALUE"""),107953.0)</f>
        <v>107953</v>
      </c>
      <c r="D2902" s="9"/>
      <c r="E2902" s="10" t="str">
        <f>IFERROR(__xludf.DUMMYFUNCTION("""COMPUTED_VALUE"""),"GREENRELAIS")</f>
        <v>GREENRELAIS</v>
      </c>
      <c r="F2902" s="10">
        <f>IFERROR(__xludf.DUMMYFUNCTION("""COMPUTED_VALUE"""),8.11)</f>
        <v>8.11</v>
      </c>
      <c r="G2902" s="9">
        <f>IFERROR(__xludf.DUMMYFUNCTION("""COMPUTED_VALUE"""),8.11)</f>
        <v>8.11</v>
      </c>
      <c r="H2902" s="9">
        <f>IFERROR(__xludf.DUMMYFUNCTION("""COMPUTED_VALUE"""),1.0)</f>
        <v>1</v>
      </c>
      <c r="I2902" s="9"/>
      <c r="J2902" s="9"/>
      <c r="K2902" s="9"/>
      <c r="L2902" s="9"/>
      <c r="M2902" s="9"/>
      <c r="N2902" s="9"/>
      <c r="O2902" s="9"/>
      <c r="P2902" s="9"/>
      <c r="Q2902" s="9"/>
      <c r="R2902" s="9"/>
      <c r="S2902" s="9"/>
      <c r="T2902" s="9"/>
    </row>
    <row r="2903" ht="15.75" customHeight="1">
      <c r="A2903" s="11">
        <f>IFERROR(__xludf.DUMMYFUNCTION("""COMPUTED_VALUE"""),44471.0)</f>
        <v>44471</v>
      </c>
      <c r="B2903" s="9">
        <f>IFERROR(__xludf.DUMMYFUNCTION("""COMPUTED_VALUE"""),1003704.0)</f>
        <v>1003704</v>
      </c>
      <c r="C2903" s="9">
        <f>IFERROR(__xludf.DUMMYFUNCTION("""COMPUTED_VALUE"""),5869.0)</f>
        <v>5869</v>
      </c>
      <c r="D2903" s="9"/>
      <c r="E2903" s="10" t="str">
        <f>IFERROR(__xludf.DUMMYFUNCTION("""COMPUTED_VALUE"""),"GREENRELAIS")</f>
        <v>GREENRELAIS</v>
      </c>
      <c r="F2903" s="10">
        <f>IFERROR(__xludf.DUMMYFUNCTION("""COMPUTED_VALUE"""),2.85)</f>
        <v>2.85</v>
      </c>
      <c r="G2903" s="9">
        <f>IFERROR(__xludf.DUMMYFUNCTION("""COMPUTED_VALUE"""),2.85)</f>
        <v>2.85</v>
      </c>
      <c r="H2903" s="9">
        <f>IFERROR(__xludf.DUMMYFUNCTION("""COMPUTED_VALUE"""),1.0)</f>
        <v>1</v>
      </c>
      <c r="I2903" s="9"/>
      <c r="J2903" s="9"/>
      <c r="K2903" s="9"/>
      <c r="L2903" s="9"/>
      <c r="M2903" s="9"/>
      <c r="N2903" s="9"/>
      <c r="O2903" s="9"/>
      <c r="P2903" s="9"/>
      <c r="Q2903" s="9"/>
      <c r="R2903" s="9"/>
      <c r="S2903" s="9"/>
      <c r="T2903" s="9"/>
    </row>
    <row r="2904" ht="15.75" customHeight="1">
      <c r="A2904" s="11">
        <f>IFERROR(__xludf.DUMMYFUNCTION("""COMPUTED_VALUE"""),44471.0)</f>
        <v>44471</v>
      </c>
      <c r="B2904" s="9">
        <f>IFERROR(__xludf.DUMMYFUNCTION("""COMPUTED_VALUE"""),1003704.0)</f>
        <v>1003704</v>
      </c>
      <c r="C2904" s="9">
        <f>IFERROR(__xludf.DUMMYFUNCTION("""COMPUTED_VALUE"""),80785.0)</f>
        <v>80785</v>
      </c>
      <c r="D2904" s="9"/>
      <c r="E2904" s="10" t="str">
        <f>IFERROR(__xludf.DUMMYFUNCTION("""COMPUTED_VALUE"""),"GREENRELAIS")</f>
        <v>GREENRELAIS</v>
      </c>
      <c r="F2904" s="10">
        <f>IFERROR(__xludf.DUMMYFUNCTION("""COMPUTED_VALUE"""),1.49)</f>
        <v>1.49</v>
      </c>
      <c r="G2904" s="9">
        <f>IFERROR(__xludf.DUMMYFUNCTION("""COMPUTED_VALUE"""),1.49)</f>
        <v>1.49</v>
      </c>
      <c r="H2904" s="9">
        <f>IFERROR(__xludf.DUMMYFUNCTION("""COMPUTED_VALUE"""),1.0)</f>
        <v>1</v>
      </c>
      <c r="I2904" s="9"/>
      <c r="J2904" s="9"/>
      <c r="K2904" s="9"/>
      <c r="L2904" s="9"/>
      <c r="M2904" s="9"/>
      <c r="N2904" s="9"/>
      <c r="O2904" s="9"/>
      <c r="P2904" s="9"/>
      <c r="Q2904" s="9"/>
      <c r="R2904" s="9"/>
      <c r="S2904" s="9"/>
      <c r="T2904" s="9"/>
    </row>
    <row r="2905" ht="15.75" customHeight="1">
      <c r="A2905" s="11">
        <f>IFERROR(__xludf.DUMMYFUNCTION("""COMPUTED_VALUE"""),44471.0)</f>
        <v>44471</v>
      </c>
      <c r="B2905" s="9">
        <f>IFERROR(__xludf.DUMMYFUNCTION("""COMPUTED_VALUE"""),1003704.0)</f>
        <v>1003704</v>
      </c>
      <c r="C2905" s="9">
        <f>IFERROR(__xludf.DUMMYFUNCTION("""COMPUTED_VALUE"""),158450.0)</f>
        <v>158450</v>
      </c>
      <c r="D2905" s="10" t="str">
        <f>IFERROR(__xludf.DUMMYFUNCTION("""COMPUTED_VALUE"""),"Zero Dechet")</f>
        <v>Zero Dechet</v>
      </c>
      <c r="E2905" s="10" t="str">
        <f>IFERROR(__xludf.DUMMYFUNCTION("""COMPUTED_VALUE"""),"GREENRELAIS")</f>
        <v>GREENRELAIS</v>
      </c>
      <c r="F2905" s="10">
        <f>IFERROR(__xludf.DUMMYFUNCTION("""COMPUTED_VALUE"""),7.04444444444444)</f>
        <v>7.044444444</v>
      </c>
      <c r="G2905" s="9">
        <f>IFERROR(__xludf.DUMMYFUNCTION("""COMPUTED_VALUE"""),6.34)</f>
        <v>6.34</v>
      </c>
      <c r="H2905" s="9">
        <f>IFERROR(__xludf.DUMMYFUNCTION("""COMPUTED_VALUE"""),1.0)</f>
        <v>1</v>
      </c>
      <c r="I2905" s="9"/>
      <c r="J2905" s="9"/>
      <c r="K2905" s="9"/>
      <c r="L2905" s="9"/>
      <c r="M2905" s="9"/>
      <c r="N2905" s="9"/>
      <c r="O2905" s="9"/>
      <c r="P2905" s="9"/>
      <c r="Q2905" s="9"/>
      <c r="R2905" s="9"/>
      <c r="S2905" s="9"/>
      <c r="T2905" s="9"/>
    </row>
    <row r="2906" ht="15.75" customHeight="1">
      <c r="A2906" s="11">
        <f>IFERROR(__xludf.DUMMYFUNCTION("""COMPUTED_VALUE"""),44471.0)</f>
        <v>44471</v>
      </c>
      <c r="B2906" s="9">
        <f>IFERROR(__xludf.DUMMYFUNCTION("""COMPUTED_VALUE"""),1003704.0)</f>
        <v>1003704</v>
      </c>
      <c r="C2906" s="9">
        <f>IFERROR(__xludf.DUMMYFUNCTION("""COMPUTED_VALUE"""),121068.0)</f>
        <v>121068</v>
      </c>
      <c r="D2906" s="10" t="str">
        <f>IFERROR(__xludf.DUMMYFUNCTION("""COMPUTED_VALUE"""),"Zero Dechet")</f>
        <v>Zero Dechet</v>
      </c>
      <c r="E2906" s="10" t="str">
        <f>IFERROR(__xludf.DUMMYFUNCTION("""COMPUTED_VALUE"""),"GREENRELAIS")</f>
        <v>GREENRELAIS</v>
      </c>
      <c r="F2906" s="10">
        <f>IFERROR(__xludf.DUMMYFUNCTION("""COMPUTED_VALUE"""),25.3294117647058)</f>
        <v>25.32941176</v>
      </c>
      <c r="G2906" s="9">
        <f>IFERROR(__xludf.DUMMYFUNCTION("""COMPUTED_VALUE"""),21.53)</f>
        <v>21.53</v>
      </c>
      <c r="H2906" s="9">
        <f>IFERROR(__xludf.DUMMYFUNCTION("""COMPUTED_VALUE"""),2.0)</f>
        <v>2</v>
      </c>
      <c r="I2906" s="9"/>
      <c r="J2906" s="9"/>
      <c r="K2906" s="9"/>
      <c r="L2906" s="9"/>
      <c r="M2906" s="9"/>
      <c r="N2906" s="9"/>
      <c r="O2906" s="9"/>
      <c r="P2906" s="9"/>
      <c r="Q2906" s="9"/>
      <c r="R2906" s="9"/>
      <c r="S2906" s="9"/>
      <c r="T2906" s="9"/>
    </row>
    <row r="2907" ht="15.75" customHeight="1">
      <c r="A2907" s="11">
        <f>IFERROR(__xludf.DUMMYFUNCTION("""COMPUTED_VALUE"""),44471.0)</f>
        <v>44471</v>
      </c>
      <c r="B2907" s="9">
        <f>IFERROR(__xludf.DUMMYFUNCTION("""COMPUTED_VALUE"""),1003706.0)</f>
        <v>1003706</v>
      </c>
      <c r="C2907" s="9">
        <f>IFERROR(__xludf.DUMMYFUNCTION("""COMPUTED_VALUE"""),195072.0)</f>
        <v>195072</v>
      </c>
      <c r="D2907" s="9"/>
      <c r="E2907" s="9"/>
      <c r="F2907" s="9">
        <f>IFERROR(__xludf.DUMMYFUNCTION("""COMPUTED_VALUE"""),3.38)</f>
        <v>3.38</v>
      </c>
      <c r="G2907" s="9">
        <f>IFERROR(__xludf.DUMMYFUNCTION("""COMPUTED_VALUE"""),3.38)</f>
        <v>3.38</v>
      </c>
      <c r="H2907" s="9">
        <f>IFERROR(__xludf.DUMMYFUNCTION("""COMPUTED_VALUE"""),1.0)</f>
        <v>1</v>
      </c>
      <c r="I2907" s="9"/>
      <c r="J2907" s="9"/>
      <c r="K2907" s="9"/>
      <c r="L2907" s="9"/>
      <c r="M2907" s="9"/>
      <c r="N2907" s="9"/>
      <c r="O2907" s="9"/>
      <c r="P2907" s="9"/>
      <c r="Q2907" s="9"/>
      <c r="R2907" s="9"/>
      <c r="S2907" s="9"/>
      <c r="T2907" s="9"/>
    </row>
    <row r="2908" ht="15.75" customHeight="1">
      <c r="A2908" s="11">
        <f>IFERROR(__xludf.DUMMYFUNCTION("""COMPUTED_VALUE"""),44471.0)</f>
        <v>44471</v>
      </c>
      <c r="B2908" s="9">
        <f>IFERROR(__xludf.DUMMYFUNCTION("""COMPUTED_VALUE"""),1003706.0)</f>
        <v>1003706</v>
      </c>
      <c r="C2908" s="9">
        <f>IFERROR(__xludf.DUMMYFUNCTION("""COMPUTED_VALUE"""),109309.0)</f>
        <v>109309</v>
      </c>
      <c r="D2908" s="9"/>
      <c r="E2908" s="9"/>
      <c r="F2908" s="9">
        <f>IFERROR(__xludf.DUMMYFUNCTION("""COMPUTED_VALUE"""),8.27)</f>
        <v>8.27</v>
      </c>
      <c r="G2908" s="9">
        <f>IFERROR(__xludf.DUMMYFUNCTION("""COMPUTED_VALUE"""),8.27)</f>
        <v>8.27</v>
      </c>
      <c r="H2908" s="9">
        <f>IFERROR(__xludf.DUMMYFUNCTION("""COMPUTED_VALUE"""),1.0)</f>
        <v>1</v>
      </c>
      <c r="I2908" s="9"/>
      <c r="J2908" s="9"/>
      <c r="K2908" s="9"/>
      <c r="L2908" s="9"/>
      <c r="M2908" s="9"/>
      <c r="N2908" s="9"/>
      <c r="O2908" s="9"/>
      <c r="P2908" s="9"/>
      <c r="Q2908" s="9"/>
      <c r="R2908" s="9"/>
      <c r="S2908" s="9"/>
      <c r="T2908" s="9"/>
    </row>
    <row r="2909" ht="15.75" customHeight="1">
      <c r="A2909" s="11">
        <f>IFERROR(__xludf.DUMMYFUNCTION("""COMPUTED_VALUE"""),44471.0)</f>
        <v>44471</v>
      </c>
      <c r="B2909" s="9">
        <f>IFERROR(__xludf.DUMMYFUNCTION("""COMPUTED_VALUE"""),1003706.0)</f>
        <v>1003706</v>
      </c>
      <c r="C2909" s="9">
        <f>IFERROR(__xludf.DUMMYFUNCTION("""COMPUTED_VALUE"""),11001.0)</f>
        <v>11001</v>
      </c>
      <c r="D2909" s="9"/>
      <c r="E2909" s="9"/>
      <c r="F2909" s="9">
        <f>IFERROR(__xludf.DUMMYFUNCTION("""COMPUTED_VALUE"""),4.28)</f>
        <v>4.28</v>
      </c>
      <c r="G2909" s="9">
        <f>IFERROR(__xludf.DUMMYFUNCTION("""COMPUTED_VALUE"""),4.28)</f>
        <v>4.28</v>
      </c>
      <c r="H2909" s="9">
        <f>IFERROR(__xludf.DUMMYFUNCTION("""COMPUTED_VALUE"""),1.0)</f>
        <v>1</v>
      </c>
      <c r="I2909" s="9"/>
      <c r="J2909" s="9"/>
      <c r="K2909" s="9"/>
      <c r="L2909" s="9"/>
      <c r="M2909" s="9"/>
      <c r="N2909" s="9"/>
      <c r="O2909" s="9"/>
      <c r="P2909" s="9"/>
      <c r="Q2909" s="9"/>
      <c r="R2909" s="9"/>
      <c r="S2909" s="9"/>
      <c r="T2909" s="9"/>
    </row>
    <row r="2910" ht="15.75" customHeight="1">
      <c r="A2910" s="11">
        <f>IFERROR(__xludf.DUMMYFUNCTION("""COMPUTED_VALUE"""),44471.0)</f>
        <v>44471</v>
      </c>
      <c r="B2910" s="9">
        <f>IFERROR(__xludf.DUMMYFUNCTION("""COMPUTED_VALUE"""),1003706.0)</f>
        <v>1003706</v>
      </c>
      <c r="C2910" s="9">
        <f>IFERROR(__xludf.DUMMYFUNCTION("""COMPUTED_VALUE"""),7268.0)</f>
        <v>7268</v>
      </c>
      <c r="D2910" s="9"/>
      <c r="E2910" s="9"/>
      <c r="F2910" s="9">
        <f>IFERROR(__xludf.DUMMYFUNCTION("""COMPUTED_VALUE"""),3.07)</f>
        <v>3.07</v>
      </c>
      <c r="G2910" s="9">
        <f>IFERROR(__xludf.DUMMYFUNCTION("""COMPUTED_VALUE"""),3.07)</f>
        <v>3.07</v>
      </c>
      <c r="H2910" s="9">
        <f>IFERROR(__xludf.DUMMYFUNCTION("""COMPUTED_VALUE"""),1.0)</f>
        <v>1</v>
      </c>
      <c r="I2910" s="9"/>
      <c r="J2910" s="9"/>
      <c r="K2910" s="9"/>
      <c r="L2910" s="9"/>
      <c r="M2910" s="9"/>
      <c r="N2910" s="9"/>
      <c r="O2910" s="9"/>
      <c r="P2910" s="9"/>
      <c r="Q2910" s="9"/>
      <c r="R2910" s="9"/>
      <c r="S2910" s="9"/>
      <c r="T2910" s="9"/>
    </row>
    <row r="2911" ht="15.75" customHeight="1">
      <c r="A2911" s="11">
        <f>IFERROR(__xludf.DUMMYFUNCTION("""COMPUTED_VALUE"""),44471.0)</f>
        <v>44471</v>
      </c>
      <c r="B2911" s="9">
        <f>IFERROR(__xludf.DUMMYFUNCTION("""COMPUTED_VALUE"""),1003706.0)</f>
        <v>1003706</v>
      </c>
      <c r="C2911" s="9">
        <f>IFERROR(__xludf.DUMMYFUNCTION("""COMPUTED_VALUE"""),110719.0)</f>
        <v>110719</v>
      </c>
      <c r="D2911" s="9"/>
      <c r="E2911" s="9"/>
      <c r="F2911" s="9">
        <f>IFERROR(__xludf.DUMMYFUNCTION("""COMPUTED_VALUE"""),3.95)</f>
        <v>3.95</v>
      </c>
      <c r="G2911" s="9">
        <f>IFERROR(__xludf.DUMMYFUNCTION("""COMPUTED_VALUE"""),3.95)</f>
        <v>3.95</v>
      </c>
      <c r="H2911" s="9">
        <f>IFERROR(__xludf.DUMMYFUNCTION("""COMPUTED_VALUE"""),1.0)</f>
        <v>1</v>
      </c>
      <c r="I2911" s="9"/>
      <c r="J2911" s="9"/>
      <c r="K2911" s="9"/>
      <c r="L2911" s="9"/>
      <c r="M2911" s="9"/>
      <c r="N2911" s="9"/>
      <c r="O2911" s="9"/>
      <c r="P2911" s="9"/>
      <c r="Q2911" s="9"/>
      <c r="R2911" s="9"/>
      <c r="S2911" s="9"/>
      <c r="T2911" s="9"/>
    </row>
    <row r="2912" ht="15.75" customHeight="1">
      <c r="A2912" s="11">
        <f>IFERROR(__xludf.DUMMYFUNCTION("""COMPUTED_VALUE"""),44471.0)</f>
        <v>44471</v>
      </c>
      <c r="B2912" s="9">
        <f>IFERROR(__xludf.DUMMYFUNCTION("""COMPUTED_VALUE"""),1003706.0)</f>
        <v>1003706</v>
      </c>
      <c r="C2912" s="9">
        <f>IFERROR(__xludf.DUMMYFUNCTION("""COMPUTED_VALUE"""),10577.0)</f>
        <v>10577</v>
      </c>
      <c r="D2912" s="9"/>
      <c r="E2912" s="9"/>
      <c r="F2912" s="9">
        <f>IFERROR(__xludf.DUMMYFUNCTION("""COMPUTED_VALUE"""),8.57)</f>
        <v>8.57</v>
      </c>
      <c r="G2912" s="9">
        <f>IFERROR(__xludf.DUMMYFUNCTION("""COMPUTED_VALUE"""),8.57)</f>
        <v>8.57</v>
      </c>
      <c r="H2912" s="9">
        <f>IFERROR(__xludf.DUMMYFUNCTION("""COMPUTED_VALUE"""),1.0)</f>
        <v>1</v>
      </c>
      <c r="I2912" s="9"/>
      <c r="J2912" s="9"/>
      <c r="K2912" s="9"/>
      <c r="L2912" s="9"/>
      <c r="M2912" s="9"/>
      <c r="N2912" s="9"/>
      <c r="O2912" s="9"/>
      <c r="P2912" s="9"/>
      <c r="Q2912" s="9"/>
      <c r="R2912" s="9"/>
      <c r="S2912" s="9"/>
      <c r="T2912" s="9"/>
    </row>
    <row r="2913" ht="15.75" customHeight="1">
      <c r="A2913" s="11">
        <f>IFERROR(__xludf.DUMMYFUNCTION("""COMPUTED_VALUE"""),44471.0)</f>
        <v>44471</v>
      </c>
      <c r="B2913" s="9">
        <f>IFERROR(__xludf.DUMMYFUNCTION("""COMPUTED_VALUE"""),1003706.0)</f>
        <v>1003706</v>
      </c>
      <c r="C2913" s="9">
        <f>IFERROR(__xludf.DUMMYFUNCTION("""COMPUTED_VALUE"""),118154.0)</f>
        <v>118154</v>
      </c>
      <c r="D2913" s="9"/>
      <c r="E2913" s="9"/>
      <c r="F2913" s="9">
        <f>IFERROR(__xludf.DUMMYFUNCTION("""COMPUTED_VALUE"""),6.0)</f>
        <v>6</v>
      </c>
      <c r="G2913" s="9">
        <f>IFERROR(__xludf.DUMMYFUNCTION("""COMPUTED_VALUE"""),6.0)</f>
        <v>6</v>
      </c>
      <c r="H2913" s="9">
        <f>IFERROR(__xludf.DUMMYFUNCTION("""COMPUTED_VALUE"""),2.0)</f>
        <v>2</v>
      </c>
      <c r="I2913" s="9"/>
      <c r="J2913" s="9"/>
      <c r="K2913" s="9"/>
      <c r="L2913" s="9"/>
      <c r="M2913" s="9"/>
      <c r="N2913" s="9"/>
      <c r="O2913" s="9"/>
      <c r="P2913" s="9"/>
      <c r="Q2913" s="9"/>
      <c r="R2913" s="9"/>
      <c r="S2913" s="9"/>
      <c r="T2913" s="9"/>
    </row>
    <row r="2914" ht="15.75" customHeight="1">
      <c r="A2914" s="11">
        <f>IFERROR(__xludf.DUMMYFUNCTION("""COMPUTED_VALUE"""),44471.0)</f>
        <v>44471</v>
      </c>
      <c r="B2914" s="9">
        <f>IFERROR(__xludf.DUMMYFUNCTION("""COMPUTED_VALUE"""),1003706.0)</f>
        <v>1003706</v>
      </c>
      <c r="C2914" s="9">
        <f>IFERROR(__xludf.DUMMYFUNCTION("""COMPUTED_VALUE"""),78983.0)</f>
        <v>78983</v>
      </c>
      <c r="D2914" s="9"/>
      <c r="E2914" s="9"/>
      <c r="F2914" s="9">
        <f>IFERROR(__xludf.DUMMYFUNCTION("""COMPUTED_VALUE"""),5.51)</f>
        <v>5.51</v>
      </c>
      <c r="G2914" s="9">
        <f>IFERROR(__xludf.DUMMYFUNCTION("""COMPUTED_VALUE"""),5.51)</f>
        <v>5.51</v>
      </c>
      <c r="H2914" s="9">
        <f>IFERROR(__xludf.DUMMYFUNCTION("""COMPUTED_VALUE"""),2.0)</f>
        <v>2</v>
      </c>
      <c r="I2914" s="9"/>
      <c r="J2914" s="9"/>
      <c r="K2914" s="9"/>
      <c r="L2914" s="9"/>
      <c r="M2914" s="9"/>
      <c r="N2914" s="9"/>
      <c r="O2914" s="9"/>
      <c r="P2914" s="9"/>
      <c r="Q2914" s="9"/>
      <c r="R2914" s="9"/>
      <c r="S2914" s="9"/>
      <c r="T2914" s="9"/>
    </row>
    <row r="2915" ht="15.75" customHeight="1">
      <c r="A2915" s="11">
        <f>IFERROR(__xludf.DUMMYFUNCTION("""COMPUTED_VALUE"""),44471.0)</f>
        <v>44471</v>
      </c>
      <c r="B2915" s="9">
        <f>IFERROR(__xludf.DUMMYFUNCTION("""COMPUTED_VALUE"""),1003706.0)</f>
        <v>1003706</v>
      </c>
      <c r="C2915" s="9">
        <f>IFERROR(__xludf.DUMMYFUNCTION("""COMPUTED_VALUE"""),113874.0)</f>
        <v>113874</v>
      </c>
      <c r="D2915" s="9"/>
      <c r="E2915" s="9"/>
      <c r="F2915" s="9">
        <f>IFERROR(__xludf.DUMMYFUNCTION("""COMPUTED_VALUE"""),13.37)</f>
        <v>13.37</v>
      </c>
      <c r="G2915" s="9">
        <f>IFERROR(__xludf.DUMMYFUNCTION("""COMPUTED_VALUE"""),13.37)</f>
        <v>13.37</v>
      </c>
      <c r="H2915" s="9">
        <f>IFERROR(__xludf.DUMMYFUNCTION("""COMPUTED_VALUE"""),2.0)</f>
        <v>2</v>
      </c>
      <c r="I2915" s="9"/>
      <c r="J2915" s="9"/>
      <c r="K2915" s="9"/>
      <c r="L2915" s="9"/>
      <c r="M2915" s="9"/>
      <c r="N2915" s="9"/>
      <c r="O2915" s="9"/>
      <c r="P2915" s="9"/>
      <c r="Q2915" s="9"/>
      <c r="R2915" s="9"/>
      <c r="S2915" s="9"/>
      <c r="T2915" s="9"/>
    </row>
    <row r="2916" ht="15.75" customHeight="1">
      <c r="A2916" s="11">
        <f>IFERROR(__xludf.DUMMYFUNCTION("""COMPUTED_VALUE"""),44471.0)</f>
        <v>44471</v>
      </c>
      <c r="B2916" s="9">
        <f>IFERROR(__xludf.DUMMYFUNCTION("""COMPUTED_VALUE"""),1003706.0)</f>
        <v>1003706</v>
      </c>
      <c r="C2916" s="9">
        <f>IFERROR(__xludf.DUMMYFUNCTION("""COMPUTED_VALUE"""),87909.0)</f>
        <v>87909</v>
      </c>
      <c r="D2916" s="10" t="str">
        <f>IFERROR(__xludf.DUMMYFUNCTION("""COMPUTED_VALUE"""),"DLC courtes")</f>
        <v>DLC courtes</v>
      </c>
      <c r="E2916" s="10"/>
      <c r="F2916" s="9">
        <f>IFERROR(__xludf.DUMMYFUNCTION("""COMPUTED_VALUE"""),3.85)</f>
        <v>3.85</v>
      </c>
      <c r="G2916" s="9">
        <f>IFERROR(__xludf.DUMMYFUNCTION("""COMPUTED_VALUE"""),3.08)</f>
        <v>3.08</v>
      </c>
      <c r="H2916" s="9">
        <f>IFERROR(__xludf.DUMMYFUNCTION("""COMPUTED_VALUE"""),2.0)</f>
        <v>2</v>
      </c>
      <c r="I2916" s="9"/>
      <c r="J2916" s="9"/>
      <c r="K2916" s="9"/>
      <c r="L2916" s="9"/>
      <c r="M2916" s="9"/>
      <c r="N2916" s="9"/>
      <c r="O2916" s="9"/>
      <c r="P2916" s="9"/>
      <c r="Q2916" s="9"/>
      <c r="R2916" s="9"/>
      <c r="S2916" s="9"/>
      <c r="T2916" s="9"/>
    </row>
    <row r="2917" ht="15.75" customHeight="1">
      <c r="A2917" s="11">
        <f>IFERROR(__xludf.DUMMYFUNCTION("""COMPUTED_VALUE"""),44471.0)</f>
        <v>44471</v>
      </c>
      <c r="B2917" s="9">
        <f>IFERROR(__xludf.DUMMYFUNCTION("""COMPUTED_VALUE"""),1003706.0)</f>
        <v>1003706</v>
      </c>
      <c r="C2917" s="9">
        <f>IFERROR(__xludf.DUMMYFUNCTION("""COMPUTED_VALUE"""),113094.0)</f>
        <v>113094</v>
      </c>
      <c r="D2917" s="9"/>
      <c r="E2917" s="9"/>
      <c r="F2917" s="9">
        <f>IFERROR(__xludf.DUMMYFUNCTION("""COMPUTED_VALUE"""),3.48)</f>
        <v>3.48</v>
      </c>
      <c r="G2917" s="9">
        <f>IFERROR(__xludf.DUMMYFUNCTION("""COMPUTED_VALUE"""),3.48)</f>
        <v>3.48</v>
      </c>
      <c r="H2917" s="9">
        <f>IFERROR(__xludf.DUMMYFUNCTION("""COMPUTED_VALUE"""),2.0)</f>
        <v>2</v>
      </c>
      <c r="I2917" s="9"/>
      <c r="J2917" s="9"/>
      <c r="K2917" s="9"/>
      <c r="L2917" s="9"/>
      <c r="M2917" s="9"/>
      <c r="N2917" s="9"/>
      <c r="O2917" s="9"/>
      <c r="P2917" s="9"/>
      <c r="Q2917" s="9"/>
      <c r="R2917" s="9"/>
      <c r="S2917" s="9"/>
      <c r="T2917" s="9"/>
    </row>
    <row r="2918" ht="15.75" customHeight="1">
      <c r="A2918" s="11">
        <f>IFERROR(__xludf.DUMMYFUNCTION("""COMPUTED_VALUE"""),44471.0)</f>
        <v>44471</v>
      </c>
      <c r="B2918" s="9">
        <f>IFERROR(__xludf.DUMMYFUNCTION("""COMPUTED_VALUE"""),1003706.0)</f>
        <v>1003706</v>
      </c>
      <c r="C2918" s="9">
        <f>IFERROR(__xludf.DUMMYFUNCTION("""COMPUTED_VALUE"""),46039.0)</f>
        <v>46039</v>
      </c>
      <c r="D2918" s="9"/>
      <c r="E2918" s="9"/>
      <c r="F2918" s="9">
        <f>IFERROR(__xludf.DUMMYFUNCTION("""COMPUTED_VALUE"""),8.84)</f>
        <v>8.84</v>
      </c>
      <c r="G2918" s="9">
        <f>IFERROR(__xludf.DUMMYFUNCTION("""COMPUTED_VALUE"""),8.84)</f>
        <v>8.84</v>
      </c>
      <c r="H2918" s="9">
        <f>IFERROR(__xludf.DUMMYFUNCTION("""COMPUTED_VALUE"""),3.0)</f>
        <v>3</v>
      </c>
      <c r="I2918" s="9"/>
      <c r="J2918" s="9"/>
      <c r="K2918" s="9"/>
      <c r="L2918" s="9"/>
      <c r="M2918" s="9"/>
      <c r="N2918" s="9"/>
      <c r="O2918" s="9"/>
      <c r="P2918" s="9"/>
      <c r="Q2918" s="9"/>
      <c r="R2918" s="9"/>
      <c r="S2918" s="9"/>
      <c r="T2918" s="9"/>
    </row>
    <row r="2919" ht="15.75" customHeight="1">
      <c r="A2919" s="11">
        <f>IFERROR(__xludf.DUMMYFUNCTION("""COMPUTED_VALUE"""),44471.0)</f>
        <v>44471</v>
      </c>
      <c r="B2919" s="9">
        <f>IFERROR(__xludf.DUMMYFUNCTION("""COMPUTED_VALUE"""),1003706.0)</f>
        <v>1003706</v>
      </c>
      <c r="C2919" s="9">
        <f>IFERROR(__xludf.DUMMYFUNCTION("""COMPUTED_VALUE"""),95652.0)</f>
        <v>95652</v>
      </c>
      <c r="D2919" s="9"/>
      <c r="E2919" s="9"/>
      <c r="F2919" s="9">
        <f>IFERROR(__xludf.DUMMYFUNCTION("""COMPUTED_VALUE"""),9.73)</f>
        <v>9.73</v>
      </c>
      <c r="G2919" s="9">
        <f>IFERROR(__xludf.DUMMYFUNCTION("""COMPUTED_VALUE"""),9.73)</f>
        <v>9.73</v>
      </c>
      <c r="H2919" s="9">
        <f>IFERROR(__xludf.DUMMYFUNCTION("""COMPUTED_VALUE"""),3.0)</f>
        <v>3</v>
      </c>
      <c r="I2919" s="9"/>
      <c r="J2919" s="9"/>
      <c r="K2919" s="9"/>
      <c r="L2919" s="9"/>
      <c r="M2919" s="9"/>
      <c r="N2919" s="9"/>
      <c r="O2919" s="9"/>
      <c r="P2919" s="9"/>
      <c r="Q2919" s="9"/>
      <c r="R2919" s="9"/>
      <c r="S2919" s="9"/>
      <c r="T2919" s="9"/>
    </row>
    <row r="2920" ht="15.75" customHeight="1">
      <c r="A2920" s="11">
        <f>IFERROR(__xludf.DUMMYFUNCTION("""COMPUTED_VALUE"""),44471.0)</f>
        <v>44471</v>
      </c>
      <c r="B2920" s="9">
        <f>IFERROR(__xludf.DUMMYFUNCTION("""COMPUTED_VALUE"""),1003706.0)</f>
        <v>1003706</v>
      </c>
      <c r="C2920" s="9">
        <f>IFERROR(__xludf.DUMMYFUNCTION("""COMPUTED_VALUE"""),8862.0)</f>
        <v>8862</v>
      </c>
      <c r="D2920" s="9"/>
      <c r="E2920" s="9"/>
      <c r="F2920" s="9">
        <f>IFERROR(__xludf.DUMMYFUNCTION("""COMPUTED_VALUE"""),14.52)</f>
        <v>14.52</v>
      </c>
      <c r="G2920" s="9">
        <f>IFERROR(__xludf.DUMMYFUNCTION("""COMPUTED_VALUE"""),14.52)</f>
        <v>14.52</v>
      </c>
      <c r="H2920" s="9">
        <f>IFERROR(__xludf.DUMMYFUNCTION("""COMPUTED_VALUE"""),4.0)</f>
        <v>4</v>
      </c>
      <c r="I2920" s="9"/>
      <c r="J2920" s="9"/>
      <c r="K2920" s="9"/>
      <c r="L2920" s="9"/>
      <c r="M2920" s="9"/>
      <c r="N2920" s="9"/>
      <c r="O2920" s="9"/>
      <c r="P2920" s="9"/>
      <c r="Q2920" s="9"/>
      <c r="R2920" s="9"/>
      <c r="S2920" s="9"/>
      <c r="T2920" s="9"/>
    </row>
    <row r="2921" ht="15.75" customHeight="1">
      <c r="A2921" s="11">
        <f>IFERROR(__xludf.DUMMYFUNCTION("""COMPUTED_VALUE"""),44471.0)</f>
        <v>44471</v>
      </c>
      <c r="B2921" s="9">
        <f>IFERROR(__xludf.DUMMYFUNCTION("""COMPUTED_VALUE"""),1003706.0)</f>
        <v>1003706</v>
      </c>
      <c r="C2921" s="9">
        <f>IFERROR(__xludf.DUMMYFUNCTION("""COMPUTED_VALUE"""),122502.0)</f>
        <v>122502</v>
      </c>
      <c r="D2921" s="9"/>
      <c r="E2921" s="9"/>
      <c r="F2921" s="9">
        <f>IFERROR(__xludf.DUMMYFUNCTION("""COMPUTED_VALUE"""),41.55)</f>
        <v>41.55</v>
      </c>
      <c r="G2921" s="9">
        <f>IFERROR(__xludf.DUMMYFUNCTION("""COMPUTED_VALUE"""),41.55)</f>
        <v>41.55</v>
      </c>
      <c r="H2921" s="9">
        <f>IFERROR(__xludf.DUMMYFUNCTION("""COMPUTED_VALUE"""),4.0)</f>
        <v>4</v>
      </c>
      <c r="I2921" s="9"/>
      <c r="J2921" s="9"/>
      <c r="K2921" s="9"/>
      <c r="L2921" s="9"/>
      <c r="M2921" s="9"/>
      <c r="N2921" s="9"/>
      <c r="O2921" s="9"/>
      <c r="P2921" s="9"/>
      <c r="Q2921" s="9"/>
      <c r="R2921" s="9"/>
      <c r="S2921" s="9"/>
      <c r="T2921" s="9"/>
    </row>
    <row r="2922" ht="15.75" customHeight="1">
      <c r="A2922" s="11">
        <f>IFERROR(__xludf.DUMMYFUNCTION("""COMPUTED_VALUE"""),44471.0)</f>
        <v>44471</v>
      </c>
      <c r="B2922" s="9">
        <f>IFERROR(__xludf.DUMMYFUNCTION("""COMPUTED_VALUE"""),1003706.0)</f>
        <v>1003706</v>
      </c>
      <c r="C2922" s="9">
        <f>IFERROR(__xludf.DUMMYFUNCTION("""COMPUTED_VALUE"""),80045.0)</f>
        <v>80045</v>
      </c>
      <c r="D2922" s="9"/>
      <c r="E2922" s="9"/>
      <c r="F2922" s="9">
        <f>IFERROR(__xludf.DUMMYFUNCTION("""COMPUTED_VALUE"""),11.34)</f>
        <v>11.34</v>
      </c>
      <c r="G2922" s="9">
        <f>IFERROR(__xludf.DUMMYFUNCTION("""COMPUTED_VALUE"""),11.34)</f>
        <v>11.34</v>
      </c>
      <c r="H2922" s="9">
        <f>IFERROR(__xludf.DUMMYFUNCTION("""COMPUTED_VALUE"""),4.0)</f>
        <v>4</v>
      </c>
      <c r="I2922" s="9"/>
      <c r="J2922" s="9"/>
      <c r="K2922" s="9"/>
      <c r="L2922" s="9"/>
      <c r="M2922" s="9"/>
      <c r="N2922" s="9"/>
      <c r="O2922" s="9"/>
      <c r="P2922" s="9"/>
      <c r="Q2922" s="9"/>
      <c r="R2922" s="9"/>
      <c r="S2922" s="9"/>
      <c r="T2922" s="9"/>
    </row>
    <row r="2923" ht="15.75" customHeight="1">
      <c r="A2923" s="11">
        <f>IFERROR(__xludf.DUMMYFUNCTION("""COMPUTED_VALUE"""),44471.0)</f>
        <v>44471</v>
      </c>
      <c r="B2923" s="9">
        <f>IFERROR(__xludf.DUMMYFUNCTION("""COMPUTED_VALUE"""),1003708.0)</f>
        <v>1003708</v>
      </c>
      <c r="C2923" s="9">
        <f>IFERROR(__xludf.DUMMYFUNCTION("""COMPUTED_VALUE"""),11809.0)</f>
        <v>11809</v>
      </c>
      <c r="D2923" s="10" t="str">
        <f>IFERROR(__xludf.DUMMYFUNCTION("""COMPUTED_VALUE"""),"Offre Speciale")</f>
        <v>Offre Speciale</v>
      </c>
      <c r="E2923" s="10"/>
      <c r="F2923" s="9">
        <f>IFERROR(__xludf.DUMMYFUNCTION("""COMPUTED_VALUE"""),4.96202531645569)</f>
        <v>4.962025316</v>
      </c>
      <c r="G2923" s="9">
        <f>IFERROR(__xludf.DUMMYFUNCTION("""COMPUTED_VALUE"""),3.92)</f>
        <v>3.92</v>
      </c>
      <c r="H2923" s="9">
        <f>IFERROR(__xludf.DUMMYFUNCTION("""COMPUTED_VALUE"""),1.0)</f>
        <v>1</v>
      </c>
      <c r="I2923" s="9"/>
      <c r="J2923" s="9"/>
      <c r="K2923" s="9"/>
      <c r="L2923" s="9"/>
      <c r="M2923" s="9"/>
      <c r="N2923" s="9"/>
      <c r="O2923" s="9"/>
      <c r="P2923" s="9"/>
      <c r="Q2923" s="9"/>
      <c r="R2923" s="9"/>
      <c r="S2923" s="9"/>
      <c r="T2923" s="9"/>
    </row>
    <row r="2924" ht="15.75" customHeight="1">
      <c r="A2924" s="11">
        <f>IFERROR(__xludf.DUMMYFUNCTION("""COMPUTED_VALUE"""),44471.0)</f>
        <v>44471</v>
      </c>
      <c r="B2924" s="9">
        <f>IFERROR(__xludf.DUMMYFUNCTION("""COMPUTED_VALUE"""),1003708.0)</f>
        <v>1003708</v>
      </c>
      <c r="C2924" s="9">
        <f>IFERROR(__xludf.DUMMYFUNCTION("""COMPUTED_VALUE"""),87785.0)</f>
        <v>87785</v>
      </c>
      <c r="D2924" s="9"/>
      <c r="E2924" s="9"/>
      <c r="F2924" s="9">
        <f>IFERROR(__xludf.DUMMYFUNCTION("""COMPUTED_VALUE"""),3.47)</f>
        <v>3.47</v>
      </c>
      <c r="G2924" s="9">
        <f>IFERROR(__xludf.DUMMYFUNCTION("""COMPUTED_VALUE"""),3.47)</f>
        <v>3.47</v>
      </c>
      <c r="H2924" s="9">
        <f>IFERROR(__xludf.DUMMYFUNCTION("""COMPUTED_VALUE"""),1.0)</f>
        <v>1</v>
      </c>
      <c r="I2924" s="9"/>
      <c r="J2924" s="9"/>
      <c r="K2924" s="9"/>
      <c r="L2924" s="9"/>
      <c r="M2924" s="9"/>
      <c r="N2924" s="9"/>
      <c r="O2924" s="9"/>
      <c r="P2924" s="9"/>
      <c r="Q2924" s="9"/>
      <c r="R2924" s="9"/>
      <c r="S2924" s="9"/>
      <c r="T2924" s="9"/>
    </row>
    <row r="2925" ht="15.75" customHeight="1">
      <c r="A2925" s="11">
        <f>IFERROR(__xludf.DUMMYFUNCTION("""COMPUTED_VALUE"""),44471.0)</f>
        <v>44471</v>
      </c>
      <c r="B2925" s="9">
        <f>IFERROR(__xludf.DUMMYFUNCTION("""COMPUTED_VALUE"""),1003708.0)</f>
        <v>1003708</v>
      </c>
      <c r="C2925" s="9">
        <f>IFERROR(__xludf.DUMMYFUNCTION("""COMPUTED_VALUE"""),102553.0)</f>
        <v>102553</v>
      </c>
      <c r="D2925" s="9"/>
      <c r="E2925" s="9"/>
      <c r="F2925" s="9">
        <f>IFERROR(__xludf.DUMMYFUNCTION("""COMPUTED_VALUE"""),8.92)</f>
        <v>8.92</v>
      </c>
      <c r="G2925" s="9">
        <f>IFERROR(__xludf.DUMMYFUNCTION("""COMPUTED_VALUE"""),8.92)</f>
        <v>8.92</v>
      </c>
      <c r="H2925" s="9">
        <f>IFERROR(__xludf.DUMMYFUNCTION("""COMPUTED_VALUE"""),1.0)</f>
        <v>1</v>
      </c>
      <c r="I2925" s="9"/>
      <c r="J2925" s="9"/>
      <c r="K2925" s="9"/>
      <c r="L2925" s="9"/>
      <c r="M2925" s="9"/>
      <c r="N2925" s="9"/>
      <c r="O2925" s="9"/>
      <c r="P2925" s="9"/>
      <c r="Q2925" s="9"/>
      <c r="R2925" s="9"/>
      <c r="S2925" s="9"/>
      <c r="T2925" s="9"/>
    </row>
    <row r="2926" ht="15.75" customHeight="1">
      <c r="A2926" s="11">
        <f>IFERROR(__xludf.DUMMYFUNCTION("""COMPUTED_VALUE"""),44471.0)</f>
        <v>44471</v>
      </c>
      <c r="B2926" s="9">
        <f>IFERROR(__xludf.DUMMYFUNCTION("""COMPUTED_VALUE"""),1003708.0)</f>
        <v>1003708</v>
      </c>
      <c r="C2926" s="9">
        <f>IFERROR(__xludf.DUMMYFUNCTION("""COMPUTED_VALUE"""),111924.0)</f>
        <v>111924</v>
      </c>
      <c r="D2926" s="9"/>
      <c r="E2926" s="9"/>
      <c r="F2926" s="9">
        <f>IFERROR(__xludf.DUMMYFUNCTION("""COMPUTED_VALUE"""),8.77)</f>
        <v>8.77</v>
      </c>
      <c r="G2926" s="9">
        <f>IFERROR(__xludf.DUMMYFUNCTION("""COMPUTED_VALUE"""),8.77)</f>
        <v>8.77</v>
      </c>
      <c r="H2926" s="9">
        <f>IFERROR(__xludf.DUMMYFUNCTION("""COMPUTED_VALUE"""),2.0)</f>
        <v>2</v>
      </c>
      <c r="I2926" s="9"/>
      <c r="J2926" s="9"/>
      <c r="K2926" s="9"/>
      <c r="L2926" s="9"/>
      <c r="M2926" s="9"/>
      <c r="N2926" s="9"/>
      <c r="O2926" s="9"/>
      <c r="P2926" s="9"/>
      <c r="Q2926" s="9"/>
      <c r="R2926" s="9"/>
      <c r="S2926" s="9"/>
      <c r="T2926" s="9"/>
    </row>
    <row r="2927" ht="15.75" customHeight="1">
      <c r="A2927" s="11">
        <f>IFERROR(__xludf.DUMMYFUNCTION("""COMPUTED_VALUE"""),44471.0)</f>
        <v>44471</v>
      </c>
      <c r="B2927" s="9">
        <f>IFERROR(__xludf.DUMMYFUNCTION("""COMPUTED_VALUE"""),1003708.0)</f>
        <v>1003708</v>
      </c>
      <c r="C2927" s="9">
        <f>IFERROR(__xludf.DUMMYFUNCTION("""COMPUTED_VALUE"""),69116.0)</f>
        <v>69116</v>
      </c>
      <c r="D2927" s="9"/>
      <c r="E2927" s="9"/>
      <c r="F2927" s="9">
        <f>IFERROR(__xludf.DUMMYFUNCTION("""COMPUTED_VALUE"""),4.92)</f>
        <v>4.92</v>
      </c>
      <c r="G2927" s="9">
        <f>IFERROR(__xludf.DUMMYFUNCTION("""COMPUTED_VALUE"""),4.92)</f>
        <v>4.92</v>
      </c>
      <c r="H2927" s="9">
        <f>IFERROR(__xludf.DUMMYFUNCTION("""COMPUTED_VALUE"""),2.0)</f>
        <v>2</v>
      </c>
      <c r="I2927" s="9"/>
      <c r="J2927" s="9"/>
      <c r="K2927" s="9"/>
      <c r="L2927" s="9"/>
      <c r="M2927" s="9"/>
      <c r="N2927" s="9"/>
      <c r="O2927" s="9"/>
      <c r="P2927" s="9"/>
      <c r="Q2927" s="9"/>
      <c r="R2927" s="9"/>
      <c r="S2927" s="9"/>
      <c r="T2927" s="9"/>
    </row>
    <row r="2928" ht="15.75" customHeight="1">
      <c r="A2928" s="11">
        <f>IFERROR(__xludf.DUMMYFUNCTION("""COMPUTED_VALUE"""),44471.0)</f>
        <v>44471</v>
      </c>
      <c r="B2928" s="9">
        <f>IFERROR(__xludf.DUMMYFUNCTION("""COMPUTED_VALUE"""),1003708.0)</f>
        <v>1003708</v>
      </c>
      <c r="C2928" s="9">
        <f>IFERROR(__xludf.DUMMYFUNCTION("""COMPUTED_VALUE"""),121990.0)</f>
        <v>121990</v>
      </c>
      <c r="D2928" s="9"/>
      <c r="E2928" s="9"/>
      <c r="F2928" s="9">
        <f>IFERROR(__xludf.DUMMYFUNCTION("""COMPUTED_VALUE"""),4.99)</f>
        <v>4.99</v>
      </c>
      <c r="G2928" s="9">
        <f>IFERROR(__xludf.DUMMYFUNCTION("""COMPUTED_VALUE"""),4.99)</f>
        <v>4.99</v>
      </c>
      <c r="H2928" s="9">
        <f>IFERROR(__xludf.DUMMYFUNCTION("""COMPUTED_VALUE"""),2.0)</f>
        <v>2</v>
      </c>
      <c r="I2928" s="9"/>
      <c r="J2928" s="9"/>
      <c r="K2928" s="9"/>
      <c r="L2928" s="9"/>
      <c r="M2928" s="9"/>
      <c r="N2928" s="9"/>
      <c r="O2928" s="9"/>
      <c r="P2928" s="9"/>
      <c r="Q2928" s="9"/>
      <c r="R2928" s="9"/>
      <c r="S2928" s="9"/>
      <c r="T2928" s="9"/>
    </row>
    <row r="2929" ht="15.75" customHeight="1">
      <c r="A2929" s="11">
        <f>IFERROR(__xludf.DUMMYFUNCTION("""COMPUTED_VALUE"""),44471.0)</f>
        <v>44471</v>
      </c>
      <c r="B2929" s="9">
        <f>IFERROR(__xludf.DUMMYFUNCTION("""COMPUTED_VALUE"""),1003708.0)</f>
        <v>1003708</v>
      </c>
      <c r="C2929" s="9">
        <f>IFERROR(__xludf.DUMMYFUNCTION("""COMPUTED_VALUE"""),43945.0)</f>
        <v>43945</v>
      </c>
      <c r="D2929" s="9"/>
      <c r="E2929" s="9"/>
      <c r="F2929" s="9">
        <f>IFERROR(__xludf.DUMMYFUNCTION("""COMPUTED_VALUE"""),49.12)</f>
        <v>49.12</v>
      </c>
      <c r="G2929" s="9">
        <f>IFERROR(__xludf.DUMMYFUNCTION("""COMPUTED_VALUE"""),49.12)</f>
        <v>49.12</v>
      </c>
      <c r="H2929" s="9">
        <f>IFERROR(__xludf.DUMMYFUNCTION("""COMPUTED_VALUE"""),3.0)</f>
        <v>3</v>
      </c>
      <c r="I2929" s="9"/>
      <c r="J2929" s="9"/>
      <c r="K2929" s="9"/>
      <c r="L2929" s="9"/>
      <c r="M2929" s="9"/>
      <c r="N2929" s="9"/>
      <c r="O2929" s="9"/>
      <c r="P2929" s="9"/>
      <c r="Q2929" s="9"/>
      <c r="R2929" s="9"/>
      <c r="S2929" s="9"/>
      <c r="T2929" s="9"/>
    </row>
    <row r="2930" ht="15.75" customHeight="1">
      <c r="A2930" s="11">
        <f>IFERROR(__xludf.DUMMYFUNCTION("""COMPUTED_VALUE"""),44471.0)</f>
        <v>44471</v>
      </c>
      <c r="B2930" s="9">
        <f>IFERROR(__xludf.DUMMYFUNCTION("""COMPUTED_VALUE"""),1003708.0)</f>
        <v>1003708</v>
      </c>
      <c r="C2930" s="9">
        <f>IFERROR(__xludf.DUMMYFUNCTION("""COMPUTED_VALUE"""),77644.0)</f>
        <v>77644</v>
      </c>
      <c r="D2930" s="9"/>
      <c r="E2930" s="9"/>
      <c r="F2930" s="9">
        <f>IFERROR(__xludf.DUMMYFUNCTION("""COMPUTED_VALUE"""),21.03)</f>
        <v>21.03</v>
      </c>
      <c r="G2930" s="9">
        <f>IFERROR(__xludf.DUMMYFUNCTION("""COMPUTED_VALUE"""),21.03)</f>
        <v>21.03</v>
      </c>
      <c r="H2930" s="9">
        <f>IFERROR(__xludf.DUMMYFUNCTION("""COMPUTED_VALUE"""),4.0)</f>
        <v>4</v>
      </c>
      <c r="I2930" s="9"/>
      <c r="J2930" s="9"/>
      <c r="K2930" s="9"/>
      <c r="L2930" s="9"/>
      <c r="M2930" s="9"/>
      <c r="N2930" s="9"/>
      <c r="O2930" s="9"/>
      <c r="P2930" s="9"/>
      <c r="Q2930" s="9"/>
      <c r="R2930" s="9"/>
      <c r="S2930" s="9"/>
      <c r="T2930" s="9"/>
    </row>
    <row r="2931" ht="15.75" customHeight="1">
      <c r="A2931" s="11">
        <f>IFERROR(__xludf.DUMMYFUNCTION("""COMPUTED_VALUE"""),44471.0)</f>
        <v>44471</v>
      </c>
      <c r="B2931" s="9">
        <f>IFERROR(__xludf.DUMMYFUNCTION("""COMPUTED_VALUE"""),1003708.0)</f>
        <v>1003708</v>
      </c>
      <c r="C2931" s="9">
        <f>IFERROR(__xludf.DUMMYFUNCTION("""COMPUTED_VALUE"""),81172.0)</f>
        <v>81172</v>
      </c>
      <c r="D2931" s="9"/>
      <c r="E2931" s="9"/>
      <c r="F2931" s="9">
        <f>IFERROR(__xludf.DUMMYFUNCTION("""COMPUTED_VALUE"""),24.23)</f>
        <v>24.23</v>
      </c>
      <c r="G2931" s="9">
        <f>IFERROR(__xludf.DUMMYFUNCTION("""COMPUTED_VALUE"""),24.23)</f>
        <v>24.23</v>
      </c>
      <c r="H2931" s="9">
        <f>IFERROR(__xludf.DUMMYFUNCTION("""COMPUTED_VALUE"""),12.0)</f>
        <v>12</v>
      </c>
      <c r="I2931" s="9"/>
      <c r="J2931" s="9"/>
      <c r="K2931" s="9"/>
      <c r="L2931" s="9"/>
      <c r="M2931" s="9"/>
      <c r="N2931" s="9"/>
      <c r="O2931" s="9"/>
      <c r="P2931" s="9"/>
      <c r="Q2931" s="9"/>
      <c r="R2931" s="9"/>
      <c r="S2931" s="9"/>
      <c r="T2931" s="9"/>
    </row>
    <row r="2932" ht="15.75" customHeight="1">
      <c r="A2932" s="11">
        <f>IFERROR(__xludf.DUMMYFUNCTION("""COMPUTED_VALUE"""),44471.0)</f>
        <v>44471</v>
      </c>
      <c r="B2932" s="9">
        <f>IFERROR(__xludf.DUMMYFUNCTION("""COMPUTED_VALUE"""),1003709.0)</f>
        <v>1003709</v>
      </c>
      <c r="C2932" s="9">
        <f>IFERROR(__xludf.DUMMYFUNCTION("""COMPUTED_VALUE"""),111017.0)</f>
        <v>111017</v>
      </c>
      <c r="D2932" s="9"/>
      <c r="E2932" s="9"/>
      <c r="F2932" s="9">
        <f>IFERROR(__xludf.DUMMYFUNCTION("""COMPUTED_VALUE"""),6.54)</f>
        <v>6.54</v>
      </c>
      <c r="G2932" s="9">
        <f>IFERROR(__xludf.DUMMYFUNCTION("""COMPUTED_VALUE"""),6.54)</f>
        <v>6.54</v>
      </c>
      <c r="H2932" s="9">
        <f>IFERROR(__xludf.DUMMYFUNCTION("""COMPUTED_VALUE"""),1.0)</f>
        <v>1</v>
      </c>
      <c r="I2932" s="9"/>
      <c r="J2932" s="9"/>
      <c r="K2932" s="9"/>
      <c r="L2932" s="9"/>
      <c r="M2932" s="9"/>
      <c r="N2932" s="9"/>
      <c r="O2932" s="9"/>
      <c r="P2932" s="9"/>
      <c r="Q2932" s="9"/>
      <c r="R2932" s="9"/>
      <c r="S2932" s="9"/>
      <c r="T2932" s="9"/>
    </row>
    <row r="2933" ht="15.75" customHeight="1">
      <c r="A2933" s="11">
        <f>IFERROR(__xludf.DUMMYFUNCTION("""COMPUTED_VALUE"""),44471.0)</f>
        <v>44471</v>
      </c>
      <c r="B2933" s="9">
        <f>IFERROR(__xludf.DUMMYFUNCTION("""COMPUTED_VALUE"""),1003709.0)</f>
        <v>1003709</v>
      </c>
      <c r="C2933" s="9">
        <f>IFERROR(__xludf.DUMMYFUNCTION("""COMPUTED_VALUE"""),15061.0)</f>
        <v>15061</v>
      </c>
      <c r="D2933" s="9"/>
      <c r="E2933" s="9"/>
      <c r="F2933" s="9">
        <f>IFERROR(__xludf.DUMMYFUNCTION("""COMPUTED_VALUE"""),40.54)</f>
        <v>40.54</v>
      </c>
      <c r="G2933" s="9">
        <f>IFERROR(__xludf.DUMMYFUNCTION("""COMPUTED_VALUE"""),40.54)</f>
        <v>40.54</v>
      </c>
      <c r="H2933" s="9">
        <f>IFERROR(__xludf.DUMMYFUNCTION("""COMPUTED_VALUE"""),6.0)</f>
        <v>6</v>
      </c>
      <c r="I2933" s="9"/>
      <c r="J2933" s="9"/>
      <c r="K2933" s="9"/>
      <c r="L2933" s="9"/>
      <c r="M2933" s="9"/>
      <c r="N2933" s="9"/>
      <c r="O2933" s="9"/>
      <c r="P2933" s="9"/>
      <c r="Q2933" s="9"/>
      <c r="R2933" s="9"/>
      <c r="S2933" s="9"/>
      <c r="T2933" s="9"/>
    </row>
    <row r="2934" ht="15.75" customHeight="1">
      <c r="A2934" s="11">
        <f>IFERROR(__xludf.DUMMYFUNCTION("""COMPUTED_VALUE"""),44471.0)</f>
        <v>44471</v>
      </c>
      <c r="B2934" s="9">
        <f>IFERROR(__xludf.DUMMYFUNCTION("""COMPUTED_VALUE"""),1003710.0)</f>
        <v>1003710</v>
      </c>
      <c r="C2934" s="9">
        <f>IFERROR(__xludf.DUMMYFUNCTION("""COMPUTED_VALUE"""),82501.0)</f>
        <v>82501</v>
      </c>
      <c r="D2934" s="10" t="str">
        <f>IFERROR(__xludf.DUMMYFUNCTION("""COMPUTED_VALUE"""),"Vive le bio")</f>
        <v>Vive le bio</v>
      </c>
      <c r="E2934" s="10"/>
      <c r="F2934" s="9">
        <f>IFERROR(__xludf.DUMMYFUNCTION("""COMPUTED_VALUE"""),42.9222222222222)</f>
        <v>42.92222222</v>
      </c>
      <c r="G2934" s="9">
        <f>IFERROR(__xludf.DUMMYFUNCTION("""COMPUTED_VALUE"""),38.63)</f>
        <v>38.63</v>
      </c>
      <c r="H2934" s="9">
        <f>IFERROR(__xludf.DUMMYFUNCTION("""COMPUTED_VALUE"""),2.0)</f>
        <v>2</v>
      </c>
      <c r="I2934" s="9"/>
      <c r="J2934" s="9"/>
      <c r="K2934" s="9"/>
      <c r="L2934" s="9"/>
      <c r="M2934" s="9"/>
      <c r="N2934" s="9"/>
      <c r="O2934" s="9"/>
      <c r="P2934" s="9"/>
      <c r="Q2934" s="9"/>
      <c r="R2934" s="9"/>
      <c r="S2934" s="9"/>
      <c r="T2934" s="9"/>
    </row>
    <row r="2935" ht="15.75" customHeight="1">
      <c r="A2935" s="11">
        <f>IFERROR(__xludf.DUMMYFUNCTION("""COMPUTED_VALUE"""),44471.0)</f>
        <v>44471</v>
      </c>
      <c r="B2935" s="9">
        <f>IFERROR(__xludf.DUMMYFUNCTION("""COMPUTED_VALUE"""),1003711.0)</f>
        <v>1003711</v>
      </c>
      <c r="C2935" s="9">
        <f>IFERROR(__xludf.DUMMYFUNCTION("""COMPUTED_VALUE"""),100811.0)</f>
        <v>100811</v>
      </c>
      <c r="D2935" s="9"/>
      <c r="E2935" s="9"/>
      <c r="F2935" s="9">
        <f>IFERROR(__xludf.DUMMYFUNCTION("""COMPUTED_VALUE"""),9.5)</f>
        <v>9.5</v>
      </c>
      <c r="G2935" s="9">
        <f>IFERROR(__xludf.DUMMYFUNCTION("""COMPUTED_VALUE"""),9.5)</f>
        <v>9.5</v>
      </c>
      <c r="H2935" s="9">
        <f>IFERROR(__xludf.DUMMYFUNCTION("""COMPUTED_VALUE"""),1.0)</f>
        <v>1</v>
      </c>
      <c r="I2935" s="9"/>
      <c r="J2935" s="9"/>
      <c r="K2935" s="9"/>
      <c r="L2935" s="9"/>
      <c r="M2935" s="9"/>
      <c r="N2935" s="9"/>
      <c r="O2935" s="9"/>
      <c r="P2935" s="9"/>
      <c r="Q2935" s="9"/>
      <c r="R2935" s="9"/>
      <c r="S2935" s="9"/>
      <c r="T2935" s="9"/>
    </row>
    <row r="2936" ht="15.75" customHeight="1">
      <c r="A2936" s="11">
        <f>IFERROR(__xludf.DUMMYFUNCTION("""COMPUTED_VALUE"""),44471.0)</f>
        <v>44471</v>
      </c>
      <c r="B2936" s="9">
        <f>IFERROR(__xludf.DUMMYFUNCTION("""COMPUTED_VALUE"""),1003711.0)</f>
        <v>1003711</v>
      </c>
      <c r="C2936" s="9">
        <f>IFERROR(__xludf.DUMMYFUNCTION("""COMPUTED_VALUE"""),122705.0)</f>
        <v>122705</v>
      </c>
      <c r="D2936" s="9"/>
      <c r="E2936" s="9"/>
      <c r="F2936" s="9">
        <f>IFERROR(__xludf.DUMMYFUNCTION("""COMPUTED_VALUE"""),20.5)</f>
        <v>20.5</v>
      </c>
      <c r="G2936" s="9">
        <f>IFERROR(__xludf.DUMMYFUNCTION("""COMPUTED_VALUE"""),20.5)</f>
        <v>20.5</v>
      </c>
      <c r="H2936" s="9">
        <f>IFERROR(__xludf.DUMMYFUNCTION("""COMPUTED_VALUE"""),1.0)</f>
        <v>1</v>
      </c>
      <c r="I2936" s="9"/>
      <c r="J2936" s="9"/>
      <c r="K2936" s="9"/>
      <c r="L2936" s="9"/>
      <c r="M2936" s="9"/>
      <c r="N2936" s="9"/>
      <c r="O2936" s="9"/>
      <c r="P2936" s="9"/>
      <c r="Q2936" s="9"/>
      <c r="R2936" s="9"/>
      <c r="S2936" s="9"/>
      <c r="T2936" s="9"/>
    </row>
    <row r="2937" ht="15.75" customHeight="1">
      <c r="A2937" s="11">
        <f>IFERROR(__xludf.DUMMYFUNCTION("""COMPUTED_VALUE"""),44471.0)</f>
        <v>44471</v>
      </c>
      <c r="B2937" s="9">
        <f>IFERROR(__xludf.DUMMYFUNCTION("""COMPUTED_VALUE"""),1003711.0)</f>
        <v>1003711</v>
      </c>
      <c r="C2937" s="9">
        <f>IFERROR(__xludf.DUMMYFUNCTION("""COMPUTED_VALUE"""),121029.0)</f>
        <v>121029</v>
      </c>
      <c r="D2937" s="9"/>
      <c r="E2937" s="9"/>
      <c r="F2937" s="9">
        <f>IFERROR(__xludf.DUMMYFUNCTION("""COMPUTED_VALUE"""),64.63)</f>
        <v>64.63</v>
      </c>
      <c r="G2937" s="9">
        <f>IFERROR(__xludf.DUMMYFUNCTION("""COMPUTED_VALUE"""),64.63)</f>
        <v>64.63</v>
      </c>
      <c r="H2937" s="9">
        <f>IFERROR(__xludf.DUMMYFUNCTION("""COMPUTED_VALUE"""),1.0)</f>
        <v>1</v>
      </c>
      <c r="I2937" s="9"/>
      <c r="J2937" s="9"/>
      <c r="K2937" s="9"/>
      <c r="L2937" s="9"/>
      <c r="M2937" s="9"/>
      <c r="N2937" s="9"/>
      <c r="O2937" s="9"/>
      <c r="P2937" s="9"/>
      <c r="Q2937" s="9"/>
      <c r="R2937" s="9"/>
      <c r="S2937" s="9"/>
      <c r="T2937" s="9"/>
    </row>
    <row r="2938" ht="15.75" customHeight="1">
      <c r="A2938" s="11">
        <f>IFERROR(__xludf.DUMMYFUNCTION("""COMPUTED_VALUE"""),44471.0)</f>
        <v>44471</v>
      </c>
      <c r="B2938" s="9">
        <f>IFERROR(__xludf.DUMMYFUNCTION("""COMPUTED_VALUE"""),1003711.0)</f>
        <v>1003711</v>
      </c>
      <c r="C2938" s="9">
        <f>IFERROR(__xludf.DUMMYFUNCTION("""COMPUTED_VALUE"""),120559.0)</f>
        <v>120559</v>
      </c>
      <c r="D2938" s="9"/>
      <c r="E2938" s="9"/>
      <c r="F2938" s="9">
        <f>IFERROR(__xludf.DUMMYFUNCTION("""COMPUTED_VALUE"""),12.5)</f>
        <v>12.5</v>
      </c>
      <c r="G2938" s="9">
        <f>IFERROR(__xludf.DUMMYFUNCTION("""COMPUTED_VALUE"""),12.5)</f>
        <v>12.5</v>
      </c>
      <c r="H2938" s="9">
        <f>IFERROR(__xludf.DUMMYFUNCTION("""COMPUTED_VALUE"""),2.0)</f>
        <v>2</v>
      </c>
      <c r="I2938" s="9"/>
      <c r="J2938" s="9"/>
      <c r="K2938" s="9"/>
      <c r="L2938" s="9"/>
      <c r="M2938" s="9"/>
      <c r="N2938" s="9"/>
      <c r="O2938" s="9"/>
      <c r="P2938" s="9"/>
      <c r="Q2938" s="9"/>
      <c r="R2938" s="9"/>
      <c r="S2938" s="9"/>
      <c r="T2938" s="9"/>
    </row>
    <row r="2939" ht="15.75" customHeight="1">
      <c r="A2939" s="11">
        <f>IFERROR(__xludf.DUMMYFUNCTION("""COMPUTED_VALUE"""),44471.0)</f>
        <v>44471</v>
      </c>
      <c r="B2939" s="9">
        <f>IFERROR(__xludf.DUMMYFUNCTION("""COMPUTED_VALUE"""),1003711.0)</f>
        <v>1003711</v>
      </c>
      <c r="C2939" s="9">
        <f>IFERROR(__xludf.DUMMYFUNCTION("""COMPUTED_VALUE"""),45885.0)</f>
        <v>45885</v>
      </c>
      <c r="D2939" s="9"/>
      <c r="E2939" s="9"/>
      <c r="F2939" s="9">
        <f>IFERROR(__xludf.DUMMYFUNCTION("""COMPUTED_VALUE"""),5.77)</f>
        <v>5.77</v>
      </c>
      <c r="G2939" s="9">
        <f>IFERROR(__xludf.DUMMYFUNCTION("""COMPUTED_VALUE"""),5.77)</f>
        <v>5.77</v>
      </c>
      <c r="H2939" s="9">
        <f>IFERROR(__xludf.DUMMYFUNCTION("""COMPUTED_VALUE"""),2.0)</f>
        <v>2</v>
      </c>
      <c r="I2939" s="9"/>
      <c r="J2939" s="9"/>
      <c r="K2939" s="9"/>
      <c r="L2939" s="9"/>
      <c r="M2939" s="9"/>
      <c r="N2939" s="9"/>
      <c r="O2939" s="9"/>
      <c r="P2939" s="9"/>
      <c r="Q2939" s="9"/>
      <c r="R2939" s="9"/>
      <c r="S2939" s="9"/>
      <c r="T2939" s="9"/>
    </row>
    <row r="2940" ht="15.75" customHeight="1">
      <c r="A2940" s="11">
        <f>IFERROR(__xludf.DUMMYFUNCTION("""COMPUTED_VALUE"""),44471.0)</f>
        <v>44471</v>
      </c>
      <c r="B2940" s="9">
        <f>IFERROR(__xludf.DUMMYFUNCTION("""COMPUTED_VALUE"""),1003711.0)</f>
        <v>1003711</v>
      </c>
      <c r="C2940" s="9">
        <f>IFERROR(__xludf.DUMMYFUNCTION("""COMPUTED_VALUE"""),111581.0)</f>
        <v>111581</v>
      </c>
      <c r="D2940" s="9"/>
      <c r="E2940" s="9"/>
      <c r="F2940" s="9">
        <f>IFERROR(__xludf.DUMMYFUNCTION("""COMPUTED_VALUE"""),7.8)</f>
        <v>7.8</v>
      </c>
      <c r="G2940" s="9">
        <f>IFERROR(__xludf.DUMMYFUNCTION("""COMPUTED_VALUE"""),7.8)</f>
        <v>7.8</v>
      </c>
      <c r="H2940" s="9">
        <f>IFERROR(__xludf.DUMMYFUNCTION("""COMPUTED_VALUE"""),3.0)</f>
        <v>3</v>
      </c>
      <c r="I2940" s="9"/>
      <c r="J2940" s="9"/>
      <c r="K2940" s="9"/>
      <c r="L2940" s="9"/>
      <c r="M2940" s="9"/>
      <c r="N2940" s="9"/>
      <c r="O2940" s="9"/>
      <c r="P2940" s="9"/>
      <c r="Q2940" s="9"/>
      <c r="R2940" s="9"/>
      <c r="S2940" s="9"/>
      <c r="T2940" s="9"/>
    </row>
    <row r="2941" ht="15.75" customHeight="1">
      <c r="A2941" s="11">
        <f>IFERROR(__xludf.DUMMYFUNCTION("""COMPUTED_VALUE"""),44471.0)</f>
        <v>44471</v>
      </c>
      <c r="B2941" s="9">
        <f>IFERROR(__xludf.DUMMYFUNCTION("""COMPUTED_VALUE"""),1003711.0)</f>
        <v>1003711</v>
      </c>
      <c r="C2941" s="9">
        <f>IFERROR(__xludf.DUMMYFUNCTION("""COMPUTED_VALUE"""),114904.0)</f>
        <v>114904</v>
      </c>
      <c r="D2941" s="9"/>
      <c r="E2941" s="9"/>
      <c r="F2941" s="9">
        <f>IFERROR(__xludf.DUMMYFUNCTION("""COMPUTED_VALUE"""),14.11)</f>
        <v>14.11</v>
      </c>
      <c r="G2941" s="9">
        <f>IFERROR(__xludf.DUMMYFUNCTION("""COMPUTED_VALUE"""),14.11)</f>
        <v>14.11</v>
      </c>
      <c r="H2941" s="9">
        <f>IFERROR(__xludf.DUMMYFUNCTION("""COMPUTED_VALUE"""),3.0)</f>
        <v>3</v>
      </c>
      <c r="I2941" s="9"/>
      <c r="J2941" s="9"/>
      <c r="K2941" s="9"/>
      <c r="L2941" s="9"/>
      <c r="M2941" s="9"/>
      <c r="N2941" s="9"/>
      <c r="O2941" s="9"/>
      <c r="P2941" s="9"/>
      <c r="Q2941" s="9"/>
      <c r="R2941" s="9"/>
      <c r="S2941" s="9"/>
      <c r="T2941" s="9"/>
    </row>
    <row r="2942" ht="15.75" customHeight="1">
      <c r="A2942" s="11">
        <f>IFERROR(__xludf.DUMMYFUNCTION("""COMPUTED_VALUE"""),44471.0)</f>
        <v>44471</v>
      </c>
      <c r="B2942" s="9">
        <f>IFERROR(__xludf.DUMMYFUNCTION("""COMPUTED_VALUE"""),1003712.0)</f>
        <v>1003712</v>
      </c>
      <c r="C2942" s="9">
        <f>IFERROR(__xludf.DUMMYFUNCTION("""COMPUTED_VALUE"""),46113.0)</f>
        <v>46113</v>
      </c>
      <c r="D2942" s="9"/>
      <c r="E2942" s="9"/>
      <c r="F2942" s="9">
        <f>IFERROR(__xludf.DUMMYFUNCTION("""COMPUTED_VALUE"""),2.0)</f>
        <v>2</v>
      </c>
      <c r="G2942" s="9">
        <f>IFERROR(__xludf.DUMMYFUNCTION("""COMPUTED_VALUE"""),2.0)</f>
        <v>2</v>
      </c>
      <c r="H2942" s="9">
        <f>IFERROR(__xludf.DUMMYFUNCTION("""COMPUTED_VALUE"""),1.0)</f>
        <v>1</v>
      </c>
      <c r="I2942" s="9"/>
      <c r="J2942" s="9"/>
      <c r="K2942" s="9"/>
      <c r="L2942" s="9"/>
      <c r="M2942" s="9"/>
      <c r="N2942" s="9"/>
      <c r="O2942" s="9"/>
      <c r="P2942" s="9"/>
      <c r="Q2942" s="9"/>
      <c r="R2942" s="9"/>
      <c r="S2942" s="9"/>
      <c r="T2942" s="9"/>
    </row>
    <row r="2943" ht="15.75" customHeight="1">
      <c r="A2943" s="11">
        <f>IFERROR(__xludf.DUMMYFUNCTION("""COMPUTED_VALUE"""),44471.0)</f>
        <v>44471</v>
      </c>
      <c r="B2943" s="9">
        <f>IFERROR(__xludf.DUMMYFUNCTION("""COMPUTED_VALUE"""),1003712.0)</f>
        <v>1003712</v>
      </c>
      <c r="C2943" s="9">
        <f>IFERROR(__xludf.DUMMYFUNCTION("""COMPUTED_VALUE"""),95063.0)</f>
        <v>95063</v>
      </c>
      <c r="D2943" s="10" t="str">
        <f>IFERROR(__xludf.DUMMYFUNCTION("""COMPUTED_VALUE"""),"Offre Speciale")</f>
        <v>Offre Speciale</v>
      </c>
      <c r="E2943" s="10"/>
      <c r="F2943" s="9">
        <f>IFERROR(__xludf.DUMMYFUNCTION("""COMPUTED_VALUE"""),3.37647058823529)</f>
        <v>3.376470588</v>
      </c>
      <c r="G2943" s="9">
        <f>IFERROR(__xludf.DUMMYFUNCTION("""COMPUTED_VALUE"""),2.87)</f>
        <v>2.87</v>
      </c>
      <c r="H2943" s="9">
        <f>IFERROR(__xludf.DUMMYFUNCTION("""COMPUTED_VALUE"""),1.0)</f>
        <v>1</v>
      </c>
      <c r="I2943" s="9"/>
      <c r="J2943" s="9"/>
      <c r="K2943" s="9"/>
      <c r="L2943" s="9"/>
      <c r="M2943" s="9"/>
      <c r="N2943" s="9"/>
      <c r="O2943" s="9"/>
      <c r="P2943" s="9"/>
      <c r="Q2943" s="9"/>
      <c r="R2943" s="9"/>
      <c r="S2943" s="9"/>
      <c r="T2943" s="9"/>
    </row>
    <row r="2944" ht="15.75" customHeight="1">
      <c r="A2944" s="11">
        <f>IFERROR(__xludf.DUMMYFUNCTION("""COMPUTED_VALUE"""),44471.0)</f>
        <v>44471</v>
      </c>
      <c r="B2944" s="9">
        <f>IFERROR(__xludf.DUMMYFUNCTION("""COMPUTED_VALUE"""),1003712.0)</f>
        <v>1003712</v>
      </c>
      <c r="C2944" s="9">
        <f>IFERROR(__xludf.DUMMYFUNCTION("""COMPUTED_VALUE"""),43810.0)</f>
        <v>43810</v>
      </c>
      <c r="D2944" s="10" t="str">
        <f>IFERROR(__xludf.DUMMYFUNCTION("""COMPUTED_VALUE"""),"Vive le bio")</f>
        <v>Vive le bio</v>
      </c>
      <c r="E2944" s="10"/>
      <c r="F2944" s="9">
        <f>IFERROR(__xludf.DUMMYFUNCTION("""COMPUTED_VALUE"""),4.92222222222222)</f>
        <v>4.922222222</v>
      </c>
      <c r="G2944" s="9">
        <f>IFERROR(__xludf.DUMMYFUNCTION("""COMPUTED_VALUE"""),4.43)</f>
        <v>4.43</v>
      </c>
      <c r="H2944" s="9">
        <f>IFERROR(__xludf.DUMMYFUNCTION("""COMPUTED_VALUE"""),1.0)</f>
        <v>1</v>
      </c>
      <c r="I2944" s="9"/>
      <c r="J2944" s="9"/>
      <c r="K2944" s="9"/>
      <c r="L2944" s="9"/>
      <c r="M2944" s="9"/>
      <c r="N2944" s="9"/>
      <c r="O2944" s="9"/>
      <c r="P2944" s="9"/>
      <c r="Q2944" s="9"/>
      <c r="R2944" s="9"/>
      <c r="S2944" s="9"/>
      <c r="T2944" s="9"/>
    </row>
    <row r="2945" ht="15.75" customHeight="1">
      <c r="A2945" s="11">
        <f>IFERROR(__xludf.DUMMYFUNCTION("""COMPUTED_VALUE"""),44471.0)</f>
        <v>44471</v>
      </c>
      <c r="B2945" s="9">
        <f>IFERROR(__xludf.DUMMYFUNCTION("""COMPUTED_VALUE"""),1003712.0)</f>
        <v>1003712</v>
      </c>
      <c r="C2945" s="9">
        <f>IFERROR(__xludf.DUMMYFUNCTION("""COMPUTED_VALUE"""),108881.0)</f>
        <v>108881</v>
      </c>
      <c r="D2945" s="10" t="str">
        <f>IFERROR(__xludf.DUMMYFUNCTION("""COMPUTED_VALUE"""),"Offre Speciale")</f>
        <v>Offre Speciale</v>
      </c>
      <c r="E2945" s="10"/>
      <c r="F2945" s="9">
        <f>IFERROR(__xludf.DUMMYFUNCTION("""COMPUTED_VALUE"""),4.01176470588235)</f>
        <v>4.011764706</v>
      </c>
      <c r="G2945" s="9">
        <f>IFERROR(__xludf.DUMMYFUNCTION("""COMPUTED_VALUE"""),3.41)</f>
        <v>3.41</v>
      </c>
      <c r="H2945" s="9">
        <f>IFERROR(__xludf.DUMMYFUNCTION("""COMPUTED_VALUE"""),1.0)</f>
        <v>1</v>
      </c>
      <c r="I2945" s="9"/>
      <c r="J2945" s="9"/>
      <c r="K2945" s="9"/>
      <c r="L2945" s="9"/>
      <c r="M2945" s="9"/>
      <c r="N2945" s="9"/>
      <c r="O2945" s="9"/>
      <c r="P2945" s="9"/>
      <c r="Q2945" s="9"/>
      <c r="R2945" s="9"/>
      <c r="S2945" s="9"/>
      <c r="T2945" s="9"/>
    </row>
    <row r="2946" ht="15.75" customHeight="1">
      <c r="A2946" s="11">
        <f>IFERROR(__xludf.DUMMYFUNCTION("""COMPUTED_VALUE"""),44471.0)</f>
        <v>44471</v>
      </c>
      <c r="B2946" s="9">
        <f>IFERROR(__xludf.DUMMYFUNCTION("""COMPUTED_VALUE"""),1003712.0)</f>
        <v>1003712</v>
      </c>
      <c r="C2946" s="9">
        <f>IFERROR(__xludf.DUMMYFUNCTION("""COMPUTED_VALUE"""),83797.0)</f>
        <v>83797</v>
      </c>
      <c r="D2946" s="9"/>
      <c r="E2946" s="9"/>
      <c r="F2946" s="9">
        <f>IFERROR(__xludf.DUMMYFUNCTION("""COMPUTED_VALUE"""),6.78)</f>
        <v>6.78</v>
      </c>
      <c r="G2946" s="9">
        <f>IFERROR(__xludf.DUMMYFUNCTION("""COMPUTED_VALUE"""),6.78)</f>
        <v>6.78</v>
      </c>
      <c r="H2946" s="9">
        <f>IFERROR(__xludf.DUMMYFUNCTION("""COMPUTED_VALUE"""),1.0)</f>
        <v>1</v>
      </c>
      <c r="I2946" s="9"/>
      <c r="J2946" s="9"/>
      <c r="K2946" s="9"/>
      <c r="L2946" s="9"/>
      <c r="M2946" s="9"/>
      <c r="N2946" s="9"/>
      <c r="O2946" s="9"/>
      <c r="P2946" s="9"/>
      <c r="Q2946" s="9"/>
      <c r="R2946" s="9"/>
      <c r="S2946" s="9"/>
      <c r="T2946" s="9"/>
    </row>
    <row r="2947" ht="15.75" customHeight="1">
      <c r="A2947" s="11">
        <f>IFERROR(__xludf.DUMMYFUNCTION("""COMPUTED_VALUE"""),44471.0)</f>
        <v>44471</v>
      </c>
      <c r="B2947" s="9">
        <f>IFERROR(__xludf.DUMMYFUNCTION("""COMPUTED_VALUE"""),1003712.0)</f>
        <v>1003712</v>
      </c>
      <c r="C2947" s="9">
        <f>IFERROR(__xludf.DUMMYFUNCTION("""COMPUTED_VALUE"""),10571.0)</f>
        <v>10571</v>
      </c>
      <c r="D2947" s="9"/>
      <c r="E2947" s="9"/>
      <c r="F2947" s="9">
        <f>IFERROR(__xludf.DUMMYFUNCTION("""COMPUTED_VALUE"""),7.54)</f>
        <v>7.54</v>
      </c>
      <c r="G2947" s="9">
        <f>IFERROR(__xludf.DUMMYFUNCTION("""COMPUTED_VALUE"""),7.54)</f>
        <v>7.54</v>
      </c>
      <c r="H2947" s="9">
        <f>IFERROR(__xludf.DUMMYFUNCTION("""COMPUTED_VALUE"""),1.0)</f>
        <v>1</v>
      </c>
      <c r="I2947" s="9"/>
      <c r="J2947" s="9"/>
      <c r="K2947" s="9"/>
      <c r="L2947" s="9"/>
      <c r="M2947" s="9"/>
      <c r="N2947" s="9"/>
      <c r="O2947" s="9"/>
      <c r="P2947" s="9"/>
      <c r="Q2947" s="9"/>
      <c r="R2947" s="9"/>
      <c r="S2947" s="9"/>
      <c r="T2947" s="9"/>
    </row>
    <row r="2948" ht="15.75" customHeight="1">
      <c r="A2948" s="11">
        <f>IFERROR(__xludf.DUMMYFUNCTION("""COMPUTED_VALUE"""),44471.0)</f>
        <v>44471</v>
      </c>
      <c r="B2948" s="9">
        <f>IFERROR(__xludf.DUMMYFUNCTION("""COMPUTED_VALUE"""),1003712.0)</f>
        <v>1003712</v>
      </c>
      <c r="C2948" s="9">
        <f>IFERROR(__xludf.DUMMYFUNCTION("""COMPUTED_VALUE"""),71417.0)</f>
        <v>71417</v>
      </c>
      <c r="D2948" s="9"/>
      <c r="E2948" s="9"/>
      <c r="F2948" s="9">
        <f>IFERROR(__xludf.DUMMYFUNCTION("""COMPUTED_VALUE"""),8.6)</f>
        <v>8.6</v>
      </c>
      <c r="G2948" s="9">
        <f>IFERROR(__xludf.DUMMYFUNCTION("""COMPUTED_VALUE"""),8.6)</f>
        <v>8.6</v>
      </c>
      <c r="H2948" s="9">
        <f>IFERROR(__xludf.DUMMYFUNCTION("""COMPUTED_VALUE"""),1.0)</f>
        <v>1</v>
      </c>
      <c r="I2948" s="9"/>
      <c r="J2948" s="9"/>
      <c r="K2948" s="9"/>
      <c r="L2948" s="9"/>
      <c r="M2948" s="9"/>
      <c r="N2948" s="9"/>
      <c r="O2948" s="9"/>
      <c r="P2948" s="9"/>
      <c r="Q2948" s="9"/>
      <c r="R2948" s="9"/>
      <c r="S2948" s="9"/>
      <c r="T2948" s="9"/>
    </row>
    <row r="2949" ht="15.75" customHeight="1">
      <c r="A2949" s="11">
        <f>IFERROR(__xludf.DUMMYFUNCTION("""COMPUTED_VALUE"""),44471.0)</f>
        <v>44471</v>
      </c>
      <c r="B2949" s="9">
        <f>IFERROR(__xludf.DUMMYFUNCTION("""COMPUTED_VALUE"""),1003712.0)</f>
        <v>1003712</v>
      </c>
      <c r="C2949" s="9">
        <f>IFERROR(__xludf.DUMMYFUNCTION("""COMPUTED_VALUE"""),86454.0)</f>
        <v>86454</v>
      </c>
      <c r="D2949" s="9"/>
      <c r="E2949" s="9"/>
      <c r="F2949" s="9">
        <f>IFERROR(__xludf.DUMMYFUNCTION("""COMPUTED_VALUE"""),4.06)</f>
        <v>4.06</v>
      </c>
      <c r="G2949" s="9">
        <f>IFERROR(__xludf.DUMMYFUNCTION("""COMPUTED_VALUE"""),4.06)</f>
        <v>4.06</v>
      </c>
      <c r="H2949" s="9">
        <f>IFERROR(__xludf.DUMMYFUNCTION("""COMPUTED_VALUE"""),1.0)</f>
        <v>1</v>
      </c>
      <c r="I2949" s="9"/>
      <c r="J2949" s="9"/>
      <c r="K2949" s="9"/>
      <c r="L2949" s="9"/>
      <c r="M2949" s="9"/>
      <c r="N2949" s="9"/>
      <c r="O2949" s="9"/>
      <c r="P2949" s="9"/>
      <c r="Q2949" s="9"/>
      <c r="R2949" s="9"/>
      <c r="S2949" s="9"/>
      <c r="T2949" s="9"/>
    </row>
    <row r="2950" ht="15.75" customHeight="1">
      <c r="A2950" s="11">
        <f>IFERROR(__xludf.DUMMYFUNCTION("""COMPUTED_VALUE"""),44471.0)</f>
        <v>44471</v>
      </c>
      <c r="B2950" s="9">
        <f>IFERROR(__xludf.DUMMYFUNCTION("""COMPUTED_VALUE"""),1003712.0)</f>
        <v>1003712</v>
      </c>
      <c r="C2950" s="9">
        <f>IFERROR(__xludf.DUMMYFUNCTION("""COMPUTED_VALUE"""),83420.0)</f>
        <v>83420</v>
      </c>
      <c r="D2950" s="10" t="str">
        <f>IFERROR(__xludf.DUMMYFUNCTION("""COMPUTED_VALUE"""),"Vive le bio")</f>
        <v>Vive le bio</v>
      </c>
      <c r="E2950" s="10"/>
      <c r="F2950" s="9">
        <f>IFERROR(__xludf.DUMMYFUNCTION("""COMPUTED_VALUE"""),1.91111111111111)</f>
        <v>1.911111111</v>
      </c>
      <c r="G2950" s="9">
        <f>IFERROR(__xludf.DUMMYFUNCTION("""COMPUTED_VALUE"""),1.72)</f>
        <v>1.72</v>
      </c>
      <c r="H2950" s="9">
        <f>IFERROR(__xludf.DUMMYFUNCTION("""COMPUTED_VALUE"""),1.0)</f>
        <v>1</v>
      </c>
      <c r="I2950" s="9"/>
      <c r="J2950" s="9"/>
      <c r="K2950" s="9"/>
      <c r="L2950" s="9"/>
      <c r="M2950" s="9"/>
      <c r="N2950" s="9"/>
      <c r="O2950" s="9"/>
      <c r="P2950" s="9"/>
      <c r="Q2950" s="9"/>
      <c r="R2950" s="9"/>
      <c r="S2950" s="9"/>
      <c r="T2950" s="9"/>
    </row>
    <row r="2951" ht="15.75" customHeight="1">
      <c r="A2951" s="11">
        <f>IFERROR(__xludf.DUMMYFUNCTION("""COMPUTED_VALUE"""),44471.0)</f>
        <v>44471</v>
      </c>
      <c r="B2951" s="9">
        <f>IFERROR(__xludf.DUMMYFUNCTION("""COMPUTED_VALUE"""),1003712.0)</f>
        <v>1003712</v>
      </c>
      <c r="C2951" s="9">
        <f>IFERROR(__xludf.DUMMYFUNCTION("""COMPUTED_VALUE"""),68374.0)</f>
        <v>68374</v>
      </c>
      <c r="D2951" s="9"/>
      <c r="E2951" s="9"/>
      <c r="F2951" s="9">
        <f>IFERROR(__xludf.DUMMYFUNCTION("""COMPUTED_VALUE"""),2.16)</f>
        <v>2.16</v>
      </c>
      <c r="G2951" s="9">
        <f>IFERROR(__xludf.DUMMYFUNCTION("""COMPUTED_VALUE"""),2.16)</f>
        <v>2.16</v>
      </c>
      <c r="H2951" s="9">
        <f>IFERROR(__xludf.DUMMYFUNCTION("""COMPUTED_VALUE"""),1.0)</f>
        <v>1</v>
      </c>
      <c r="I2951" s="9"/>
      <c r="J2951" s="9"/>
      <c r="K2951" s="9"/>
      <c r="L2951" s="9"/>
      <c r="M2951" s="9"/>
      <c r="N2951" s="9"/>
      <c r="O2951" s="9"/>
      <c r="P2951" s="9"/>
      <c r="Q2951" s="9"/>
      <c r="R2951" s="9"/>
      <c r="S2951" s="9"/>
      <c r="T2951" s="9"/>
    </row>
    <row r="2952" ht="15.75" customHeight="1">
      <c r="A2952" s="11">
        <f>IFERROR(__xludf.DUMMYFUNCTION("""COMPUTED_VALUE"""),44471.0)</f>
        <v>44471</v>
      </c>
      <c r="B2952" s="9">
        <f>IFERROR(__xludf.DUMMYFUNCTION("""COMPUTED_VALUE"""),1003712.0)</f>
        <v>1003712</v>
      </c>
      <c r="C2952" s="9">
        <f>IFERROR(__xludf.DUMMYFUNCTION("""COMPUTED_VALUE"""),119239.0)</f>
        <v>119239</v>
      </c>
      <c r="D2952" s="9"/>
      <c r="E2952" s="9"/>
      <c r="F2952" s="9">
        <f>IFERROR(__xludf.DUMMYFUNCTION("""COMPUTED_VALUE"""),2.66)</f>
        <v>2.66</v>
      </c>
      <c r="G2952" s="9">
        <f>IFERROR(__xludf.DUMMYFUNCTION("""COMPUTED_VALUE"""),2.66)</f>
        <v>2.66</v>
      </c>
      <c r="H2952" s="9">
        <f>IFERROR(__xludf.DUMMYFUNCTION("""COMPUTED_VALUE"""),1.0)</f>
        <v>1</v>
      </c>
      <c r="I2952" s="9"/>
      <c r="J2952" s="9"/>
      <c r="K2952" s="9"/>
      <c r="L2952" s="9"/>
      <c r="M2952" s="9"/>
      <c r="N2952" s="9"/>
      <c r="O2952" s="9"/>
      <c r="P2952" s="9"/>
      <c r="Q2952" s="9"/>
      <c r="R2952" s="9"/>
      <c r="S2952" s="9"/>
      <c r="T2952" s="9"/>
    </row>
    <row r="2953" ht="15.75" customHeight="1">
      <c r="A2953" s="11">
        <f>IFERROR(__xludf.DUMMYFUNCTION("""COMPUTED_VALUE"""),44471.0)</f>
        <v>44471</v>
      </c>
      <c r="B2953" s="9">
        <f>IFERROR(__xludf.DUMMYFUNCTION("""COMPUTED_VALUE"""),1003712.0)</f>
        <v>1003712</v>
      </c>
      <c r="C2953" s="9">
        <f>IFERROR(__xludf.DUMMYFUNCTION("""COMPUTED_VALUE"""),23540.0)</f>
        <v>23540</v>
      </c>
      <c r="D2953" s="9"/>
      <c r="E2953" s="9"/>
      <c r="F2953" s="9">
        <f>IFERROR(__xludf.DUMMYFUNCTION("""COMPUTED_VALUE"""),2.91)</f>
        <v>2.91</v>
      </c>
      <c r="G2953" s="9">
        <f>IFERROR(__xludf.DUMMYFUNCTION("""COMPUTED_VALUE"""),2.91)</f>
        <v>2.91</v>
      </c>
      <c r="H2953" s="9">
        <f>IFERROR(__xludf.DUMMYFUNCTION("""COMPUTED_VALUE"""),1.0)</f>
        <v>1</v>
      </c>
      <c r="I2953" s="9"/>
      <c r="J2953" s="9"/>
      <c r="K2953" s="9"/>
      <c r="L2953" s="9"/>
      <c r="M2953" s="9"/>
      <c r="N2953" s="9"/>
      <c r="O2953" s="9"/>
      <c r="P2953" s="9"/>
      <c r="Q2953" s="9"/>
      <c r="R2953" s="9"/>
      <c r="S2953" s="9"/>
      <c r="T2953" s="9"/>
    </row>
    <row r="2954" ht="15.75" customHeight="1">
      <c r="A2954" s="11">
        <f>IFERROR(__xludf.DUMMYFUNCTION("""COMPUTED_VALUE"""),44471.0)</f>
        <v>44471</v>
      </c>
      <c r="B2954" s="9">
        <f>IFERROR(__xludf.DUMMYFUNCTION("""COMPUTED_VALUE"""),1003712.0)</f>
        <v>1003712</v>
      </c>
      <c r="C2954" s="9">
        <f>IFERROR(__xludf.DUMMYFUNCTION("""COMPUTED_VALUE"""),80095.0)</f>
        <v>80095</v>
      </c>
      <c r="D2954" s="9"/>
      <c r="E2954" s="9"/>
      <c r="F2954" s="9">
        <f>IFERROR(__xludf.DUMMYFUNCTION("""COMPUTED_VALUE"""),3.29)</f>
        <v>3.29</v>
      </c>
      <c r="G2954" s="9">
        <f>IFERROR(__xludf.DUMMYFUNCTION("""COMPUTED_VALUE"""),3.29)</f>
        <v>3.29</v>
      </c>
      <c r="H2954" s="9">
        <f>IFERROR(__xludf.DUMMYFUNCTION("""COMPUTED_VALUE"""),1.0)</f>
        <v>1</v>
      </c>
      <c r="I2954" s="9"/>
      <c r="J2954" s="9"/>
      <c r="K2954" s="9"/>
      <c r="L2954" s="9"/>
      <c r="M2954" s="9"/>
      <c r="N2954" s="9"/>
      <c r="O2954" s="9"/>
      <c r="P2954" s="9"/>
      <c r="Q2954" s="9"/>
      <c r="R2954" s="9"/>
      <c r="S2954" s="9"/>
      <c r="T2954" s="9"/>
    </row>
    <row r="2955" ht="15.75" customHeight="1">
      <c r="A2955" s="11">
        <f>IFERROR(__xludf.DUMMYFUNCTION("""COMPUTED_VALUE"""),44471.0)</f>
        <v>44471</v>
      </c>
      <c r="B2955" s="9">
        <f>IFERROR(__xludf.DUMMYFUNCTION("""COMPUTED_VALUE"""),1003712.0)</f>
        <v>1003712</v>
      </c>
      <c r="C2955" s="9">
        <f>IFERROR(__xludf.DUMMYFUNCTION("""COMPUTED_VALUE"""),112809.0)</f>
        <v>112809</v>
      </c>
      <c r="D2955" s="9"/>
      <c r="E2955" s="9"/>
      <c r="F2955" s="9">
        <f>IFERROR(__xludf.DUMMYFUNCTION("""COMPUTED_VALUE"""),1.77)</f>
        <v>1.77</v>
      </c>
      <c r="G2955" s="9">
        <f>IFERROR(__xludf.DUMMYFUNCTION("""COMPUTED_VALUE"""),1.77)</f>
        <v>1.77</v>
      </c>
      <c r="H2955" s="9">
        <f>IFERROR(__xludf.DUMMYFUNCTION("""COMPUTED_VALUE"""),1.0)</f>
        <v>1</v>
      </c>
      <c r="I2955" s="9"/>
      <c r="J2955" s="9"/>
      <c r="K2955" s="9"/>
      <c r="L2955" s="9"/>
      <c r="M2955" s="9"/>
      <c r="N2955" s="9"/>
      <c r="O2955" s="9"/>
      <c r="P2955" s="9"/>
      <c r="Q2955" s="9"/>
      <c r="R2955" s="9"/>
      <c r="S2955" s="9"/>
      <c r="T2955" s="9"/>
    </row>
    <row r="2956" ht="15.75" customHeight="1">
      <c r="A2956" s="11">
        <f>IFERROR(__xludf.DUMMYFUNCTION("""COMPUTED_VALUE"""),44471.0)</f>
        <v>44471</v>
      </c>
      <c r="B2956" s="9">
        <f>IFERROR(__xludf.DUMMYFUNCTION("""COMPUTED_VALUE"""),1003712.0)</f>
        <v>1003712</v>
      </c>
      <c r="C2956" s="9">
        <f>IFERROR(__xludf.DUMMYFUNCTION("""COMPUTED_VALUE"""),45917.0)</f>
        <v>45917</v>
      </c>
      <c r="D2956" s="10" t="str">
        <f>IFERROR(__xludf.DUMMYFUNCTION("""COMPUTED_VALUE"""),"Offre speciale")</f>
        <v>Offre speciale</v>
      </c>
      <c r="E2956" s="10"/>
      <c r="F2956" s="9">
        <f>IFERROR(__xludf.DUMMYFUNCTION("""COMPUTED_VALUE"""),2.68235294117647)</f>
        <v>2.682352941</v>
      </c>
      <c r="G2956" s="9">
        <f>IFERROR(__xludf.DUMMYFUNCTION("""COMPUTED_VALUE"""),2.28)</f>
        <v>2.28</v>
      </c>
      <c r="H2956" s="9">
        <f>IFERROR(__xludf.DUMMYFUNCTION("""COMPUTED_VALUE"""),1.0)</f>
        <v>1</v>
      </c>
      <c r="I2956" s="9"/>
      <c r="J2956" s="9"/>
      <c r="K2956" s="9"/>
      <c r="L2956" s="9"/>
      <c r="M2956" s="9"/>
      <c r="N2956" s="9"/>
      <c r="O2956" s="9"/>
      <c r="P2956" s="9"/>
      <c r="Q2956" s="9"/>
      <c r="R2956" s="9"/>
      <c r="S2956" s="9"/>
      <c r="T2956" s="9"/>
    </row>
    <row r="2957" ht="15.75" customHeight="1">
      <c r="A2957" s="11">
        <f>IFERROR(__xludf.DUMMYFUNCTION("""COMPUTED_VALUE"""),44471.0)</f>
        <v>44471</v>
      </c>
      <c r="B2957" s="9">
        <f>IFERROR(__xludf.DUMMYFUNCTION("""COMPUTED_VALUE"""),1003712.0)</f>
        <v>1003712</v>
      </c>
      <c r="C2957" s="9">
        <f>IFERROR(__xludf.DUMMYFUNCTION("""COMPUTED_VALUE"""),26136.0)</f>
        <v>26136</v>
      </c>
      <c r="D2957" s="9"/>
      <c r="E2957" s="9"/>
      <c r="F2957" s="9">
        <f>IFERROR(__xludf.DUMMYFUNCTION("""COMPUTED_VALUE"""),2.56)</f>
        <v>2.56</v>
      </c>
      <c r="G2957" s="9">
        <f>IFERROR(__xludf.DUMMYFUNCTION("""COMPUTED_VALUE"""),2.56)</f>
        <v>2.56</v>
      </c>
      <c r="H2957" s="9">
        <f>IFERROR(__xludf.DUMMYFUNCTION("""COMPUTED_VALUE"""),1.0)</f>
        <v>1</v>
      </c>
      <c r="I2957" s="9"/>
      <c r="J2957" s="9"/>
      <c r="K2957" s="9"/>
      <c r="L2957" s="9"/>
      <c r="M2957" s="9"/>
      <c r="N2957" s="9"/>
      <c r="O2957" s="9"/>
      <c r="P2957" s="9"/>
      <c r="Q2957" s="9"/>
      <c r="R2957" s="9"/>
      <c r="S2957" s="9"/>
      <c r="T2957" s="9"/>
    </row>
    <row r="2958" ht="15.75" customHeight="1">
      <c r="A2958" s="11">
        <f>IFERROR(__xludf.DUMMYFUNCTION("""COMPUTED_VALUE"""),44471.0)</f>
        <v>44471</v>
      </c>
      <c r="B2958" s="9">
        <f>IFERROR(__xludf.DUMMYFUNCTION("""COMPUTED_VALUE"""),1003712.0)</f>
        <v>1003712</v>
      </c>
      <c r="C2958" s="9">
        <f>IFERROR(__xludf.DUMMYFUNCTION("""COMPUTED_VALUE"""),109184.0)</f>
        <v>109184</v>
      </c>
      <c r="D2958" s="9"/>
      <c r="E2958" s="9"/>
      <c r="F2958" s="9">
        <f>IFERROR(__xludf.DUMMYFUNCTION("""COMPUTED_VALUE"""),7.87)</f>
        <v>7.87</v>
      </c>
      <c r="G2958" s="9">
        <f>IFERROR(__xludf.DUMMYFUNCTION("""COMPUTED_VALUE"""),7.87)</f>
        <v>7.87</v>
      </c>
      <c r="H2958" s="9">
        <f>IFERROR(__xludf.DUMMYFUNCTION("""COMPUTED_VALUE"""),1.0)</f>
        <v>1</v>
      </c>
      <c r="I2958" s="9"/>
      <c r="J2958" s="9"/>
      <c r="K2958" s="9"/>
      <c r="L2958" s="9"/>
      <c r="M2958" s="9"/>
      <c r="N2958" s="9"/>
      <c r="O2958" s="9"/>
      <c r="P2958" s="9"/>
      <c r="Q2958" s="9"/>
      <c r="R2958" s="9"/>
      <c r="S2958" s="9"/>
      <c r="T2958" s="9"/>
    </row>
    <row r="2959" ht="15.75" customHeight="1">
      <c r="A2959" s="11">
        <f>IFERROR(__xludf.DUMMYFUNCTION("""COMPUTED_VALUE"""),44471.0)</f>
        <v>44471</v>
      </c>
      <c r="B2959" s="9">
        <f>IFERROR(__xludf.DUMMYFUNCTION("""COMPUTED_VALUE"""),1003712.0)</f>
        <v>1003712</v>
      </c>
      <c r="C2959" s="9">
        <f>IFERROR(__xludf.DUMMYFUNCTION("""COMPUTED_VALUE"""),116181.0)</f>
        <v>116181</v>
      </c>
      <c r="D2959" s="9"/>
      <c r="E2959" s="9"/>
      <c r="F2959" s="9">
        <f>IFERROR(__xludf.DUMMYFUNCTION("""COMPUTED_VALUE"""),1.72)</f>
        <v>1.72</v>
      </c>
      <c r="G2959" s="9">
        <f>IFERROR(__xludf.DUMMYFUNCTION("""COMPUTED_VALUE"""),1.72)</f>
        <v>1.72</v>
      </c>
      <c r="H2959" s="9">
        <f>IFERROR(__xludf.DUMMYFUNCTION("""COMPUTED_VALUE"""),1.0)</f>
        <v>1</v>
      </c>
      <c r="I2959" s="9"/>
      <c r="J2959" s="9"/>
      <c r="K2959" s="9"/>
      <c r="L2959" s="9"/>
      <c r="M2959" s="9"/>
      <c r="N2959" s="9"/>
      <c r="O2959" s="9"/>
      <c r="P2959" s="9"/>
      <c r="Q2959" s="9"/>
      <c r="R2959" s="9"/>
      <c r="S2959" s="9"/>
      <c r="T2959" s="9"/>
    </row>
    <row r="2960" ht="15.75" customHeight="1">
      <c r="A2960" s="11">
        <f>IFERROR(__xludf.DUMMYFUNCTION("""COMPUTED_VALUE"""),44471.0)</f>
        <v>44471</v>
      </c>
      <c r="B2960" s="9">
        <f>IFERROR(__xludf.DUMMYFUNCTION("""COMPUTED_VALUE"""),1003712.0)</f>
        <v>1003712</v>
      </c>
      <c r="C2960" s="9">
        <f>IFERROR(__xludf.DUMMYFUNCTION("""COMPUTED_VALUE"""),951.0)</f>
        <v>951</v>
      </c>
      <c r="D2960" s="9"/>
      <c r="E2960" s="9"/>
      <c r="F2960" s="9">
        <f>IFERROR(__xludf.DUMMYFUNCTION("""COMPUTED_VALUE"""),1.72)</f>
        <v>1.72</v>
      </c>
      <c r="G2960" s="9">
        <f>IFERROR(__xludf.DUMMYFUNCTION("""COMPUTED_VALUE"""),1.72)</f>
        <v>1.72</v>
      </c>
      <c r="H2960" s="9">
        <f>IFERROR(__xludf.DUMMYFUNCTION("""COMPUTED_VALUE"""),1.0)</f>
        <v>1</v>
      </c>
      <c r="I2960" s="9"/>
      <c r="J2960" s="9"/>
      <c r="K2960" s="9"/>
      <c r="L2960" s="9"/>
      <c r="M2960" s="9"/>
      <c r="N2960" s="9"/>
      <c r="O2960" s="9"/>
      <c r="P2960" s="9"/>
      <c r="Q2960" s="9"/>
      <c r="R2960" s="9"/>
      <c r="S2960" s="9"/>
      <c r="T2960" s="9"/>
    </row>
    <row r="2961" ht="15.75" customHeight="1">
      <c r="A2961" s="11">
        <f>IFERROR(__xludf.DUMMYFUNCTION("""COMPUTED_VALUE"""),44471.0)</f>
        <v>44471</v>
      </c>
      <c r="B2961" s="9">
        <f>IFERROR(__xludf.DUMMYFUNCTION("""COMPUTED_VALUE"""),1003712.0)</f>
        <v>1003712</v>
      </c>
      <c r="C2961" s="9">
        <f>IFERROR(__xludf.DUMMYFUNCTION("""COMPUTED_VALUE"""),118885.0)</f>
        <v>118885</v>
      </c>
      <c r="D2961" s="9"/>
      <c r="E2961" s="9"/>
      <c r="F2961" s="9">
        <f>IFERROR(__xludf.DUMMYFUNCTION("""COMPUTED_VALUE"""),2.7)</f>
        <v>2.7</v>
      </c>
      <c r="G2961" s="9">
        <f>IFERROR(__xludf.DUMMYFUNCTION("""COMPUTED_VALUE"""),2.7)</f>
        <v>2.7</v>
      </c>
      <c r="H2961" s="9">
        <f>IFERROR(__xludf.DUMMYFUNCTION("""COMPUTED_VALUE"""),1.0)</f>
        <v>1</v>
      </c>
      <c r="I2961" s="9"/>
      <c r="J2961" s="9"/>
      <c r="K2961" s="9"/>
      <c r="L2961" s="9"/>
      <c r="M2961" s="9"/>
      <c r="N2961" s="9"/>
      <c r="O2961" s="9"/>
      <c r="P2961" s="9"/>
      <c r="Q2961" s="9"/>
      <c r="R2961" s="9"/>
      <c r="S2961" s="9"/>
      <c r="T2961" s="9"/>
    </row>
    <row r="2962" ht="15.75" customHeight="1">
      <c r="A2962" s="11">
        <f>IFERROR(__xludf.DUMMYFUNCTION("""COMPUTED_VALUE"""),44471.0)</f>
        <v>44471</v>
      </c>
      <c r="B2962" s="9">
        <f>IFERROR(__xludf.DUMMYFUNCTION("""COMPUTED_VALUE"""),1003712.0)</f>
        <v>1003712</v>
      </c>
      <c r="C2962" s="9">
        <f>IFERROR(__xludf.DUMMYFUNCTION("""COMPUTED_VALUE"""),10577.0)</f>
        <v>10577</v>
      </c>
      <c r="D2962" s="9"/>
      <c r="E2962" s="9"/>
      <c r="F2962" s="9">
        <f>IFERROR(__xludf.DUMMYFUNCTION("""COMPUTED_VALUE"""),8.57)</f>
        <v>8.57</v>
      </c>
      <c r="G2962" s="9">
        <f>IFERROR(__xludf.DUMMYFUNCTION("""COMPUTED_VALUE"""),8.57)</f>
        <v>8.57</v>
      </c>
      <c r="H2962" s="9">
        <f>IFERROR(__xludf.DUMMYFUNCTION("""COMPUTED_VALUE"""),1.0)</f>
        <v>1</v>
      </c>
      <c r="I2962" s="9"/>
      <c r="J2962" s="9"/>
      <c r="K2962" s="9"/>
      <c r="L2962" s="9"/>
      <c r="M2962" s="9"/>
      <c r="N2962" s="9"/>
      <c r="O2962" s="9"/>
      <c r="P2962" s="9"/>
      <c r="Q2962" s="9"/>
      <c r="R2962" s="9"/>
      <c r="S2962" s="9"/>
      <c r="T2962" s="9"/>
    </row>
    <row r="2963" ht="15.75" customHeight="1">
      <c r="A2963" s="11">
        <f>IFERROR(__xludf.DUMMYFUNCTION("""COMPUTED_VALUE"""),44471.0)</f>
        <v>44471</v>
      </c>
      <c r="B2963" s="9">
        <f>IFERROR(__xludf.DUMMYFUNCTION("""COMPUTED_VALUE"""),1003712.0)</f>
        <v>1003712</v>
      </c>
      <c r="C2963" s="9">
        <f>IFERROR(__xludf.DUMMYFUNCTION("""COMPUTED_VALUE"""),23556.0)</f>
        <v>23556</v>
      </c>
      <c r="D2963" s="9"/>
      <c r="E2963" s="9"/>
      <c r="F2963" s="9">
        <f>IFERROR(__xludf.DUMMYFUNCTION("""COMPUTED_VALUE"""),3.33)</f>
        <v>3.33</v>
      </c>
      <c r="G2963" s="9">
        <f>IFERROR(__xludf.DUMMYFUNCTION("""COMPUTED_VALUE"""),3.33)</f>
        <v>3.33</v>
      </c>
      <c r="H2963" s="9">
        <f>IFERROR(__xludf.DUMMYFUNCTION("""COMPUTED_VALUE"""),1.0)</f>
        <v>1</v>
      </c>
      <c r="I2963" s="9"/>
      <c r="J2963" s="9"/>
      <c r="K2963" s="9"/>
      <c r="L2963" s="9"/>
      <c r="M2963" s="9"/>
      <c r="N2963" s="9"/>
      <c r="O2963" s="9"/>
      <c r="P2963" s="9"/>
      <c r="Q2963" s="9"/>
      <c r="R2963" s="9"/>
      <c r="S2963" s="9"/>
      <c r="T2963" s="9"/>
    </row>
    <row r="2964" ht="15.75" customHeight="1">
      <c r="A2964" s="11">
        <f>IFERROR(__xludf.DUMMYFUNCTION("""COMPUTED_VALUE"""),44471.0)</f>
        <v>44471</v>
      </c>
      <c r="B2964" s="9">
        <f>IFERROR(__xludf.DUMMYFUNCTION("""COMPUTED_VALUE"""),1003712.0)</f>
        <v>1003712</v>
      </c>
      <c r="C2964" s="9">
        <f>IFERROR(__xludf.DUMMYFUNCTION("""COMPUTED_VALUE"""),79299.0)</f>
        <v>79299</v>
      </c>
      <c r="D2964" s="10" t="str">
        <f>IFERROR(__xludf.DUMMYFUNCTION("""COMPUTED_VALUE"""),"Offre speciale")</f>
        <v>Offre speciale</v>
      </c>
      <c r="E2964" s="10"/>
      <c r="F2964" s="9">
        <f>IFERROR(__xludf.DUMMYFUNCTION("""COMPUTED_VALUE"""),3.70588235294117)</f>
        <v>3.705882353</v>
      </c>
      <c r="G2964" s="9">
        <f>IFERROR(__xludf.DUMMYFUNCTION("""COMPUTED_VALUE"""),3.15)</f>
        <v>3.15</v>
      </c>
      <c r="H2964" s="9">
        <f>IFERROR(__xludf.DUMMYFUNCTION("""COMPUTED_VALUE"""),1.0)</f>
        <v>1</v>
      </c>
      <c r="I2964" s="9"/>
      <c r="J2964" s="9"/>
      <c r="K2964" s="9"/>
      <c r="L2964" s="9"/>
      <c r="M2964" s="9"/>
      <c r="N2964" s="9"/>
      <c r="O2964" s="9"/>
      <c r="P2964" s="9"/>
      <c r="Q2964" s="9"/>
      <c r="R2964" s="9"/>
      <c r="S2964" s="9"/>
      <c r="T2964" s="9"/>
    </row>
    <row r="2965" ht="15.75" customHeight="1">
      <c r="A2965" s="11">
        <f>IFERROR(__xludf.DUMMYFUNCTION("""COMPUTED_VALUE"""),44471.0)</f>
        <v>44471</v>
      </c>
      <c r="B2965" s="9">
        <f>IFERROR(__xludf.DUMMYFUNCTION("""COMPUTED_VALUE"""),1003712.0)</f>
        <v>1003712</v>
      </c>
      <c r="C2965" s="9">
        <f>IFERROR(__xludf.DUMMYFUNCTION("""COMPUTED_VALUE"""),95993.0)</f>
        <v>95993</v>
      </c>
      <c r="D2965" s="9"/>
      <c r="E2965" s="9"/>
      <c r="F2965" s="9">
        <f>IFERROR(__xludf.DUMMYFUNCTION("""COMPUTED_VALUE"""),0.99)</f>
        <v>0.99</v>
      </c>
      <c r="G2965" s="9">
        <f>IFERROR(__xludf.DUMMYFUNCTION("""COMPUTED_VALUE"""),0.99)</f>
        <v>0.99</v>
      </c>
      <c r="H2965" s="9">
        <f>IFERROR(__xludf.DUMMYFUNCTION("""COMPUTED_VALUE"""),1.0)</f>
        <v>1</v>
      </c>
      <c r="I2965" s="9"/>
      <c r="J2965" s="9"/>
      <c r="K2965" s="9"/>
      <c r="L2965" s="9"/>
      <c r="M2965" s="9"/>
      <c r="N2965" s="9"/>
      <c r="O2965" s="9"/>
      <c r="P2965" s="9"/>
      <c r="Q2965" s="9"/>
      <c r="R2965" s="9"/>
      <c r="S2965" s="9"/>
      <c r="T2965" s="9"/>
    </row>
    <row r="2966" ht="15.75" customHeight="1">
      <c r="A2966" s="11">
        <f>IFERROR(__xludf.DUMMYFUNCTION("""COMPUTED_VALUE"""),44471.0)</f>
        <v>44471</v>
      </c>
      <c r="B2966" s="9">
        <f>IFERROR(__xludf.DUMMYFUNCTION("""COMPUTED_VALUE"""),1003712.0)</f>
        <v>1003712</v>
      </c>
      <c r="C2966" s="9">
        <f>IFERROR(__xludf.DUMMYFUNCTION("""COMPUTED_VALUE"""),147271.0)</f>
        <v>147271</v>
      </c>
      <c r="D2966" s="9"/>
      <c r="E2966" s="9"/>
      <c r="F2966" s="9">
        <f>IFERROR(__xludf.DUMMYFUNCTION("""COMPUTED_VALUE"""),2.6)</f>
        <v>2.6</v>
      </c>
      <c r="G2966" s="9">
        <f>IFERROR(__xludf.DUMMYFUNCTION("""COMPUTED_VALUE"""),2.6)</f>
        <v>2.6</v>
      </c>
      <c r="H2966" s="9">
        <f>IFERROR(__xludf.DUMMYFUNCTION("""COMPUTED_VALUE"""),1.0)</f>
        <v>1</v>
      </c>
      <c r="I2966" s="9"/>
      <c r="J2966" s="9"/>
      <c r="K2966" s="9"/>
      <c r="L2966" s="9"/>
      <c r="M2966" s="9"/>
      <c r="N2966" s="9"/>
      <c r="O2966" s="9"/>
      <c r="P2966" s="9"/>
      <c r="Q2966" s="9"/>
      <c r="R2966" s="9"/>
      <c r="S2966" s="9"/>
      <c r="T2966" s="9"/>
    </row>
    <row r="2967" ht="15.75" customHeight="1">
      <c r="A2967" s="11">
        <f>IFERROR(__xludf.DUMMYFUNCTION("""COMPUTED_VALUE"""),44471.0)</f>
        <v>44471</v>
      </c>
      <c r="B2967" s="9">
        <f>IFERROR(__xludf.DUMMYFUNCTION("""COMPUTED_VALUE"""),1003712.0)</f>
        <v>1003712</v>
      </c>
      <c r="C2967" s="9">
        <f>IFERROR(__xludf.DUMMYFUNCTION("""COMPUTED_VALUE"""),79298.0)</f>
        <v>79298</v>
      </c>
      <c r="D2967" s="10" t="str">
        <f>IFERROR(__xludf.DUMMYFUNCTION("""COMPUTED_VALUE"""),"Offre speciale")</f>
        <v>Offre speciale</v>
      </c>
      <c r="E2967" s="10"/>
      <c r="F2967" s="9">
        <f>IFERROR(__xludf.DUMMYFUNCTION("""COMPUTED_VALUE"""),3.6)</f>
        <v>3.6</v>
      </c>
      <c r="G2967" s="9">
        <f>IFERROR(__xludf.DUMMYFUNCTION("""COMPUTED_VALUE"""),3.06)</f>
        <v>3.06</v>
      </c>
      <c r="H2967" s="9">
        <f>IFERROR(__xludf.DUMMYFUNCTION("""COMPUTED_VALUE"""),1.0)</f>
        <v>1</v>
      </c>
      <c r="I2967" s="9"/>
      <c r="J2967" s="9"/>
      <c r="K2967" s="9"/>
      <c r="L2967" s="9"/>
      <c r="M2967" s="9"/>
      <c r="N2967" s="9"/>
      <c r="O2967" s="9"/>
      <c r="P2967" s="9"/>
      <c r="Q2967" s="9"/>
      <c r="R2967" s="9"/>
      <c r="S2967" s="9"/>
      <c r="T2967" s="9"/>
    </row>
    <row r="2968" ht="15.75" customHeight="1">
      <c r="A2968" s="11">
        <f>IFERROR(__xludf.DUMMYFUNCTION("""COMPUTED_VALUE"""),44471.0)</f>
        <v>44471</v>
      </c>
      <c r="B2968" s="9">
        <f>IFERROR(__xludf.DUMMYFUNCTION("""COMPUTED_VALUE"""),1003712.0)</f>
        <v>1003712</v>
      </c>
      <c r="C2968" s="9">
        <f>IFERROR(__xludf.DUMMYFUNCTION("""COMPUTED_VALUE"""),69117.0)</f>
        <v>69117</v>
      </c>
      <c r="D2968" s="9"/>
      <c r="E2968" s="9"/>
      <c r="F2968" s="9">
        <f>IFERROR(__xludf.DUMMYFUNCTION("""COMPUTED_VALUE"""),2.49)</f>
        <v>2.49</v>
      </c>
      <c r="G2968" s="9">
        <f>IFERROR(__xludf.DUMMYFUNCTION("""COMPUTED_VALUE"""),2.49)</f>
        <v>2.49</v>
      </c>
      <c r="H2968" s="9">
        <f>IFERROR(__xludf.DUMMYFUNCTION("""COMPUTED_VALUE"""),1.0)</f>
        <v>1</v>
      </c>
      <c r="I2968" s="9"/>
      <c r="J2968" s="9"/>
      <c r="K2968" s="9"/>
      <c r="L2968" s="9"/>
      <c r="M2968" s="9"/>
      <c r="N2968" s="9"/>
      <c r="O2968" s="9"/>
      <c r="P2968" s="9"/>
      <c r="Q2968" s="9"/>
      <c r="R2968" s="9"/>
      <c r="S2968" s="9"/>
      <c r="T2968" s="9"/>
    </row>
    <row r="2969" ht="15.75" customHeight="1">
      <c r="A2969" s="11">
        <f>IFERROR(__xludf.DUMMYFUNCTION("""COMPUTED_VALUE"""),44471.0)</f>
        <v>44471</v>
      </c>
      <c r="B2969" s="9">
        <f>IFERROR(__xludf.DUMMYFUNCTION("""COMPUTED_VALUE"""),1003712.0)</f>
        <v>1003712</v>
      </c>
      <c r="C2969" s="9">
        <f>IFERROR(__xludf.DUMMYFUNCTION("""COMPUTED_VALUE"""),8696.0)</f>
        <v>8696</v>
      </c>
      <c r="D2969" s="9"/>
      <c r="E2969" s="9"/>
      <c r="F2969" s="9">
        <f>IFERROR(__xludf.DUMMYFUNCTION("""COMPUTED_VALUE"""),3.99)</f>
        <v>3.99</v>
      </c>
      <c r="G2969" s="9">
        <f>IFERROR(__xludf.DUMMYFUNCTION("""COMPUTED_VALUE"""),3.99)</f>
        <v>3.99</v>
      </c>
      <c r="H2969" s="9">
        <f>IFERROR(__xludf.DUMMYFUNCTION("""COMPUTED_VALUE"""),1.0)</f>
        <v>1</v>
      </c>
      <c r="I2969" s="9"/>
      <c r="J2969" s="9"/>
      <c r="K2969" s="9"/>
      <c r="L2969" s="9"/>
      <c r="M2969" s="9"/>
      <c r="N2969" s="9"/>
      <c r="O2969" s="9"/>
      <c r="P2969" s="9"/>
      <c r="Q2969" s="9"/>
      <c r="R2969" s="9"/>
      <c r="S2969" s="9"/>
      <c r="T2969" s="9"/>
    </row>
    <row r="2970" ht="15.75" customHeight="1">
      <c r="A2970" s="11">
        <f>IFERROR(__xludf.DUMMYFUNCTION("""COMPUTED_VALUE"""),44471.0)</f>
        <v>44471</v>
      </c>
      <c r="B2970" s="9">
        <f>IFERROR(__xludf.DUMMYFUNCTION("""COMPUTED_VALUE"""),1003712.0)</f>
        <v>1003712</v>
      </c>
      <c r="C2970" s="9">
        <f>IFERROR(__xludf.DUMMYFUNCTION("""COMPUTED_VALUE"""),47393.0)</f>
        <v>47393</v>
      </c>
      <c r="D2970" s="10" t="str">
        <f>IFERROR(__xludf.DUMMYFUNCTION("""COMPUTED_VALUE"""),"Vive le bio")</f>
        <v>Vive le bio</v>
      </c>
      <c r="E2970" s="10"/>
      <c r="F2970" s="9">
        <f>IFERROR(__xludf.DUMMYFUNCTION("""COMPUTED_VALUE"""),4.65555555555555)</f>
        <v>4.655555556</v>
      </c>
      <c r="G2970" s="9">
        <f>IFERROR(__xludf.DUMMYFUNCTION("""COMPUTED_VALUE"""),4.19)</f>
        <v>4.19</v>
      </c>
      <c r="H2970" s="9">
        <f>IFERROR(__xludf.DUMMYFUNCTION("""COMPUTED_VALUE"""),1.0)</f>
        <v>1</v>
      </c>
      <c r="I2970" s="9"/>
      <c r="J2970" s="9"/>
      <c r="K2970" s="9"/>
      <c r="L2970" s="9"/>
      <c r="M2970" s="9"/>
      <c r="N2970" s="9"/>
      <c r="O2970" s="9"/>
      <c r="P2970" s="9"/>
      <c r="Q2970" s="9"/>
      <c r="R2970" s="9"/>
      <c r="S2970" s="9"/>
      <c r="T2970" s="9"/>
    </row>
    <row r="2971" ht="15.75" customHeight="1">
      <c r="A2971" s="11">
        <f>IFERROR(__xludf.DUMMYFUNCTION("""COMPUTED_VALUE"""),44471.0)</f>
        <v>44471</v>
      </c>
      <c r="B2971" s="9">
        <f>IFERROR(__xludf.DUMMYFUNCTION("""COMPUTED_VALUE"""),1003712.0)</f>
        <v>1003712</v>
      </c>
      <c r="C2971" s="9">
        <f>IFERROR(__xludf.DUMMYFUNCTION("""COMPUTED_VALUE"""),11998.0)</f>
        <v>11998</v>
      </c>
      <c r="D2971" s="9"/>
      <c r="E2971" s="9"/>
      <c r="F2971" s="9">
        <f>IFERROR(__xludf.DUMMYFUNCTION("""COMPUTED_VALUE"""),6.24)</f>
        <v>6.24</v>
      </c>
      <c r="G2971" s="9">
        <f>IFERROR(__xludf.DUMMYFUNCTION("""COMPUTED_VALUE"""),6.24)</f>
        <v>6.24</v>
      </c>
      <c r="H2971" s="9">
        <f>IFERROR(__xludf.DUMMYFUNCTION("""COMPUTED_VALUE"""),3.0)</f>
        <v>3</v>
      </c>
      <c r="I2971" s="9"/>
      <c r="J2971" s="9"/>
      <c r="K2971" s="9"/>
      <c r="L2971" s="9"/>
      <c r="M2971" s="9"/>
      <c r="N2971" s="9"/>
      <c r="O2971" s="9"/>
      <c r="P2971" s="9"/>
      <c r="Q2971" s="9"/>
      <c r="R2971" s="9"/>
      <c r="S2971" s="9"/>
      <c r="T2971" s="9"/>
    </row>
    <row r="2972" ht="15.75" customHeight="1">
      <c r="A2972" s="11">
        <f>IFERROR(__xludf.DUMMYFUNCTION("""COMPUTED_VALUE"""),44471.0)</f>
        <v>44471</v>
      </c>
      <c r="B2972" s="9">
        <f>IFERROR(__xludf.DUMMYFUNCTION("""COMPUTED_VALUE"""),1003713.0)</f>
        <v>1003713</v>
      </c>
      <c r="C2972" s="9">
        <f>IFERROR(__xludf.DUMMYFUNCTION("""COMPUTED_VALUE"""),88495.0)</f>
        <v>88495</v>
      </c>
      <c r="D2972" s="9"/>
      <c r="E2972" s="10" t="str">
        <f>IFERROR(__xludf.DUMMYFUNCTION("""COMPUTED_VALUE"""),"GREENRELAIS")</f>
        <v>GREENRELAIS</v>
      </c>
      <c r="F2972" s="10">
        <f>IFERROR(__xludf.DUMMYFUNCTION("""COMPUTED_VALUE"""),12.5)</f>
        <v>12.5</v>
      </c>
      <c r="G2972" s="9">
        <f>IFERROR(__xludf.DUMMYFUNCTION("""COMPUTED_VALUE"""),12.5)</f>
        <v>12.5</v>
      </c>
      <c r="H2972" s="9">
        <f>IFERROR(__xludf.DUMMYFUNCTION("""COMPUTED_VALUE"""),1.0)</f>
        <v>1</v>
      </c>
      <c r="I2972" s="9"/>
      <c r="J2972" s="9"/>
      <c r="K2972" s="9"/>
      <c r="L2972" s="9"/>
      <c r="M2972" s="9"/>
      <c r="N2972" s="9"/>
      <c r="O2972" s="9"/>
      <c r="P2972" s="9"/>
      <c r="Q2972" s="9"/>
      <c r="R2972" s="9"/>
      <c r="S2972" s="9"/>
      <c r="T2972" s="9"/>
    </row>
    <row r="2973" ht="15.75" customHeight="1">
      <c r="A2973" s="11">
        <f>IFERROR(__xludf.DUMMYFUNCTION("""COMPUTED_VALUE"""),44471.0)</f>
        <v>44471</v>
      </c>
      <c r="B2973" s="9">
        <f>IFERROR(__xludf.DUMMYFUNCTION("""COMPUTED_VALUE"""),1003713.0)</f>
        <v>1003713</v>
      </c>
      <c r="C2973" s="9">
        <f>IFERROR(__xludf.DUMMYFUNCTION("""COMPUTED_VALUE"""),128332.0)</f>
        <v>128332</v>
      </c>
      <c r="D2973" s="9"/>
      <c r="E2973" s="10" t="str">
        <f>IFERROR(__xludf.DUMMYFUNCTION("""COMPUTED_VALUE"""),"GREENRELAIS")</f>
        <v>GREENRELAIS</v>
      </c>
      <c r="F2973" s="10">
        <f>IFERROR(__xludf.DUMMYFUNCTION("""COMPUTED_VALUE"""),6.02)</f>
        <v>6.02</v>
      </c>
      <c r="G2973" s="9">
        <f>IFERROR(__xludf.DUMMYFUNCTION("""COMPUTED_VALUE"""),6.02)</f>
        <v>6.02</v>
      </c>
      <c r="H2973" s="9">
        <f>IFERROR(__xludf.DUMMYFUNCTION("""COMPUTED_VALUE"""),1.0)</f>
        <v>1</v>
      </c>
      <c r="I2973" s="9"/>
      <c r="J2973" s="9"/>
      <c r="K2973" s="9"/>
      <c r="L2973" s="9"/>
      <c r="M2973" s="9"/>
      <c r="N2973" s="9"/>
      <c r="O2973" s="9"/>
      <c r="P2973" s="9"/>
      <c r="Q2973" s="9"/>
      <c r="R2973" s="9"/>
      <c r="S2973" s="9"/>
      <c r="T2973" s="9"/>
    </row>
    <row r="2974" ht="15.75" customHeight="1">
      <c r="A2974" s="11">
        <f>IFERROR(__xludf.DUMMYFUNCTION("""COMPUTED_VALUE"""),44471.0)</f>
        <v>44471</v>
      </c>
      <c r="B2974" s="9">
        <f>IFERROR(__xludf.DUMMYFUNCTION("""COMPUTED_VALUE"""),1003713.0)</f>
        <v>1003713</v>
      </c>
      <c r="C2974" s="9">
        <f>IFERROR(__xludf.DUMMYFUNCTION("""COMPUTED_VALUE"""),9667.0)</f>
        <v>9667</v>
      </c>
      <c r="D2974" s="9"/>
      <c r="E2974" s="10" t="str">
        <f>IFERROR(__xludf.DUMMYFUNCTION("""COMPUTED_VALUE"""),"GREENRELAIS")</f>
        <v>GREENRELAIS</v>
      </c>
      <c r="F2974" s="10">
        <f>IFERROR(__xludf.DUMMYFUNCTION("""COMPUTED_VALUE"""),6.55)</f>
        <v>6.55</v>
      </c>
      <c r="G2974" s="9">
        <f>IFERROR(__xludf.DUMMYFUNCTION("""COMPUTED_VALUE"""),6.55)</f>
        <v>6.55</v>
      </c>
      <c r="H2974" s="9">
        <f>IFERROR(__xludf.DUMMYFUNCTION("""COMPUTED_VALUE"""),1.0)</f>
        <v>1</v>
      </c>
      <c r="I2974" s="9"/>
      <c r="J2974" s="9"/>
      <c r="K2974" s="9"/>
      <c r="L2974" s="9"/>
      <c r="M2974" s="9"/>
      <c r="N2974" s="9"/>
      <c r="O2974" s="9"/>
      <c r="P2974" s="9"/>
      <c r="Q2974" s="9"/>
      <c r="R2974" s="9"/>
      <c r="S2974" s="9"/>
      <c r="T2974" s="9"/>
    </row>
    <row r="2975" ht="15.75" customHeight="1">
      <c r="A2975" s="11">
        <f>IFERROR(__xludf.DUMMYFUNCTION("""COMPUTED_VALUE"""),44471.0)</f>
        <v>44471</v>
      </c>
      <c r="B2975" s="9">
        <f>IFERROR(__xludf.DUMMYFUNCTION("""COMPUTED_VALUE"""),1003713.0)</f>
        <v>1003713</v>
      </c>
      <c r="C2975" s="9">
        <f>IFERROR(__xludf.DUMMYFUNCTION("""COMPUTED_VALUE"""),46474.0)</f>
        <v>46474</v>
      </c>
      <c r="D2975" s="9"/>
      <c r="E2975" s="10" t="str">
        <f>IFERROR(__xludf.DUMMYFUNCTION("""COMPUTED_VALUE"""),"GREENRELAIS")</f>
        <v>GREENRELAIS</v>
      </c>
      <c r="F2975" s="10">
        <f>IFERROR(__xludf.DUMMYFUNCTION("""COMPUTED_VALUE"""),7.55)</f>
        <v>7.55</v>
      </c>
      <c r="G2975" s="9">
        <f>IFERROR(__xludf.DUMMYFUNCTION("""COMPUTED_VALUE"""),7.55)</f>
        <v>7.55</v>
      </c>
      <c r="H2975" s="9">
        <f>IFERROR(__xludf.DUMMYFUNCTION("""COMPUTED_VALUE"""),1.0)</f>
        <v>1</v>
      </c>
      <c r="I2975" s="9"/>
      <c r="J2975" s="9"/>
      <c r="K2975" s="9"/>
      <c r="L2975" s="9"/>
      <c r="M2975" s="9"/>
      <c r="N2975" s="9"/>
      <c r="O2975" s="9"/>
      <c r="P2975" s="9"/>
      <c r="Q2975" s="9"/>
      <c r="R2975" s="9"/>
      <c r="S2975" s="9"/>
      <c r="T2975" s="9"/>
    </row>
    <row r="2976" ht="15.75" customHeight="1">
      <c r="A2976" s="11">
        <f>IFERROR(__xludf.DUMMYFUNCTION("""COMPUTED_VALUE"""),44471.0)</f>
        <v>44471</v>
      </c>
      <c r="B2976" s="9">
        <f>IFERROR(__xludf.DUMMYFUNCTION("""COMPUTED_VALUE"""),1003713.0)</f>
        <v>1003713</v>
      </c>
      <c r="C2976" s="9">
        <f>IFERROR(__xludf.DUMMYFUNCTION("""COMPUTED_VALUE"""),110132.0)</f>
        <v>110132</v>
      </c>
      <c r="D2976" s="9"/>
      <c r="E2976" s="10" t="str">
        <f>IFERROR(__xludf.DUMMYFUNCTION("""COMPUTED_VALUE"""),"GREENRELAIS")</f>
        <v>GREENRELAIS</v>
      </c>
      <c r="F2976" s="10">
        <f>IFERROR(__xludf.DUMMYFUNCTION("""COMPUTED_VALUE"""),8.41)</f>
        <v>8.41</v>
      </c>
      <c r="G2976" s="9">
        <f>IFERROR(__xludf.DUMMYFUNCTION("""COMPUTED_VALUE"""),8.41)</f>
        <v>8.41</v>
      </c>
      <c r="H2976" s="9">
        <f>IFERROR(__xludf.DUMMYFUNCTION("""COMPUTED_VALUE"""),1.0)</f>
        <v>1</v>
      </c>
      <c r="I2976" s="9"/>
      <c r="J2976" s="9"/>
      <c r="K2976" s="9"/>
      <c r="L2976" s="9"/>
      <c r="M2976" s="9"/>
      <c r="N2976" s="9"/>
      <c r="O2976" s="9"/>
      <c r="P2976" s="9"/>
      <c r="Q2976" s="9"/>
      <c r="R2976" s="9"/>
      <c r="S2976" s="9"/>
      <c r="T2976" s="9"/>
    </row>
    <row r="2977" ht="15.75" customHeight="1">
      <c r="A2977" s="11">
        <f>IFERROR(__xludf.DUMMYFUNCTION("""COMPUTED_VALUE"""),44471.0)</f>
        <v>44471</v>
      </c>
      <c r="B2977" s="9">
        <f>IFERROR(__xludf.DUMMYFUNCTION("""COMPUTED_VALUE"""),1003713.0)</f>
        <v>1003713</v>
      </c>
      <c r="C2977" s="9">
        <f>IFERROR(__xludf.DUMMYFUNCTION("""COMPUTED_VALUE"""),104791.0)</f>
        <v>104791</v>
      </c>
      <c r="D2977" s="9"/>
      <c r="E2977" s="10" t="str">
        <f>IFERROR(__xludf.DUMMYFUNCTION("""COMPUTED_VALUE"""),"GREENRELAIS")</f>
        <v>GREENRELAIS</v>
      </c>
      <c r="F2977" s="10">
        <f>IFERROR(__xludf.DUMMYFUNCTION("""COMPUTED_VALUE"""),2.42)</f>
        <v>2.42</v>
      </c>
      <c r="G2977" s="9">
        <f>IFERROR(__xludf.DUMMYFUNCTION("""COMPUTED_VALUE"""),2.42)</f>
        <v>2.42</v>
      </c>
      <c r="H2977" s="9">
        <f>IFERROR(__xludf.DUMMYFUNCTION("""COMPUTED_VALUE"""),1.0)</f>
        <v>1</v>
      </c>
      <c r="I2977" s="9"/>
      <c r="J2977" s="9"/>
      <c r="K2977" s="9"/>
      <c r="L2977" s="9"/>
      <c r="M2977" s="9"/>
      <c r="N2977" s="9"/>
      <c r="O2977" s="9"/>
      <c r="P2977" s="9"/>
      <c r="Q2977" s="9"/>
      <c r="R2977" s="9"/>
      <c r="S2977" s="9"/>
      <c r="T2977" s="9"/>
    </row>
    <row r="2978" ht="15.75" customHeight="1">
      <c r="A2978" s="11">
        <f>IFERROR(__xludf.DUMMYFUNCTION("""COMPUTED_VALUE"""),44471.0)</f>
        <v>44471</v>
      </c>
      <c r="B2978" s="9">
        <f>IFERROR(__xludf.DUMMYFUNCTION("""COMPUTED_VALUE"""),1003713.0)</f>
        <v>1003713</v>
      </c>
      <c r="C2978" s="9">
        <f>IFERROR(__xludf.DUMMYFUNCTION("""COMPUTED_VALUE"""),82149.0)</f>
        <v>82149</v>
      </c>
      <c r="D2978" s="10" t="str">
        <f>IFERROR(__xludf.DUMMYFUNCTION("""COMPUTED_VALUE"""),"Offre speciale")</f>
        <v>Offre speciale</v>
      </c>
      <c r="E2978" s="10" t="str">
        <f>IFERROR(__xludf.DUMMYFUNCTION("""COMPUTED_VALUE"""),"GREENRELAIS")</f>
        <v>GREENRELAIS</v>
      </c>
      <c r="F2978" s="10">
        <f>IFERROR(__xludf.DUMMYFUNCTION("""COMPUTED_VALUE"""),35.5777777777777)</f>
        <v>35.57777778</v>
      </c>
      <c r="G2978" s="9">
        <f>IFERROR(__xludf.DUMMYFUNCTION("""COMPUTED_VALUE"""),32.02)</f>
        <v>32.02</v>
      </c>
      <c r="H2978" s="9">
        <f>IFERROR(__xludf.DUMMYFUNCTION("""COMPUTED_VALUE"""),2.0)</f>
        <v>2</v>
      </c>
      <c r="I2978" s="9"/>
      <c r="J2978" s="9"/>
      <c r="K2978" s="9"/>
      <c r="L2978" s="9"/>
      <c r="M2978" s="9"/>
      <c r="N2978" s="9"/>
      <c r="O2978" s="9"/>
      <c r="P2978" s="9"/>
      <c r="Q2978" s="9"/>
      <c r="R2978" s="9"/>
      <c r="S2978" s="9"/>
      <c r="T2978" s="9"/>
    </row>
    <row r="2979" ht="15.75" customHeight="1">
      <c r="A2979" s="11">
        <f>IFERROR(__xludf.DUMMYFUNCTION("""COMPUTED_VALUE"""),44471.0)</f>
        <v>44471</v>
      </c>
      <c r="B2979" s="9">
        <f>IFERROR(__xludf.DUMMYFUNCTION("""COMPUTED_VALUE"""),1003714.0)</f>
        <v>1003714</v>
      </c>
      <c r="C2979" s="9">
        <f>IFERROR(__xludf.DUMMYFUNCTION("""COMPUTED_VALUE"""),110337.0)</f>
        <v>110337</v>
      </c>
      <c r="D2979" s="10" t="str">
        <f>IFERROR(__xludf.DUMMYFUNCTION("""COMPUTED_VALUE"""),"Love &amp; Green Couches et Culottes sept 2021")</f>
        <v>Love &amp; Green Couches et Culottes sept 2021</v>
      </c>
      <c r="E2979" s="10"/>
      <c r="F2979" s="9">
        <f>IFERROR(__xludf.DUMMYFUNCTION("""COMPUTED_VALUE"""),10.4571428571428)</f>
        <v>10.45714286</v>
      </c>
      <c r="G2979" s="9">
        <f>IFERROR(__xludf.DUMMYFUNCTION("""COMPUTED_VALUE"""),7.32)</f>
        <v>7.32</v>
      </c>
      <c r="H2979" s="9">
        <f>IFERROR(__xludf.DUMMYFUNCTION("""COMPUTED_VALUE"""),1.0)</f>
        <v>1</v>
      </c>
      <c r="I2979" s="9"/>
      <c r="J2979" s="9"/>
      <c r="K2979" s="9"/>
      <c r="L2979" s="9"/>
      <c r="M2979" s="9"/>
      <c r="N2979" s="9"/>
      <c r="O2979" s="9"/>
      <c r="P2979" s="9"/>
      <c r="Q2979" s="9"/>
      <c r="R2979" s="9"/>
      <c r="S2979" s="9"/>
      <c r="T2979" s="9"/>
    </row>
    <row r="2980" ht="15.75" customHeight="1">
      <c r="A2980" s="11">
        <f>IFERROR(__xludf.DUMMYFUNCTION("""COMPUTED_VALUE"""),44471.0)</f>
        <v>44471</v>
      </c>
      <c r="B2980" s="9">
        <f>IFERROR(__xludf.DUMMYFUNCTION("""COMPUTED_VALUE"""),1003714.0)</f>
        <v>1003714</v>
      </c>
      <c r="C2980" s="9">
        <f>IFERROR(__xludf.DUMMYFUNCTION("""COMPUTED_VALUE"""),110334.0)</f>
        <v>110334</v>
      </c>
      <c r="D2980" s="10" t="str">
        <f>IFERROR(__xludf.DUMMYFUNCTION("""COMPUTED_VALUE"""),"Love &amp; Green Couches et Culottes sept 2021")</f>
        <v>Love &amp; Green Couches et Culottes sept 2021</v>
      </c>
      <c r="E2980" s="10"/>
      <c r="F2980" s="9">
        <f>IFERROR(__xludf.DUMMYFUNCTION("""COMPUTED_VALUE"""),10.4571428571428)</f>
        <v>10.45714286</v>
      </c>
      <c r="G2980" s="9">
        <f>IFERROR(__xludf.DUMMYFUNCTION("""COMPUTED_VALUE"""),7.32)</f>
        <v>7.32</v>
      </c>
      <c r="H2980" s="9">
        <f>IFERROR(__xludf.DUMMYFUNCTION("""COMPUTED_VALUE"""),1.0)</f>
        <v>1</v>
      </c>
      <c r="I2980" s="9"/>
      <c r="J2980" s="9"/>
      <c r="K2980" s="9"/>
      <c r="L2980" s="9"/>
      <c r="M2980" s="9"/>
      <c r="N2980" s="9"/>
      <c r="O2980" s="9"/>
      <c r="P2980" s="9"/>
      <c r="Q2980" s="9"/>
      <c r="R2980" s="9"/>
      <c r="S2980" s="9"/>
      <c r="T2980" s="9"/>
    </row>
    <row r="2981" ht="15.75" customHeight="1">
      <c r="A2981" s="11">
        <f>IFERROR(__xludf.DUMMYFUNCTION("""COMPUTED_VALUE"""),44471.0)</f>
        <v>44471</v>
      </c>
      <c r="B2981" s="9">
        <f>IFERROR(__xludf.DUMMYFUNCTION("""COMPUTED_VALUE"""),1003714.0)</f>
        <v>1003714</v>
      </c>
      <c r="C2981" s="9">
        <f>IFERROR(__xludf.DUMMYFUNCTION("""COMPUTED_VALUE"""),103590.0)</f>
        <v>103590</v>
      </c>
      <c r="D2981" s="10" t="str">
        <f>IFERROR(__xludf.DUMMYFUNCTION("""COMPUTED_VALUE"""),"Love &amp; Green Couches et Culottes sept 2021")</f>
        <v>Love &amp; Green Couches et Culottes sept 2021</v>
      </c>
      <c r="E2981" s="10"/>
      <c r="F2981" s="9">
        <f>IFERROR(__xludf.DUMMYFUNCTION("""COMPUTED_VALUE"""),62.0285714285714)</f>
        <v>62.02857143</v>
      </c>
      <c r="G2981" s="9">
        <f>IFERROR(__xludf.DUMMYFUNCTION("""COMPUTED_VALUE"""),43.42)</f>
        <v>43.42</v>
      </c>
      <c r="H2981" s="9">
        <f>IFERROR(__xludf.DUMMYFUNCTION("""COMPUTED_VALUE"""),4.0)</f>
        <v>4</v>
      </c>
      <c r="I2981" s="9"/>
      <c r="J2981" s="9"/>
      <c r="K2981" s="9"/>
      <c r="L2981" s="9"/>
      <c r="M2981" s="9"/>
      <c r="N2981" s="9"/>
      <c r="O2981" s="9"/>
      <c r="P2981" s="9"/>
      <c r="Q2981" s="9"/>
      <c r="R2981" s="9"/>
      <c r="S2981" s="9"/>
      <c r="T2981" s="9"/>
    </row>
    <row r="2982" ht="15.75" customHeight="1">
      <c r="A2982" s="11">
        <f>IFERROR(__xludf.DUMMYFUNCTION("""COMPUTED_VALUE"""),44471.0)</f>
        <v>44471</v>
      </c>
      <c r="B2982" s="9">
        <f>IFERROR(__xludf.DUMMYFUNCTION("""COMPUTED_VALUE"""),1003715.0)</f>
        <v>1003715</v>
      </c>
      <c r="C2982" s="9">
        <f>IFERROR(__xludf.DUMMYFUNCTION("""COMPUTED_VALUE"""),109309.0)</f>
        <v>109309</v>
      </c>
      <c r="D2982" s="9"/>
      <c r="E2982" s="9"/>
      <c r="F2982" s="9">
        <f>IFERROR(__xludf.DUMMYFUNCTION("""COMPUTED_VALUE"""),8.27)</f>
        <v>8.27</v>
      </c>
      <c r="G2982" s="9">
        <f>IFERROR(__xludf.DUMMYFUNCTION("""COMPUTED_VALUE"""),8.27)</f>
        <v>8.27</v>
      </c>
      <c r="H2982" s="9">
        <f>IFERROR(__xludf.DUMMYFUNCTION("""COMPUTED_VALUE"""),1.0)</f>
        <v>1</v>
      </c>
      <c r="I2982" s="9"/>
      <c r="J2982" s="9"/>
      <c r="K2982" s="9"/>
      <c r="L2982" s="9"/>
      <c r="M2982" s="9"/>
      <c r="N2982" s="9"/>
      <c r="O2982" s="9"/>
      <c r="P2982" s="9"/>
      <c r="Q2982" s="9"/>
      <c r="R2982" s="9"/>
      <c r="S2982" s="9"/>
      <c r="T2982" s="9"/>
    </row>
    <row r="2983" ht="15.75" customHeight="1">
      <c r="A2983" s="11">
        <f>IFERROR(__xludf.DUMMYFUNCTION("""COMPUTED_VALUE"""),44471.0)</f>
        <v>44471</v>
      </c>
      <c r="B2983" s="9">
        <f>IFERROR(__xludf.DUMMYFUNCTION("""COMPUTED_VALUE"""),1003715.0)</f>
        <v>1003715</v>
      </c>
      <c r="C2983" s="9">
        <f>IFERROR(__xludf.DUMMYFUNCTION("""COMPUTED_VALUE"""),24061.0)</f>
        <v>24061</v>
      </c>
      <c r="D2983" s="9"/>
      <c r="E2983" s="9"/>
      <c r="F2983" s="9">
        <f>IFERROR(__xludf.DUMMYFUNCTION("""COMPUTED_VALUE"""),15.33)</f>
        <v>15.33</v>
      </c>
      <c r="G2983" s="9">
        <f>IFERROR(__xludf.DUMMYFUNCTION("""COMPUTED_VALUE"""),15.33)</f>
        <v>15.33</v>
      </c>
      <c r="H2983" s="9">
        <f>IFERROR(__xludf.DUMMYFUNCTION("""COMPUTED_VALUE"""),1.0)</f>
        <v>1</v>
      </c>
      <c r="I2983" s="9"/>
      <c r="J2983" s="9"/>
      <c r="K2983" s="9"/>
      <c r="L2983" s="9"/>
      <c r="M2983" s="9"/>
      <c r="N2983" s="9"/>
      <c r="O2983" s="9"/>
      <c r="P2983" s="9"/>
      <c r="Q2983" s="9"/>
      <c r="R2983" s="9"/>
      <c r="S2983" s="9"/>
      <c r="T2983" s="9"/>
    </row>
    <row r="2984" ht="15.75" customHeight="1">
      <c r="A2984" s="11">
        <f>IFERROR(__xludf.DUMMYFUNCTION("""COMPUTED_VALUE"""),44471.0)</f>
        <v>44471</v>
      </c>
      <c r="B2984" s="9">
        <f>IFERROR(__xludf.DUMMYFUNCTION("""COMPUTED_VALUE"""),1003715.0)</f>
        <v>1003715</v>
      </c>
      <c r="C2984" s="9">
        <f>IFERROR(__xludf.DUMMYFUNCTION("""COMPUTED_VALUE"""),24076.0)</f>
        <v>24076</v>
      </c>
      <c r="D2984" s="9"/>
      <c r="E2984" s="9"/>
      <c r="F2984" s="9">
        <f>IFERROR(__xludf.DUMMYFUNCTION("""COMPUTED_VALUE"""),6.41)</f>
        <v>6.41</v>
      </c>
      <c r="G2984" s="9">
        <f>IFERROR(__xludf.DUMMYFUNCTION("""COMPUTED_VALUE"""),6.41)</f>
        <v>6.41</v>
      </c>
      <c r="H2984" s="9">
        <f>IFERROR(__xludf.DUMMYFUNCTION("""COMPUTED_VALUE"""),1.0)</f>
        <v>1</v>
      </c>
      <c r="I2984" s="9"/>
      <c r="J2984" s="9"/>
      <c r="K2984" s="9"/>
      <c r="L2984" s="9"/>
      <c r="M2984" s="9"/>
      <c r="N2984" s="9"/>
      <c r="O2984" s="9"/>
      <c r="P2984" s="9"/>
      <c r="Q2984" s="9"/>
      <c r="R2984" s="9"/>
      <c r="S2984" s="9"/>
      <c r="T2984" s="9"/>
    </row>
    <row r="2985" ht="15.75" customHeight="1">
      <c r="A2985" s="11">
        <f>IFERROR(__xludf.DUMMYFUNCTION("""COMPUTED_VALUE"""),44471.0)</f>
        <v>44471</v>
      </c>
      <c r="B2985" s="9">
        <f>IFERROR(__xludf.DUMMYFUNCTION("""COMPUTED_VALUE"""),1003715.0)</f>
        <v>1003715</v>
      </c>
      <c r="C2985" s="9">
        <f>IFERROR(__xludf.DUMMYFUNCTION("""COMPUTED_VALUE"""),10565.0)</f>
        <v>10565</v>
      </c>
      <c r="D2985" s="9"/>
      <c r="E2985" s="9"/>
      <c r="F2985" s="9">
        <f>IFERROR(__xludf.DUMMYFUNCTION("""COMPUTED_VALUE"""),7.93)</f>
        <v>7.93</v>
      </c>
      <c r="G2985" s="9">
        <f>IFERROR(__xludf.DUMMYFUNCTION("""COMPUTED_VALUE"""),7.93)</f>
        <v>7.93</v>
      </c>
      <c r="H2985" s="9">
        <f>IFERROR(__xludf.DUMMYFUNCTION("""COMPUTED_VALUE"""),1.0)</f>
        <v>1</v>
      </c>
      <c r="I2985" s="9"/>
      <c r="J2985" s="9"/>
      <c r="K2985" s="9"/>
      <c r="L2985" s="9"/>
      <c r="M2985" s="9"/>
      <c r="N2985" s="9"/>
      <c r="O2985" s="9"/>
      <c r="P2985" s="9"/>
      <c r="Q2985" s="9"/>
      <c r="R2985" s="9"/>
      <c r="S2985" s="9"/>
      <c r="T2985" s="9"/>
    </row>
    <row r="2986" ht="15.75" customHeight="1">
      <c r="A2986" s="11">
        <f>IFERROR(__xludf.DUMMYFUNCTION("""COMPUTED_VALUE"""),44471.0)</f>
        <v>44471</v>
      </c>
      <c r="B2986" s="9">
        <f>IFERROR(__xludf.DUMMYFUNCTION("""COMPUTED_VALUE"""),1003717.0)</f>
        <v>1003717</v>
      </c>
      <c r="C2986" s="9">
        <f>IFERROR(__xludf.DUMMYFUNCTION("""COMPUTED_VALUE"""),71729.0)</f>
        <v>71729</v>
      </c>
      <c r="D2986" s="9"/>
      <c r="E2986" s="10" t="str">
        <f>IFERROR(__xludf.DUMMYFUNCTION("""COMPUTED_VALUE"""),"GREENTIDOO")</f>
        <v>GREENTIDOO</v>
      </c>
      <c r="F2986" s="10">
        <f>IFERROR(__xludf.DUMMYFUNCTION("""COMPUTED_VALUE"""),2.14)</f>
        <v>2.14</v>
      </c>
      <c r="G2986" s="9">
        <f>IFERROR(__xludf.DUMMYFUNCTION("""COMPUTED_VALUE"""),2.14)</f>
        <v>2.14</v>
      </c>
      <c r="H2986" s="9">
        <f>IFERROR(__xludf.DUMMYFUNCTION("""COMPUTED_VALUE"""),1.0)</f>
        <v>1</v>
      </c>
      <c r="I2986" s="9"/>
      <c r="J2986" s="9"/>
      <c r="K2986" s="9"/>
      <c r="L2986" s="9"/>
      <c r="M2986" s="9"/>
      <c r="N2986" s="9"/>
      <c r="O2986" s="9"/>
      <c r="P2986" s="9"/>
      <c r="Q2986" s="9"/>
      <c r="R2986" s="9"/>
      <c r="S2986" s="9"/>
      <c r="T2986" s="9"/>
    </row>
    <row r="2987" ht="15.75" customHeight="1">
      <c r="A2987" s="11">
        <f>IFERROR(__xludf.DUMMYFUNCTION("""COMPUTED_VALUE"""),44471.0)</f>
        <v>44471</v>
      </c>
      <c r="B2987" s="9">
        <f>IFERROR(__xludf.DUMMYFUNCTION("""COMPUTED_VALUE"""),1003717.0)</f>
        <v>1003717</v>
      </c>
      <c r="C2987" s="9">
        <f>IFERROR(__xludf.DUMMYFUNCTION("""COMPUTED_VALUE"""),80696.0)</f>
        <v>80696</v>
      </c>
      <c r="D2987" s="9"/>
      <c r="E2987" s="10" t="str">
        <f>IFERROR(__xludf.DUMMYFUNCTION("""COMPUTED_VALUE"""),"GREENTIDOO")</f>
        <v>GREENTIDOO</v>
      </c>
      <c r="F2987" s="10">
        <f>IFERROR(__xludf.DUMMYFUNCTION("""COMPUTED_VALUE"""),12.08)</f>
        <v>12.08</v>
      </c>
      <c r="G2987" s="9">
        <f>IFERROR(__xludf.DUMMYFUNCTION("""COMPUTED_VALUE"""),12.08)</f>
        <v>12.08</v>
      </c>
      <c r="H2987" s="9">
        <f>IFERROR(__xludf.DUMMYFUNCTION("""COMPUTED_VALUE"""),1.0)</f>
        <v>1</v>
      </c>
      <c r="I2987" s="9"/>
      <c r="J2987" s="9"/>
      <c r="K2987" s="9"/>
      <c r="L2987" s="9"/>
      <c r="M2987" s="9"/>
      <c r="N2987" s="9"/>
      <c r="O2987" s="9"/>
      <c r="P2987" s="9"/>
      <c r="Q2987" s="9"/>
      <c r="R2987" s="9"/>
      <c r="S2987" s="9"/>
      <c r="T2987" s="9"/>
    </row>
    <row r="2988" ht="15.75" customHeight="1">
      <c r="A2988" s="11">
        <f>IFERROR(__xludf.DUMMYFUNCTION("""COMPUTED_VALUE"""),44471.0)</f>
        <v>44471</v>
      </c>
      <c r="B2988" s="9">
        <f>IFERROR(__xludf.DUMMYFUNCTION("""COMPUTED_VALUE"""),1003717.0)</f>
        <v>1003717</v>
      </c>
      <c r="C2988" s="9">
        <f>IFERROR(__xludf.DUMMYFUNCTION("""COMPUTED_VALUE"""),111946.0)</f>
        <v>111946</v>
      </c>
      <c r="D2988" s="9"/>
      <c r="E2988" s="10" t="str">
        <f>IFERROR(__xludf.DUMMYFUNCTION("""COMPUTED_VALUE"""),"GREENTIDOO")</f>
        <v>GREENTIDOO</v>
      </c>
      <c r="F2988" s="10">
        <f>IFERROR(__xludf.DUMMYFUNCTION("""COMPUTED_VALUE"""),3.48)</f>
        <v>3.48</v>
      </c>
      <c r="G2988" s="9">
        <f>IFERROR(__xludf.DUMMYFUNCTION("""COMPUTED_VALUE"""),3.48)</f>
        <v>3.48</v>
      </c>
      <c r="H2988" s="9">
        <f>IFERROR(__xludf.DUMMYFUNCTION("""COMPUTED_VALUE"""),1.0)</f>
        <v>1</v>
      </c>
      <c r="I2988" s="9"/>
      <c r="J2988" s="9"/>
      <c r="K2988" s="9"/>
      <c r="L2988" s="9"/>
      <c r="M2988" s="9"/>
      <c r="N2988" s="9"/>
      <c r="O2988" s="9"/>
      <c r="P2988" s="9"/>
      <c r="Q2988" s="9"/>
      <c r="R2988" s="9"/>
      <c r="S2988" s="9"/>
      <c r="T2988" s="9"/>
    </row>
    <row r="2989" ht="15.75" customHeight="1">
      <c r="A2989" s="11">
        <f>IFERROR(__xludf.DUMMYFUNCTION("""COMPUTED_VALUE"""),44471.0)</f>
        <v>44471</v>
      </c>
      <c r="B2989" s="9">
        <f>IFERROR(__xludf.DUMMYFUNCTION("""COMPUTED_VALUE"""),1003717.0)</f>
        <v>1003717</v>
      </c>
      <c r="C2989" s="9">
        <f>IFERROR(__xludf.DUMMYFUNCTION("""COMPUTED_VALUE"""),102304.0)</f>
        <v>102304</v>
      </c>
      <c r="D2989" s="9"/>
      <c r="E2989" s="10" t="str">
        <f>IFERROR(__xludf.DUMMYFUNCTION("""COMPUTED_VALUE"""),"GREENTIDOO")</f>
        <v>GREENTIDOO</v>
      </c>
      <c r="F2989" s="10">
        <f>IFERROR(__xludf.DUMMYFUNCTION("""COMPUTED_VALUE"""),17.32)</f>
        <v>17.32</v>
      </c>
      <c r="G2989" s="9">
        <f>IFERROR(__xludf.DUMMYFUNCTION("""COMPUTED_VALUE"""),17.32)</f>
        <v>17.32</v>
      </c>
      <c r="H2989" s="9">
        <f>IFERROR(__xludf.DUMMYFUNCTION("""COMPUTED_VALUE"""),2.0)</f>
        <v>2</v>
      </c>
      <c r="I2989" s="9"/>
      <c r="J2989" s="9"/>
      <c r="K2989" s="9"/>
      <c r="L2989" s="9"/>
      <c r="M2989" s="9"/>
      <c r="N2989" s="9"/>
      <c r="O2989" s="9"/>
      <c r="P2989" s="9"/>
      <c r="Q2989" s="9"/>
      <c r="R2989" s="9"/>
      <c r="S2989" s="9"/>
      <c r="T2989" s="9"/>
    </row>
    <row r="2990" ht="15.75" customHeight="1">
      <c r="A2990" s="11">
        <f>IFERROR(__xludf.DUMMYFUNCTION("""COMPUTED_VALUE"""),44471.0)</f>
        <v>44471</v>
      </c>
      <c r="B2990" s="9">
        <f>IFERROR(__xludf.DUMMYFUNCTION("""COMPUTED_VALUE"""),1003717.0)</f>
        <v>1003717</v>
      </c>
      <c r="C2990" s="9">
        <f>IFERROR(__xludf.DUMMYFUNCTION("""COMPUTED_VALUE"""),102551.0)</f>
        <v>102551</v>
      </c>
      <c r="D2990" s="9"/>
      <c r="E2990" s="10" t="str">
        <f>IFERROR(__xludf.DUMMYFUNCTION("""COMPUTED_VALUE"""),"GREENTIDOO")</f>
        <v>GREENTIDOO</v>
      </c>
      <c r="F2990" s="10">
        <f>IFERROR(__xludf.DUMMYFUNCTION("""COMPUTED_VALUE"""),35.31)</f>
        <v>35.31</v>
      </c>
      <c r="G2990" s="9">
        <f>IFERROR(__xludf.DUMMYFUNCTION("""COMPUTED_VALUE"""),35.31)</f>
        <v>35.31</v>
      </c>
      <c r="H2990" s="9">
        <f>IFERROR(__xludf.DUMMYFUNCTION("""COMPUTED_VALUE"""),4.0)</f>
        <v>4</v>
      </c>
      <c r="I2990" s="9"/>
      <c r="J2990" s="9"/>
      <c r="K2990" s="9"/>
      <c r="L2990" s="9"/>
      <c r="M2990" s="9"/>
      <c r="N2990" s="9"/>
      <c r="O2990" s="9"/>
      <c r="P2990" s="9"/>
      <c r="Q2990" s="9"/>
      <c r="R2990" s="9"/>
      <c r="S2990" s="9"/>
      <c r="T2990" s="9"/>
    </row>
    <row r="2991" ht="15.75" customHeight="1">
      <c r="A2991" s="11">
        <f>IFERROR(__xludf.DUMMYFUNCTION("""COMPUTED_VALUE"""),44471.0)</f>
        <v>44471</v>
      </c>
      <c r="B2991" s="9">
        <f>IFERROR(__xludf.DUMMYFUNCTION("""COMPUTED_VALUE"""),1003718.0)</f>
        <v>1003718</v>
      </c>
      <c r="C2991" s="9">
        <f>IFERROR(__xludf.DUMMYFUNCTION("""COMPUTED_VALUE"""),109625.0)</f>
        <v>109625</v>
      </c>
      <c r="D2991" s="9"/>
      <c r="E2991" s="10" t="str">
        <f>IFERROR(__xludf.DUMMYFUNCTION("""COMPUTED_VALUE"""),"PREMIERE")</f>
        <v>PREMIERE</v>
      </c>
      <c r="F2991" s="10">
        <f>IFERROR(__xludf.DUMMYFUNCTION("""COMPUTED_VALUE"""),24.03)</f>
        <v>24.03</v>
      </c>
      <c r="G2991" s="9">
        <f>IFERROR(__xludf.DUMMYFUNCTION("""COMPUTED_VALUE"""),24.03)</f>
        <v>24.03</v>
      </c>
      <c r="H2991" s="9">
        <f>IFERROR(__xludf.DUMMYFUNCTION("""COMPUTED_VALUE"""),1.0)</f>
        <v>1</v>
      </c>
      <c r="I2991" s="9"/>
      <c r="J2991" s="9"/>
      <c r="K2991" s="9"/>
      <c r="L2991" s="9"/>
      <c r="M2991" s="9"/>
      <c r="N2991" s="9"/>
      <c r="O2991" s="9"/>
      <c r="P2991" s="9"/>
      <c r="Q2991" s="9"/>
      <c r="R2991" s="9"/>
      <c r="S2991" s="9"/>
      <c r="T2991" s="9"/>
    </row>
    <row r="2992" ht="15.75" customHeight="1">
      <c r="A2992" s="11">
        <f>IFERROR(__xludf.DUMMYFUNCTION("""COMPUTED_VALUE"""),44471.0)</f>
        <v>44471</v>
      </c>
      <c r="B2992" s="9">
        <f>IFERROR(__xludf.DUMMYFUNCTION("""COMPUTED_VALUE"""),1003718.0)</f>
        <v>1003718</v>
      </c>
      <c r="C2992" s="9">
        <f>IFERROR(__xludf.DUMMYFUNCTION("""COMPUTED_VALUE"""),121285.0)</f>
        <v>121285</v>
      </c>
      <c r="D2992" s="10" t="str">
        <f>IFERROR(__xludf.DUMMYFUNCTION("""COMPUTED_VALUE"""),"Vive le bio")</f>
        <v>Vive le bio</v>
      </c>
      <c r="E2992" s="10" t="str">
        <f>IFERROR(__xludf.DUMMYFUNCTION("""COMPUTED_VALUE"""),"PREMIERE")</f>
        <v>PREMIERE</v>
      </c>
      <c r="F2992" s="10">
        <f>IFERROR(__xludf.DUMMYFUNCTION("""COMPUTED_VALUE"""),27.7111111111111)</f>
        <v>27.71111111</v>
      </c>
      <c r="G2992" s="9">
        <f>IFERROR(__xludf.DUMMYFUNCTION("""COMPUTED_VALUE"""),24.94)</f>
        <v>24.94</v>
      </c>
      <c r="H2992" s="9">
        <f>IFERROR(__xludf.DUMMYFUNCTION("""COMPUTED_VALUE"""),1.0)</f>
        <v>1</v>
      </c>
      <c r="I2992" s="9"/>
      <c r="J2992" s="9"/>
      <c r="K2992" s="9"/>
      <c r="L2992" s="9"/>
      <c r="M2992" s="9"/>
      <c r="N2992" s="9"/>
      <c r="O2992" s="9"/>
      <c r="P2992" s="9"/>
      <c r="Q2992" s="9"/>
      <c r="R2992" s="9"/>
      <c r="S2992" s="9"/>
      <c r="T2992" s="9"/>
    </row>
    <row r="2993" ht="15.75" customHeight="1">
      <c r="A2993" s="11">
        <f>IFERROR(__xludf.DUMMYFUNCTION("""COMPUTED_VALUE"""),44471.0)</f>
        <v>44471</v>
      </c>
      <c r="B2993" s="9">
        <f>IFERROR(__xludf.DUMMYFUNCTION("""COMPUTED_VALUE"""),1003718.0)</f>
        <v>1003718</v>
      </c>
      <c r="C2993" s="9">
        <f>IFERROR(__xludf.DUMMYFUNCTION("""COMPUTED_VALUE"""),111052.0)</f>
        <v>111052</v>
      </c>
      <c r="D2993" s="10" t="str">
        <f>IFERROR(__xludf.DUMMYFUNCTION("""COMPUTED_VALUE"""),"Vive le bio")</f>
        <v>Vive le bio</v>
      </c>
      <c r="E2993" s="10" t="str">
        <f>IFERROR(__xludf.DUMMYFUNCTION("""COMPUTED_VALUE"""),"PREMIERE")</f>
        <v>PREMIERE</v>
      </c>
      <c r="F2993" s="10">
        <f>IFERROR(__xludf.DUMMYFUNCTION("""COMPUTED_VALUE"""),27.0222222222222)</f>
        <v>27.02222222</v>
      </c>
      <c r="G2993" s="9">
        <f>IFERROR(__xludf.DUMMYFUNCTION("""COMPUTED_VALUE"""),24.32)</f>
        <v>24.32</v>
      </c>
      <c r="H2993" s="9">
        <f>IFERROR(__xludf.DUMMYFUNCTION("""COMPUTED_VALUE"""),2.0)</f>
        <v>2</v>
      </c>
      <c r="I2993" s="9"/>
      <c r="J2993" s="9"/>
      <c r="K2993" s="9"/>
      <c r="L2993" s="9"/>
      <c r="M2993" s="9"/>
      <c r="N2993" s="9"/>
      <c r="O2993" s="9"/>
      <c r="P2993" s="9"/>
      <c r="Q2993" s="9"/>
      <c r="R2993" s="9"/>
      <c r="S2993" s="9"/>
      <c r="T2993" s="9"/>
    </row>
    <row r="2994" ht="15.75" customHeight="1">
      <c r="A2994" s="11">
        <f>IFERROR(__xludf.DUMMYFUNCTION("""COMPUTED_VALUE"""),44471.0)</f>
        <v>44471</v>
      </c>
      <c r="B2994" s="9">
        <f>IFERROR(__xludf.DUMMYFUNCTION("""COMPUTED_VALUE"""),1003718.0)</f>
        <v>1003718</v>
      </c>
      <c r="C2994" s="9">
        <f>IFERROR(__xludf.DUMMYFUNCTION("""COMPUTED_VALUE"""),111053.0)</f>
        <v>111053</v>
      </c>
      <c r="D2994" s="10" t="str">
        <f>IFERROR(__xludf.DUMMYFUNCTION("""COMPUTED_VALUE"""),"Vive le bio")</f>
        <v>Vive le bio</v>
      </c>
      <c r="E2994" s="10" t="str">
        <f>IFERROR(__xludf.DUMMYFUNCTION("""COMPUTED_VALUE"""),"PREMIERE")</f>
        <v>PREMIERE</v>
      </c>
      <c r="F2994" s="10">
        <f>IFERROR(__xludf.DUMMYFUNCTION("""COMPUTED_VALUE"""),27.0222222222222)</f>
        <v>27.02222222</v>
      </c>
      <c r="G2994" s="9">
        <f>IFERROR(__xludf.DUMMYFUNCTION("""COMPUTED_VALUE"""),24.32)</f>
        <v>24.32</v>
      </c>
      <c r="H2994" s="9">
        <f>IFERROR(__xludf.DUMMYFUNCTION("""COMPUTED_VALUE"""),2.0)</f>
        <v>2</v>
      </c>
      <c r="I2994" s="9"/>
      <c r="J2994" s="9"/>
      <c r="K2994" s="9"/>
      <c r="L2994" s="9"/>
      <c r="M2994" s="9"/>
      <c r="N2994" s="9"/>
      <c r="O2994" s="9"/>
      <c r="P2994" s="9"/>
      <c r="Q2994" s="9"/>
      <c r="R2994" s="9"/>
      <c r="S2994" s="9"/>
      <c r="T2994" s="9"/>
    </row>
    <row r="2995" ht="15.75" customHeight="1">
      <c r="A2995" s="11">
        <f>IFERROR(__xludf.DUMMYFUNCTION("""COMPUTED_VALUE"""),44471.0)</f>
        <v>44471</v>
      </c>
      <c r="B2995" s="9">
        <f>IFERROR(__xludf.DUMMYFUNCTION("""COMPUTED_VALUE"""),1003718.0)</f>
        <v>1003718</v>
      </c>
      <c r="C2995" s="9">
        <f>IFERROR(__xludf.DUMMYFUNCTION("""COMPUTED_VALUE"""),86501.0)</f>
        <v>86501</v>
      </c>
      <c r="D2995" s="9"/>
      <c r="E2995" s="10" t="str">
        <f>IFERROR(__xludf.DUMMYFUNCTION("""COMPUTED_VALUE"""),"PREMIERE")</f>
        <v>PREMIERE</v>
      </c>
      <c r="F2995" s="10">
        <f>IFERROR(__xludf.DUMMYFUNCTION("""COMPUTED_VALUE"""),25.1)</f>
        <v>25.1</v>
      </c>
      <c r="G2995" s="9">
        <f>IFERROR(__xludf.DUMMYFUNCTION("""COMPUTED_VALUE"""),25.1)</f>
        <v>25.1</v>
      </c>
      <c r="H2995" s="9">
        <f>IFERROR(__xludf.DUMMYFUNCTION("""COMPUTED_VALUE"""),2.0)</f>
        <v>2</v>
      </c>
      <c r="I2995" s="9"/>
      <c r="J2995" s="9"/>
      <c r="K2995" s="9"/>
      <c r="L2995" s="9"/>
      <c r="M2995" s="9"/>
      <c r="N2995" s="9"/>
      <c r="O2995" s="9"/>
      <c r="P2995" s="9"/>
      <c r="Q2995" s="9"/>
      <c r="R2995" s="9"/>
      <c r="S2995" s="9"/>
      <c r="T2995" s="9"/>
    </row>
    <row r="2996" ht="15.75" customHeight="1">
      <c r="A2996" s="11">
        <f>IFERROR(__xludf.DUMMYFUNCTION("""COMPUTED_VALUE"""),44471.0)</f>
        <v>44471</v>
      </c>
      <c r="B2996" s="9">
        <f>IFERROR(__xludf.DUMMYFUNCTION("""COMPUTED_VALUE"""),1003719.0)</f>
        <v>1003719</v>
      </c>
      <c r="C2996" s="9">
        <f>IFERROR(__xludf.DUMMYFUNCTION("""COMPUTED_VALUE"""),87304.0)</f>
        <v>87304</v>
      </c>
      <c r="D2996" s="10" t="str">
        <f>IFERROR(__xludf.DUMMYFUNCTION("""COMPUTED_VALUE"""),"Vive le bio")</f>
        <v>Vive le bio</v>
      </c>
      <c r="E2996" s="10"/>
      <c r="F2996" s="9">
        <f>IFERROR(__xludf.DUMMYFUNCTION("""COMPUTED_VALUE"""),15.0555555555555)</f>
        <v>15.05555556</v>
      </c>
      <c r="G2996" s="9">
        <f>IFERROR(__xludf.DUMMYFUNCTION("""COMPUTED_VALUE"""),13.55)</f>
        <v>13.55</v>
      </c>
      <c r="H2996" s="9">
        <f>IFERROR(__xludf.DUMMYFUNCTION("""COMPUTED_VALUE"""),6.0)</f>
        <v>6</v>
      </c>
      <c r="I2996" s="9"/>
      <c r="J2996" s="9"/>
      <c r="K2996" s="9"/>
      <c r="L2996" s="9"/>
      <c r="M2996" s="9"/>
      <c r="N2996" s="9"/>
      <c r="O2996" s="9"/>
      <c r="P2996" s="9"/>
      <c r="Q2996" s="9"/>
      <c r="R2996" s="9"/>
      <c r="S2996" s="9"/>
      <c r="T2996" s="9"/>
    </row>
    <row r="2997" ht="15.75" customHeight="1">
      <c r="A2997" s="11">
        <f>IFERROR(__xludf.DUMMYFUNCTION("""COMPUTED_VALUE"""),44471.0)</f>
        <v>44471</v>
      </c>
      <c r="B2997" s="9">
        <f>IFERROR(__xludf.DUMMYFUNCTION("""COMPUTED_VALUE"""),1003720.0)</f>
        <v>1003720</v>
      </c>
      <c r="C2997" s="9">
        <f>IFERROR(__xludf.DUMMYFUNCTION("""COMPUTED_VALUE"""),13928.0)</f>
        <v>13928</v>
      </c>
      <c r="D2997" s="9"/>
      <c r="E2997" s="9"/>
      <c r="F2997" s="9">
        <f>IFERROR(__xludf.DUMMYFUNCTION("""COMPUTED_VALUE"""),24.27)</f>
        <v>24.27</v>
      </c>
      <c r="G2997" s="9">
        <f>IFERROR(__xludf.DUMMYFUNCTION("""COMPUTED_VALUE"""),24.27)</f>
        <v>24.27</v>
      </c>
      <c r="H2997" s="9">
        <f>IFERROR(__xludf.DUMMYFUNCTION("""COMPUTED_VALUE"""),1.0)</f>
        <v>1</v>
      </c>
      <c r="I2997" s="9"/>
      <c r="J2997" s="9"/>
      <c r="K2997" s="9"/>
      <c r="L2997" s="9"/>
      <c r="M2997" s="9"/>
      <c r="N2997" s="9"/>
      <c r="O2997" s="9"/>
      <c r="P2997" s="9"/>
      <c r="Q2997" s="9"/>
      <c r="R2997" s="9"/>
      <c r="S2997" s="9"/>
      <c r="T2997" s="9"/>
    </row>
    <row r="2998" ht="15.75" customHeight="1">
      <c r="A2998" s="11">
        <f>IFERROR(__xludf.DUMMYFUNCTION("""COMPUTED_VALUE"""),44471.0)</f>
        <v>44471</v>
      </c>
      <c r="B2998" s="9">
        <f>IFERROR(__xludf.DUMMYFUNCTION("""COMPUTED_VALUE"""),1003722.0)</f>
        <v>1003722</v>
      </c>
      <c r="C2998" s="9">
        <f>IFERROR(__xludf.DUMMYFUNCTION("""COMPUTED_VALUE"""),104170.0)</f>
        <v>104170</v>
      </c>
      <c r="D2998" s="10" t="str">
        <f>IFERROR(__xludf.DUMMYFUNCTION("""COMPUTED_VALUE"""),"Offre Speciale")</f>
        <v>Offre Speciale</v>
      </c>
      <c r="E2998" s="10"/>
      <c r="F2998" s="9">
        <f>IFERROR(__xludf.DUMMYFUNCTION("""COMPUTED_VALUE"""),7.97560975609756)</f>
        <v>7.975609756</v>
      </c>
      <c r="G2998" s="9">
        <f>IFERROR(__xludf.DUMMYFUNCTION("""COMPUTED_VALUE"""),6.54)</f>
        <v>6.54</v>
      </c>
      <c r="H2998" s="9">
        <f>IFERROR(__xludf.DUMMYFUNCTION("""COMPUTED_VALUE"""),1.0)</f>
        <v>1</v>
      </c>
      <c r="I2998" s="9"/>
      <c r="J2998" s="9"/>
      <c r="K2998" s="9"/>
      <c r="L2998" s="9"/>
      <c r="M2998" s="9"/>
      <c r="N2998" s="9"/>
      <c r="O2998" s="9"/>
      <c r="P2998" s="9"/>
      <c r="Q2998" s="9"/>
      <c r="R2998" s="9"/>
      <c r="S2998" s="9"/>
      <c r="T2998" s="9"/>
    </row>
    <row r="2999" ht="15.75" customHeight="1">
      <c r="A2999" s="11">
        <f>IFERROR(__xludf.DUMMYFUNCTION("""COMPUTED_VALUE"""),44471.0)</f>
        <v>44471</v>
      </c>
      <c r="B2999" s="9">
        <f>IFERROR(__xludf.DUMMYFUNCTION("""COMPUTED_VALUE"""),1003723.0)</f>
        <v>1003723</v>
      </c>
      <c r="C2999" s="9">
        <f>IFERROR(__xludf.DUMMYFUNCTION("""COMPUTED_VALUE"""),95063.0)</f>
        <v>95063</v>
      </c>
      <c r="D2999" s="10" t="str">
        <f>IFERROR(__xludf.DUMMYFUNCTION("""COMPUTED_VALUE"""),"Offre Speciale")</f>
        <v>Offre Speciale</v>
      </c>
      <c r="E2999" s="10"/>
      <c r="F2999" s="9">
        <f>IFERROR(__xludf.DUMMYFUNCTION("""COMPUTED_VALUE"""),3.37647058823529)</f>
        <v>3.376470588</v>
      </c>
      <c r="G2999" s="9">
        <f>IFERROR(__xludf.DUMMYFUNCTION("""COMPUTED_VALUE"""),2.87)</f>
        <v>2.87</v>
      </c>
      <c r="H2999" s="9">
        <f>IFERROR(__xludf.DUMMYFUNCTION("""COMPUTED_VALUE"""),1.0)</f>
        <v>1</v>
      </c>
      <c r="I2999" s="9"/>
      <c r="J2999" s="9"/>
      <c r="K2999" s="9"/>
      <c r="L2999" s="9"/>
      <c r="M2999" s="9"/>
      <c r="N2999" s="9"/>
      <c r="O2999" s="9"/>
      <c r="P2999" s="9"/>
      <c r="Q2999" s="9"/>
      <c r="R2999" s="9"/>
      <c r="S2999" s="9"/>
      <c r="T2999" s="9"/>
    </row>
    <row r="3000" ht="15.75" customHeight="1">
      <c r="A3000" s="11">
        <f>IFERROR(__xludf.DUMMYFUNCTION("""COMPUTED_VALUE"""),44471.0)</f>
        <v>44471</v>
      </c>
      <c r="B3000" s="9">
        <f>IFERROR(__xludf.DUMMYFUNCTION("""COMPUTED_VALUE"""),1003723.0)</f>
        <v>1003723</v>
      </c>
      <c r="C3000" s="9">
        <f>IFERROR(__xludf.DUMMYFUNCTION("""COMPUTED_VALUE"""),87072.0)</f>
        <v>87072</v>
      </c>
      <c r="D3000" s="10" t="str">
        <f>IFERROR(__xludf.DUMMYFUNCTION("""COMPUTED_VALUE"""),"Vive le bio")</f>
        <v>Vive le bio</v>
      </c>
      <c r="E3000" s="10"/>
      <c r="F3000" s="9">
        <f>IFERROR(__xludf.DUMMYFUNCTION("""COMPUTED_VALUE"""),7.34444444444444)</f>
        <v>7.344444444</v>
      </c>
      <c r="G3000" s="9">
        <f>IFERROR(__xludf.DUMMYFUNCTION("""COMPUTED_VALUE"""),6.61)</f>
        <v>6.61</v>
      </c>
      <c r="H3000" s="9">
        <f>IFERROR(__xludf.DUMMYFUNCTION("""COMPUTED_VALUE"""),1.0)</f>
        <v>1</v>
      </c>
      <c r="I3000" s="9"/>
      <c r="J3000" s="9"/>
      <c r="K3000" s="9"/>
      <c r="L3000" s="9"/>
      <c r="M3000" s="9"/>
      <c r="N3000" s="9"/>
      <c r="O3000" s="9"/>
      <c r="P3000" s="9"/>
      <c r="Q3000" s="9"/>
      <c r="R3000" s="9"/>
      <c r="S3000" s="9"/>
      <c r="T3000" s="9"/>
    </row>
    <row r="3001" ht="15.75" customHeight="1">
      <c r="A3001" s="11">
        <f>IFERROR(__xludf.DUMMYFUNCTION("""COMPUTED_VALUE"""),44471.0)</f>
        <v>44471</v>
      </c>
      <c r="B3001" s="9">
        <f>IFERROR(__xludf.DUMMYFUNCTION("""COMPUTED_VALUE"""),1003723.0)</f>
        <v>1003723</v>
      </c>
      <c r="C3001" s="9">
        <f>IFERROR(__xludf.DUMMYFUNCTION("""COMPUTED_VALUE"""),107857.0)</f>
        <v>107857</v>
      </c>
      <c r="D3001" s="9"/>
      <c r="E3001" s="9"/>
      <c r="F3001" s="9">
        <f>IFERROR(__xludf.DUMMYFUNCTION("""COMPUTED_VALUE"""),6.05)</f>
        <v>6.05</v>
      </c>
      <c r="G3001" s="9">
        <f>IFERROR(__xludf.DUMMYFUNCTION("""COMPUTED_VALUE"""),6.05)</f>
        <v>6.05</v>
      </c>
      <c r="H3001" s="9">
        <f>IFERROR(__xludf.DUMMYFUNCTION("""COMPUTED_VALUE"""),1.0)</f>
        <v>1</v>
      </c>
      <c r="I3001" s="9"/>
      <c r="J3001" s="9"/>
      <c r="K3001" s="9"/>
      <c r="L3001" s="9"/>
      <c r="M3001" s="9"/>
      <c r="N3001" s="9"/>
      <c r="O3001" s="9"/>
      <c r="P3001" s="9"/>
      <c r="Q3001" s="9"/>
      <c r="R3001" s="9"/>
      <c r="S3001" s="9"/>
      <c r="T3001" s="9"/>
    </row>
    <row r="3002" ht="15.75" customHeight="1">
      <c r="A3002" s="11">
        <f>IFERROR(__xludf.DUMMYFUNCTION("""COMPUTED_VALUE"""),44471.0)</f>
        <v>44471</v>
      </c>
      <c r="B3002" s="9">
        <f>IFERROR(__xludf.DUMMYFUNCTION("""COMPUTED_VALUE"""),1003723.0)</f>
        <v>1003723</v>
      </c>
      <c r="C3002" s="9">
        <f>IFERROR(__xludf.DUMMYFUNCTION("""COMPUTED_VALUE"""),87099.0)</f>
        <v>87099</v>
      </c>
      <c r="D3002" s="9"/>
      <c r="E3002" s="9"/>
      <c r="F3002" s="9">
        <f>IFERROR(__xludf.DUMMYFUNCTION("""COMPUTED_VALUE"""),2.03)</f>
        <v>2.03</v>
      </c>
      <c r="G3002" s="9">
        <f>IFERROR(__xludf.DUMMYFUNCTION("""COMPUTED_VALUE"""),2.03)</f>
        <v>2.03</v>
      </c>
      <c r="H3002" s="9">
        <f>IFERROR(__xludf.DUMMYFUNCTION("""COMPUTED_VALUE"""),1.0)</f>
        <v>1</v>
      </c>
      <c r="I3002" s="9"/>
      <c r="J3002" s="9"/>
      <c r="K3002" s="9"/>
      <c r="L3002" s="9"/>
      <c r="M3002" s="9"/>
      <c r="N3002" s="9"/>
      <c r="O3002" s="9"/>
      <c r="P3002" s="9"/>
      <c r="Q3002" s="9"/>
      <c r="R3002" s="9"/>
      <c r="S3002" s="9"/>
      <c r="T3002" s="9"/>
    </row>
    <row r="3003" ht="15.75" customHeight="1">
      <c r="A3003" s="11">
        <f>IFERROR(__xludf.DUMMYFUNCTION("""COMPUTED_VALUE"""),44471.0)</f>
        <v>44471</v>
      </c>
      <c r="B3003" s="9">
        <f>IFERROR(__xludf.DUMMYFUNCTION("""COMPUTED_VALUE"""),1003723.0)</f>
        <v>1003723</v>
      </c>
      <c r="C3003" s="9">
        <f>IFERROR(__xludf.DUMMYFUNCTION("""COMPUTED_VALUE"""),92421.0)</f>
        <v>92421</v>
      </c>
      <c r="D3003" s="10" t="str">
        <f>IFERROR(__xludf.DUMMYFUNCTION("""COMPUTED_VALUE"""),"Vive le bio")</f>
        <v>Vive le bio</v>
      </c>
      <c r="E3003" s="10"/>
      <c r="F3003" s="9">
        <f>IFERROR(__xludf.DUMMYFUNCTION("""COMPUTED_VALUE"""),2.03333333333333)</f>
        <v>2.033333333</v>
      </c>
      <c r="G3003" s="9">
        <f>IFERROR(__xludf.DUMMYFUNCTION("""COMPUTED_VALUE"""),1.83)</f>
        <v>1.83</v>
      </c>
      <c r="H3003" s="9">
        <f>IFERROR(__xludf.DUMMYFUNCTION("""COMPUTED_VALUE"""),1.0)</f>
        <v>1</v>
      </c>
      <c r="I3003" s="9"/>
      <c r="J3003" s="9"/>
      <c r="K3003" s="9"/>
      <c r="L3003" s="9"/>
      <c r="M3003" s="9"/>
      <c r="N3003" s="9"/>
      <c r="O3003" s="9"/>
      <c r="P3003" s="9"/>
      <c r="Q3003" s="9"/>
      <c r="R3003" s="9"/>
      <c r="S3003" s="9"/>
      <c r="T3003" s="9"/>
    </row>
    <row r="3004" ht="15.75" customHeight="1">
      <c r="A3004" s="11">
        <f>IFERROR(__xludf.DUMMYFUNCTION("""COMPUTED_VALUE"""),44471.0)</f>
        <v>44471</v>
      </c>
      <c r="B3004" s="9">
        <f>IFERROR(__xludf.DUMMYFUNCTION("""COMPUTED_VALUE"""),1003723.0)</f>
        <v>1003723</v>
      </c>
      <c r="C3004" s="9">
        <f>IFERROR(__xludf.DUMMYFUNCTION("""COMPUTED_VALUE"""),100334.0)</f>
        <v>100334</v>
      </c>
      <c r="D3004" s="10" t="str">
        <f>IFERROR(__xludf.DUMMYFUNCTION("""COMPUTED_VALUE"""),"Offre speciale")</f>
        <v>Offre speciale</v>
      </c>
      <c r="E3004" s="10"/>
      <c r="F3004" s="9">
        <f>IFERROR(__xludf.DUMMYFUNCTION("""COMPUTED_VALUE"""),3.81333333333333)</f>
        <v>3.813333333</v>
      </c>
      <c r="G3004" s="9">
        <f>IFERROR(__xludf.DUMMYFUNCTION("""COMPUTED_VALUE"""),2.86)</f>
        <v>2.86</v>
      </c>
      <c r="H3004" s="9">
        <f>IFERROR(__xludf.DUMMYFUNCTION("""COMPUTED_VALUE"""),1.0)</f>
        <v>1</v>
      </c>
      <c r="I3004" s="9"/>
      <c r="J3004" s="9"/>
      <c r="K3004" s="9"/>
      <c r="L3004" s="9"/>
      <c r="M3004" s="9"/>
      <c r="N3004" s="9"/>
      <c r="O3004" s="9"/>
      <c r="P3004" s="9"/>
      <c r="Q3004" s="9"/>
      <c r="R3004" s="9"/>
      <c r="S3004" s="9"/>
      <c r="T3004" s="9"/>
    </row>
    <row r="3005" ht="15.75" customHeight="1">
      <c r="A3005" s="11">
        <f>IFERROR(__xludf.DUMMYFUNCTION("""COMPUTED_VALUE"""),44471.0)</f>
        <v>44471</v>
      </c>
      <c r="B3005" s="9">
        <f>IFERROR(__xludf.DUMMYFUNCTION("""COMPUTED_VALUE"""),1003723.0)</f>
        <v>1003723</v>
      </c>
      <c r="C3005" s="9">
        <f>IFERROR(__xludf.DUMMYFUNCTION("""COMPUTED_VALUE"""),80053.0)</f>
        <v>80053</v>
      </c>
      <c r="D3005" s="10" t="str">
        <f>IFERROR(__xludf.DUMMYFUNCTION("""COMPUTED_VALUE"""),"Offre speciale")</f>
        <v>Offre speciale</v>
      </c>
      <c r="E3005" s="10"/>
      <c r="F3005" s="9">
        <f>IFERROR(__xludf.DUMMYFUNCTION("""COMPUTED_VALUE"""),3.81333333333333)</f>
        <v>3.813333333</v>
      </c>
      <c r="G3005" s="9">
        <f>IFERROR(__xludf.DUMMYFUNCTION("""COMPUTED_VALUE"""),2.86)</f>
        <v>2.86</v>
      </c>
      <c r="H3005" s="9">
        <f>IFERROR(__xludf.DUMMYFUNCTION("""COMPUTED_VALUE"""),1.0)</f>
        <v>1</v>
      </c>
      <c r="I3005" s="9"/>
      <c r="J3005" s="9"/>
      <c r="K3005" s="9"/>
      <c r="L3005" s="9"/>
      <c r="M3005" s="9"/>
      <c r="N3005" s="9"/>
      <c r="O3005" s="9"/>
      <c r="P3005" s="9"/>
      <c r="Q3005" s="9"/>
      <c r="R3005" s="9"/>
      <c r="S3005" s="9"/>
      <c r="T3005" s="9"/>
    </row>
    <row r="3006" ht="15.75" customHeight="1">
      <c r="A3006" s="11">
        <f>IFERROR(__xludf.DUMMYFUNCTION("""COMPUTED_VALUE"""),44471.0)</f>
        <v>44471</v>
      </c>
      <c r="B3006" s="9">
        <f>IFERROR(__xludf.DUMMYFUNCTION("""COMPUTED_VALUE"""),1003723.0)</f>
        <v>1003723</v>
      </c>
      <c r="C3006" s="9">
        <f>IFERROR(__xludf.DUMMYFUNCTION("""COMPUTED_VALUE"""),81237.0)</f>
        <v>81237</v>
      </c>
      <c r="D3006" s="9"/>
      <c r="E3006" s="9"/>
      <c r="F3006" s="9">
        <f>IFERROR(__xludf.DUMMYFUNCTION("""COMPUTED_VALUE"""),3.44)</f>
        <v>3.44</v>
      </c>
      <c r="G3006" s="9">
        <f>IFERROR(__xludf.DUMMYFUNCTION("""COMPUTED_VALUE"""),3.44)</f>
        <v>3.44</v>
      </c>
      <c r="H3006" s="9">
        <f>IFERROR(__xludf.DUMMYFUNCTION("""COMPUTED_VALUE"""),1.0)</f>
        <v>1</v>
      </c>
      <c r="I3006" s="9"/>
      <c r="J3006" s="9"/>
      <c r="K3006" s="9"/>
      <c r="L3006" s="9"/>
      <c r="M3006" s="9"/>
      <c r="N3006" s="9"/>
      <c r="O3006" s="9"/>
      <c r="P3006" s="9"/>
      <c r="Q3006" s="9"/>
      <c r="R3006" s="9"/>
      <c r="S3006" s="9"/>
      <c r="T3006" s="9"/>
    </row>
    <row r="3007" ht="15.75" customHeight="1">
      <c r="A3007" s="11">
        <f>IFERROR(__xludf.DUMMYFUNCTION("""COMPUTED_VALUE"""),44471.0)</f>
        <v>44471</v>
      </c>
      <c r="B3007" s="9">
        <f>IFERROR(__xludf.DUMMYFUNCTION("""COMPUTED_VALUE"""),1003723.0)</f>
        <v>1003723</v>
      </c>
      <c r="C3007" s="9">
        <f>IFERROR(__xludf.DUMMYFUNCTION("""COMPUTED_VALUE"""),111797.0)</f>
        <v>111797</v>
      </c>
      <c r="D3007" s="10" t="str">
        <f>IFERROR(__xludf.DUMMYFUNCTION("""COMPUTED_VALUE"""),"Offre speciale")</f>
        <v>Offre speciale</v>
      </c>
      <c r="E3007" s="10"/>
      <c r="F3007" s="9">
        <f>IFERROR(__xludf.DUMMYFUNCTION("""COMPUTED_VALUE"""),8.26666666666666)</f>
        <v>8.266666667</v>
      </c>
      <c r="G3007" s="9">
        <f>IFERROR(__xludf.DUMMYFUNCTION("""COMPUTED_VALUE"""),7.44)</f>
        <v>7.44</v>
      </c>
      <c r="H3007" s="9">
        <f>IFERROR(__xludf.DUMMYFUNCTION("""COMPUTED_VALUE"""),1.0)</f>
        <v>1</v>
      </c>
      <c r="I3007" s="9"/>
      <c r="J3007" s="9"/>
      <c r="K3007" s="9"/>
      <c r="L3007" s="9"/>
      <c r="M3007" s="9"/>
      <c r="N3007" s="9"/>
      <c r="O3007" s="9"/>
      <c r="P3007" s="9"/>
      <c r="Q3007" s="9"/>
      <c r="R3007" s="9"/>
      <c r="S3007" s="9"/>
      <c r="T3007" s="9"/>
    </row>
    <row r="3008" ht="15.75" customHeight="1">
      <c r="A3008" s="11">
        <f>IFERROR(__xludf.DUMMYFUNCTION("""COMPUTED_VALUE"""),44471.0)</f>
        <v>44471</v>
      </c>
      <c r="B3008" s="9">
        <f>IFERROR(__xludf.DUMMYFUNCTION("""COMPUTED_VALUE"""),1003723.0)</f>
        <v>1003723</v>
      </c>
      <c r="C3008" s="9">
        <f>IFERROR(__xludf.DUMMYFUNCTION("""COMPUTED_VALUE"""),122088.0)</f>
        <v>122088</v>
      </c>
      <c r="D3008" s="9"/>
      <c r="E3008" s="9"/>
      <c r="F3008" s="9">
        <f>IFERROR(__xludf.DUMMYFUNCTION("""COMPUTED_VALUE"""),1.73)</f>
        <v>1.73</v>
      </c>
      <c r="G3008" s="9">
        <f>IFERROR(__xludf.DUMMYFUNCTION("""COMPUTED_VALUE"""),1.73)</f>
        <v>1.73</v>
      </c>
      <c r="H3008" s="9">
        <f>IFERROR(__xludf.DUMMYFUNCTION("""COMPUTED_VALUE"""),1.0)</f>
        <v>1</v>
      </c>
      <c r="I3008" s="9"/>
      <c r="J3008" s="9"/>
      <c r="K3008" s="9"/>
      <c r="L3008" s="9"/>
      <c r="M3008" s="9"/>
      <c r="N3008" s="9"/>
      <c r="O3008" s="9"/>
      <c r="P3008" s="9"/>
      <c r="Q3008" s="9"/>
      <c r="R3008" s="9"/>
      <c r="S3008" s="9"/>
      <c r="T3008" s="9"/>
    </row>
    <row r="3009" ht="15.75" customHeight="1">
      <c r="A3009" s="11">
        <f>IFERROR(__xludf.DUMMYFUNCTION("""COMPUTED_VALUE"""),44471.0)</f>
        <v>44471</v>
      </c>
      <c r="B3009" s="9">
        <f>IFERROR(__xludf.DUMMYFUNCTION("""COMPUTED_VALUE"""),1003723.0)</f>
        <v>1003723</v>
      </c>
      <c r="C3009" s="9">
        <f>IFERROR(__xludf.DUMMYFUNCTION("""COMPUTED_VALUE"""),102584.0)</f>
        <v>102584</v>
      </c>
      <c r="D3009" s="9"/>
      <c r="E3009" s="9"/>
      <c r="F3009" s="9">
        <f>IFERROR(__xludf.DUMMYFUNCTION("""COMPUTED_VALUE"""),3.1)</f>
        <v>3.1</v>
      </c>
      <c r="G3009" s="9">
        <f>IFERROR(__xludf.DUMMYFUNCTION("""COMPUTED_VALUE"""),3.1)</f>
        <v>3.1</v>
      </c>
      <c r="H3009" s="9">
        <f>IFERROR(__xludf.DUMMYFUNCTION("""COMPUTED_VALUE"""),1.0)</f>
        <v>1</v>
      </c>
      <c r="I3009" s="9"/>
      <c r="J3009" s="9"/>
      <c r="K3009" s="9"/>
      <c r="L3009" s="9"/>
      <c r="M3009" s="9"/>
      <c r="N3009" s="9"/>
      <c r="O3009" s="9"/>
      <c r="P3009" s="9"/>
      <c r="Q3009" s="9"/>
      <c r="R3009" s="9"/>
      <c r="S3009" s="9"/>
      <c r="T3009" s="9"/>
    </row>
    <row r="3010" ht="15.75" customHeight="1">
      <c r="A3010" s="11">
        <f>IFERROR(__xludf.DUMMYFUNCTION("""COMPUTED_VALUE"""),44471.0)</f>
        <v>44471</v>
      </c>
      <c r="B3010" s="9">
        <f>IFERROR(__xludf.DUMMYFUNCTION("""COMPUTED_VALUE"""),1003723.0)</f>
        <v>1003723</v>
      </c>
      <c r="C3010" s="9">
        <f>IFERROR(__xludf.DUMMYFUNCTION("""COMPUTED_VALUE"""),102585.0)</f>
        <v>102585</v>
      </c>
      <c r="D3010" s="9"/>
      <c r="E3010" s="9"/>
      <c r="F3010" s="9">
        <f>IFERROR(__xludf.DUMMYFUNCTION("""COMPUTED_VALUE"""),3.1)</f>
        <v>3.1</v>
      </c>
      <c r="G3010" s="9">
        <f>IFERROR(__xludf.DUMMYFUNCTION("""COMPUTED_VALUE"""),3.1)</f>
        <v>3.1</v>
      </c>
      <c r="H3010" s="9">
        <f>IFERROR(__xludf.DUMMYFUNCTION("""COMPUTED_VALUE"""),1.0)</f>
        <v>1</v>
      </c>
      <c r="I3010" s="9"/>
      <c r="J3010" s="9"/>
      <c r="K3010" s="9"/>
      <c r="L3010" s="9"/>
      <c r="M3010" s="9"/>
      <c r="N3010" s="9"/>
      <c r="O3010" s="9"/>
      <c r="P3010" s="9"/>
      <c r="Q3010" s="9"/>
      <c r="R3010" s="9"/>
      <c r="S3010" s="9"/>
      <c r="T3010" s="9"/>
    </row>
    <row r="3011" ht="15.75" customHeight="1">
      <c r="A3011" s="11">
        <f>IFERROR(__xludf.DUMMYFUNCTION("""COMPUTED_VALUE"""),44471.0)</f>
        <v>44471</v>
      </c>
      <c r="B3011" s="9">
        <f>IFERROR(__xludf.DUMMYFUNCTION("""COMPUTED_VALUE"""),1003723.0)</f>
        <v>1003723</v>
      </c>
      <c r="C3011" s="9">
        <f>IFERROR(__xludf.DUMMYFUNCTION("""COMPUTED_VALUE"""),102594.0)</f>
        <v>102594</v>
      </c>
      <c r="D3011" s="9"/>
      <c r="E3011" s="9"/>
      <c r="F3011" s="9">
        <f>IFERROR(__xludf.DUMMYFUNCTION("""COMPUTED_VALUE"""),2.86)</f>
        <v>2.86</v>
      </c>
      <c r="G3011" s="9">
        <f>IFERROR(__xludf.DUMMYFUNCTION("""COMPUTED_VALUE"""),2.86)</f>
        <v>2.86</v>
      </c>
      <c r="H3011" s="9">
        <f>IFERROR(__xludf.DUMMYFUNCTION("""COMPUTED_VALUE"""),1.0)</f>
        <v>1</v>
      </c>
      <c r="I3011" s="9"/>
      <c r="J3011" s="9"/>
      <c r="K3011" s="9"/>
      <c r="L3011" s="9"/>
      <c r="M3011" s="9"/>
      <c r="N3011" s="9"/>
      <c r="O3011" s="9"/>
      <c r="P3011" s="9"/>
      <c r="Q3011" s="9"/>
      <c r="R3011" s="9"/>
      <c r="S3011" s="9"/>
      <c r="T3011" s="9"/>
    </row>
    <row r="3012" ht="15.75" customHeight="1">
      <c r="A3012" s="11">
        <f>IFERROR(__xludf.DUMMYFUNCTION("""COMPUTED_VALUE"""),44471.0)</f>
        <v>44471</v>
      </c>
      <c r="B3012" s="9">
        <f>IFERROR(__xludf.DUMMYFUNCTION("""COMPUTED_VALUE"""),1003723.0)</f>
        <v>1003723</v>
      </c>
      <c r="C3012" s="9">
        <f>IFERROR(__xludf.DUMMYFUNCTION("""COMPUTED_VALUE"""),81790.0)</f>
        <v>81790</v>
      </c>
      <c r="D3012" s="9"/>
      <c r="E3012" s="9"/>
      <c r="F3012" s="9">
        <f>IFERROR(__xludf.DUMMYFUNCTION("""COMPUTED_VALUE"""),2.37)</f>
        <v>2.37</v>
      </c>
      <c r="G3012" s="9">
        <f>IFERROR(__xludf.DUMMYFUNCTION("""COMPUTED_VALUE"""),2.37)</f>
        <v>2.37</v>
      </c>
      <c r="H3012" s="9">
        <f>IFERROR(__xludf.DUMMYFUNCTION("""COMPUTED_VALUE"""),1.0)</f>
        <v>1</v>
      </c>
      <c r="I3012" s="9"/>
      <c r="J3012" s="9"/>
      <c r="K3012" s="9"/>
      <c r="L3012" s="9"/>
      <c r="M3012" s="9"/>
      <c r="N3012" s="9"/>
      <c r="O3012" s="9"/>
      <c r="P3012" s="9"/>
      <c r="Q3012" s="9"/>
      <c r="R3012" s="9"/>
      <c r="S3012" s="9"/>
      <c r="T3012" s="9"/>
    </row>
    <row r="3013" ht="15.75" customHeight="1">
      <c r="A3013" s="11">
        <f>IFERROR(__xludf.DUMMYFUNCTION("""COMPUTED_VALUE"""),44471.0)</f>
        <v>44471</v>
      </c>
      <c r="B3013" s="9">
        <f>IFERROR(__xludf.DUMMYFUNCTION("""COMPUTED_VALUE"""),1003723.0)</f>
        <v>1003723</v>
      </c>
      <c r="C3013" s="9">
        <f>IFERROR(__xludf.DUMMYFUNCTION("""COMPUTED_VALUE"""),12925.0)</f>
        <v>12925</v>
      </c>
      <c r="D3013" s="9"/>
      <c r="E3013" s="9"/>
      <c r="F3013" s="9">
        <f>IFERROR(__xludf.DUMMYFUNCTION("""COMPUTED_VALUE"""),6.29)</f>
        <v>6.29</v>
      </c>
      <c r="G3013" s="9">
        <f>IFERROR(__xludf.DUMMYFUNCTION("""COMPUTED_VALUE"""),6.29)</f>
        <v>6.29</v>
      </c>
      <c r="H3013" s="9">
        <f>IFERROR(__xludf.DUMMYFUNCTION("""COMPUTED_VALUE"""),2.0)</f>
        <v>2</v>
      </c>
      <c r="I3013" s="9"/>
      <c r="J3013" s="9"/>
      <c r="K3013" s="9"/>
      <c r="L3013" s="9"/>
      <c r="M3013" s="9"/>
      <c r="N3013" s="9"/>
      <c r="O3013" s="9"/>
      <c r="P3013" s="9"/>
      <c r="Q3013" s="9"/>
      <c r="R3013" s="9"/>
      <c r="S3013" s="9"/>
      <c r="T3013" s="9"/>
    </row>
    <row r="3014" ht="15.75" customHeight="1">
      <c r="A3014" s="11">
        <f>IFERROR(__xludf.DUMMYFUNCTION("""COMPUTED_VALUE"""),44471.0)</f>
        <v>44471</v>
      </c>
      <c r="B3014" s="9">
        <f>IFERROR(__xludf.DUMMYFUNCTION("""COMPUTED_VALUE"""),1003723.0)</f>
        <v>1003723</v>
      </c>
      <c r="C3014" s="9">
        <f>IFERROR(__xludf.DUMMYFUNCTION("""COMPUTED_VALUE"""),87085.0)</f>
        <v>87085</v>
      </c>
      <c r="D3014" s="9"/>
      <c r="E3014" s="9"/>
      <c r="F3014" s="9">
        <f>IFERROR(__xludf.DUMMYFUNCTION("""COMPUTED_VALUE"""),3.65)</f>
        <v>3.65</v>
      </c>
      <c r="G3014" s="9">
        <f>IFERROR(__xludf.DUMMYFUNCTION("""COMPUTED_VALUE"""),3.65)</f>
        <v>3.65</v>
      </c>
      <c r="H3014" s="9">
        <f>IFERROR(__xludf.DUMMYFUNCTION("""COMPUTED_VALUE"""),2.0)</f>
        <v>2</v>
      </c>
      <c r="I3014" s="9"/>
      <c r="J3014" s="9"/>
      <c r="K3014" s="9"/>
      <c r="L3014" s="9"/>
      <c r="M3014" s="9"/>
      <c r="N3014" s="9"/>
      <c r="O3014" s="9"/>
      <c r="P3014" s="9"/>
      <c r="Q3014" s="9"/>
      <c r="R3014" s="9"/>
      <c r="S3014" s="9"/>
      <c r="T3014" s="9"/>
    </row>
    <row r="3015" ht="15.75" customHeight="1">
      <c r="A3015" s="11">
        <f>IFERROR(__xludf.DUMMYFUNCTION("""COMPUTED_VALUE"""),44471.0)</f>
        <v>44471</v>
      </c>
      <c r="B3015" s="9">
        <f>IFERROR(__xludf.DUMMYFUNCTION("""COMPUTED_VALUE"""),1003723.0)</f>
        <v>1003723</v>
      </c>
      <c r="C3015" s="9">
        <f>IFERROR(__xludf.DUMMYFUNCTION("""COMPUTED_VALUE"""),14015.0)</f>
        <v>14015</v>
      </c>
      <c r="D3015" s="10" t="str">
        <f>IFERROR(__xludf.DUMMYFUNCTION("""COMPUTED_VALUE"""),"Vive le bio")</f>
        <v>Vive le bio</v>
      </c>
      <c r="E3015" s="10"/>
      <c r="F3015" s="9">
        <f>IFERROR(__xludf.DUMMYFUNCTION("""COMPUTED_VALUE"""),6.33333333333333)</f>
        <v>6.333333333</v>
      </c>
      <c r="G3015" s="9">
        <f>IFERROR(__xludf.DUMMYFUNCTION("""COMPUTED_VALUE"""),5.7)</f>
        <v>5.7</v>
      </c>
      <c r="H3015" s="9">
        <f>IFERROR(__xludf.DUMMYFUNCTION("""COMPUTED_VALUE"""),2.0)</f>
        <v>2</v>
      </c>
      <c r="I3015" s="9"/>
      <c r="J3015" s="9"/>
      <c r="K3015" s="9"/>
      <c r="L3015" s="9"/>
      <c r="M3015" s="9"/>
      <c r="N3015" s="9"/>
      <c r="O3015" s="9"/>
      <c r="P3015" s="9"/>
      <c r="Q3015" s="9"/>
      <c r="R3015" s="9"/>
      <c r="S3015" s="9"/>
      <c r="T3015" s="9"/>
    </row>
    <row r="3016" ht="15.75" customHeight="1">
      <c r="A3016" s="11">
        <f>IFERROR(__xludf.DUMMYFUNCTION("""COMPUTED_VALUE"""),44471.0)</f>
        <v>44471</v>
      </c>
      <c r="B3016" s="9">
        <f>IFERROR(__xludf.DUMMYFUNCTION("""COMPUTED_VALUE"""),1003723.0)</f>
        <v>1003723</v>
      </c>
      <c r="C3016" s="9">
        <f>IFERROR(__xludf.DUMMYFUNCTION("""COMPUTED_VALUE"""),109312.0)</f>
        <v>109312</v>
      </c>
      <c r="D3016" s="9"/>
      <c r="E3016" s="9"/>
      <c r="F3016" s="9">
        <f>IFERROR(__xludf.DUMMYFUNCTION("""COMPUTED_VALUE"""),5.37)</f>
        <v>5.37</v>
      </c>
      <c r="G3016" s="9">
        <f>IFERROR(__xludf.DUMMYFUNCTION("""COMPUTED_VALUE"""),5.37)</f>
        <v>5.37</v>
      </c>
      <c r="H3016" s="9">
        <f>IFERROR(__xludf.DUMMYFUNCTION("""COMPUTED_VALUE"""),2.0)</f>
        <v>2</v>
      </c>
      <c r="I3016" s="9"/>
      <c r="J3016" s="9"/>
      <c r="K3016" s="9"/>
      <c r="L3016" s="9"/>
      <c r="M3016" s="9"/>
      <c r="N3016" s="9"/>
      <c r="O3016" s="9"/>
      <c r="P3016" s="9"/>
      <c r="Q3016" s="9"/>
      <c r="R3016" s="9"/>
      <c r="S3016" s="9"/>
      <c r="T3016" s="9"/>
    </row>
    <row r="3017" ht="15.75" customHeight="1">
      <c r="A3017" s="11">
        <f>IFERROR(__xludf.DUMMYFUNCTION("""COMPUTED_VALUE"""),44471.0)</f>
        <v>44471</v>
      </c>
      <c r="B3017" s="9">
        <f>IFERROR(__xludf.DUMMYFUNCTION("""COMPUTED_VALUE"""),1003723.0)</f>
        <v>1003723</v>
      </c>
      <c r="C3017" s="9">
        <f>IFERROR(__xludf.DUMMYFUNCTION("""COMPUTED_VALUE"""),103095.0)</f>
        <v>103095</v>
      </c>
      <c r="D3017" s="9"/>
      <c r="E3017" s="9"/>
      <c r="F3017" s="9">
        <f>IFERROR(__xludf.DUMMYFUNCTION("""COMPUTED_VALUE"""),11.4)</f>
        <v>11.4</v>
      </c>
      <c r="G3017" s="9">
        <f>IFERROR(__xludf.DUMMYFUNCTION("""COMPUTED_VALUE"""),11.4)</f>
        <v>11.4</v>
      </c>
      <c r="H3017" s="9">
        <f>IFERROR(__xludf.DUMMYFUNCTION("""COMPUTED_VALUE"""),2.0)</f>
        <v>2</v>
      </c>
      <c r="I3017" s="9"/>
      <c r="J3017" s="9"/>
      <c r="K3017" s="9"/>
      <c r="L3017" s="9"/>
      <c r="M3017" s="9"/>
      <c r="N3017" s="9"/>
      <c r="O3017" s="9"/>
      <c r="P3017" s="9"/>
      <c r="Q3017" s="9"/>
      <c r="R3017" s="9"/>
      <c r="S3017" s="9"/>
      <c r="T3017" s="9"/>
    </row>
    <row r="3018" ht="15.75" customHeight="1">
      <c r="A3018" s="11">
        <f>IFERROR(__xludf.DUMMYFUNCTION("""COMPUTED_VALUE"""),44471.0)</f>
        <v>44471</v>
      </c>
      <c r="B3018" s="9">
        <f>IFERROR(__xludf.DUMMYFUNCTION("""COMPUTED_VALUE"""),1003724.0)</f>
        <v>1003724</v>
      </c>
      <c r="C3018" s="9">
        <f>IFERROR(__xludf.DUMMYFUNCTION("""COMPUTED_VALUE"""),85734.0)</f>
        <v>85734</v>
      </c>
      <c r="D3018" s="9"/>
      <c r="E3018" s="9"/>
      <c r="F3018" s="9">
        <f>IFERROR(__xludf.DUMMYFUNCTION("""COMPUTED_VALUE"""),5.18)</f>
        <v>5.18</v>
      </c>
      <c r="G3018" s="9">
        <f>IFERROR(__xludf.DUMMYFUNCTION("""COMPUTED_VALUE"""),5.18)</f>
        <v>5.18</v>
      </c>
      <c r="H3018" s="9">
        <f>IFERROR(__xludf.DUMMYFUNCTION("""COMPUTED_VALUE"""),1.0)</f>
        <v>1</v>
      </c>
      <c r="I3018" s="9"/>
      <c r="J3018" s="9"/>
      <c r="K3018" s="9"/>
      <c r="L3018" s="9"/>
      <c r="M3018" s="9"/>
      <c r="N3018" s="9"/>
      <c r="O3018" s="9"/>
      <c r="P3018" s="9"/>
      <c r="Q3018" s="9"/>
      <c r="R3018" s="9"/>
      <c r="S3018" s="9"/>
      <c r="T3018" s="9"/>
    </row>
    <row r="3019" ht="15.75" customHeight="1">
      <c r="A3019" s="11">
        <f>IFERROR(__xludf.DUMMYFUNCTION("""COMPUTED_VALUE"""),44471.0)</f>
        <v>44471</v>
      </c>
      <c r="B3019" s="9">
        <f>IFERROR(__xludf.DUMMYFUNCTION("""COMPUTED_VALUE"""),1003724.0)</f>
        <v>1003724</v>
      </c>
      <c r="C3019" s="9">
        <f>IFERROR(__xludf.DUMMYFUNCTION("""COMPUTED_VALUE"""),2339.0)</f>
        <v>2339</v>
      </c>
      <c r="D3019" s="9"/>
      <c r="E3019" s="9"/>
      <c r="F3019" s="9">
        <f>IFERROR(__xludf.DUMMYFUNCTION("""COMPUTED_VALUE"""),10.35)</f>
        <v>10.35</v>
      </c>
      <c r="G3019" s="9">
        <f>IFERROR(__xludf.DUMMYFUNCTION("""COMPUTED_VALUE"""),10.35)</f>
        <v>10.35</v>
      </c>
      <c r="H3019" s="9">
        <f>IFERROR(__xludf.DUMMYFUNCTION("""COMPUTED_VALUE"""),2.0)</f>
        <v>2</v>
      </c>
      <c r="I3019" s="9"/>
      <c r="J3019" s="9"/>
      <c r="K3019" s="9"/>
      <c r="L3019" s="9"/>
      <c r="M3019" s="9"/>
      <c r="N3019" s="9"/>
      <c r="O3019" s="9"/>
      <c r="P3019" s="9"/>
      <c r="Q3019" s="9"/>
      <c r="R3019" s="9"/>
      <c r="S3019" s="9"/>
      <c r="T3019" s="9"/>
    </row>
    <row r="3020" ht="15.75" customHeight="1">
      <c r="A3020" s="11">
        <f>IFERROR(__xludf.DUMMYFUNCTION("""COMPUTED_VALUE"""),44471.0)</f>
        <v>44471</v>
      </c>
      <c r="B3020" s="9">
        <f>IFERROR(__xludf.DUMMYFUNCTION("""COMPUTED_VALUE"""),1003724.0)</f>
        <v>1003724</v>
      </c>
      <c r="C3020" s="9">
        <f>IFERROR(__xludf.DUMMYFUNCTION("""COMPUTED_VALUE"""),2336.0)</f>
        <v>2336</v>
      </c>
      <c r="D3020" s="9"/>
      <c r="E3020" s="9"/>
      <c r="F3020" s="9">
        <f>IFERROR(__xludf.DUMMYFUNCTION("""COMPUTED_VALUE"""),15.36)</f>
        <v>15.36</v>
      </c>
      <c r="G3020" s="9">
        <f>IFERROR(__xludf.DUMMYFUNCTION("""COMPUTED_VALUE"""),15.36)</f>
        <v>15.36</v>
      </c>
      <c r="H3020" s="9">
        <f>IFERROR(__xludf.DUMMYFUNCTION("""COMPUTED_VALUE"""),2.0)</f>
        <v>2</v>
      </c>
      <c r="I3020" s="9"/>
      <c r="J3020" s="9"/>
      <c r="K3020" s="9"/>
      <c r="L3020" s="9"/>
      <c r="M3020" s="9"/>
      <c r="N3020" s="9"/>
      <c r="O3020" s="9"/>
      <c r="P3020" s="9"/>
      <c r="Q3020" s="9"/>
      <c r="R3020" s="9"/>
      <c r="S3020" s="9"/>
      <c r="T3020" s="9"/>
    </row>
    <row r="3021" ht="15.75" customHeight="1">
      <c r="A3021" s="11">
        <f>IFERROR(__xludf.DUMMYFUNCTION("""COMPUTED_VALUE"""),44471.0)</f>
        <v>44471</v>
      </c>
      <c r="B3021" s="9">
        <f>IFERROR(__xludf.DUMMYFUNCTION("""COMPUTED_VALUE"""),1003725.0)</f>
        <v>1003725</v>
      </c>
      <c r="C3021" s="9">
        <f>IFERROR(__xludf.DUMMYFUNCTION("""COMPUTED_VALUE"""),13869.0)</f>
        <v>13869</v>
      </c>
      <c r="D3021" s="9"/>
      <c r="E3021" s="10" t="str">
        <f>IFERROR(__xludf.DUMMYFUNCTION("""COMPUTED_VALUE"""),"PREMIERE")</f>
        <v>PREMIERE</v>
      </c>
      <c r="F3021" s="10">
        <f>IFERROR(__xludf.DUMMYFUNCTION("""COMPUTED_VALUE"""),40.49)</f>
        <v>40.49</v>
      </c>
      <c r="G3021" s="9">
        <f>IFERROR(__xludf.DUMMYFUNCTION("""COMPUTED_VALUE"""),40.49)</f>
        <v>40.49</v>
      </c>
      <c r="H3021" s="9">
        <f>IFERROR(__xludf.DUMMYFUNCTION("""COMPUTED_VALUE"""),6.0)</f>
        <v>6</v>
      </c>
      <c r="I3021" s="9"/>
      <c r="J3021" s="9"/>
      <c r="K3021" s="9"/>
      <c r="L3021" s="9"/>
      <c r="M3021" s="9"/>
      <c r="N3021" s="9"/>
      <c r="O3021" s="9"/>
      <c r="P3021" s="9"/>
      <c r="Q3021" s="9"/>
      <c r="R3021" s="9"/>
      <c r="S3021" s="9"/>
      <c r="T3021" s="9"/>
    </row>
    <row r="3022" ht="15.75" customHeight="1">
      <c r="A3022" s="11">
        <f>IFERROR(__xludf.DUMMYFUNCTION("""COMPUTED_VALUE"""),44471.0)</f>
        <v>44471</v>
      </c>
      <c r="B3022" s="9">
        <f>IFERROR(__xludf.DUMMYFUNCTION("""COMPUTED_VALUE"""),1003726.0)</f>
        <v>1003726</v>
      </c>
      <c r="C3022" s="9">
        <f>IFERROR(__xludf.DUMMYFUNCTION("""COMPUTED_VALUE"""),120944.0)</f>
        <v>120944</v>
      </c>
      <c r="D3022" s="9"/>
      <c r="E3022" s="10" t="str">
        <f>IFERROR(__xludf.DUMMYFUNCTION("""COMPUTED_VALUE"""),"GREENRELAIS")</f>
        <v>GREENRELAIS</v>
      </c>
      <c r="F3022" s="10">
        <f>IFERROR(__xludf.DUMMYFUNCTION("""COMPUTED_VALUE"""),5.82)</f>
        <v>5.82</v>
      </c>
      <c r="G3022" s="9">
        <f>IFERROR(__xludf.DUMMYFUNCTION("""COMPUTED_VALUE"""),5.82)</f>
        <v>5.82</v>
      </c>
      <c r="H3022" s="9">
        <f>IFERROR(__xludf.DUMMYFUNCTION("""COMPUTED_VALUE"""),1.0)</f>
        <v>1</v>
      </c>
      <c r="I3022" s="9"/>
      <c r="J3022" s="9"/>
      <c r="K3022" s="9"/>
      <c r="L3022" s="9"/>
      <c r="M3022" s="9"/>
      <c r="N3022" s="9"/>
      <c r="O3022" s="9"/>
      <c r="P3022" s="9"/>
      <c r="Q3022" s="9"/>
      <c r="R3022" s="9"/>
      <c r="S3022" s="9"/>
      <c r="T3022" s="9"/>
    </row>
    <row r="3023" ht="15.75" customHeight="1">
      <c r="A3023" s="11">
        <f>IFERROR(__xludf.DUMMYFUNCTION("""COMPUTED_VALUE"""),44471.0)</f>
        <v>44471</v>
      </c>
      <c r="B3023" s="9">
        <f>IFERROR(__xludf.DUMMYFUNCTION("""COMPUTED_VALUE"""),1003726.0)</f>
        <v>1003726</v>
      </c>
      <c r="C3023" s="9">
        <f>IFERROR(__xludf.DUMMYFUNCTION("""COMPUTED_VALUE"""),29650.0)</f>
        <v>29650</v>
      </c>
      <c r="D3023" s="9"/>
      <c r="E3023" s="10" t="str">
        <f>IFERROR(__xludf.DUMMYFUNCTION("""COMPUTED_VALUE"""),"GREENRELAIS")</f>
        <v>GREENRELAIS</v>
      </c>
      <c r="F3023" s="10">
        <f>IFERROR(__xludf.DUMMYFUNCTION("""COMPUTED_VALUE"""),1.58)</f>
        <v>1.58</v>
      </c>
      <c r="G3023" s="9">
        <f>IFERROR(__xludf.DUMMYFUNCTION("""COMPUTED_VALUE"""),1.58)</f>
        <v>1.58</v>
      </c>
      <c r="H3023" s="9">
        <f>IFERROR(__xludf.DUMMYFUNCTION("""COMPUTED_VALUE"""),1.0)</f>
        <v>1</v>
      </c>
      <c r="I3023" s="9"/>
      <c r="J3023" s="9"/>
      <c r="K3023" s="9"/>
      <c r="L3023" s="9"/>
      <c r="M3023" s="9"/>
      <c r="N3023" s="9"/>
      <c r="O3023" s="9"/>
      <c r="P3023" s="9"/>
      <c r="Q3023" s="9"/>
      <c r="R3023" s="9"/>
      <c r="S3023" s="9"/>
      <c r="T3023" s="9"/>
    </row>
    <row r="3024" ht="15.75" customHeight="1">
      <c r="A3024" s="11">
        <f>IFERROR(__xludf.DUMMYFUNCTION("""COMPUTED_VALUE"""),44471.0)</f>
        <v>44471</v>
      </c>
      <c r="B3024" s="9">
        <f>IFERROR(__xludf.DUMMYFUNCTION("""COMPUTED_VALUE"""),1003726.0)</f>
        <v>1003726</v>
      </c>
      <c r="C3024" s="9">
        <f>IFERROR(__xludf.DUMMYFUNCTION("""COMPUTED_VALUE"""),10078.0)</f>
        <v>10078</v>
      </c>
      <c r="D3024" s="9"/>
      <c r="E3024" s="10" t="str">
        <f>IFERROR(__xludf.DUMMYFUNCTION("""COMPUTED_VALUE"""),"GREENRELAIS")</f>
        <v>GREENRELAIS</v>
      </c>
      <c r="F3024" s="10">
        <f>IFERROR(__xludf.DUMMYFUNCTION("""COMPUTED_VALUE"""),3.43)</f>
        <v>3.43</v>
      </c>
      <c r="G3024" s="9">
        <f>IFERROR(__xludf.DUMMYFUNCTION("""COMPUTED_VALUE"""),3.43)</f>
        <v>3.43</v>
      </c>
      <c r="H3024" s="9">
        <f>IFERROR(__xludf.DUMMYFUNCTION("""COMPUTED_VALUE"""),1.0)</f>
        <v>1</v>
      </c>
      <c r="I3024" s="9"/>
      <c r="J3024" s="9"/>
      <c r="K3024" s="9"/>
      <c r="L3024" s="9"/>
      <c r="M3024" s="9"/>
      <c r="N3024" s="9"/>
      <c r="O3024" s="9"/>
      <c r="P3024" s="9"/>
      <c r="Q3024" s="9"/>
      <c r="R3024" s="9"/>
      <c r="S3024" s="9"/>
      <c r="T3024" s="9"/>
    </row>
    <row r="3025" ht="15.75" customHeight="1">
      <c r="A3025" s="11">
        <f>IFERROR(__xludf.DUMMYFUNCTION("""COMPUTED_VALUE"""),44471.0)</f>
        <v>44471</v>
      </c>
      <c r="B3025" s="9">
        <f>IFERROR(__xludf.DUMMYFUNCTION("""COMPUTED_VALUE"""),1003726.0)</f>
        <v>1003726</v>
      </c>
      <c r="C3025" s="9">
        <f>IFERROR(__xludf.DUMMYFUNCTION("""COMPUTED_VALUE"""),12647.0)</f>
        <v>12647</v>
      </c>
      <c r="D3025" s="9"/>
      <c r="E3025" s="10" t="str">
        <f>IFERROR(__xludf.DUMMYFUNCTION("""COMPUTED_VALUE"""),"GREENRELAIS")</f>
        <v>GREENRELAIS</v>
      </c>
      <c r="F3025" s="10">
        <f>IFERROR(__xludf.DUMMYFUNCTION("""COMPUTED_VALUE"""),6.87)</f>
        <v>6.87</v>
      </c>
      <c r="G3025" s="9">
        <f>IFERROR(__xludf.DUMMYFUNCTION("""COMPUTED_VALUE"""),6.87)</f>
        <v>6.87</v>
      </c>
      <c r="H3025" s="9">
        <f>IFERROR(__xludf.DUMMYFUNCTION("""COMPUTED_VALUE"""),1.0)</f>
        <v>1</v>
      </c>
      <c r="I3025" s="9"/>
      <c r="J3025" s="9"/>
      <c r="K3025" s="9"/>
      <c r="L3025" s="9"/>
      <c r="M3025" s="9"/>
      <c r="N3025" s="9"/>
      <c r="O3025" s="9"/>
      <c r="P3025" s="9"/>
      <c r="Q3025" s="9"/>
      <c r="R3025" s="9"/>
      <c r="S3025" s="9"/>
      <c r="T3025" s="9"/>
    </row>
    <row r="3026" ht="15.75" customHeight="1">
      <c r="A3026" s="11">
        <f>IFERROR(__xludf.DUMMYFUNCTION("""COMPUTED_VALUE"""),44471.0)</f>
        <v>44471</v>
      </c>
      <c r="B3026" s="9">
        <f>IFERROR(__xludf.DUMMYFUNCTION("""COMPUTED_VALUE"""),1003726.0)</f>
        <v>1003726</v>
      </c>
      <c r="C3026" s="9">
        <f>IFERROR(__xludf.DUMMYFUNCTION("""COMPUTED_VALUE"""),122522.0)</f>
        <v>122522</v>
      </c>
      <c r="D3026" s="9"/>
      <c r="E3026" s="10" t="str">
        <f>IFERROR(__xludf.DUMMYFUNCTION("""COMPUTED_VALUE"""),"GREENRELAIS")</f>
        <v>GREENRELAIS</v>
      </c>
      <c r="F3026" s="10">
        <f>IFERROR(__xludf.DUMMYFUNCTION("""COMPUTED_VALUE"""),10.99)</f>
        <v>10.99</v>
      </c>
      <c r="G3026" s="9">
        <f>IFERROR(__xludf.DUMMYFUNCTION("""COMPUTED_VALUE"""),10.99)</f>
        <v>10.99</v>
      </c>
      <c r="H3026" s="9">
        <f>IFERROR(__xludf.DUMMYFUNCTION("""COMPUTED_VALUE"""),1.0)</f>
        <v>1</v>
      </c>
      <c r="I3026" s="9"/>
      <c r="J3026" s="9"/>
      <c r="K3026" s="9"/>
      <c r="L3026" s="9"/>
      <c r="M3026" s="9"/>
      <c r="N3026" s="9"/>
      <c r="O3026" s="9"/>
      <c r="P3026" s="9"/>
      <c r="Q3026" s="9"/>
      <c r="R3026" s="9"/>
      <c r="S3026" s="9"/>
      <c r="T3026" s="9"/>
    </row>
    <row r="3027" ht="15.75" customHeight="1">
      <c r="A3027" s="11">
        <f>IFERROR(__xludf.DUMMYFUNCTION("""COMPUTED_VALUE"""),44471.0)</f>
        <v>44471</v>
      </c>
      <c r="B3027" s="9">
        <f>IFERROR(__xludf.DUMMYFUNCTION("""COMPUTED_VALUE"""),1003726.0)</f>
        <v>1003726</v>
      </c>
      <c r="C3027" s="9">
        <f>IFERROR(__xludf.DUMMYFUNCTION("""COMPUTED_VALUE"""),1986.0)</f>
        <v>1986</v>
      </c>
      <c r="D3027" s="9"/>
      <c r="E3027" s="10" t="str">
        <f>IFERROR(__xludf.DUMMYFUNCTION("""COMPUTED_VALUE"""),"GREENRELAIS")</f>
        <v>GREENRELAIS</v>
      </c>
      <c r="F3027" s="10">
        <f>IFERROR(__xludf.DUMMYFUNCTION("""COMPUTED_VALUE"""),7.63)</f>
        <v>7.63</v>
      </c>
      <c r="G3027" s="9">
        <f>IFERROR(__xludf.DUMMYFUNCTION("""COMPUTED_VALUE"""),7.63)</f>
        <v>7.63</v>
      </c>
      <c r="H3027" s="9">
        <f>IFERROR(__xludf.DUMMYFUNCTION("""COMPUTED_VALUE"""),1.0)</f>
        <v>1</v>
      </c>
      <c r="I3027" s="9"/>
      <c r="J3027" s="9"/>
      <c r="K3027" s="9"/>
      <c r="L3027" s="9"/>
      <c r="M3027" s="9"/>
      <c r="N3027" s="9"/>
      <c r="O3027" s="9"/>
      <c r="P3027" s="9"/>
      <c r="Q3027" s="9"/>
      <c r="R3027" s="9"/>
      <c r="S3027" s="9"/>
      <c r="T3027" s="9"/>
    </row>
    <row r="3028" ht="15.75" customHeight="1">
      <c r="A3028" s="11">
        <f>IFERROR(__xludf.DUMMYFUNCTION("""COMPUTED_VALUE"""),44471.0)</f>
        <v>44471</v>
      </c>
      <c r="B3028" s="9">
        <f>IFERROR(__xludf.DUMMYFUNCTION("""COMPUTED_VALUE"""),1003726.0)</f>
        <v>1003726</v>
      </c>
      <c r="C3028" s="9">
        <f>IFERROR(__xludf.DUMMYFUNCTION("""COMPUTED_VALUE"""),92621.0)</f>
        <v>92621</v>
      </c>
      <c r="D3028" s="9"/>
      <c r="E3028" s="10" t="str">
        <f>IFERROR(__xludf.DUMMYFUNCTION("""COMPUTED_VALUE"""),"GREENRELAIS")</f>
        <v>GREENRELAIS</v>
      </c>
      <c r="F3028" s="10">
        <f>IFERROR(__xludf.DUMMYFUNCTION("""COMPUTED_VALUE"""),9.78)</f>
        <v>9.78</v>
      </c>
      <c r="G3028" s="9">
        <f>IFERROR(__xludf.DUMMYFUNCTION("""COMPUTED_VALUE"""),9.78)</f>
        <v>9.78</v>
      </c>
      <c r="H3028" s="9">
        <f>IFERROR(__xludf.DUMMYFUNCTION("""COMPUTED_VALUE"""),1.0)</f>
        <v>1</v>
      </c>
      <c r="I3028" s="9"/>
      <c r="J3028" s="9"/>
      <c r="K3028" s="9"/>
      <c r="L3028" s="9"/>
      <c r="M3028" s="9"/>
      <c r="N3028" s="9"/>
      <c r="O3028" s="9"/>
      <c r="P3028" s="9"/>
      <c r="Q3028" s="9"/>
      <c r="R3028" s="9"/>
      <c r="S3028" s="9"/>
      <c r="T3028" s="9"/>
    </row>
    <row r="3029" ht="15.75" customHeight="1">
      <c r="A3029" s="11">
        <f>IFERROR(__xludf.DUMMYFUNCTION("""COMPUTED_VALUE"""),44471.0)</f>
        <v>44471</v>
      </c>
      <c r="B3029" s="9">
        <f>IFERROR(__xludf.DUMMYFUNCTION("""COMPUTED_VALUE"""),1003726.0)</f>
        <v>1003726</v>
      </c>
      <c r="C3029" s="9">
        <f>IFERROR(__xludf.DUMMYFUNCTION("""COMPUTED_VALUE"""),155869.0)</f>
        <v>155869</v>
      </c>
      <c r="D3029" s="9"/>
      <c r="E3029" s="10" t="str">
        <f>IFERROR(__xludf.DUMMYFUNCTION("""COMPUTED_VALUE"""),"GREENRELAIS")</f>
        <v>GREENRELAIS</v>
      </c>
      <c r="F3029" s="10">
        <f>IFERROR(__xludf.DUMMYFUNCTION("""COMPUTED_VALUE"""),9.05)</f>
        <v>9.05</v>
      </c>
      <c r="G3029" s="9">
        <f>IFERROR(__xludf.DUMMYFUNCTION("""COMPUTED_VALUE"""),9.05)</f>
        <v>9.05</v>
      </c>
      <c r="H3029" s="9">
        <f>IFERROR(__xludf.DUMMYFUNCTION("""COMPUTED_VALUE"""),1.0)</f>
        <v>1</v>
      </c>
      <c r="I3029" s="9"/>
      <c r="J3029" s="9"/>
      <c r="K3029" s="9"/>
      <c r="L3029" s="9"/>
      <c r="M3029" s="9"/>
      <c r="N3029" s="9"/>
      <c r="O3029" s="9"/>
      <c r="P3029" s="9"/>
      <c r="Q3029" s="9"/>
      <c r="R3029" s="9"/>
      <c r="S3029" s="9"/>
      <c r="T3029" s="9"/>
    </row>
    <row r="3030" ht="15.75" customHeight="1">
      <c r="A3030" s="11">
        <f>IFERROR(__xludf.DUMMYFUNCTION("""COMPUTED_VALUE"""),44471.0)</f>
        <v>44471</v>
      </c>
      <c r="B3030" s="9">
        <f>IFERROR(__xludf.DUMMYFUNCTION("""COMPUTED_VALUE"""),1003726.0)</f>
        <v>1003726</v>
      </c>
      <c r="C3030" s="9">
        <f>IFERROR(__xludf.DUMMYFUNCTION("""COMPUTED_VALUE"""),201034.0)</f>
        <v>201034</v>
      </c>
      <c r="D3030" s="9"/>
      <c r="E3030" s="10" t="str">
        <f>IFERROR(__xludf.DUMMYFUNCTION("""COMPUTED_VALUE"""),"GREENRELAIS")</f>
        <v>GREENRELAIS</v>
      </c>
      <c r="F3030" s="10">
        <f>IFERROR(__xludf.DUMMYFUNCTION("""COMPUTED_VALUE"""),4.4)</f>
        <v>4.4</v>
      </c>
      <c r="G3030" s="9">
        <f>IFERROR(__xludf.DUMMYFUNCTION("""COMPUTED_VALUE"""),4.4)</f>
        <v>4.4</v>
      </c>
      <c r="H3030" s="9">
        <f>IFERROR(__xludf.DUMMYFUNCTION("""COMPUTED_VALUE"""),1.0)</f>
        <v>1</v>
      </c>
      <c r="I3030" s="9"/>
      <c r="J3030" s="9"/>
      <c r="K3030" s="9"/>
      <c r="L3030" s="9"/>
      <c r="M3030" s="9"/>
      <c r="N3030" s="9"/>
      <c r="O3030" s="9"/>
      <c r="P3030" s="9"/>
      <c r="Q3030" s="9"/>
      <c r="R3030" s="9"/>
      <c r="S3030" s="9"/>
      <c r="T3030" s="9"/>
    </row>
    <row r="3031" ht="15.75" customHeight="1">
      <c r="A3031" s="11">
        <f>IFERROR(__xludf.DUMMYFUNCTION("""COMPUTED_VALUE"""),44471.0)</f>
        <v>44471</v>
      </c>
      <c r="B3031" s="9">
        <f>IFERROR(__xludf.DUMMYFUNCTION("""COMPUTED_VALUE"""),1003726.0)</f>
        <v>1003726</v>
      </c>
      <c r="C3031" s="9">
        <f>IFERROR(__xludf.DUMMYFUNCTION("""COMPUTED_VALUE"""),100040.0)</f>
        <v>100040</v>
      </c>
      <c r="D3031" s="10" t="str">
        <f>IFERROR(__xludf.DUMMYFUNCTION("""COMPUTED_VALUE"""),"Vive le bio")</f>
        <v>Vive le bio</v>
      </c>
      <c r="E3031" s="10" t="str">
        <f>IFERROR(__xludf.DUMMYFUNCTION("""COMPUTED_VALUE"""),"GREENRELAIS")</f>
        <v>GREENRELAIS</v>
      </c>
      <c r="F3031" s="10">
        <f>IFERROR(__xludf.DUMMYFUNCTION("""COMPUTED_VALUE"""),15.6444444444444)</f>
        <v>15.64444444</v>
      </c>
      <c r="G3031" s="9">
        <f>IFERROR(__xludf.DUMMYFUNCTION("""COMPUTED_VALUE"""),14.08)</f>
        <v>14.08</v>
      </c>
      <c r="H3031" s="9">
        <f>IFERROR(__xludf.DUMMYFUNCTION("""COMPUTED_VALUE"""),1.0)</f>
        <v>1</v>
      </c>
      <c r="I3031" s="9"/>
      <c r="J3031" s="9"/>
      <c r="K3031" s="9"/>
      <c r="L3031" s="9"/>
      <c r="M3031" s="9"/>
      <c r="N3031" s="9"/>
      <c r="O3031" s="9"/>
      <c r="P3031" s="9"/>
      <c r="Q3031" s="9"/>
      <c r="R3031" s="9"/>
      <c r="S3031" s="9"/>
      <c r="T3031" s="9"/>
    </row>
    <row r="3032" ht="15.75" customHeight="1">
      <c r="A3032" s="11">
        <f>IFERROR(__xludf.DUMMYFUNCTION("""COMPUTED_VALUE"""),44471.0)</f>
        <v>44471</v>
      </c>
      <c r="B3032" s="9">
        <f>IFERROR(__xludf.DUMMYFUNCTION("""COMPUTED_VALUE"""),1003727.0)</f>
        <v>1003727</v>
      </c>
      <c r="C3032" s="9">
        <f>IFERROR(__xludf.DUMMYFUNCTION("""COMPUTED_VALUE"""),79311.0)</f>
        <v>79311</v>
      </c>
      <c r="D3032" s="10" t="str">
        <f>IFERROR(__xludf.DUMMYFUNCTION("""COMPUTED_VALUE"""),"Offre Speciale")</f>
        <v>Offre Speciale</v>
      </c>
      <c r="E3032" s="10"/>
      <c r="F3032" s="9">
        <f>IFERROR(__xludf.DUMMYFUNCTION("""COMPUTED_VALUE"""),6.9875)</f>
        <v>6.9875</v>
      </c>
      <c r="G3032" s="9">
        <f>IFERROR(__xludf.DUMMYFUNCTION("""COMPUTED_VALUE"""),5.59)</f>
        <v>5.59</v>
      </c>
      <c r="H3032" s="9">
        <f>IFERROR(__xludf.DUMMYFUNCTION("""COMPUTED_VALUE"""),1.0)</f>
        <v>1</v>
      </c>
      <c r="I3032" s="9"/>
      <c r="J3032" s="9"/>
      <c r="K3032" s="9"/>
      <c r="L3032" s="9"/>
      <c r="M3032" s="9"/>
      <c r="N3032" s="9"/>
      <c r="O3032" s="9"/>
      <c r="P3032" s="9"/>
      <c r="Q3032" s="9"/>
      <c r="R3032" s="9"/>
      <c r="S3032" s="9"/>
      <c r="T3032" s="9"/>
    </row>
    <row r="3033" ht="15.75" customHeight="1">
      <c r="A3033" s="11">
        <f>IFERROR(__xludf.DUMMYFUNCTION("""COMPUTED_VALUE"""),44471.0)</f>
        <v>44471</v>
      </c>
      <c r="B3033" s="9">
        <f>IFERROR(__xludf.DUMMYFUNCTION("""COMPUTED_VALUE"""),1003727.0)</f>
        <v>1003727</v>
      </c>
      <c r="C3033" s="9">
        <f>IFERROR(__xludf.DUMMYFUNCTION("""COMPUTED_VALUE"""),79315.0)</f>
        <v>79315</v>
      </c>
      <c r="D3033" s="10" t="str">
        <f>IFERROR(__xludf.DUMMYFUNCTION("""COMPUTED_VALUE"""),"Offre Speciale")</f>
        <v>Offre Speciale</v>
      </c>
      <c r="E3033" s="10"/>
      <c r="F3033" s="9">
        <f>IFERROR(__xludf.DUMMYFUNCTION("""COMPUTED_VALUE"""),6.88749999999999)</f>
        <v>6.8875</v>
      </c>
      <c r="G3033" s="9">
        <f>IFERROR(__xludf.DUMMYFUNCTION("""COMPUTED_VALUE"""),5.51)</f>
        <v>5.51</v>
      </c>
      <c r="H3033" s="9">
        <f>IFERROR(__xludf.DUMMYFUNCTION("""COMPUTED_VALUE"""),1.0)</f>
        <v>1</v>
      </c>
      <c r="I3033" s="9"/>
      <c r="J3033" s="9"/>
      <c r="K3033" s="9"/>
      <c r="L3033" s="9"/>
      <c r="M3033" s="9"/>
      <c r="N3033" s="9"/>
      <c r="O3033" s="9"/>
      <c r="P3033" s="9"/>
      <c r="Q3033" s="9"/>
      <c r="R3033" s="9"/>
      <c r="S3033" s="9"/>
      <c r="T3033" s="9"/>
    </row>
    <row r="3034" ht="15.75" customHeight="1">
      <c r="A3034" s="11">
        <f>IFERROR(__xludf.DUMMYFUNCTION("""COMPUTED_VALUE"""),44471.0)</f>
        <v>44471</v>
      </c>
      <c r="B3034" s="9">
        <f>IFERROR(__xludf.DUMMYFUNCTION("""COMPUTED_VALUE"""),1003727.0)</f>
        <v>1003727</v>
      </c>
      <c r="C3034" s="9">
        <f>IFERROR(__xludf.DUMMYFUNCTION("""COMPUTED_VALUE"""),102588.0)</f>
        <v>102588</v>
      </c>
      <c r="D3034" s="10" t="str">
        <f>IFERROR(__xludf.DUMMYFUNCTION("""COMPUTED_VALUE"""),"Vive le bio")</f>
        <v>Vive le bio</v>
      </c>
      <c r="E3034" s="10"/>
      <c r="F3034" s="9">
        <f>IFERROR(__xludf.DUMMYFUNCTION("""COMPUTED_VALUE"""),3.02222222222222)</f>
        <v>3.022222222</v>
      </c>
      <c r="G3034" s="9">
        <f>IFERROR(__xludf.DUMMYFUNCTION("""COMPUTED_VALUE"""),2.72)</f>
        <v>2.72</v>
      </c>
      <c r="H3034" s="9">
        <f>IFERROR(__xludf.DUMMYFUNCTION("""COMPUTED_VALUE"""),1.0)</f>
        <v>1</v>
      </c>
      <c r="I3034" s="9"/>
      <c r="J3034" s="9"/>
      <c r="K3034" s="9"/>
      <c r="L3034" s="9"/>
      <c r="M3034" s="9"/>
      <c r="N3034" s="9"/>
      <c r="O3034" s="9"/>
      <c r="P3034" s="9"/>
      <c r="Q3034" s="9"/>
      <c r="R3034" s="9"/>
      <c r="S3034" s="9"/>
      <c r="T3034" s="9"/>
    </row>
    <row r="3035" ht="15.75" customHeight="1">
      <c r="A3035" s="11">
        <f>IFERROR(__xludf.DUMMYFUNCTION("""COMPUTED_VALUE"""),44471.0)</f>
        <v>44471</v>
      </c>
      <c r="B3035" s="9">
        <f>IFERROR(__xludf.DUMMYFUNCTION("""COMPUTED_VALUE"""),1003727.0)</f>
        <v>1003727</v>
      </c>
      <c r="C3035" s="9">
        <f>IFERROR(__xludf.DUMMYFUNCTION("""COMPUTED_VALUE"""),79314.0)</f>
        <v>79314</v>
      </c>
      <c r="D3035" s="10" t="str">
        <f>IFERROR(__xludf.DUMMYFUNCTION("""COMPUTED_VALUE"""),"Offre Speciale")</f>
        <v>Offre Speciale</v>
      </c>
      <c r="E3035" s="10"/>
      <c r="F3035" s="9">
        <f>IFERROR(__xludf.DUMMYFUNCTION("""COMPUTED_VALUE"""),6.62499999999999)</f>
        <v>6.625</v>
      </c>
      <c r="G3035" s="9">
        <f>IFERROR(__xludf.DUMMYFUNCTION("""COMPUTED_VALUE"""),5.3)</f>
        <v>5.3</v>
      </c>
      <c r="H3035" s="9">
        <f>IFERROR(__xludf.DUMMYFUNCTION("""COMPUTED_VALUE"""),1.0)</f>
        <v>1</v>
      </c>
      <c r="I3035" s="9"/>
      <c r="J3035" s="9"/>
      <c r="K3035" s="9"/>
      <c r="L3035" s="9"/>
      <c r="M3035" s="9"/>
      <c r="N3035" s="9"/>
      <c r="O3035" s="9"/>
      <c r="P3035" s="9"/>
      <c r="Q3035" s="9"/>
      <c r="R3035" s="9"/>
      <c r="S3035" s="9"/>
      <c r="T3035" s="9"/>
    </row>
    <row r="3036" ht="15.75" customHeight="1">
      <c r="A3036" s="11">
        <f>IFERROR(__xludf.DUMMYFUNCTION("""COMPUTED_VALUE"""),44471.0)</f>
        <v>44471</v>
      </c>
      <c r="B3036" s="9">
        <f>IFERROR(__xludf.DUMMYFUNCTION("""COMPUTED_VALUE"""),1003727.0)</f>
        <v>1003727</v>
      </c>
      <c r="C3036" s="9">
        <f>IFERROR(__xludf.DUMMYFUNCTION("""COMPUTED_VALUE"""),45523.0)</f>
        <v>45523</v>
      </c>
      <c r="D3036" s="10" t="str">
        <f>IFERROR(__xludf.DUMMYFUNCTION("""COMPUTED_VALUE"""),"Vive le bio")</f>
        <v>Vive le bio</v>
      </c>
      <c r="E3036" s="10"/>
      <c r="F3036" s="9">
        <f>IFERROR(__xludf.DUMMYFUNCTION("""COMPUTED_VALUE"""),4.98888888888888)</f>
        <v>4.988888889</v>
      </c>
      <c r="G3036" s="9">
        <f>IFERROR(__xludf.DUMMYFUNCTION("""COMPUTED_VALUE"""),4.49)</f>
        <v>4.49</v>
      </c>
      <c r="H3036" s="9">
        <f>IFERROR(__xludf.DUMMYFUNCTION("""COMPUTED_VALUE"""),3.0)</f>
        <v>3</v>
      </c>
      <c r="I3036" s="9"/>
      <c r="J3036" s="9"/>
      <c r="K3036" s="9"/>
      <c r="L3036" s="9"/>
      <c r="M3036" s="9"/>
      <c r="N3036" s="9"/>
      <c r="O3036" s="9"/>
      <c r="P3036" s="9"/>
      <c r="Q3036" s="9"/>
      <c r="R3036" s="9"/>
      <c r="S3036" s="9"/>
      <c r="T3036" s="9"/>
    </row>
    <row r="3037" ht="15.75" customHeight="1">
      <c r="A3037" s="11">
        <f>IFERROR(__xludf.DUMMYFUNCTION("""COMPUTED_VALUE"""),44471.0)</f>
        <v>44471</v>
      </c>
      <c r="B3037" s="9">
        <f>IFERROR(__xludf.DUMMYFUNCTION("""COMPUTED_VALUE"""),1003727.0)</f>
        <v>1003727</v>
      </c>
      <c r="C3037" s="9">
        <f>IFERROR(__xludf.DUMMYFUNCTION("""COMPUTED_VALUE"""),113934.0)</f>
        <v>113934</v>
      </c>
      <c r="D3037" s="9"/>
      <c r="E3037" s="9"/>
      <c r="F3037" s="9">
        <f>IFERROR(__xludf.DUMMYFUNCTION("""COMPUTED_VALUE"""),14.93)</f>
        <v>14.93</v>
      </c>
      <c r="G3037" s="9">
        <f>IFERROR(__xludf.DUMMYFUNCTION("""COMPUTED_VALUE"""),14.93)</f>
        <v>14.93</v>
      </c>
      <c r="H3037" s="9">
        <f>IFERROR(__xludf.DUMMYFUNCTION("""COMPUTED_VALUE"""),3.0)</f>
        <v>3</v>
      </c>
      <c r="I3037" s="9"/>
      <c r="J3037" s="9"/>
      <c r="K3037" s="9"/>
      <c r="L3037" s="9"/>
      <c r="M3037" s="9"/>
      <c r="N3037" s="9"/>
      <c r="O3037" s="9"/>
      <c r="P3037" s="9"/>
      <c r="Q3037" s="9"/>
      <c r="R3037" s="9"/>
      <c r="S3037" s="9"/>
      <c r="T3037" s="9"/>
    </row>
    <row r="3038" ht="15.75" customHeight="1">
      <c r="A3038" s="11">
        <f>IFERROR(__xludf.DUMMYFUNCTION("""COMPUTED_VALUE"""),44471.0)</f>
        <v>44471</v>
      </c>
      <c r="B3038" s="9">
        <f>IFERROR(__xludf.DUMMYFUNCTION("""COMPUTED_VALUE"""),1003727.0)</f>
        <v>1003727</v>
      </c>
      <c r="C3038" s="9">
        <f>IFERROR(__xludf.DUMMYFUNCTION("""COMPUTED_VALUE"""),43238.0)</f>
        <v>43238</v>
      </c>
      <c r="D3038" s="9"/>
      <c r="E3038" s="9"/>
      <c r="F3038" s="9">
        <f>IFERROR(__xludf.DUMMYFUNCTION("""COMPUTED_VALUE"""),27.05)</f>
        <v>27.05</v>
      </c>
      <c r="G3038" s="9">
        <f>IFERROR(__xludf.DUMMYFUNCTION("""COMPUTED_VALUE"""),27.05)</f>
        <v>27.05</v>
      </c>
      <c r="H3038" s="9">
        <f>IFERROR(__xludf.DUMMYFUNCTION("""COMPUTED_VALUE"""),4.0)</f>
        <v>4</v>
      </c>
      <c r="I3038" s="9"/>
      <c r="J3038" s="9"/>
      <c r="K3038" s="9"/>
      <c r="L3038" s="9"/>
      <c r="M3038" s="9"/>
      <c r="N3038" s="9"/>
      <c r="O3038" s="9"/>
      <c r="P3038" s="9"/>
      <c r="Q3038" s="9"/>
      <c r="R3038" s="9"/>
      <c r="S3038" s="9"/>
      <c r="T3038" s="9"/>
    </row>
    <row r="3039" ht="15.75" customHeight="1">
      <c r="A3039" s="11">
        <f>IFERROR(__xludf.DUMMYFUNCTION("""COMPUTED_VALUE"""),44471.0)</f>
        <v>44471</v>
      </c>
      <c r="B3039" s="9">
        <f>IFERROR(__xludf.DUMMYFUNCTION("""COMPUTED_VALUE"""),1003727.0)</f>
        <v>1003727</v>
      </c>
      <c r="C3039" s="9">
        <f>IFERROR(__xludf.DUMMYFUNCTION("""COMPUTED_VALUE"""),68627.0)</f>
        <v>68627</v>
      </c>
      <c r="D3039" s="9"/>
      <c r="E3039" s="9"/>
      <c r="F3039" s="9">
        <f>IFERROR(__xludf.DUMMYFUNCTION("""COMPUTED_VALUE"""),15.46)</f>
        <v>15.46</v>
      </c>
      <c r="G3039" s="9">
        <f>IFERROR(__xludf.DUMMYFUNCTION("""COMPUTED_VALUE"""),15.46)</f>
        <v>15.46</v>
      </c>
      <c r="H3039" s="9">
        <f>IFERROR(__xludf.DUMMYFUNCTION("""COMPUTED_VALUE"""),4.0)</f>
        <v>4</v>
      </c>
      <c r="I3039" s="9"/>
      <c r="J3039" s="9"/>
      <c r="K3039" s="9"/>
      <c r="L3039" s="9"/>
      <c r="M3039" s="9"/>
      <c r="N3039" s="9"/>
      <c r="O3039" s="9"/>
      <c r="P3039" s="9"/>
      <c r="Q3039" s="9"/>
      <c r="R3039" s="9"/>
      <c r="S3039" s="9"/>
      <c r="T3039" s="9"/>
    </row>
    <row r="3040" ht="15.75" customHeight="1">
      <c r="A3040" s="11">
        <f>IFERROR(__xludf.DUMMYFUNCTION("""COMPUTED_VALUE"""),44471.0)</f>
        <v>44471</v>
      </c>
      <c r="B3040" s="9">
        <f>IFERROR(__xludf.DUMMYFUNCTION("""COMPUTED_VALUE"""),1003727.0)</f>
        <v>1003727</v>
      </c>
      <c r="C3040" s="9">
        <f>IFERROR(__xludf.DUMMYFUNCTION("""COMPUTED_VALUE"""),78426.0)</f>
        <v>78426</v>
      </c>
      <c r="D3040" s="9"/>
      <c r="E3040" s="9"/>
      <c r="F3040" s="9">
        <f>IFERROR(__xludf.DUMMYFUNCTION("""COMPUTED_VALUE"""),46.28)</f>
        <v>46.28</v>
      </c>
      <c r="G3040" s="9">
        <f>IFERROR(__xludf.DUMMYFUNCTION("""COMPUTED_VALUE"""),46.28)</f>
        <v>46.28</v>
      </c>
      <c r="H3040" s="9">
        <f>IFERROR(__xludf.DUMMYFUNCTION("""COMPUTED_VALUE"""),6.0)</f>
        <v>6</v>
      </c>
      <c r="I3040" s="9"/>
      <c r="J3040" s="9"/>
      <c r="K3040" s="9"/>
      <c r="L3040" s="9"/>
      <c r="M3040" s="9"/>
      <c r="N3040" s="9"/>
      <c r="O3040" s="9"/>
      <c r="P3040" s="9"/>
      <c r="Q3040" s="9"/>
      <c r="R3040" s="9"/>
      <c r="S3040" s="9"/>
      <c r="T3040" s="9"/>
    </row>
    <row r="3041" ht="15.75" customHeight="1">
      <c r="A3041" s="11">
        <f>IFERROR(__xludf.DUMMYFUNCTION("""COMPUTED_VALUE"""),44471.0)</f>
        <v>44471</v>
      </c>
      <c r="B3041" s="9">
        <f>IFERROR(__xludf.DUMMYFUNCTION("""COMPUTED_VALUE"""),1003727.0)</f>
        <v>1003727</v>
      </c>
      <c r="C3041" s="9">
        <f>IFERROR(__xludf.DUMMYFUNCTION("""COMPUTED_VALUE"""),19776.0)</f>
        <v>19776</v>
      </c>
      <c r="D3041" s="9"/>
      <c r="E3041" s="9"/>
      <c r="F3041" s="9">
        <f>IFERROR(__xludf.DUMMYFUNCTION("""COMPUTED_VALUE"""),22.45)</f>
        <v>22.45</v>
      </c>
      <c r="G3041" s="9">
        <f>IFERROR(__xludf.DUMMYFUNCTION("""COMPUTED_VALUE"""),22.45)</f>
        <v>22.45</v>
      </c>
      <c r="H3041" s="9">
        <f>IFERROR(__xludf.DUMMYFUNCTION("""COMPUTED_VALUE"""),10.0)</f>
        <v>10</v>
      </c>
      <c r="I3041" s="9"/>
      <c r="J3041" s="9"/>
      <c r="K3041" s="9"/>
      <c r="L3041" s="9"/>
      <c r="M3041" s="9"/>
      <c r="N3041" s="9"/>
      <c r="O3041" s="9"/>
      <c r="P3041" s="9"/>
      <c r="Q3041" s="9"/>
      <c r="R3041" s="9"/>
      <c r="S3041" s="9"/>
      <c r="T3041" s="9"/>
    </row>
    <row r="3042" ht="15.75" customHeight="1">
      <c r="A3042" s="11">
        <f>IFERROR(__xludf.DUMMYFUNCTION("""COMPUTED_VALUE"""),44471.0)</f>
        <v>44471</v>
      </c>
      <c r="B3042" s="9">
        <f>IFERROR(__xludf.DUMMYFUNCTION("""COMPUTED_VALUE"""),1003728.0)</f>
        <v>1003728</v>
      </c>
      <c r="C3042" s="9">
        <f>IFERROR(__xludf.DUMMYFUNCTION("""COMPUTED_VALUE"""),126578.0)</f>
        <v>126578</v>
      </c>
      <c r="D3042" s="9"/>
      <c r="E3042" s="9"/>
      <c r="F3042" s="9">
        <f>IFERROR(__xludf.DUMMYFUNCTION("""COMPUTED_VALUE"""),1.83)</f>
        <v>1.83</v>
      </c>
      <c r="G3042" s="9">
        <f>IFERROR(__xludf.DUMMYFUNCTION("""COMPUTED_VALUE"""),1.83)</f>
        <v>1.83</v>
      </c>
      <c r="H3042" s="9">
        <f>IFERROR(__xludf.DUMMYFUNCTION("""COMPUTED_VALUE"""),1.0)</f>
        <v>1</v>
      </c>
      <c r="I3042" s="9"/>
      <c r="J3042" s="9"/>
      <c r="K3042" s="9"/>
      <c r="L3042" s="9"/>
      <c r="M3042" s="9"/>
      <c r="N3042" s="9"/>
      <c r="O3042" s="9"/>
      <c r="P3042" s="9"/>
      <c r="Q3042" s="9"/>
      <c r="R3042" s="9"/>
      <c r="S3042" s="9"/>
      <c r="T3042" s="9"/>
    </row>
    <row r="3043" ht="15.75" customHeight="1">
      <c r="A3043" s="11">
        <f>IFERROR(__xludf.DUMMYFUNCTION("""COMPUTED_VALUE"""),44471.0)</f>
        <v>44471</v>
      </c>
      <c r="B3043" s="9">
        <f>IFERROR(__xludf.DUMMYFUNCTION("""COMPUTED_VALUE"""),1003728.0)</f>
        <v>1003728</v>
      </c>
      <c r="C3043" s="9">
        <f>IFERROR(__xludf.DUMMYFUNCTION("""COMPUTED_VALUE"""),110572.0)</f>
        <v>110572</v>
      </c>
      <c r="D3043" s="9"/>
      <c r="E3043" s="9"/>
      <c r="F3043" s="9">
        <f>IFERROR(__xludf.DUMMYFUNCTION("""COMPUTED_VALUE"""),1.21)</f>
        <v>1.21</v>
      </c>
      <c r="G3043" s="9">
        <f>IFERROR(__xludf.DUMMYFUNCTION("""COMPUTED_VALUE"""),1.21)</f>
        <v>1.21</v>
      </c>
      <c r="H3043" s="9">
        <f>IFERROR(__xludf.DUMMYFUNCTION("""COMPUTED_VALUE"""),1.0)</f>
        <v>1</v>
      </c>
      <c r="I3043" s="9"/>
      <c r="J3043" s="9"/>
      <c r="K3043" s="9"/>
      <c r="L3043" s="9"/>
      <c r="M3043" s="9"/>
      <c r="N3043" s="9"/>
      <c r="O3043" s="9"/>
      <c r="P3043" s="9"/>
      <c r="Q3043" s="9"/>
      <c r="R3043" s="9"/>
      <c r="S3043" s="9"/>
      <c r="T3043" s="9"/>
    </row>
    <row r="3044" ht="15.75" customHeight="1">
      <c r="A3044" s="11">
        <f>IFERROR(__xludf.DUMMYFUNCTION("""COMPUTED_VALUE"""),44471.0)</f>
        <v>44471</v>
      </c>
      <c r="B3044" s="9">
        <f>IFERROR(__xludf.DUMMYFUNCTION("""COMPUTED_VALUE"""),1003728.0)</f>
        <v>1003728</v>
      </c>
      <c r="C3044" s="9">
        <f>IFERROR(__xludf.DUMMYFUNCTION("""COMPUTED_VALUE"""),29437.0)</f>
        <v>29437</v>
      </c>
      <c r="D3044" s="9"/>
      <c r="E3044" s="9"/>
      <c r="F3044" s="9">
        <f>IFERROR(__xludf.DUMMYFUNCTION("""COMPUTED_VALUE"""),5.41)</f>
        <v>5.41</v>
      </c>
      <c r="G3044" s="9">
        <f>IFERROR(__xludf.DUMMYFUNCTION("""COMPUTED_VALUE"""),5.41)</f>
        <v>5.41</v>
      </c>
      <c r="H3044" s="9">
        <f>IFERROR(__xludf.DUMMYFUNCTION("""COMPUTED_VALUE"""),1.0)</f>
        <v>1</v>
      </c>
      <c r="I3044" s="9"/>
      <c r="J3044" s="9"/>
      <c r="K3044" s="9"/>
      <c r="L3044" s="9"/>
      <c r="M3044" s="9"/>
      <c r="N3044" s="9"/>
      <c r="O3044" s="9"/>
      <c r="P3044" s="9"/>
      <c r="Q3044" s="9"/>
      <c r="R3044" s="9"/>
      <c r="S3044" s="9"/>
      <c r="T3044" s="9"/>
    </row>
    <row r="3045" ht="15.75" customHeight="1">
      <c r="A3045" s="11">
        <f>IFERROR(__xludf.DUMMYFUNCTION("""COMPUTED_VALUE"""),44471.0)</f>
        <v>44471</v>
      </c>
      <c r="B3045" s="9">
        <f>IFERROR(__xludf.DUMMYFUNCTION("""COMPUTED_VALUE"""),1003728.0)</f>
        <v>1003728</v>
      </c>
      <c r="C3045" s="9">
        <f>IFERROR(__xludf.DUMMYFUNCTION("""COMPUTED_VALUE"""),29444.0)</f>
        <v>29444</v>
      </c>
      <c r="D3045" s="9"/>
      <c r="E3045" s="9"/>
      <c r="F3045" s="9">
        <f>IFERROR(__xludf.DUMMYFUNCTION("""COMPUTED_VALUE"""),6.67)</f>
        <v>6.67</v>
      </c>
      <c r="G3045" s="9">
        <f>IFERROR(__xludf.DUMMYFUNCTION("""COMPUTED_VALUE"""),6.67)</f>
        <v>6.67</v>
      </c>
      <c r="H3045" s="9">
        <f>IFERROR(__xludf.DUMMYFUNCTION("""COMPUTED_VALUE"""),1.0)</f>
        <v>1</v>
      </c>
      <c r="I3045" s="9"/>
      <c r="J3045" s="9"/>
      <c r="K3045" s="9"/>
      <c r="L3045" s="9"/>
      <c r="M3045" s="9"/>
      <c r="N3045" s="9"/>
      <c r="O3045" s="9"/>
      <c r="P3045" s="9"/>
      <c r="Q3045" s="9"/>
      <c r="R3045" s="9"/>
      <c r="S3045" s="9"/>
      <c r="T3045" s="9"/>
    </row>
    <row r="3046" ht="15.75" customHeight="1">
      <c r="A3046" s="11">
        <f>IFERROR(__xludf.DUMMYFUNCTION("""COMPUTED_VALUE"""),44471.0)</f>
        <v>44471</v>
      </c>
      <c r="B3046" s="9">
        <f>IFERROR(__xludf.DUMMYFUNCTION("""COMPUTED_VALUE"""),1003728.0)</f>
        <v>1003728</v>
      </c>
      <c r="C3046" s="9">
        <f>IFERROR(__xludf.DUMMYFUNCTION("""COMPUTED_VALUE"""),126581.0)</f>
        <v>126581</v>
      </c>
      <c r="D3046" s="9"/>
      <c r="E3046" s="9"/>
      <c r="F3046" s="9">
        <f>IFERROR(__xludf.DUMMYFUNCTION("""COMPUTED_VALUE"""),1.73)</f>
        <v>1.73</v>
      </c>
      <c r="G3046" s="9">
        <f>IFERROR(__xludf.DUMMYFUNCTION("""COMPUTED_VALUE"""),1.73)</f>
        <v>1.73</v>
      </c>
      <c r="H3046" s="9">
        <f>IFERROR(__xludf.DUMMYFUNCTION("""COMPUTED_VALUE"""),1.0)</f>
        <v>1</v>
      </c>
      <c r="I3046" s="9"/>
      <c r="J3046" s="9"/>
      <c r="K3046" s="9"/>
      <c r="L3046" s="9"/>
      <c r="M3046" s="9"/>
      <c r="N3046" s="9"/>
      <c r="O3046" s="9"/>
      <c r="P3046" s="9"/>
      <c r="Q3046" s="9"/>
      <c r="R3046" s="9"/>
      <c r="S3046" s="9"/>
      <c r="T3046" s="9"/>
    </row>
    <row r="3047" ht="15.75" customHeight="1">
      <c r="A3047" s="11">
        <f>IFERROR(__xludf.DUMMYFUNCTION("""COMPUTED_VALUE"""),44471.0)</f>
        <v>44471</v>
      </c>
      <c r="B3047" s="9">
        <f>IFERROR(__xludf.DUMMYFUNCTION("""COMPUTED_VALUE"""),1003728.0)</f>
        <v>1003728</v>
      </c>
      <c r="C3047" s="9">
        <f>IFERROR(__xludf.DUMMYFUNCTION("""COMPUTED_VALUE"""),126579.0)</f>
        <v>126579</v>
      </c>
      <c r="D3047" s="9"/>
      <c r="E3047" s="9"/>
      <c r="F3047" s="9">
        <f>IFERROR(__xludf.DUMMYFUNCTION("""COMPUTED_VALUE"""),1.73)</f>
        <v>1.73</v>
      </c>
      <c r="G3047" s="9">
        <f>IFERROR(__xludf.DUMMYFUNCTION("""COMPUTED_VALUE"""),1.73)</f>
        <v>1.73</v>
      </c>
      <c r="H3047" s="9">
        <f>IFERROR(__xludf.DUMMYFUNCTION("""COMPUTED_VALUE"""),1.0)</f>
        <v>1</v>
      </c>
      <c r="I3047" s="9"/>
      <c r="J3047" s="9"/>
      <c r="K3047" s="9"/>
      <c r="L3047" s="9"/>
      <c r="M3047" s="9"/>
      <c r="N3047" s="9"/>
      <c r="O3047" s="9"/>
      <c r="P3047" s="9"/>
      <c r="Q3047" s="9"/>
      <c r="R3047" s="9"/>
      <c r="S3047" s="9"/>
      <c r="T3047" s="9"/>
    </row>
    <row r="3048" ht="15.75" customHeight="1">
      <c r="A3048" s="11">
        <f>IFERROR(__xludf.DUMMYFUNCTION("""COMPUTED_VALUE"""),44471.0)</f>
        <v>44471</v>
      </c>
      <c r="B3048" s="9">
        <f>IFERROR(__xludf.DUMMYFUNCTION("""COMPUTED_VALUE"""),1003728.0)</f>
        <v>1003728</v>
      </c>
      <c r="C3048" s="9">
        <f>IFERROR(__xludf.DUMMYFUNCTION("""COMPUTED_VALUE"""),24203.0)</f>
        <v>24203</v>
      </c>
      <c r="D3048" s="9"/>
      <c r="E3048" s="9"/>
      <c r="F3048" s="9">
        <f>IFERROR(__xludf.DUMMYFUNCTION("""COMPUTED_VALUE"""),3.09)</f>
        <v>3.09</v>
      </c>
      <c r="G3048" s="9">
        <f>IFERROR(__xludf.DUMMYFUNCTION("""COMPUTED_VALUE"""),3.09)</f>
        <v>3.09</v>
      </c>
      <c r="H3048" s="9">
        <f>IFERROR(__xludf.DUMMYFUNCTION("""COMPUTED_VALUE"""),1.0)</f>
        <v>1</v>
      </c>
      <c r="I3048" s="9"/>
      <c r="J3048" s="9"/>
      <c r="K3048" s="9"/>
      <c r="L3048" s="9"/>
      <c r="M3048" s="9"/>
      <c r="N3048" s="9"/>
      <c r="O3048" s="9"/>
      <c r="P3048" s="9"/>
      <c r="Q3048" s="9"/>
      <c r="R3048" s="9"/>
      <c r="S3048" s="9"/>
      <c r="T3048" s="9"/>
    </row>
    <row r="3049" ht="15.75" customHeight="1">
      <c r="A3049" s="11">
        <f>IFERROR(__xludf.DUMMYFUNCTION("""COMPUTED_VALUE"""),44471.0)</f>
        <v>44471</v>
      </c>
      <c r="B3049" s="9">
        <f>IFERROR(__xludf.DUMMYFUNCTION("""COMPUTED_VALUE"""),1003728.0)</f>
        <v>1003728</v>
      </c>
      <c r="C3049" s="9">
        <f>IFERROR(__xludf.DUMMYFUNCTION("""COMPUTED_VALUE"""),103230.0)</f>
        <v>103230</v>
      </c>
      <c r="D3049" s="10" t="str">
        <f>IFERROR(__xludf.DUMMYFUNCTION("""COMPUTED_VALUE"""),"Vive le bio")</f>
        <v>Vive le bio</v>
      </c>
      <c r="E3049" s="10"/>
      <c r="F3049" s="9">
        <f>IFERROR(__xludf.DUMMYFUNCTION("""COMPUTED_VALUE"""),8.96842105263157)</f>
        <v>8.968421053</v>
      </c>
      <c r="G3049" s="9">
        <f>IFERROR(__xludf.DUMMYFUNCTION("""COMPUTED_VALUE"""),8.52)</f>
        <v>8.52</v>
      </c>
      <c r="H3049" s="9">
        <f>IFERROR(__xludf.DUMMYFUNCTION("""COMPUTED_VALUE"""),1.0)</f>
        <v>1</v>
      </c>
      <c r="I3049" s="9"/>
      <c r="J3049" s="9"/>
      <c r="K3049" s="9"/>
      <c r="L3049" s="9"/>
      <c r="M3049" s="9"/>
      <c r="N3049" s="9"/>
      <c r="O3049" s="9"/>
      <c r="P3049" s="9"/>
      <c r="Q3049" s="9"/>
      <c r="R3049" s="9"/>
      <c r="S3049" s="9"/>
      <c r="T3049" s="9"/>
    </row>
    <row r="3050" ht="15.75" customHeight="1">
      <c r="A3050" s="11">
        <f>IFERROR(__xludf.DUMMYFUNCTION("""COMPUTED_VALUE"""),44471.0)</f>
        <v>44471</v>
      </c>
      <c r="B3050" s="9">
        <f>IFERROR(__xludf.DUMMYFUNCTION("""COMPUTED_VALUE"""),1003728.0)</f>
        <v>1003728</v>
      </c>
      <c r="C3050" s="9">
        <f>IFERROR(__xludf.DUMMYFUNCTION("""COMPUTED_VALUE"""),19341.0)</f>
        <v>19341</v>
      </c>
      <c r="D3050" s="9"/>
      <c r="E3050" s="9"/>
      <c r="F3050" s="9">
        <f>IFERROR(__xludf.DUMMYFUNCTION("""COMPUTED_VALUE"""),5.31)</f>
        <v>5.31</v>
      </c>
      <c r="G3050" s="9">
        <f>IFERROR(__xludf.DUMMYFUNCTION("""COMPUTED_VALUE"""),5.31)</f>
        <v>5.31</v>
      </c>
      <c r="H3050" s="9">
        <f>IFERROR(__xludf.DUMMYFUNCTION("""COMPUTED_VALUE"""),2.0)</f>
        <v>2</v>
      </c>
      <c r="I3050" s="9"/>
      <c r="J3050" s="9"/>
      <c r="K3050" s="9"/>
      <c r="L3050" s="9"/>
      <c r="M3050" s="9"/>
      <c r="N3050" s="9"/>
      <c r="O3050" s="9"/>
      <c r="P3050" s="9"/>
      <c r="Q3050" s="9"/>
      <c r="R3050" s="9"/>
      <c r="S3050" s="9"/>
      <c r="T3050" s="9"/>
    </row>
    <row r="3051" ht="15.75" customHeight="1">
      <c r="A3051" s="11">
        <f>IFERROR(__xludf.DUMMYFUNCTION("""COMPUTED_VALUE"""),44471.0)</f>
        <v>44471</v>
      </c>
      <c r="B3051" s="9">
        <f>IFERROR(__xludf.DUMMYFUNCTION("""COMPUTED_VALUE"""),1003728.0)</f>
        <v>1003728</v>
      </c>
      <c r="C3051" s="9">
        <f>IFERROR(__xludf.DUMMYFUNCTION("""COMPUTED_VALUE"""),78856.0)</f>
        <v>78856</v>
      </c>
      <c r="D3051" s="10" t="str">
        <f>IFERROR(__xludf.DUMMYFUNCTION("""COMPUTED_VALUE"""),"Vive le bio")</f>
        <v>Vive le bio</v>
      </c>
      <c r="E3051" s="10"/>
      <c r="F3051" s="9">
        <f>IFERROR(__xludf.DUMMYFUNCTION("""COMPUTED_VALUE"""),6.86666666666666)</f>
        <v>6.866666667</v>
      </c>
      <c r="G3051" s="9">
        <f>IFERROR(__xludf.DUMMYFUNCTION("""COMPUTED_VALUE"""),6.18)</f>
        <v>6.18</v>
      </c>
      <c r="H3051" s="9">
        <f>IFERROR(__xludf.DUMMYFUNCTION("""COMPUTED_VALUE"""),2.0)</f>
        <v>2</v>
      </c>
      <c r="I3051" s="9"/>
      <c r="J3051" s="9"/>
      <c r="K3051" s="9"/>
      <c r="L3051" s="9"/>
      <c r="M3051" s="9"/>
      <c r="N3051" s="9"/>
      <c r="O3051" s="9"/>
      <c r="P3051" s="9"/>
      <c r="Q3051" s="9"/>
      <c r="R3051" s="9"/>
      <c r="S3051" s="9"/>
      <c r="T3051" s="9"/>
    </row>
    <row r="3052" ht="15.75" customHeight="1">
      <c r="A3052" s="11">
        <f>IFERROR(__xludf.DUMMYFUNCTION("""COMPUTED_VALUE"""),44471.0)</f>
        <v>44471</v>
      </c>
      <c r="B3052" s="9">
        <f>IFERROR(__xludf.DUMMYFUNCTION("""COMPUTED_VALUE"""),1003728.0)</f>
        <v>1003728</v>
      </c>
      <c r="C3052" s="9">
        <f>IFERROR(__xludf.DUMMYFUNCTION("""COMPUTED_VALUE"""),29430.0)</f>
        <v>29430</v>
      </c>
      <c r="D3052" s="10" t="str">
        <f>IFERROR(__xludf.DUMMYFUNCTION("""COMPUTED_VALUE"""),"Mandorle PP 2021")</f>
        <v>Mandorle PP 2021</v>
      </c>
      <c r="E3052" s="10"/>
      <c r="F3052" s="9">
        <f>IFERROR(__xludf.DUMMYFUNCTION("""COMPUTED_VALUE"""),5.17647058823529)</f>
        <v>5.176470588</v>
      </c>
      <c r="G3052" s="9">
        <f>IFERROR(__xludf.DUMMYFUNCTION("""COMPUTED_VALUE"""),4.4)</f>
        <v>4.4</v>
      </c>
      <c r="H3052" s="9">
        <f>IFERROR(__xludf.DUMMYFUNCTION("""COMPUTED_VALUE"""),3.0)</f>
        <v>3</v>
      </c>
      <c r="I3052" s="9"/>
      <c r="J3052" s="9"/>
      <c r="K3052" s="9"/>
      <c r="L3052" s="9"/>
      <c r="M3052" s="9"/>
      <c r="N3052" s="9"/>
      <c r="O3052" s="9"/>
      <c r="P3052" s="9"/>
      <c r="Q3052" s="9"/>
      <c r="R3052" s="9"/>
      <c r="S3052" s="9"/>
      <c r="T3052" s="9"/>
    </row>
    <row r="3053" ht="15.75" customHeight="1">
      <c r="A3053" s="11">
        <f>IFERROR(__xludf.DUMMYFUNCTION("""COMPUTED_VALUE"""),44471.0)</f>
        <v>44471</v>
      </c>
      <c r="B3053" s="9">
        <f>IFERROR(__xludf.DUMMYFUNCTION("""COMPUTED_VALUE"""),1003728.0)</f>
        <v>1003728</v>
      </c>
      <c r="C3053" s="9">
        <f>IFERROR(__xludf.DUMMYFUNCTION("""COMPUTED_VALUE"""),16546.0)</f>
        <v>16546</v>
      </c>
      <c r="D3053" s="9"/>
      <c r="E3053" s="9"/>
      <c r="F3053" s="9">
        <f>IFERROR(__xludf.DUMMYFUNCTION("""COMPUTED_VALUE"""),4.2)</f>
        <v>4.2</v>
      </c>
      <c r="G3053" s="9">
        <f>IFERROR(__xludf.DUMMYFUNCTION("""COMPUTED_VALUE"""),4.2)</f>
        <v>4.2</v>
      </c>
      <c r="H3053" s="9">
        <f>IFERROR(__xludf.DUMMYFUNCTION("""COMPUTED_VALUE"""),3.0)</f>
        <v>3</v>
      </c>
      <c r="I3053" s="9"/>
      <c r="J3053" s="9"/>
      <c r="K3053" s="9"/>
      <c r="L3053" s="9"/>
      <c r="M3053" s="9"/>
      <c r="N3053" s="9"/>
      <c r="O3053" s="9"/>
      <c r="P3053" s="9"/>
      <c r="Q3053" s="9"/>
      <c r="R3053" s="9"/>
      <c r="S3053" s="9"/>
      <c r="T3053" s="9"/>
    </row>
    <row r="3054" ht="15.75" customHeight="1">
      <c r="A3054" s="11">
        <f>IFERROR(__xludf.DUMMYFUNCTION("""COMPUTED_VALUE"""),44471.0)</f>
        <v>44471</v>
      </c>
      <c r="B3054" s="9">
        <f>IFERROR(__xludf.DUMMYFUNCTION("""COMPUTED_VALUE"""),1003728.0)</f>
        <v>1003728</v>
      </c>
      <c r="C3054" s="9">
        <f>IFERROR(__xludf.DUMMYFUNCTION("""COMPUTED_VALUE"""),68374.0)</f>
        <v>68374</v>
      </c>
      <c r="D3054" s="9"/>
      <c r="E3054" s="9"/>
      <c r="F3054" s="9">
        <f>IFERROR(__xludf.DUMMYFUNCTION("""COMPUTED_VALUE"""),8.65)</f>
        <v>8.65</v>
      </c>
      <c r="G3054" s="9">
        <f>IFERROR(__xludf.DUMMYFUNCTION("""COMPUTED_VALUE"""),8.65)</f>
        <v>8.65</v>
      </c>
      <c r="H3054" s="9">
        <f>IFERROR(__xludf.DUMMYFUNCTION("""COMPUTED_VALUE"""),4.0)</f>
        <v>4</v>
      </c>
      <c r="I3054" s="9"/>
      <c r="J3054" s="9"/>
      <c r="K3054" s="9"/>
      <c r="L3054" s="9"/>
      <c r="M3054" s="9"/>
      <c r="N3054" s="9"/>
      <c r="O3054" s="9"/>
      <c r="P3054" s="9"/>
      <c r="Q3054" s="9"/>
      <c r="R3054" s="9"/>
      <c r="S3054" s="9"/>
      <c r="T3054" s="9"/>
    </row>
    <row r="3055" ht="15.75" customHeight="1">
      <c r="A3055" s="11">
        <f>IFERROR(__xludf.DUMMYFUNCTION("""COMPUTED_VALUE"""),44471.0)</f>
        <v>44471</v>
      </c>
      <c r="B3055" s="9">
        <f>IFERROR(__xludf.DUMMYFUNCTION("""COMPUTED_VALUE"""),1003728.0)</f>
        <v>1003728</v>
      </c>
      <c r="C3055" s="9">
        <f>IFERROR(__xludf.DUMMYFUNCTION("""COMPUTED_VALUE"""),83029.0)</f>
        <v>83029</v>
      </c>
      <c r="D3055" s="9"/>
      <c r="E3055" s="9"/>
      <c r="F3055" s="9">
        <f>IFERROR(__xludf.DUMMYFUNCTION("""COMPUTED_VALUE"""),3.93)</f>
        <v>3.93</v>
      </c>
      <c r="G3055" s="9">
        <f>IFERROR(__xludf.DUMMYFUNCTION("""COMPUTED_VALUE"""),3.93)</f>
        <v>3.93</v>
      </c>
      <c r="H3055" s="9">
        <f>IFERROR(__xludf.DUMMYFUNCTION("""COMPUTED_VALUE"""),5.0)</f>
        <v>5</v>
      </c>
      <c r="I3055" s="9"/>
      <c r="J3055" s="9"/>
      <c r="K3055" s="9"/>
      <c r="L3055" s="9"/>
      <c r="M3055" s="9"/>
      <c r="N3055" s="9"/>
      <c r="O3055" s="9"/>
      <c r="P3055" s="9"/>
      <c r="Q3055" s="9"/>
      <c r="R3055" s="9"/>
      <c r="S3055" s="9"/>
      <c r="T3055" s="9"/>
    </row>
    <row r="3056" ht="15.75" customHeight="1">
      <c r="A3056" s="11">
        <f>IFERROR(__xludf.DUMMYFUNCTION("""COMPUTED_VALUE"""),44471.0)</f>
        <v>44471</v>
      </c>
      <c r="B3056" s="9">
        <f>IFERROR(__xludf.DUMMYFUNCTION("""COMPUTED_VALUE"""),1003730.0)</f>
        <v>1003730</v>
      </c>
      <c r="C3056" s="9">
        <f>IFERROR(__xludf.DUMMYFUNCTION("""COMPUTED_VALUE"""),18088.0)</f>
        <v>18088</v>
      </c>
      <c r="D3056" s="9"/>
      <c r="E3056" s="9"/>
      <c r="F3056" s="9">
        <f>IFERROR(__xludf.DUMMYFUNCTION("""COMPUTED_VALUE"""),5.02)</f>
        <v>5.02</v>
      </c>
      <c r="G3056" s="9">
        <f>IFERROR(__xludf.DUMMYFUNCTION("""COMPUTED_VALUE"""),5.02)</f>
        <v>5.02</v>
      </c>
      <c r="H3056" s="9">
        <f>IFERROR(__xludf.DUMMYFUNCTION("""COMPUTED_VALUE"""),1.0)</f>
        <v>1</v>
      </c>
      <c r="I3056" s="9"/>
      <c r="J3056" s="9"/>
      <c r="K3056" s="9"/>
      <c r="L3056" s="9"/>
      <c r="M3056" s="9"/>
      <c r="N3056" s="9"/>
      <c r="O3056" s="9"/>
      <c r="P3056" s="9"/>
      <c r="Q3056" s="9"/>
      <c r="R3056" s="9"/>
      <c r="S3056" s="9"/>
      <c r="T3056" s="9"/>
    </row>
    <row r="3057" ht="15.75" customHeight="1">
      <c r="A3057" s="11">
        <f>IFERROR(__xludf.DUMMYFUNCTION("""COMPUTED_VALUE"""),44471.0)</f>
        <v>44471</v>
      </c>
      <c r="B3057" s="9">
        <f>IFERROR(__xludf.DUMMYFUNCTION("""COMPUTED_VALUE"""),1003730.0)</f>
        <v>1003730</v>
      </c>
      <c r="C3057" s="9">
        <f>IFERROR(__xludf.DUMMYFUNCTION("""COMPUTED_VALUE"""),109381.0)</f>
        <v>109381</v>
      </c>
      <c r="D3057" s="9"/>
      <c r="E3057" s="9"/>
      <c r="F3057" s="9">
        <f>IFERROR(__xludf.DUMMYFUNCTION("""COMPUTED_VALUE"""),2.14)</f>
        <v>2.14</v>
      </c>
      <c r="G3057" s="9">
        <f>IFERROR(__xludf.DUMMYFUNCTION("""COMPUTED_VALUE"""),2.14)</f>
        <v>2.14</v>
      </c>
      <c r="H3057" s="9">
        <f>IFERROR(__xludf.DUMMYFUNCTION("""COMPUTED_VALUE"""),1.0)</f>
        <v>1</v>
      </c>
      <c r="I3057" s="9"/>
      <c r="J3057" s="9"/>
      <c r="K3057" s="9"/>
      <c r="L3057" s="9"/>
      <c r="M3057" s="9"/>
      <c r="N3057" s="9"/>
      <c r="O3057" s="9"/>
      <c r="P3057" s="9"/>
      <c r="Q3057" s="9"/>
      <c r="R3057" s="9"/>
      <c r="S3057" s="9"/>
      <c r="T3057" s="9"/>
    </row>
    <row r="3058" ht="15.75" customHeight="1">
      <c r="A3058" s="11">
        <f>IFERROR(__xludf.DUMMYFUNCTION("""COMPUTED_VALUE"""),44471.0)</f>
        <v>44471</v>
      </c>
      <c r="B3058" s="9">
        <f>IFERROR(__xludf.DUMMYFUNCTION("""COMPUTED_VALUE"""),1003730.0)</f>
        <v>1003730</v>
      </c>
      <c r="C3058" s="9">
        <f>IFERROR(__xludf.DUMMYFUNCTION("""COMPUTED_VALUE"""),79011.0)</f>
        <v>79011</v>
      </c>
      <c r="D3058" s="9"/>
      <c r="E3058" s="9"/>
      <c r="F3058" s="9">
        <f>IFERROR(__xludf.DUMMYFUNCTION("""COMPUTED_VALUE"""),1.57)</f>
        <v>1.57</v>
      </c>
      <c r="G3058" s="9">
        <f>IFERROR(__xludf.DUMMYFUNCTION("""COMPUTED_VALUE"""),1.57)</f>
        <v>1.57</v>
      </c>
      <c r="H3058" s="9">
        <f>IFERROR(__xludf.DUMMYFUNCTION("""COMPUTED_VALUE"""),1.0)</f>
        <v>1</v>
      </c>
      <c r="I3058" s="9"/>
      <c r="J3058" s="9"/>
      <c r="K3058" s="9"/>
      <c r="L3058" s="9"/>
      <c r="M3058" s="9"/>
      <c r="N3058" s="9"/>
      <c r="O3058" s="9"/>
      <c r="P3058" s="9"/>
      <c r="Q3058" s="9"/>
      <c r="R3058" s="9"/>
      <c r="S3058" s="9"/>
      <c r="T3058" s="9"/>
    </row>
    <row r="3059" ht="15.75" customHeight="1">
      <c r="A3059" s="11">
        <f>IFERROR(__xludf.DUMMYFUNCTION("""COMPUTED_VALUE"""),44471.0)</f>
        <v>44471</v>
      </c>
      <c r="B3059" s="9">
        <f>IFERROR(__xludf.DUMMYFUNCTION("""COMPUTED_VALUE"""),1003730.0)</f>
        <v>1003730</v>
      </c>
      <c r="C3059" s="9">
        <f>IFERROR(__xludf.DUMMYFUNCTION("""COMPUTED_VALUE"""),82193.0)</f>
        <v>82193</v>
      </c>
      <c r="D3059" s="10" t="str">
        <f>IFERROR(__xludf.DUMMYFUNCTION("""COMPUTED_VALUE"""),"Vive le bio")</f>
        <v>Vive le bio</v>
      </c>
      <c r="E3059" s="10"/>
      <c r="F3059" s="9">
        <f>IFERROR(__xludf.DUMMYFUNCTION("""COMPUTED_VALUE"""),5.95555555555555)</f>
        <v>5.955555556</v>
      </c>
      <c r="G3059" s="9">
        <f>IFERROR(__xludf.DUMMYFUNCTION("""COMPUTED_VALUE"""),5.36)</f>
        <v>5.36</v>
      </c>
      <c r="H3059" s="9">
        <f>IFERROR(__xludf.DUMMYFUNCTION("""COMPUTED_VALUE"""),1.0)</f>
        <v>1</v>
      </c>
      <c r="I3059" s="9"/>
      <c r="J3059" s="9"/>
      <c r="K3059" s="9"/>
      <c r="L3059" s="9"/>
      <c r="M3059" s="9"/>
      <c r="N3059" s="9"/>
      <c r="O3059" s="9"/>
      <c r="P3059" s="9"/>
      <c r="Q3059" s="9"/>
      <c r="R3059" s="9"/>
      <c r="S3059" s="9"/>
      <c r="T3059" s="9"/>
    </row>
    <row r="3060" ht="15.75" customHeight="1">
      <c r="A3060" s="11">
        <f>IFERROR(__xludf.DUMMYFUNCTION("""COMPUTED_VALUE"""),44471.0)</f>
        <v>44471</v>
      </c>
      <c r="B3060" s="9">
        <f>IFERROR(__xludf.DUMMYFUNCTION("""COMPUTED_VALUE"""),1003730.0)</f>
        <v>1003730</v>
      </c>
      <c r="C3060" s="9">
        <f>IFERROR(__xludf.DUMMYFUNCTION("""COMPUTED_VALUE"""),116275.0)</f>
        <v>116275</v>
      </c>
      <c r="D3060" s="9"/>
      <c r="E3060" s="9"/>
      <c r="F3060" s="9">
        <f>IFERROR(__xludf.DUMMYFUNCTION("""COMPUTED_VALUE"""),5.32)</f>
        <v>5.32</v>
      </c>
      <c r="G3060" s="9">
        <f>IFERROR(__xludf.DUMMYFUNCTION("""COMPUTED_VALUE"""),5.32)</f>
        <v>5.32</v>
      </c>
      <c r="H3060" s="9">
        <f>IFERROR(__xludf.DUMMYFUNCTION("""COMPUTED_VALUE"""),1.0)</f>
        <v>1</v>
      </c>
      <c r="I3060" s="9"/>
      <c r="J3060" s="9"/>
      <c r="K3060" s="9"/>
      <c r="L3060" s="9"/>
      <c r="M3060" s="9"/>
      <c r="N3060" s="9"/>
      <c r="O3060" s="9"/>
      <c r="P3060" s="9"/>
      <c r="Q3060" s="9"/>
      <c r="R3060" s="9"/>
      <c r="S3060" s="9"/>
      <c r="T3060" s="9"/>
    </row>
    <row r="3061" ht="15.75" customHeight="1">
      <c r="A3061" s="11">
        <f>IFERROR(__xludf.DUMMYFUNCTION("""COMPUTED_VALUE"""),44471.0)</f>
        <v>44471</v>
      </c>
      <c r="B3061" s="9">
        <f>IFERROR(__xludf.DUMMYFUNCTION("""COMPUTED_VALUE"""),1003730.0)</f>
        <v>1003730</v>
      </c>
      <c r="C3061" s="9">
        <f>IFERROR(__xludf.DUMMYFUNCTION("""COMPUTED_VALUE"""),18138.0)</f>
        <v>18138</v>
      </c>
      <c r="D3061" s="9"/>
      <c r="E3061" s="9"/>
      <c r="F3061" s="9">
        <f>IFERROR(__xludf.DUMMYFUNCTION("""COMPUTED_VALUE"""),10.14)</f>
        <v>10.14</v>
      </c>
      <c r="G3061" s="9">
        <f>IFERROR(__xludf.DUMMYFUNCTION("""COMPUTED_VALUE"""),10.14)</f>
        <v>10.14</v>
      </c>
      <c r="H3061" s="9">
        <f>IFERROR(__xludf.DUMMYFUNCTION("""COMPUTED_VALUE"""),1.0)</f>
        <v>1</v>
      </c>
      <c r="I3061" s="9"/>
      <c r="J3061" s="9"/>
      <c r="K3061" s="9"/>
      <c r="L3061" s="9"/>
      <c r="M3061" s="9"/>
      <c r="N3061" s="9"/>
      <c r="O3061" s="9"/>
      <c r="P3061" s="9"/>
      <c r="Q3061" s="9"/>
      <c r="R3061" s="9"/>
      <c r="S3061" s="9"/>
      <c r="T3061" s="9"/>
    </row>
    <row r="3062" ht="15.75" customHeight="1">
      <c r="A3062" s="11">
        <f>IFERROR(__xludf.DUMMYFUNCTION("""COMPUTED_VALUE"""),44471.0)</f>
        <v>44471</v>
      </c>
      <c r="B3062" s="9">
        <f>IFERROR(__xludf.DUMMYFUNCTION("""COMPUTED_VALUE"""),1003730.0)</f>
        <v>1003730</v>
      </c>
      <c r="C3062" s="9">
        <f>IFERROR(__xludf.DUMMYFUNCTION("""COMPUTED_VALUE"""),74382.0)</f>
        <v>74382</v>
      </c>
      <c r="D3062" s="9"/>
      <c r="E3062" s="9"/>
      <c r="F3062" s="9">
        <f>IFERROR(__xludf.DUMMYFUNCTION("""COMPUTED_VALUE"""),3.42)</f>
        <v>3.42</v>
      </c>
      <c r="G3062" s="9">
        <f>IFERROR(__xludf.DUMMYFUNCTION("""COMPUTED_VALUE"""),3.42)</f>
        <v>3.42</v>
      </c>
      <c r="H3062" s="9">
        <f>IFERROR(__xludf.DUMMYFUNCTION("""COMPUTED_VALUE"""),1.0)</f>
        <v>1</v>
      </c>
      <c r="I3062" s="9"/>
      <c r="J3062" s="9"/>
      <c r="K3062" s="9"/>
      <c r="L3062" s="9"/>
      <c r="M3062" s="9"/>
      <c r="N3062" s="9"/>
      <c r="O3062" s="9"/>
      <c r="P3062" s="9"/>
      <c r="Q3062" s="9"/>
      <c r="R3062" s="9"/>
      <c r="S3062" s="9"/>
      <c r="T3062" s="9"/>
    </row>
    <row r="3063" ht="15.75" customHeight="1">
      <c r="A3063" s="11">
        <f>IFERROR(__xludf.DUMMYFUNCTION("""COMPUTED_VALUE"""),44471.0)</f>
        <v>44471</v>
      </c>
      <c r="B3063" s="9">
        <f>IFERROR(__xludf.DUMMYFUNCTION("""COMPUTED_VALUE"""),1003730.0)</f>
        <v>1003730</v>
      </c>
      <c r="C3063" s="9">
        <f>IFERROR(__xludf.DUMMYFUNCTION("""COMPUTED_VALUE"""),120875.0)</f>
        <v>120875</v>
      </c>
      <c r="D3063" s="10" t="str">
        <f>IFERROR(__xludf.DUMMYFUNCTION("""COMPUTED_VALUE"""),"Vive le bio")</f>
        <v>Vive le bio</v>
      </c>
      <c r="E3063" s="10"/>
      <c r="F3063" s="9">
        <f>IFERROR(__xludf.DUMMYFUNCTION("""COMPUTED_VALUE"""),3.08888888888888)</f>
        <v>3.088888889</v>
      </c>
      <c r="G3063" s="9">
        <f>IFERROR(__xludf.DUMMYFUNCTION("""COMPUTED_VALUE"""),2.78)</f>
        <v>2.78</v>
      </c>
      <c r="H3063" s="9">
        <f>IFERROR(__xludf.DUMMYFUNCTION("""COMPUTED_VALUE"""),1.0)</f>
        <v>1</v>
      </c>
      <c r="I3063" s="9"/>
      <c r="J3063" s="9"/>
      <c r="K3063" s="9"/>
      <c r="L3063" s="9"/>
      <c r="M3063" s="9"/>
      <c r="N3063" s="9"/>
      <c r="O3063" s="9"/>
      <c r="P3063" s="9"/>
      <c r="Q3063" s="9"/>
      <c r="R3063" s="9"/>
      <c r="S3063" s="9"/>
      <c r="T3063" s="9"/>
    </row>
    <row r="3064" ht="15.75" customHeight="1">
      <c r="A3064" s="11">
        <f>IFERROR(__xludf.DUMMYFUNCTION("""COMPUTED_VALUE"""),44471.0)</f>
        <v>44471</v>
      </c>
      <c r="B3064" s="9">
        <f>IFERROR(__xludf.DUMMYFUNCTION("""COMPUTED_VALUE"""),1003730.0)</f>
        <v>1003730</v>
      </c>
      <c r="C3064" s="9">
        <f>IFERROR(__xludf.DUMMYFUNCTION("""COMPUTED_VALUE"""),100819.0)</f>
        <v>100819</v>
      </c>
      <c r="D3064" s="10" t="str">
        <f>IFERROR(__xludf.DUMMYFUNCTION("""COMPUTED_VALUE"""),"Offre speciale")</f>
        <v>Offre speciale</v>
      </c>
      <c r="E3064" s="10"/>
      <c r="F3064" s="9">
        <f>IFERROR(__xludf.DUMMYFUNCTION("""COMPUTED_VALUE"""),3.31764705882352)</f>
        <v>3.317647059</v>
      </c>
      <c r="G3064" s="9">
        <f>IFERROR(__xludf.DUMMYFUNCTION("""COMPUTED_VALUE"""),2.82)</f>
        <v>2.82</v>
      </c>
      <c r="H3064" s="9">
        <f>IFERROR(__xludf.DUMMYFUNCTION("""COMPUTED_VALUE"""),1.0)</f>
        <v>1</v>
      </c>
      <c r="I3064" s="9"/>
      <c r="J3064" s="9"/>
      <c r="K3064" s="9"/>
      <c r="L3064" s="9"/>
      <c r="M3064" s="9"/>
      <c r="N3064" s="9"/>
      <c r="O3064" s="9"/>
      <c r="P3064" s="9"/>
      <c r="Q3064" s="9"/>
      <c r="R3064" s="9"/>
      <c r="S3064" s="9"/>
      <c r="T3064" s="9"/>
    </row>
    <row r="3065" ht="15.75" customHeight="1">
      <c r="A3065" s="11">
        <f>IFERROR(__xludf.DUMMYFUNCTION("""COMPUTED_VALUE"""),44471.0)</f>
        <v>44471</v>
      </c>
      <c r="B3065" s="9">
        <f>IFERROR(__xludf.DUMMYFUNCTION("""COMPUTED_VALUE"""),1003730.0)</f>
        <v>1003730</v>
      </c>
      <c r="C3065" s="9">
        <f>IFERROR(__xludf.DUMMYFUNCTION("""COMPUTED_VALUE"""),128326.0)</f>
        <v>128326</v>
      </c>
      <c r="D3065" s="9"/>
      <c r="E3065" s="9"/>
      <c r="F3065" s="9">
        <f>IFERROR(__xludf.DUMMYFUNCTION("""COMPUTED_VALUE"""),4.89)</f>
        <v>4.89</v>
      </c>
      <c r="G3065" s="9">
        <f>IFERROR(__xludf.DUMMYFUNCTION("""COMPUTED_VALUE"""),4.89)</f>
        <v>4.89</v>
      </c>
      <c r="H3065" s="9">
        <f>IFERROR(__xludf.DUMMYFUNCTION("""COMPUTED_VALUE"""),1.0)</f>
        <v>1</v>
      </c>
      <c r="I3065" s="9"/>
      <c r="J3065" s="9"/>
      <c r="K3065" s="9"/>
      <c r="L3065" s="9"/>
      <c r="M3065" s="9"/>
      <c r="N3065" s="9"/>
      <c r="O3065" s="9"/>
      <c r="P3065" s="9"/>
      <c r="Q3065" s="9"/>
      <c r="R3065" s="9"/>
      <c r="S3065" s="9"/>
      <c r="T3065" s="9"/>
    </row>
    <row r="3066" ht="15.75" customHeight="1">
      <c r="A3066" s="11">
        <f>IFERROR(__xludf.DUMMYFUNCTION("""COMPUTED_VALUE"""),44471.0)</f>
        <v>44471</v>
      </c>
      <c r="B3066" s="9">
        <f>IFERROR(__xludf.DUMMYFUNCTION("""COMPUTED_VALUE"""),1003730.0)</f>
        <v>1003730</v>
      </c>
      <c r="C3066" s="9">
        <f>IFERROR(__xludf.DUMMYFUNCTION("""COMPUTED_VALUE"""),128311.0)</f>
        <v>128311</v>
      </c>
      <c r="D3066" s="9"/>
      <c r="E3066" s="9"/>
      <c r="F3066" s="9">
        <f>IFERROR(__xludf.DUMMYFUNCTION("""COMPUTED_VALUE"""),4.4)</f>
        <v>4.4</v>
      </c>
      <c r="G3066" s="9">
        <f>IFERROR(__xludf.DUMMYFUNCTION("""COMPUTED_VALUE"""),4.4)</f>
        <v>4.4</v>
      </c>
      <c r="H3066" s="9">
        <f>IFERROR(__xludf.DUMMYFUNCTION("""COMPUTED_VALUE"""),1.0)</f>
        <v>1</v>
      </c>
      <c r="I3066" s="9"/>
      <c r="J3066" s="9"/>
      <c r="K3066" s="9"/>
      <c r="L3066" s="9"/>
      <c r="M3066" s="9"/>
      <c r="N3066" s="9"/>
      <c r="O3066" s="9"/>
      <c r="P3066" s="9"/>
      <c r="Q3066" s="9"/>
      <c r="R3066" s="9"/>
      <c r="S3066" s="9"/>
      <c r="T3066" s="9"/>
    </row>
    <row r="3067" ht="15.75" customHeight="1">
      <c r="A3067" s="11">
        <f>IFERROR(__xludf.DUMMYFUNCTION("""COMPUTED_VALUE"""),44471.0)</f>
        <v>44471</v>
      </c>
      <c r="B3067" s="9">
        <f>IFERROR(__xludf.DUMMYFUNCTION("""COMPUTED_VALUE"""),1003730.0)</f>
        <v>1003730</v>
      </c>
      <c r="C3067" s="9">
        <f>IFERROR(__xludf.DUMMYFUNCTION("""COMPUTED_VALUE"""),128309.0)</f>
        <v>128309</v>
      </c>
      <c r="D3067" s="9"/>
      <c r="E3067" s="9"/>
      <c r="F3067" s="9">
        <f>IFERROR(__xludf.DUMMYFUNCTION("""COMPUTED_VALUE"""),4.44)</f>
        <v>4.44</v>
      </c>
      <c r="G3067" s="9">
        <f>IFERROR(__xludf.DUMMYFUNCTION("""COMPUTED_VALUE"""),4.44)</f>
        <v>4.44</v>
      </c>
      <c r="H3067" s="9">
        <f>IFERROR(__xludf.DUMMYFUNCTION("""COMPUTED_VALUE"""),1.0)</f>
        <v>1</v>
      </c>
      <c r="I3067" s="9"/>
      <c r="J3067" s="9"/>
      <c r="K3067" s="9"/>
      <c r="L3067" s="9"/>
      <c r="M3067" s="9"/>
      <c r="N3067" s="9"/>
      <c r="O3067" s="9"/>
      <c r="P3067" s="9"/>
      <c r="Q3067" s="9"/>
      <c r="R3067" s="9"/>
      <c r="S3067" s="9"/>
      <c r="T3067" s="9"/>
    </row>
    <row r="3068" ht="15.75" customHeight="1">
      <c r="A3068" s="11">
        <f>IFERROR(__xludf.DUMMYFUNCTION("""COMPUTED_VALUE"""),44471.0)</f>
        <v>44471</v>
      </c>
      <c r="B3068" s="9">
        <f>IFERROR(__xludf.DUMMYFUNCTION("""COMPUTED_VALUE"""),1003730.0)</f>
        <v>1003730</v>
      </c>
      <c r="C3068" s="9">
        <f>IFERROR(__xludf.DUMMYFUNCTION("""COMPUTED_VALUE"""),128313.0)</f>
        <v>128313</v>
      </c>
      <c r="D3068" s="9"/>
      <c r="E3068" s="9"/>
      <c r="F3068" s="9">
        <f>IFERROR(__xludf.DUMMYFUNCTION("""COMPUTED_VALUE"""),4.44)</f>
        <v>4.44</v>
      </c>
      <c r="G3068" s="9">
        <f>IFERROR(__xludf.DUMMYFUNCTION("""COMPUTED_VALUE"""),4.44)</f>
        <v>4.44</v>
      </c>
      <c r="H3068" s="9">
        <f>IFERROR(__xludf.DUMMYFUNCTION("""COMPUTED_VALUE"""),1.0)</f>
        <v>1</v>
      </c>
      <c r="I3068" s="9"/>
      <c r="J3068" s="9"/>
      <c r="K3068" s="9"/>
      <c r="L3068" s="9"/>
      <c r="M3068" s="9"/>
      <c r="N3068" s="9"/>
      <c r="O3068" s="9"/>
      <c r="P3068" s="9"/>
      <c r="Q3068" s="9"/>
      <c r="R3068" s="9"/>
      <c r="S3068" s="9"/>
      <c r="T3068" s="9"/>
    </row>
    <row r="3069" ht="15.75" customHeight="1">
      <c r="A3069" s="11">
        <f>IFERROR(__xludf.DUMMYFUNCTION("""COMPUTED_VALUE"""),44471.0)</f>
        <v>44471</v>
      </c>
      <c r="B3069" s="9">
        <f>IFERROR(__xludf.DUMMYFUNCTION("""COMPUTED_VALUE"""),1003730.0)</f>
        <v>1003730</v>
      </c>
      <c r="C3069" s="9">
        <f>IFERROR(__xludf.DUMMYFUNCTION("""COMPUTED_VALUE"""),121460.0)</f>
        <v>121460</v>
      </c>
      <c r="D3069" s="9"/>
      <c r="E3069" s="9"/>
      <c r="F3069" s="9">
        <f>IFERROR(__xludf.DUMMYFUNCTION("""COMPUTED_VALUE"""),0.87)</f>
        <v>0.87</v>
      </c>
      <c r="G3069" s="9">
        <f>IFERROR(__xludf.DUMMYFUNCTION("""COMPUTED_VALUE"""),0.87)</f>
        <v>0.87</v>
      </c>
      <c r="H3069" s="9">
        <f>IFERROR(__xludf.DUMMYFUNCTION("""COMPUTED_VALUE"""),1.0)</f>
        <v>1</v>
      </c>
      <c r="I3069" s="9"/>
      <c r="J3069" s="9"/>
      <c r="K3069" s="9"/>
      <c r="L3069" s="9"/>
      <c r="M3069" s="9"/>
      <c r="N3069" s="9"/>
      <c r="O3069" s="9"/>
      <c r="P3069" s="9"/>
      <c r="Q3069" s="9"/>
      <c r="R3069" s="9"/>
      <c r="S3069" s="9"/>
      <c r="T3069" s="9"/>
    </row>
    <row r="3070" ht="15.75" customHeight="1">
      <c r="A3070" s="11">
        <f>IFERROR(__xludf.DUMMYFUNCTION("""COMPUTED_VALUE"""),44471.0)</f>
        <v>44471</v>
      </c>
      <c r="B3070" s="9">
        <f>IFERROR(__xludf.DUMMYFUNCTION("""COMPUTED_VALUE"""),1003730.0)</f>
        <v>1003730</v>
      </c>
      <c r="C3070" s="9">
        <f>IFERROR(__xludf.DUMMYFUNCTION("""COMPUTED_VALUE"""),116274.0)</f>
        <v>116274</v>
      </c>
      <c r="D3070" s="9"/>
      <c r="E3070" s="9"/>
      <c r="F3070" s="9">
        <f>IFERROR(__xludf.DUMMYFUNCTION("""COMPUTED_VALUE"""),3.86)</f>
        <v>3.86</v>
      </c>
      <c r="G3070" s="9">
        <f>IFERROR(__xludf.DUMMYFUNCTION("""COMPUTED_VALUE"""),3.86)</f>
        <v>3.86</v>
      </c>
      <c r="H3070" s="9">
        <f>IFERROR(__xludf.DUMMYFUNCTION("""COMPUTED_VALUE"""),1.0)</f>
        <v>1</v>
      </c>
      <c r="I3070" s="9"/>
      <c r="J3070" s="9"/>
      <c r="K3070" s="9"/>
      <c r="L3070" s="9"/>
      <c r="M3070" s="9"/>
      <c r="N3070" s="9"/>
      <c r="O3070" s="9"/>
      <c r="P3070" s="9"/>
      <c r="Q3070" s="9"/>
      <c r="R3070" s="9"/>
      <c r="S3070" s="9"/>
      <c r="T3070" s="9"/>
    </row>
    <row r="3071" ht="15.75" customHeight="1">
      <c r="A3071" s="11">
        <f>IFERROR(__xludf.DUMMYFUNCTION("""COMPUTED_VALUE"""),44471.0)</f>
        <v>44471</v>
      </c>
      <c r="B3071" s="9">
        <f>IFERROR(__xludf.DUMMYFUNCTION("""COMPUTED_VALUE"""),1003730.0)</f>
        <v>1003730</v>
      </c>
      <c r="C3071" s="9">
        <f>IFERROR(__xludf.DUMMYFUNCTION("""COMPUTED_VALUE"""),89155.0)</f>
        <v>89155</v>
      </c>
      <c r="D3071" s="9"/>
      <c r="E3071" s="9"/>
      <c r="F3071" s="9">
        <f>IFERROR(__xludf.DUMMYFUNCTION("""COMPUTED_VALUE"""),3.49)</f>
        <v>3.49</v>
      </c>
      <c r="G3071" s="9">
        <f>IFERROR(__xludf.DUMMYFUNCTION("""COMPUTED_VALUE"""),3.49)</f>
        <v>3.49</v>
      </c>
      <c r="H3071" s="9">
        <f>IFERROR(__xludf.DUMMYFUNCTION("""COMPUTED_VALUE"""),1.0)</f>
        <v>1</v>
      </c>
      <c r="I3071" s="9"/>
      <c r="J3071" s="9"/>
      <c r="K3071" s="9"/>
      <c r="L3071" s="9"/>
      <c r="M3071" s="9"/>
      <c r="N3071" s="9"/>
      <c r="O3071" s="9"/>
      <c r="P3071" s="9"/>
      <c r="Q3071" s="9"/>
      <c r="R3071" s="9"/>
      <c r="S3071" s="9"/>
      <c r="T3071" s="9"/>
    </row>
    <row r="3072" ht="15.75" customHeight="1">
      <c r="A3072" s="11">
        <f>IFERROR(__xludf.DUMMYFUNCTION("""COMPUTED_VALUE"""),44471.0)</f>
        <v>44471</v>
      </c>
      <c r="B3072" s="9">
        <f>IFERROR(__xludf.DUMMYFUNCTION("""COMPUTED_VALUE"""),1003730.0)</f>
        <v>1003730</v>
      </c>
      <c r="C3072" s="9">
        <f>IFERROR(__xludf.DUMMYFUNCTION("""COMPUTED_VALUE"""),20951.0)</f>
        <v>20951</v>
      </c>
      <c r="D3072" s="10" t="str">
        <f>IFERROR(__xludf.DUMMYFUNCTION("""COMPUTED_VALUE"""),"Vive le bio")</f>
        <v>Vive le bio</v>
      </c>
      <c r="E3072" s="10"/>
      <c r="F3072" s="9">
        <f>IFERROR(__xludf.DUMMYFUNCTION("""COMPUTED_VALUE"""),3.86666666666666)</f>
        <v>3.866666667</v>
      </c>
      <c r="G3072" s="9">
        <f>IFERROR(__xludf.DUMMYFUNCTION("""COMPUTED_VALUE"""),3.48)</f>
        <v>3.48</v>
      </c>
      <c r="H3072" s="9">
        <f>IFERROR(__xludf.DUMMYFUNCTION("""COMPUTED_VALUE"""),1.0)</f>
        <v>1</v>
      </c>
      <c r="I3072" s="9"/>
      <c r="J3072" s="9"/>
      <c r="K3072" s="9"/>
      <c r="L3072" s="9"/>
      <c r="M3072" s="9"/>
      <c r="N3072" s="9"/>
      <c r="O3072" s="9"/>
      <c r="P3072" s="9"/>
      <c r="Q3072" s="9"/>
      <c r="R3072" s="9"/>
      <c r="S3072" s="9"/>
      <c r="T3072" s="9"/>
    </row>
    <row r="3073" ht="15.75" customHeight="1">
      <c r="A3073" s="11">
        <f>IFERROR(__xludf.DUMMYFUNCTION("""COMPUTED_VALUE"""),44471.0)</f>
        <v>44471</v>
      </c>
      <c r="B3073" s="9">
        <f>IFERROR(__xludf.DUMMYFUNCTION("""COMPUTED_VALUE"""),1003730.0)</f>
        <v>1003730</v>
      </c>
      <c r="C3073" s="9">
        <f>IFERROR(__xludf.DUMMYFUNCTION("""COMPUTED_VALUE"""),115750.0)</f>
        <v>115750</v>
      </c>
      <c r="D3073" s="9"/>
      <c r="E3073" s="9"/>
      <c r="F3073" s="9">
        <f>IFERROR(__xludf.DUMMYFUNCTION("""COMPUTED_VALUE"""),1.82)</f>
        <v>1.82</v>
      </c>
      <c r="G3073" s="9">
        <f>IFERROR(__xludf.DUMMYFUNCTION("""COMPUTED_VALUE"""),1.82)</f>
        <v>1.82</v>
      </c>
      <c r="H3073" s="9">
        <f>IFERROR(__xludf.DUMMYFUNCTION("""COMPUTED_VALUE"""),2.0)</f>
        <v>2</v>
      </c>
      <c r="I3073" s="9"/>
      <c r="J3073" s="9"/>
      <c r="K3073" s="9"/>
      <c r="L3073" s="9"/>
      <c r="M3073" s="9"/>
      <c r="N3073" s="9"/>
      <c r="O3073" s="9"/>
      <c r="P3073" s="9"/>
      <c r="Q3073" s="9"/>
      <c r="R3073" s="9"/>
      <c r="S3073" s="9"/>
      <c r="T3073" s="9"/>
    </row>
    <row r="3074" ht="15.75" customHeight="1">
      <c r="A3074" s="11">
        <f>IFERROR(__xludf.DUMMYFUNCTION("""COMPUTED_VALUE"""),44471.0)</f>
        <v>44471</v>
      </c>
      <c r="B3074" s="9">
        <f>IFERROR(__xludf.DUMMYFUNCTION("""COMPUTED_VALUE"""),1003730.0)</f>
        <v>1003730</v>
      </c>
      <c r="C3074" s="9">
        <f>IFERROR(__xludf.DUMMYFUNCTION("""COMPUTED_VALUE"""),115755.0)</f>
        <v>115755</v>
      </c>
      <c r="D3074" s="9"/>
      <c r="E3074" s="9"/>
      <c r="F3074" s="9">
        <f>IFERROR(__xludf.DUMMYFUNCTION("""COMPUTED_VALUE"""),1.92)</f>
        <v>1.92</v>
      </c>
      <c r="G3074" s="9">
        <f>IFERROR(__xludf.DUMMYFUNCTION("""COMPUTED_VALUE"""),1.92)</f>
        <v>1.92</v>
      </c>
      <c r="H3074" s="9">
        <f>IFERROR(__xludf.DUMMYFUNCTION("""COMPUTED_VALUE"""),2.0)</f>
        <v>2</v>
      </c>
      <c r="I3074" s="9"/>
      <c r="J3074" s="9"/>
      <c r="K3074" s="9"/>
      <c r="L3074" s="9"/>
      <c r="M3074" s="9"/>
      <c r="N3074" s="9"/>
      <c r="O3074" s="9"/>
      <c r="P3074" s="9"/>
      <c r="Q3074" s="9"/>
      <c r="R3074" s="9"/>
      <c r="S3074" s="9"/>
      <c r="T3074" s="9"/>
    </row>
    <row r="3075" ht="15.75" customHeight="1">
      <c r="A3075" s="11">
        <f>IFERROR(__xludf.DUMMYFUNCTION("""COMPUTED_VALUE"""),44471.0)</f>
        <v>44471</v>
      </c>
      <c r="B3075" s="9">
        <f>IFERROR(__xludf.DUMMYFUNCTION("""COMPUTED_VALUE"""),1003730.0)</f>
        <v>1003730</v>
      </c>
      <c r="C3075" s="9">
        <f>IFERROR(__xludf.DUMMYFUNCTION("""COMPUTED_VALUE"""),115761.0)</f>
        <v>115761</v>
      </c>
      <c r="D3075" s="9"/>
      <c r="E3075" s="9"/>
      <c r="F3075" s="9">
        <f>IFERROR(__xludf.DUMMYFUNCTION("""COMPUTED_VALUE"""),2.61)</f>
        <v>2.61</v>
      </c>
      <c r="G3075" s="9">
        <f>IFERROR(__xludf.DUMMYFUNCTION("""COMPUTED_VALUE"""),2.61)</f>
        <v>2.61</v>
      </c>
      <c r="H3075" s="9">
        <f>IFERROR(__xludf.DUMMYFUNCTION("""COMPUTED_VALUE"""),2.0)</f>
        <v>2</v>
      </c>
      <c r="I3075" s="9"/>
      <c r="J3075" s="9"/>
      <c r="K3075" s="9"/>
      <c r="L3075" s="9"/>
      <c r="M3075" s="9"/>
      <c r="N3075" s="9"/>
      <c r="O3075" s="9"/>
      <c r="P3075" s="9"/>
      <c r="Q3075" s="9"/>
      <c r="R3075" s="9"/>
      <c r="S3075" s="9"/>
      <c r="T3075" s="9"/>
    </row>
    <row r="3076" ht="15.75" customHeight="1">
      <c r="A3076" s="11">
        <f>IFERROR(__xludf.DUMMYFUNCTION("""COMPUTED_VALUE"""),44471.0)</f>
        <v>44471</v>
      </c>
      <c r="B3076" s="9">
        <f>IFERROR(__xludf.DUMMYFUNCTION("""COMPUTED_VALUE"""),1003730.0)</f>
        <v>1003730</v>
      </c>
      <c r="C3076" s="9">
        <f>IFERROR(__xludf.DUMMYFUNCTION("""COMPUTED_VALUE"""),115754.0)</f>
        <v>115754</v>
      </c>
      <c r="D3076" s="10" t="str">
        <f>IFERROR(__xludf.DUMMYFUNCTION("""COMPUTED_VALUE"""),"Vive le bio")</f>
        <v>Vive le bio</v>
      </c>
      <c r="E3076" s="10"/>
      <c r="F3076" s="9">
        <f>IFERROR(__xludf.DUMMYFUNCTION("""COMPUTED_VALUE"""),3.47777777777777)</f>
        <v>3.477777778</v>
      </c>
      <c r="G3076" s="9">
        <f>IFERROR(__xludf.DUMMYFUNCTION("""COMPUTED_VALUE"""),3.13)</f>
        <v>3.13</v>
      </c>
      <c r="H3076" s="9">
        <f>IFERROR(__xludf.DUMMYFUNCTION("""COMPUTED_VALUE"""),3.0)</f>
        <v>3</v>
      </c>
      <c r="I3076" s="9"/>
      <c r="J3076" s="9"/>
      <c r="K3076" s="9"/>
      <c r="L3076" s="9"/>
      <c r="M3076" s="9"/>
      <c r="N3076" s="9"/>
      <c r="O3076" s="9"/>
      <c r="P3076" s="9"/>
      <c r="Q3076" s="9"/>
      <c r="R3076" s="9"/>
      <c r="S3076" s="9"/>
      <c r="T3076" s="9"/>
    </row>
    <row r="3077" ht="15.75" customHeight="1">
      <c r="A3077" s="11">
        <f>IFERROR(__xludf.DUMMYFUNCTION("""COMPUTED_VALUE"""),44471.0)</f>
        <v>44471</v>
      </c>
      <c r="B3077" s="9">
        <f>IFERROR(__xludf.DUMMYFUNCTION("""COMPUTED_VALUE"""),1003730.0)</f>
        <v>1003730</v>
      </c>
      <c r="C3077" s="9">
        <f>IFERROR(__xludf.DUMMYFUNCTION("""COMPUTED_VALUE"""),76035.0)</f>
        <v>76035</v>
      </c>
      <c r="D3077" s="9"/>
      <c r="E3077" s="9"/>
      <c r="F3077" s="9">
        <f>IFERROR(__xludf.DUMMYFUNCTION("""COMPUTED_VALUE"""),14.74)</f>
        <v>14.74</v>
      </c>
      <c r="G3077" s="9">
        <f>IFERROR(__xludf.DUMMYFUNCTION("""COMPUTED_VALUE"""),14.74)</f>
        <v>14.74</v>
      </c>
      <c r="H3077" s="9">
        <f>IFERROR(__xludf.DUMMYFUNCTION("""COMPUTED_VALUE"""),5.0)</f>
        <v>5</v>
      </c>
      <c r="I3077" s="9"/>
      <c r="J3077" s="9"/>
      <c r="K3077" s="9"/>
      <c r="L3077" s="9"/>
      <c r="M3077" s="9"/>
      <c r="N3077" s="9"/>
      <c r="O3077" s="9"/>
      <c r="P3077" s="9"/>
      <c r="Q3077" s="9"/>
      <c r="R3077" s="9"/>
      <c r="S3077" s="9"/>
      <c r="T3077" s="9"/>
    </row>
    <row r="3078" ht="15.75" customHeight="1">
      <c r="A3078" s="11">
        <f>IFERROR(__xludf.DUMMYFUNCTION("""COMPUTED_VALUE"""),44471.0)</f>
        <v>44471</v>
      </c>
      <c r="B3078" s="9">
        <f>IFERROR(__xludf.DUMMYFUNCTION("""COMPUTED_VALUE"""),1003731.0)</f>
        <v>1003731</v>
      </c>
      <c r="C3078" s="9">
        <f>IFERROR(__xludf.DUMMYFUNCTION("""COMPUTED_VALUE"""),109180.0)</f>
        <v>109180</v>
      </c>
      <c r="D3078" s="9"/>
      <c r="E3078" s="9"/>
      <c r="F3078" s="9">
        <f>IFERROR(__xludf.DUMMYFUNCTION("""COMPUTED_VALUE"""),12.79)</f>
        <v>12.79</v>
      </c>
      <c r="G3078" s="9">
        <f>IFERROR(__xludf.DUMMYFUNCTION("""COMPUTED_VALUE"""),12.79)</f>
        <v>12.79</v>
      </c>
      <c r="H3078" s="9">
        <f>IFERROR(__xludf.DUMMYFUNCTION("""COMPUTED_VALUE"""),1.0)</f>
        <v>1</v>
      </c>
      <c r="I3078" s="9"/>
      <c r="J3078" s="9"/>
      <c r="K3078" s="9"/>
      <c r="L3078" s="9"/>
      <c r="M3078" s="9"/>
      <c r="N3078" s="9"/>
      <c r="O3078" s="9"/>
      <c r="P3078" s="9"/>
      <c r="Q3078" s="9"/>
      <c r="R3078" s="9"/>
      <c r="S3078" s="9"/>
      <c r="T3078" s="9"/>
    </row>
    <row r="3079" ht="15.75" customHeight="1">
      <c r="A3079" s="11">
        <f>IFERROR(__xludf.DUMMYFUNCTION("""COMPUTED_VALUE"""),44471.0)</f>
        <v>44471</v>
      </c>
      <c r="B3079" s="9">
        <f>IFERROR(__xludf.DUMMYFUNCTION("""COMPUTED_VALUE"""),1003731.0)</f>
        <v>1003731</v>
      </c>
      <c r="C3079" s="9">
        <f>IFERROR(__xludf.DUMMYFUNCTION("""COMPUTED_VALUE"""),71674.0)</f>
        <v>71674</v>
      </c>
      <c r="D3079" s="9"/>
      <c r="E3079" s="9"/>
      <c r="F3079" s="9">
        <f>IFERROR(__xludf.DUMMYFUNCTION("""COMPUTED_VALUE"""),6.3)</f>
        <v>6.3</v>
      </c>
      <c r="G3079" s="9">
        <f>IFERROR(__xludf.DUMMYFUNCTION("""COMPUTED_VALUE"""),6.3)</f>
        <v>6.3</v>
      </c>
      <c r="H3079" s="9">
        <f>IFERROR(__xludf.DUMMYFUNCTION("""COMPUTED_VALUE"""),1.0)</f>
        <v>1</v>
      </c>
      <c r="I3079" s="9"/>
      <c r="J3079" s="9"/>
      <c r="K3079" s="9"/>
      <c r="L3079" s="9"/>
      <c r="M3079" s="9"/>
      <c r="N3079" s="9"/>
      <c r="O3079" s="9"/>
      <c r="P3079" s="9"/>
      <c r="Q3079" s="9"/>
      <c r="R3079" s="9"/>
      <c r="S3079" s="9"/>
      <c r="T3079" s="9"/>
    </row>
    <row r="3080" ht="15.75" customHeight="1">
      <c r="A3080" s="11">
        <f>IFERROR(__xludf.DUMMYFUNCTION("""COMPUTED_VALUE"""),44471.0)</f>
        <v>44471</v>
      </c>
      <c r="B3080" s="9">
        <f>IFERROR(__xludf.DUMMYFUNCTION("""COMPUTED_VALUE"""),1003731.0)</f>
        <v>1003731</v>
      </c>
      <c r="C3080" s="9">
        <f>IFERROR(__xludf.DUMMYFUNCTION("""COMPUTED_VALUE"""),7999.0)</f>
        <v>7999</v>
      </c>
      <c r="D3080" s="9"/>
      <c r="E3080" s="9"/>
      <c r="F3080" s="9">
        <f>IFERROR(__xludf.DUMMYFUNCTION("""COMPUTED_VALUE"""),3.94)</f>
        <v>3.94</v>
      </c>
      <c r="G3080" s="9">
        <f>IFERROR(__xludf.DUMMYFUNCTION("""COMPUTED_VALUE"""),3.94)</f>
        <v>3.94</v>
      </c>
      <c r="H3080" s="9">
        <f>IFERROR(__xludf.DUMMYFUNCTION("""COMPUTED_VALUE"""),1.0)</f>
        <v>1</v>
      </c>
      <c r="I3080" s="9"/>
      <c r="J3080" s="9"/>
      <c r="K3080" s="9"/>
      <c r="L3080" s="9"/>
      <c r="M3080" s="9"/>
      <c r="N3080" s="9"/>
      <c r="O3080" s="9"/>
      <c r="P3080" s="9"/>
      <c r="Q3080" s="9"/>
      <c r="R3080" s="9"/>
      <c r="S3080" s="9"/>
      <c r="T3080" s="9"/>
    </row>
    <row r="3081" ht="15.75" customHeight="1">
      <c r="A3081" s="11">
        <f>IFERROR(__xludf.DUMMYFUNCTION("""COMPUTED_VALUE"""),44471.0)</f>
        <v>44471</v>
      </c>
      <c r="B3081" s="9">
        <f>IFERROR(__xludf.DUMMYFUNCTION("""COMPUTED_VALUE"""),1003731.0)</f>
        <v>1003731</v>
      </c>
      <c r="C3081" s="9">
        <f>IFERROR(__xludf.DUMMYFUNCTION("""COMPUTED_VALUE"""),28883.0)</f>
        <v>28883</v>
      </c>
      <c r="D3081" s="9"/>
      <c r="E3081" s="9"/>
      <c r="F3081" s="9">
        <f>IFERROR(__xludf.DUMMYFUNCTION("""COMPUTED_VALUE"""),2.85)</f>
        <v>2.85</v>
      </c>
      <c r="G3081" s="9">
        <f>IFERROR(__xludf.DUMMYFUNCTION("""COMPUTED_VALUE"""),2.85)</f>
        <v>2.85</v>
      </c>
      <c r="H3081" s="9">
        <f>IFERROR(__xludf.DUMMYFUNCTION("""COMPUTED_VALUE"""),1.0)</f>
        <v>1</v>
      </c>
      <c r="I3081" s="9"/>
      <c r="J3081" s="9"/>
      <c r="K3081" s="9"/>
      <c r="L3081" s="9"/>
      <c r="M3081" s="9"/>
      <c r="N3081" s="9"/>
      <c r="O3081" s="9"/>
      <c r="P3081" s="9"/>
      <c r="Q3081" s="9"/>
      <c r="R3081" s="9"/>
      <c r="S3081" s="9"/>
      <c r="T3081" s="9"/>
    </row>
    <row r="3082" ht="15.75" customHeight="1">
      <c r="A3082" s="11">
        <f>IFERROR(__xludf.DUMMYFUNCTION("""COMPUTED_VALUE"""),44471.0)</f>
        <v>44471</v>
      </c>
      <c r="B3082" s="9">
        <f>IFERROR(__xludf.DUMMYFUNCTION("""COMPUTED_VALUE"""),1003731.0)</f>
        <v>1003731</v>
      </c>
      <c r="C3082" s="9">
        <f>IFERROR(__xludf.DUMMYFUNCTION("""COMPUTED_VALUE"""),109178.0)</f>
        <v>109178</v>
      </c>
      <c r="D3082" s="9"/>
      <c r="E3082" s="9"/>
      <c r="F3082" s="9">
        <f>IFERROR(__xludf.DUMMYFUNCTION("""COMPUTED_VALUE"""),26.13)</f>
        <v>26.13</v>
      </c>
      <c r="G3082" s="9">
        <f>IFERROR(__xludf.DUMMYFUNCTION("""COMPUTED_VALUE"""),26.13)</f>
        <v>26.13</v>
      </c>
      <c r="H3082" s="9">
        <f>IFERROR(__xludf.DUMMYFUNCTION("""COMPUTED_VALUE"""),1.0)</f>
        <v>1</v>
      </c>
      <c r="I3082" s="9"/>
      <c r="J3082" s="9"/>
      <c r="K3082" s="9"/>
      <c r="L3082" s="9"/>
      <c r="M3082" s="9"/>
      <c r="N3082" s="9"/>
      <c r="O3082" s="9"/>
      <c r="P3082" s="9"/>
      <c r="Q3082" s="9"/>
      <c r="R3082" s="9"/>
      <c r="S3082" s="9"/>
      <c r="T3082" s="9"/>
    </row>
    <row r="3083" ht="15.75" customHeight="1">
      <c r="A3083" s="11">
        <f>IFERROR(__xludf.DUMMYFUNCTION("""COMPUTED_VALUE"""),44471.0)</f>
        <v>44471</v>
      </c>
      <c r="B3083" s="9">
        <f>IFERROR(__xludf.DUMMYFUNCTION("""COMPUTED_VALUE"""),1003731.0)</f>
        <v>1003731</v>
      </c>
      <c r="C3083" s="9">
        <f>IFERROR(__xludf.DUMMYFUNCTION("""COMPUTED_VALUE"""),12063.0)</f>
        <v>12063</v>
      </c>
      <c r="D3083" s="9"/>
      <c r="E3083" s="9"/>
      <c r="F3083" s="9">
        <f>IFERROR(__xludf.DUMMYFUNCTION("""COMPUTED_VALUE"""),2.24)</f>
        <v>2.24</v>
      </c>
      <c r="G3083" s="9">
        <f>IFERROR(__xludf.DUMMYFUNCTION("""COMPUTED_VALUE"""),2.24)</f>
        <v>2.24</v>
      </c>
      <c r="H3083" s="9">
        <f>IFERROR(__xludf.DUMMYFUNCTION("""COMPUTED_VALUE"""),1.0)</f>
        <v>1</v>
      </c>
      <c r="I3083" s="9"/>
      <c r="J3083" s="9"/>
      <c r="K3083" s="9"/>
      <c r="L3083" s="9"/>
      <c r="M3083" s="9"/>
      <c r="N3083" s="9"/>
      <c r="O3083" s="9"/>
      <c r="P3083" s="9"/>
      <c r="Q3083" s="9"/>
      <c r="R3083" s="9"/>
      <c r="S3083" s="9"/>
      <c r="T3083" s="9"/>
    </row>
    <row r="3084" ht="15.75" customHeight="1">
      <c r="A3084" s="11">
        <f>IFERROR(__xludf.DUMMYFUNCTION("""COMPUTED_VALUE"""),44471.0)</f>
        <v>44471</v>
      </c>
      <c r="B3084" s="9">
        <f>IFERROR(__xludf.DUMMYFUNCTION("""COMPUTED_VALUE"""),1003731.0)</f>
        <v>1003731</v>
      </c>
      <c r="C3084" s="9">
        <f>IFERROR(__xludf.DUMMYFUNCTION("""COMPUTED_VALUE"""),121066.0)</f>
        <v>121066</v>
      </c>
      <c r="D3084" s="10" t="str">
        <f>IFERROR(__xludf.DUMMYFUNCTION("""COMPUTED_VALUE"""),"Vive le bio")</f>
        <v>Vive le bio</v>
      </c>
      <c r="E3084" s="10"/>
      <c r="F3084" s="9">
        <f>IFERROR(__xludf.DUMMYFUNCTION("""COMPUTED_VALUE"""),7.92222222222222)</f>
        <v>7.922222222</v>
      </c>
      <c r="G3084" s="9">
        <f>IFERROR(__xludf.DUMMYFUNCTION("""COMPUTED_VALUE"""),7.13)</f>
        <v>7.13</v>
      </c>
      <c r="H3084" s="9">
        <f>IFERROR(__xludf.DUMMYFUNCTION("""COMPUTED_VALUE"""),2.0)</f>
        <v>2</v>
      </c>
      <c r="I3084" s="9"/>
      <c r="J3084" s="9"/>
      <c r="K3084" s="9"/>
      <c r="L3084" s="9"/>
      <c r="M3084" s="9"/>
      <c r="N3084" s="9"/>
      <c r="O3084" s="9"/>
      <c r="P3084" s="9"/>
      <c r="Q3084" s="9"/>
      <c r="R3084" s="9"/>
      <c r="S3084" s="9"/>
      <c r="T3084" s="9"/>
    </row>
    <row r="3085" ht="15.75" customHeight="1">
      <c r="A3085" s="11">
        <f>IFERROR(__xludf.DUMMYFUNCTION("""COMPUTED_VALUE"""),44471.0)</f>
        <v>44471</v>
      </c>
      <c r="B3085" s="9">
        <f>IFERROR(__xludf.DUMMYFUNCTION("""COMPUTED_VALUE"""),1003731.0)</f>
        <v>1003731</v>
      </c>
      <c r="C3085" s="9">
        <f>IFERROR(__xludf.DUMMYFUNCTION("""COMPUTED_VALUE"""),46956.0)</f>
        <v>46956</v>
      </c>
      <c r="D3085" s="9"/>
      <c r="E3085" s="9"/>
      <c r="F3085" s="9">
        <f>IFERROR(__xludf.DUMMYFUNCTION("""COMPUTED_VALUE"""),3.84)</f>
        <v>3.84</v>
      </c>
      <c r="G3085" s="9">
        <f>IFERROR(__xludf.DUMMYFUNCTION("""COMPUTED_VALUE"""),3.84)</f>
        <v>3.84</v>
      </c>
      <c r="H3085" s="9">
        <f>IFERROR(__xludf.DUMMYFUNCTION("""COMPUTED_VALUE"""),2.0)</f>
        <v>2</v>
      </c>
      <c r="I3085" s="9"/>
      <c r="J3085" s="9"/>
      <c r="K3085" s="9"/>
      <c r="L3085" s="9"/>
      <c r="M3085" s="9"/>
      <c r="N3085" s="9"/>
      <c r="O3085" s="9"/>
      <c r="P3085" s="9"/>
      <c r="Q3085" s="9"/>
      <c r="R3085" s="9"/>
      <c r="S3085" s="9"/>
      <c r="T3085" s="9"/>
    </row>
    <row r="3086" ht="15.75" customHeight="1">
      <c r="A3086" s="11">
        <f>IFERROR(__xludf.DUMMYFUNCTION("""COMPUTED_VALUE"""),44471.0)</f>
        <v>44471</v>
      </c>
      <c r="B3086" s="9">
        <f>IFERROR(__xludf.DUMMYFUNCTION("""COMPUTED_VALUE"""),1003731.0)</f>
        <v>1003731</v>
      </c>
      <c r="C3086" s="9">
        <f>IFERROR(__xludf.DUMMYFUNCTION("""COMPUTED_VALUE"""),114876.0)</f>
        <v>114876</v>
      </c>
      <c r="D3086" s="9"/>
      <c r="E3086" s="9"/>
      <c r="F3086" s="9">
        <f>IFERROR(__xludf.DUMMYFUNCTION("""COMPUTED_VALUE"""),4.76)</f>
        <v>4.76</v>
      </c>
      <c r="G3086" s="9">
        <f>IFERROR(__xludf.DUMMYFUNCTION("""COMPUTED_VALUE"""),4.76)</f>
        <v>4.76</v>
      </c>
      <c r="H3086" s="9">
        <f>IFERROR(__xludf.DUMMYFUNCTION("""COMPUTED_VALUE"""),3.0)</f>
        <v>3</v>
      </c>
      <c r="I3086" s="9"/>
      <c r="J3086" s="9"/>
      <c r="K3086" s="9"/>
      <c r="L3086" s="9"/>
      <c r="M3086" s="9"/>
      <c r="N3086" s="9"/>
      <c r="O3086" s="9"/>
      <c r="P3086" s="9"/>
      <c r="Q3086" s="9"/>
      <c r="R3086" s="9"/>
      <c r="S3086" s="9"/>
      <c r="T3086" s="9"/>
    </row>
    <row r="3087" ht="15.75" customHeight="1">
      <c r="A3087" s="11">
        <f>IFERROR(__xludf.DUMMYFUNCTION("""COMPUTED_VALUE"""),44471.0)</f>
        <v>44471</v>
      </c>
      <c r="B3087" s="9">
        <f>IFERROR(__xludf.DUMMYFUNCTION("""COMPUTED_VALUE"""),1003731.0)</f>
        <v>1003731</v>
      </c>
      <c r="C3087" s="9">
        <f>IFERROR(__xludf.DUMMYFUNCTION("""COMPUTED_VALUE"""),11998.0)</f>
        <v>11998</v>
      </c>
      <c r="D3087" s="9"/>
      <c r="E3087" s="9"/>
      <c r="F3087" s="9">
        <f>IFERROR(__xludf.DUMMYFUNCTION("""COMPUTED_VALUE"""),6.24)</f>
        <v>6.24</v>
      </c>
      <c r="G3087" s="9">
        <f>IFERROR(__xludf.DUMMYFUNCTION("""COMPUTED_VALUE"""),6.24)</f>
        <v>6.24</v>
      </c>
      <c r="H3087" s="9">
        <f>IFERROR(__xludf.DUMMYFUNCTION("""COMPUTED_VALUE"""),3.0)</f>
        <v>3</v>
      </c>
      <c r="I3087" s="9"/>
      <c r="J3087" s="9"/>
      <c r="K3087" s="9"/>
      <c r="L3087" s="9"/>
      <c r="M3087" s="9"/>
      <c r="N3087" s="9"/>
      <c r="O3087" s="9"/>
      <c r="P3087" s="9"/>
      <c r="Q3087" s="9"/>
      <c r="R3087" s="9"/>
      <c r="S3087" s="9"/>
      <c r="T3087" s="9"/>
    </row>
    <row r="3088" ht="15.75" customHeight="1">
      <c r="A3088" s="11">
        <f>IFERROR(__xludf.DUMMYFUNCTION("""COMPUTED_VALUE"""),44471.0)</f>
        <v>44471</v>
      </c>
      <c r="B3088" s="9">
        <f>IFERROR(__xludf.DUMMYFUNCTION("""COMPUTED_VALUE"""),1003731.0)</f>
        <v>1003731</v>
      </c>
      <c r="C3088" s="9">
        <f>IFERROR(__xludf.DUMMYFUNCTION("""COMPUTED_VALUE"""),90909.0)</f>
        <v>90909</v>
      </c>
      <c r="D3088" s="9"/>
      <c r="E3088" s="9"/>
      <c r="F3088" s="9">
        <f>IFERROR(__xludf.DUMMYFUNCTION("""COMPUTED_VALUE"""),7.83)</f>
        <v>7.83</v>
      </c>
      <c r="G3088" s="9">
        <f>IFERROR(__xludf.DUMMYFUNCTION("""COMPUTED_VALUE"""),7.83)</f>
        <v>7.83</v>
      </c>
      <c r="H3088" s="9">
        <f>IFERROR(__xludf.DUMMYFUNCTION("""COMPUTED_VALUE"""),4.0)</f>
        <v>4</v>
      </c>
      <c r="I3088" s="9"/>
      <c r="J3088" s="9"/>
      <c r="K3088" s="9"/>
      <c r="L3088" s="9"/>
      <c r="M3088" s="9"/>
      <c r="N3088" s="9"/>
      <c r="O3088" s="9"/>
      <c r="P3088" s="9"/>
      <c r="Q3088" s="9"/>
      <c r="R3088" s="9"/>
      <c r="S3088" s="9"/>
      <c r="T3088" s="9"/>
    </row>
    <row r="3089" ht="15.75" customHeight="1">
      <c r="A3089" s="11">
        <f>IFERROR(__xludf.DUMMYFUNCTION("""COMPUTED_VALUE"""),44471.0)</f>
        <v>44471</v>
      </c>
      <c r="B3089" s="9">
        <f>IFERROR(__xludf.DUMMYFUNCTION("""COMPUTED_VALUE"""),1003732.0)</f>
        <v>1003732</v>
      </c>
      <c r="C3089" s="9">
        <f>IFERROR(__xludf.DUMMYFUNCTION("""COMPUTED_VALUE"""),104087.0)</f>
        <v>104087</v>
      </c>
      <c r="D3089" s="9"/>
      <c r="E3089" s="10" t="str">
        <f>IFERROR(__xludf.DUMMYFUNCTION("""COMPUTED_VALUE"""),"PREMIERE")</f>
        <v>PREMIERE</v>
      </c>
      <c r="F3089" s="10">
        <f>IFERROR(__xludf.DUMMYFUNCTION("""COMPUTED_VALUE"""),15.08)</f>
        <v>15.08</v>
      </c>
      <c r="G3089" s="9">
        <f>IFERROR(__xludf.DUMMYFUNCTION("""COMPUTED_VALUE"""),15.08)</f>
        <v>15.08</v>
      </c>
      <c r="H3089" s="9">
        <f>IFERROR(__xludf.DUMMYFUNCTION("""COMPUTED_VALUE"""),6.0)</f>
        <v>6</v>
      </c>
      <c r="I3089" s="9"/>
      <c r="J3089" s="9"/>
      <c r="K3089" s="9"/>
      <c r="L3089" s="9"/>
      <c r="M3089" s="9"/>
      <c r="N3089" s="9"/>
      <c r="O3089" s="9"/>
      <c r="P3089" s="9"/>
      <c r="Q3089" s="9"/>
      <c r="R3089" s="9"/>
      <c r="S3089" s="9"/>
      <c r="T3089" s="9"/>
    </row>
    <row r="3090" ht="15.75" customHeight="1">
      <c r="A3090" s="11">
        <f>IFERROR(__xludf.DUMMYFUNCTION("""COMPUTED_VALUE"""),44471.0)</f>
        <v>44471</v>
      </c>
      <c r="B3090" s="9">
        <f>IFERROR(__xludf.DUMMYFUNCTION("""COMPUTED_VALUE"""),1003732.0)</f>
        <v>1003732</v>
      </c>
      <c r="C3090" s="9">
        <f>IFERROR(__xludf.DUMMYFUNCTION("""COMPUTED_VALUE"""),77448.0)</f>
        <v>77448</v>
      </c>
      <c r="D3090" s="9"/>
      <c r="E3090" s="10" t="str">
        <f>IFERROR(__xludf.DUMMYFUNCTION("""COMPUTED_VALUE"""),"PREMIERE")</f>
        <v>PREMIERE</v>
      </c>
      <c r="F3090" s="10">
        <f>IFERROR(__xludf.DUMMYFUNCTION("""COMPUTED_VALUE"""),7.43)</f>
        <v>7.43</v>
      </c>
      <c r="G3090" s="9">
        <f>IFERROR(__xludf.DUMMYFUNCTION("""COMPUTED_VALUE"""),7.43)</f>
        <v>7.43</v>
      </c>
      <c r="H3090" s="9">
        <f>IFERROR(__xludf.DUMMYFUNCTION("""COMPUTED_VALUE"""),7.0)</f>
        <v>7</v>
      </c>
      <c r="I3090" s="9"/>
      <c r="J3090" s="9"/>
      <c r="K3090" s="9"/>
      <c r="L3090" s="9"/>
      <c r="M3090" s="9"/>
      <c r="N3090" s="9"/>
      <c r="O3090" s="9"/>
      <c r="P3090" s="9"/>
      <c r="Q3090" s="9"/>
      <c r="R3090" s="9"/>
      <c r="S3090" s="9"/>
      <c r="T3090" s="9"/>
    </row>
    <row r="3091" ht="15.75" customHeight="1">
      <c r="A3091" s="11">
        <f>IFERROR(__xludf.DUMMYFUNCTION("""COMPUTED_VALUE"""),44471.0)</f>
        <v>44471</v>
      </c>
      <c r="B3091" s="9">
        <f>IFERROR(__xludf.DUMMYFUNCTION("""COMPUTED_VALUE"""),1003732.0)</f>
        <v>1003732</v>
      </c>
      <c r="C3091" s="9">
        <f>IFERROR(__xludf.DUMMYFUNCTION("""COMPUTED_VALUE"""),5801.0)</f>
        <v>5801</v>
      </c>
      <c r="D3091" s="9"/>
      <c r="E3091" s="10" t="str">
        <f>IFERROR(__xludf.DUMMYFUNCTION("""COMPUTED_VALUE"""),"PREMIERE")</f>
        <v>PREMIERE</v>
      </c>
      <c r="F3091" s="10">
        <f>IFERROR(__xludf.DUMMYFUNCTION("""COMPUTED_VALUE"""),15.31)</f>
        <v>15.31</v>
      </c>
      <c r="G3091" s="9">
        <f>IFERROR(__xludf.DUMMYFUNCTION("""COMPUTED_VALUE"""),15.31)</f>
        <v>15.31</v>
      </c>
      <c r="H3091" s="9">
        <f>IFERROR(__xludf.DUMMYFUNCTION("""COMPUTED_VALUE"""),16.0)</f>
        <v>16</v>
      </c>
      <c r="I3091" s="9"/>
      <c r="J3091" s="9"/>
      <c r="K3091" s="9"/>
      <c r="L3091" s="9"/>
      <c r="M3091" s="9"/>
      <c r="N3091" s="9"/>
      <c r="O3091" s="9"/>
      <c r="P3091" s="9"/>
      <c r="Q3091" s="9"/>
      <c r="R3091" s="9"/>
      <c r="S3091" s="9"/>
      <c r="T3091" s="9"/>
    </row>
    <row r="3092" ht="15.75" customHeight="1">
      <c r="A3092" s="11">
        <f>IFERROR(__xludf.DUMMYFUNCTION("""COMPUTED_VALUE"""),44471.0)</f>
        <v>44471</v>
      </c>
      <c r="B3092" s="9">
        <f>IFERROR(__xludf.DUMMYFUNCTION("""COMPUTED_VALUE"""),1003733.0)</f>
        <v>1003733</v>
      </c>
      <c r="C3092" s="9">
        <f>IFERROR(__xludf.DUMMYFUNCTION("""COMPUTED_VALUE"""),76466.0)</f>
        <v>76466</v>
      </c>
      <c r="D3092" s="9"/>
      <c r="E3092" s="9"/>
      <c r="F3092" s="9">
        <f>IFERROR(__xludf.DUMMYFUNCTION("""COMPUTED_VALUE"""),75.41)</f>
        <v>75.41</v>
      </c>
      <c r="G3092" s="9">
        <f>IFERROR(__xludf.DUMMYFUNCTION("""COMPUTED_VALUE"""),75.41)</f>
        <v>75.41</v>
      </c>
      <c r="H3092" s="9">
        <f>IFERROR(__xludf.DUMMYFUNCTION("""COMPUTED_VALUE"""),20.0)</f>
        <v>20</v>
      </c>
      <c r="I3092" s="9"/>
      <c r="J3092" s="9"/>
      <c r="K3092" s="9"/>
      <c r="L3092" s="9"/>
      <c r="M3092" s="9"/>
      <c r="N3092" s="9"/>
      <c r="O3092" s="9"/>
      <c r="P3092" s="9"/>
      <c r="Q3092" s="9"/>
      <c r="R3092" s="9"/>
      <c r="S3092" s="9"/>
      <c r="T3092" s="9"/>
    </row>
    <row r="3093" ht="15.75" customHeight="1">
      <c r="A3093" s="11">
        <f>IFERROR(__xludf.DUMMYFUNCTION("""COMPUTED_VALUE"""),44471.0)</f>
        <v>44471</v>
      </c>
      <c r="B3093" s="9">
        <f>IFERROR(__xludf.DUMMYFUNCTION("""COMPUTED_VALUE"""),1003734.0)</f>
        <v>1003734</v>
      </c>
      <c r="C3093" s="9">
        <f>IFERROR(__xludf.DUMMYFUNCTION("""COMPUTED_VALUE"""),121311.0)</f>
        <v>121311</v>
      </c>
      <c r="D3093" s="10" t="str">
        <f>IFERROR(__xludf.DUMMYFUNCTION("""COMPUTED_VALUE"""),"Vive le bio")</f>
        <v>Vive le bio</v>
      </c>
      <c r="E3093" s="10"/>
      <c r="F3093" s="9">
        <f>IFERROR(__xludf.DUMMYFUNCTION("""COMPUTED_VALUE"""),15.8777777777777)</f>
        <v>15.87777778</v>
      </c>
      <c r="G3093" s="9">
        <f>IFERROR(__xludf.DUMMYFUNCTION("""COMPUTED_VALUE"""),14.29)</f>
        <v>14.29</v>
      </c>
      <c r="H3093" s="9">
        <f>IFERROR(__xludf.DUMMYFUNCTION("""COMPUTED_VALUE"""),1.0)</f>
        <v>1</v>
      </c>
      <c r="I3093" s="9"/>
      <c r="J3093" s="9"/>
      <c r="K3093" s="9"/>
      <c r="L3093" s="9"/>
      <c r="M3093" s="9"/>
      <c r="N3093" s="9"/>
      <c r="O3093" s="9"/>
      <c r="P3093" s="9"/>
      <c r="Q3093" s="9"/>
      <c r="R3093" s="9"/>
      <c r="S3093" s="9"/>
      <c r="T3093" s="9"/>
    </row>
    <row r="3094" ht="15.75" customHeight="1">
      <c r="A3094" s="11">
        <f>IFERROR(__xludf.DUMMYFUNCTION("""COMPUTED_VALUE"""),44471.0)</f>
        <v>44471</v>
      </c>
      <c r="B3094" s="9">
        <f>IFERROR(__xludf.DUMMYFUNCTION("""COMPUTED_VALUE"""),1003735.0)</f>
        <v>1003735</v>
      </c>
      <c r="C3094" s="9">
        <f>IFERROR(__xludf.DUMMYFUNCTION("""COMPUTED_VALUE"""),76665.0)</f>
        <v>76665</v>
      </c>
      <c r="D3094" s="9"/>
      <c r="E3094" s="9"/>
      <c r="F3094" s="9">
        <f>IFERROR(__xludf.DUMMYFUNCTION("""COMPUTED_VALUE"""),4.53)</f>
        <v>4.53</v>
      </c>
      <c r="G3094" s="9">
        <f>IFERROR(__xludf.DUMMYFUNCTION("""COMPUTED_VALUE"""),4.53)</f>
        <v>4.53</v>
      </c>
      <c r="H3094" s="9">
        <f>IFERROR(__xludf.DUMMYFUNCTION("""COMPUTED_VALUE"""),1.0)</f>
        <v>1</v>
      </c>
      <c r="I3094" s="9"/>
      <c r="J3094" s="9"/>
      <c r="K3094" s="9"/>
      <c r="L3094" s="9"/>
      <c r="M3094" s="9"/>
      <c r="N3094" s="9"/>
      <c r="O3094" s="9"/>
      <c r="P3094" s="9"/>
      <c r="Q3094" s="9"/>
      <c r="R3094" s="9"/>
      <c r="S3094" s="9"/>
      <c r="T3094" s="9"/>
    </row>
    <row r="3095" ht="15.75" customHeight="1">
      <c r="A3095" s="11">
        <f>IFERROR(__xludf.DUMMYFUNCTION("""COMPUTED_VALUE"""),44471.0)</f>
        <v>44471</v>
      </c>
      <c r="B3095" s="9">
        <f>IFERROR(__xludf.DUMMYFUNCTION("""COMPUTED_VALUE"""),1003735.0)</f>
        <v>1003735</v>
      </c>
      <c r="C3095" s="9">
        <f>IFERROR(__xludf.DUMMYFUNCTION("""COMPUTED_VALUE"""),29642.0)</f>
        <v>29642</v>
      </c>
      <c r="D3095" s="9"/>
      <c r="E3095" s="9"/>
      <c r="F3095" s="9">
        <f>IFERROR(__xludf.DUMMYFUNCTION("""COMPUTED_VALUE"""),4.1)</f>
        <v>4.1</v>
      </c>
      <c r="G3095" s="9">
        <f>IFERROR(__xludf.DUMMYFUNCTION("""COMPUTED_VALUE"""),4.1)</f>
        <v>4.1</v>
      </c>
      <c r="H3095" s="9">
        <f>IFERROR(__xludf.DUMMYFUNCTION("""COMPUTED_VALUE"""),1.0)</f>
        <v>1</v>
      </c>
      <c r="I3095" s="9"/>
      <c r="J3095" s="9"/>
      <c r="K3095" s="9"/>
      <c r="L3095" s="9"/>
      <c r="M3095" s="9"/>
      <c r="N3095" s="9"/>
      <c r="O3095" s="9"/>
      <c r="P3095" s="9"/>
      <c r="Q3095" s="9"/>
      <c r="R3095" s="9"/>
      <c r="S3095" s="9"/>
      <c r="T3095" s="9"/>
    </row>
    <row r="3096" ht="15.75" customHeight="1">
      <c r="A3096" s="11">
        <f>IFERROR(__xludf.DUMMYFUNCTION("""COMPUTED_VALUE"""),44471.0)</f>
        <v>44471</v>
      </c>
      <c r="B3096" s="9">
        <f>IFERROR(__xludf.DUMMYFUNCTION("""COMPUTED_VALUE"""),1003735.0)</f>
        <v>1003735</v>
      </c>
      <c r="C3096" s="9">
        <f>IFERROR(__xludf.DUMMYFUNCTION("""COMPUTED_VALUE"""),87964.0)</f>
        <v>87964</v>
      </c>
      <c r="D3096" s="9"/>
      <c r="E3096" s="9"/>
      <c r="F3096" s="9">
        <f>IFERROR(__xludf.DUMMYFUNCTION("""COMPUTED_VALUE"""),16.73)</f>
        <v>16.73</v>
      </c>
      <c r="G3096" s="9">
        <f>IFERROR(__xludf.DUMMYFUNCTION("""COMPUTED_VALUE"""),16.73)</f>
        <v>16.73</v>
      </c>
      <c r="H3096" s="9">
        <f>IFERROR(__xludf.DUMMYFUNCTION("""COMPUTED_VALUE"""),1.0)</f>
        <v>1</v>
      </c>
      <c r="I3096" s="9"/>
      <c r="J3096" s="9"/>
      <c r="K3096" s="9"/>
      <c r="L3096" s="9"/>
      <c r="M3096" s="9"/>
      <c r="N3096" s="9"/>
      <c r="O3096" s="9"/>
      <c r="P3096" s="9"/>
      <c r="Q3096" s="9"/>
      <c r="R3096" s="9"/>
      <c r="S3096" s="9"/>
      <c r="T3096" s="9"/>
    </row>
    <row r="3097" ht="15.75" customHeight="1">
      <c r="A3097" s="11">
        <f>IFERROR(__xludf.DUMMYFUNCTION("""COMPUTED_VALUE"""),44471.0)</f>
        <v>44471</v>
      </c>
      <c r="B3097" s="9">
        <f>IFERROR(__xludf.DUMMYFUNCTION("""COMPUTED_VALUE"""),1003735.0)</f>
        <v>1003735</v>
      </c>
      <c r="C3097" s="9">
        <f>IFERROR(__xludf.DUMMYFUNCTION("""COMPUTED_VALUE"""),188708.0)</f>
        <v>188708</v>
      </c>
      <c r="D3097" s="9"/>
      <c r="E3097" s="9"/>
      <c r="F3097" s="9">
        <f>IFERROR(__xludf.DUMMYFUNCTION("""COMPUTED_VALUE"""),2.94)</f>
        <v>2.94</v>
      </c>
      <c r="G3097" s="9">
        <f>IFERROR(__xludf.DUMMYFUNCTION("""COMPUTED_VALUE"""),2.94)</f>
        <v>2.94</v>
      </c>
      <c r="H3097" s="9">
        <f>IFERROR(__xludf.DUMMYFUNCTION("""COMPUTED_VALUE"""),1.0)</f>
        <v>1</v>
      </c>
      <c r="I3097" s="9"/>
      <c r="J3097" s="9"/>
      <c r="K3097" s="9"/>
      <c r="L3097" s="9"/>
      <c r="M3097" s="9"/>
      <c r="N3097" s="9"/>
      <c r="O3097" s="9"/>
      <c r="P3097" s="9"/>
      <c r="Q3097" s="9"/>
      <c r="R3097" s="9"/>
      <c r="S3097" s="9"/>
      <c r="T3097" s="9"/>
    </row>
    <row r="3098" ht="15.75" customHeight="1">
      <c r="A3098" s="11">
        <f>IFERROR(__xludf.DUMMYFUNCTION("""COMPUTED_VALUE"""),44471.0)</f>
        <v>44471</v>
      </c>
      <c r="B3098" s="9">
        <f>IFERROR(__xludf.DUMMYFUNCTION("""COMPUTED_VALUE"""),1003735.0)</f>
        <v>1003735</v>
      </c>
      <c r="C3098" s="9">
        <f>IFERROR(__xludf.DUMMYFUNCTION("""COMPUTED_VALUE"""),84819.0)</f>
        <v>84819</v>
      </c>
      <c r="D3098" s="9"/>
      <c r="E3098" s="9"/>
      <c r="F3098" s="9">
        <f>IFERROR(__xludf.DUMMYFUNCTION("""COMPUTED_VALUE"""),6.89)</f>
        <v>6.89</v>
      </c>
      <c r="G3098" s="9">
        <f>IFERROR(__xludf.DUMMYFUNCTION("""COMPUTED_VALUE"""),6.89)</f>
        <v>6.89</v>
      </c>
      <c r="H3098" s="9">
        <f>IFERROR(__xludf.DUMMYFUNCTION("""COMPUTED_VALUE"""),1.0)</f>
        <v>1</v>
      </c>
      <c r="I3098" s="9"/>
      <c r="J3098" s="9"/>
      <c r="K3098" s="9"/>
      <c r="L3098" s="9"/>
      <c r="M3098" s="9"/>
      <c r="N3098" s="9"/>
      <c r="O3098" s="9"/>
      <c r="P3098" s="9"/>
      <c r="Q3098" s="9"/>
      <c r="R3098" s="9"/>
      <c r="S3098" s="9"/>
      <c r="T3098" s="9"/>
    </row>
    <row r="3099" ht="15.75" customHeight="1">
      <c r="A3099" s="11">
        <f>IFERROR(__xludf.DUMMYFUNCTION("""COMPUTED_VALUE"""),44471.0)</f>
        <v>44471</v>
      </c>
      <c r="B3099" s="9">
        <f>IFERROR(__xludf.DUMMYFUNCTION("""COMPUTED_VALUE"""),1003735.0)</f>
        <v>1003735</v>
      </c>
      <c r="C3099" s="9">
        <f>IFERROR(__xludf.DUMMYFUNCTION("""COMPUTED_VALUE"""),118155.0)</f>
        <v>118155</v>
      </c>
      <c r="D3099" s="9"/>
      <c r="E3099" s="9"/>
      <c r="F3099" s="9">
        <f>IFERROR(__xludf.DUMMYFUNCTION("""COMPUTED_VALUE"""),7.16)</f>
        <v>7.16</v>
      </c>
      <c r="G3099" s="9">
        <f>IFERROR(__xludf.DUMMYFUNCTION("""COMPUTED_VALUE"""),7.16)</f>
        <v>7.16</v>
      </c>
      <c r="H3099" s="9">
        <f>IFERROR(__xludf.DUMMYFUNCTION("""COMPUTED_VALUE"""),1.0)</f>
        <v>1</v>
      </c>
      <c r="I3099" s="9"/>
      <c r="J3099" s="9"/>
      <c r="K3099" s="9"/>
      <c r="L3099" s="9"/>
      <c r="M3099" s="9"/>
      <c r="N3099" s="9"/>
      <c r="O3099" s="9"/>
      <c r="P3099" s="9"/>
      <c r="Q3099" s="9"/>
      <c r="R3099" s="9"/>
      <c r="S3099" s="9"/>
      <c r="T3099" s="9"/>
    </row>
    <row r="3100" ht="15.75" customHeight="1">
      <c r="A3100" s="11">
        <f>IFERROR(__xludf.DUMMYFUNCTION("""COMPUTED_VALUE"""),44471.0)</f>
        <v>44471</v>
      </c>
      <c r="B3100" s="9">
        <f>IFERROR(__xludf.DUMMYFUNCTION("""COMPUTED_VALUE"""),1003735.0)</f>
        <v>1003735</v>
      </c>
      <c r="C3100" s="9">
        <f>IFERROR(__xludf.DUMMYFUNCTION("""COMPUTED_VALUE"""),29444.0)</f>
        <v>29444</v>
      </c>
      <c r="D3100" s="9"/>
      <c r="E3100" s="9"/>
      <c r="F3100" s="9">
        <f>IFERROR(__xludf.DUMMYFUNCTION("""COMPUTED_VALUE"""),6.67)</f>
        <v>6.67</v>
      </c>
      <c r="G3100" s="9">
        <f>IFERROR(__xludf.DUMMYFUNCTION("""COMPUTED_VALUE"""),6.67)</f>
        <v>6.67</v>
      </c>
      <c r="H3100" s="9">
        <f>IFERROR(__xludf.DUMMYFUNCTION("""COMPUTED_VALUE"""),1.0)</f>
        <v>1</v>
      </c>
      <c r="I3100" s="9"/>
      <c r="J3100" s="9"/>
      <c r="K3100" s="9"/>
      <c r="L3100" s="9"/>
      <c r="M3100" s="9"/>
      <c r="N3100" s="9"/>
      <c r="O3100" s="9"/>
      <c r="P3100" s="9"/>
      <c r="Q3100" s="9"/>
      <c r="R3100" s="9"/>
      <c r="S3100" s="9"/>
      <c r="T3100" s="9"/>
    </row>
    <row r="3101" ht="15.75" customHeight="1">
      <c r="A3101" s="11">
        <f>IFERROR(__xludf.DUMMYFUNCTION("""COMPUTED_VALUE"""),44471.0)</f>
        <v>44471</v>
      </c>
      <c r="B3101" s="9">
        <f>IFERROR(__xludf.DUMMYFUNCTION("""COMPUTED_VALUE"""),1003735.0)</f>
        <v>1003735</v>
      </c>
      <c r="C3101" s="9">
        <f>IFERROR(__xludf.DUMMYFUNCTION("""COMPUTED_VALUE"""),103976.0)</f>
        <v>103976</v>
      </c>
      <c r="D3101" s="9"/>
      <c r="E3101" s="9"/>
      <c r="F3101" s="9">
        <f>IFERROR(__xludf.DUMMYFUNCTION("""COMPUTED_VALUE"""),12.61)</f>
        <v>12.61</v>
      </c>
      <c r="G3101" s="9">
        <f>IFERROR(__xludf.DUMMYFUNCTION("""COMPUTED_VALUE"""),12.61)</f>
        <v>12.61</v>
      </c>
      <c r="H3101" s="9">
        <f>IFERROR(__xludf.DUMMYFUNCTION("""COMPUTED_VALUE"""),1.0)</f>
        <v>1</v>
      </c>
      <c r="I3101" s="9"/>
      <c r="J3101" s="9"/>
      <c r="K3101" s="9"/>
      <c r="L3101" s="9"/>
      <c r="M3101" s="9"/>
      <c r="N3101" s="9"/>
      <c r="O3101" s="9"/>
      <c r="P3101" s="9"/>
      <c r="Q3101" s="9"/>
      <c r="R3101" s="9"/>
      <c r="S3101" s="9"/>
      <c r="T3101" s="9"/>
    </row>
    <row r="3102" ht="15.75" customHeight="1">
      <c r="A3102" s="11">
        <f>IFERROR(__xludf.DUMMYFUNCTION("""COMPUTED_VALUE"""),44471.0)</f>
        <v>44471</v>
      </c>
      <c r="B3102" s="9">
        <f>IFERROR(__xludf.DUMMYFUNCTION("""COMPUTED_VALUE"""),1003735.0)</f>
        <v>1003735</v>
      </c>
      <c r="C3102" s="9">
        <f>IFERROR(__xludf.DUMMYFUNCTION("""COMPUTED_VALUE"""),119028.0)</f>
        <v>119028</v>
      </c>
      <c r="D3102" s="9"/>
      <c r="E3102" s="9"/>
      <c r="F3102" s="9">
        <f>IFERROR(__xludf.DUMMYFUNCTION("""COMPUTED_VALUE"""),11.86)</f>
        <v>11.86</v>
      </c>
      <c r="G3102" s="9">
        <f>IFERROR(__xludf.DUMMYFUNCTION("""COMPUTED_VALUE"""),11.86)</f>
        <v>11.86</v>
      </c>
      <c r="H3102" s="9">
        <f>IFERROR(__xludf.DUMMYFUNCTION("""COMPUTED_VALUE"""),1.0)</f>
        <v>1</v>
      </c>
      <c r="I3102" s="9"/>
      <c r="J3102" s="9"/>
      <c r="K3102" s="9"/>
      <c r="L3102" s="9"/>
      <c r="M3102" s="9"/>
      <c r="N3102" s="9"/>
      <c r="O3102" s="9"/>
      <c r="P3102" s="9"/>
      <c r="Q3102" s="9"/>
      <c r="R3102" s="9"/>
      <c r="S3102" s="9"/>
      <c r="T3102" s="9"/>
    </row>
    <row r="3103" ht="15.75" customHeight="1">
      <c r="A3103" s="11">
        <f>IFERROR(__xludf.DUMMYFUNCTION("""COMPUTED_VALUE"""),44471.0)</f>
        <v>44471</v>
      </c>
      <c r="B3103" s="9">
        <f>IFERROR(__xludf.DUMMYFUNCTION("""COMPUTED_VALUE"""),1003735.0)</f>
        <v>1003735</v>
      </c>
      <c r="C3103" s="9">
        <f>IFERROR(__xludf.DUMMYFUNCTION("""COMPUTED_VALUE"""),103985.0)</f>
        <v>103985</v>
      </c>
      <c r="D3103" s="9"/>
      <c r="E3103" s="9"/>
      <c r="F3103" s="9">
        <f>IFERROR(__xludf.DUMMYFUNCTION("""COMPUTED_VALUE"""),14.63)</f>
        <v>14.63</v>
      </c>
      <c r="G3103" s="9">
        <f>IFERROR(__xludf.DUMMYFUNCTION("""COMPUTED_VALUE"""),14.63)</f>
        <v>14.63</v>
      </c>
      <c r="H3103" s="9">
        <f>IFERROR(__xludf.DUMMYFUNCTION("""COMPUTED_VALUE"""),1.0)</f>
        <v>1</v>
      </c>
      <c r="I3103" s="9"/>
      <c r="J3103" s="9"/>
      <c r="K3103" s="9"/>
      <c r="L3103" s="9"/>
      <c r="M3103" s="9"/>
      <c r="N3103" s="9"/>
      <c r="O3103" s="9"/>
      <c r="P3103" s="9"/>
      <c r="Q3103" s="9"/>
      <c r="R3103" s="9"/>
      <c r="S3103" s="9"/>
      <c r="T3103" s="9"/>
    </row>
    <row r="3104" ht="15.75" customHeight="1">
      <c r="A3104" s="11">
        <f>IFERROR(__xludf.DUMMYFUNCTION("""COMPUTED_VALUE"""),44471.0)</f>
        <v>44471</v>
      </c>
      <c r="B3104" s="9">
        <f>IFERROR(__xludf.DUMMYFUNCTION("""COMPUTED_VALUE"""),1003735.0)</f>
        <v>1003735</v>
      </c>
      <c r="C3104" s="9">
        <f>IFERROR(__xludf.DUMMYFUNCTION("""COMPUTED_VALUE"""),72319.0)</f>
        <v>72319</v>
      </c>
      <c r="D3104" s="9"/>
      <c r="E3104" s="9"/>
      <c r="F3104" s="9">
        <f>IFERROR(__xludf.DUMMYFUNCTION("""COMPUTED_VALUE"""),8.65)</f>
        <v>8.65</v>
      </c>
      <c r="G3104" s="9">
        <f>IFERROR(__xludf.DUMMYFUNCTION("""COMPUTED_VALUE"""),8.65)</f>
        <v>8.65</v>
      </c>
      <c r="H3104" s="9">
        <f>IFERROR(__xludf.DUMMYFUNCTION("""COMPUTED_VALUE"""),1.0)</f>
        <v>1</v>
      </c>
      <c r="I3104" s="9"/>
      <c r="J3104" s="9"/>
      <c r="K3104" s="9"/>
      <c r="L3104" s="9"/>
      <c r="M3104" s="9"/>
      <c r="N3104" s="9"/>
      <c r="O3104" s="9"/>
      <c r="P3104" s="9"/>
      <c r="Q3104" s="9"/>
      <c r="R3104" s="9"/>
      <c r="S3104" s="9"/>
      <c r="T3104" s="9"/>
    </row>
    <row r="3105" ht="15.75" customHeight="1">
      <c r="A3105" s="11">
        <f>IFERROR(__xludf.DUMMYFUNCTION("""COMPUTED_VALUE"""),44471.0)</f>
        <v>44471</v>
      </c>
      <c r="B3105" s="9">
        <f>IFERROR(__xludf.DUMMYFUNCTION("""COMPUTED_VALUE"""),1003735.0)</f>
        <v>1003735</v>
      </c>
      <c r="C3105" s="9">
        <f>IFERROR(__xludf.DUMMYFUNCTION("""COMPUTED_VALUE"""),118153.0)</f>
        <v>118153</v>
      </c>
      <c r="D3105" s="9"/>
      <c r="E3105" s="9"/>
      <c r="F3105" s="9">
        <f>IFERROR(__xludf.DUMMYFUNCTION("""COMPUTED_VALUE"""),7.96)</f>
        <v>7.96</v>
      </c>
      <c r="G3105" s="9">
        <f>IFERROR(__xludf.DUMMYFUNCTION("""COMPUTED_VALUE"""),7.96)</f>
        <v>7.96</v>
      </c>
      <c r="H3105" s="9">
        <f>IFERROR(__xludf.DUMMYFUNCTION("""COMPUTED_VALUE"""),1.0)</f>
        <v>1</v>
      </c>
      <c r="I3105" s="9"/>
      <c r="J3105" s="9"/>
      <c r="K3105" s="9"/>
      <c r="L3105" s="9"/>
      <c r="M3105" s="9"/>
      <c r="N3105" s="9"/>
      <c r="O3105" s="9"/>
      <c r="P3105" s="9"/>
      <c r="Q3105" s="9"/>
      <c r="R3105" s="9"/>
      <c r="S3105" s="9"/>
      <c r="T3105" s="9"/>
    </row>
    <row r="3106" ht="15.75" customHeight="1">
      <c r="A3106" s="11">
        <f>IFERROR(__xludf.DUMMYFUNCTION("""COMPUTED_VALUE"""),44471.0)</f>
        <v>44471</v>
      </c>
      <c r="B3106" s="9">
        <f>IFERROR(__xludf.DUMMYFUNCTION("""COMPUTED_VALUE"""),1003735.0)</f>
        <v>1003735</v>
      </c>
      <c r="C3106" s="9">
        <f>IFERROR(__xludf.DUMMYFUNCTION("""COMPUTED_VALUE"""),100903.0)</f>
        <v>100903</v>
      </c>
      <c r="D3106" s="9"/>
      <c r="E3106" s="9"/>
      <c r="F3106" s="9">
        <f>IFERROR(__xludf.DUMMYFUNCTION("""COMPUTED_VALUE"""),16.17)</f>
        <v>16.17</v>
      </c>
      <c r="G3106" s="9">
        <f>IFERROR(__xludf.DUMMYFUNCTION("""COMPUTED_VALUE"""),16.17)</f>
        <v>16.17</v>
      </c>
      <c r="H3106" s="9">
        <f>IFERROR(__xludf.DUMMYFUNCTION("""COMPUTED_VALUE"""),1.0)</f>
        <v>1</v>
      </c>
      <c r="I3106" s="9"/>
      <c r="J3106" s="9"/>
      <c r="K3106" s="9"/>
      <c r="L3106" s="9"/>
      <c r="M3106" s="9"/>
      <c r="N3106" s="9"/>
      <c r="O3106" s="9"/>
      <c r="P3106" s="9"/>
      <c r="Q3106" s="9"/>
      <c r="R3106" s="9"/>
      <c r="S3106" s="9"/>
      <c r="T3106" s="9"/>
    </row>
    <row r="3107" ht="15.75" customHeight="1">
      <c r="A3107" s="11">
        <f>IFERROR(__xludf.DUMMYFUNCTION("""COMPUTED_VALUE"""),44471.0)</f>
        <v>44471</v>
      </c>
      <c r="B3107" s="9">
        <f>IFERROR(__xludf.DUMMYFUNCTION("""COMPUTED_VALUE"""),1003736.0)</f>
        <v>1003736</v>
      </c>
      <c r="C3107" s="9">
        <f>IFERROR(__xludf.DUMMYFUNCTION("""COMPUTED_VALUE"""),100610.0)</f>
        <v>100610</v>
      </c>
      <c r="D3107" s="9"/>
      <c r="E3107" s="9"/>
      <c r="F3107" s="9">
        <f>IFERROR(__xludf.DUMMYFUNCTION("""COMPUTED_VALUE"""),12.6)</f>
        <v>12.6</v>
      </c>
      <c r="G3107" s="9">
        <f>IFERROR(__xludf.DUMMYFUNCTION("""COMPUTED_VALUE"""),12.6)</f>
        <v>12.6</v>
      </c>
      <c r="H3107" s="9">
        <f>IFERROR(__xludf.DUMMYFUNCTION("""COMPUTED_VALUE"""),1.0)</f>
        <v>1</v>
      </c>
      <c r="I3107" s="9"/>
      <c r="J3107" s="9"/>
      <c r="K3107" s="9"/>
      <c r="L3107" s="9"/>
      <c r="M3107" s="9"/>
      <c r="N3107" s="9"/>
      <c r="O3107" s="9"/>
      <c r="P3107" s="9"/>
      <c r="Q3107" s="9"/>
      <c r="R3107" s="9"/>
      <c r="S3107" s="9"/>
      <c r="T3107" s="9"/>
    </row>
    <row r="3108" ht="15.75" customHeight="1">
      <c r="A3108" s="11">
        <f>IFERROR(__xludf.DUMMYFUNCTION("""COMPUTED_VALUE"""),44471.0)</f>
        <v>44471</v>
      </c>
      <c r="B3108" s="9">
        <f>IFERROR(__xludf.DUMMYFUNCTION("""COMPUTED_VALUE"""),1003736.0)</f>
        <v>1003736</v>
      </c>
      <c r="C3108" s="9">
        <f>IFERROR(__xludf.DUMMYFUNCTION("""COMPUTED_VALUE"""),81049.0)</f>
        <v>81049</v>
      </c>
      <c r="D3108" s="10" t="str">
        <f>IFERROR(__xludf.DUMMYFUNCTION("""COMPUTED_VALUE"""),"Vive le bio")</f>
        <v>Vive le bio</v>
      </c>
      <c r="E3108" s="10"/>
      <c r="F3108" s="9">
        <f>IFERROR(__xludf.DUMMYFUNCTION("""COMPUTED_VALUE"""),39.7444444444444)</f>
        <v>39.74444444</v>
      </c>
      <c r="G3108" s="9">
        <f>IFERROR(__xludf.DUMMYFUNCTION("""COMPUTED_VALUE"""),35.77)</f>
        <v>35.77</v>
      </c>
      <c r="H3108" s="9">
        <f>IFERROR(__xludf.DUMMYFUNCTION("""COMPUTED_VALUE"""),2.0)</f>
        <v>2</v>
      </c>
      <c r="I3108" s="9"/>
      <c r="J3108" s="9"/>
      <c r="K3108" s="9"/>
      <c r="L3108" s="9"/>
      <c r="M3108" s="9"/>
      <c r="N3108" s="9"/>
      <c r="O3108" s="9"/>
      <c r="P3108" s="9"/>
      <c r="Q3108" s="9"/>
      <c r="R3108" s="9"/>
      <c r="S3108" s="9"/>
      <c r="T3108" s="9"/>
    </row>
    <row r="3109" ht="15.75" customHeight="1">
      <c r="A3109" s="11">
        <f>IFERROR(__xludf.DUMMYFUNCTION("""COMPUTED_VALUE"""),44471.0)</f>
        <v>44471</v>
      </c>
      <c r="B3109" s="9">
        <f>IFERROR(__xludf.DUMMYFUNCTION("""COMPUTED_VALUE"""),1003737.0)</f>
        <v>1003737</v>
      </c>
      <c r="C3109" s="9">
        <f>IFERROR(__xludf.DUMMYFUNCTION("""COMPUTED_VALUE"""),110566.0)</f>
        <v>110566</v>
      </c>
      <c r="D3109" s="9"/>
      <c r="E3109" s="9"/>
      <c r="F3109" s="9">
        <f>IFERROR(__xludf.DUMMYFUNCTION("""COMPUTED_VALUE"""),1.83)</f>
        <v>1.83</v>
      </c>
      <c r="G3109" s="9">
        <f>IFERROR(__xludf.DUMMYFUNCTION("""COMPUTED_VALUE"""),1.83)</f>
        <v>1.83</v>
      </c>
      <c r="H3109" s="9">
        <f>IFERROR(__xludf.DUMMYFUNCTION("""COMPUTED_VALUE"""),1.0)</f>
        <v>1</v>
      </c>
      <c r="I3109" s="9"/>
      <c r="J3109" s="9"/>
      <c r="K3109" s="9"/>
      <c r="L3109" s="9"/>
      <c r="M3109" s="9"/>
      <c r="N3109" s="9"/>
      <c r="O3109" s="9"/>
      <c r="P3109" s="9"/>
      <c r="Q3109" s="9"/>
      <c r="R3109" s="9"/>
      <c r="S3109" s="9"/>
      <c r="T3109" s="9"/>
    </row>
    <row r="3110" ht="15.75" customHeight="1">
      <c r="A3110" s="11">
        <f>IFERROR(__xludf.DUMMYFUNCTION("""COMPUTED_VALUE"""),44471.0)</f>
        <v>44471</v>
      </c>
      <c r="B3110" s="9">
        <f>IFERROR(__xludf.DUMMYFUNCTION("""COMPUTED_VALUE"""),1003737.0)</f>
        <v>1003737</v>
      </c>
      <c r="C3110" s="9">
        <f>IFERROR(__xludf.DUMMYFUNCTION("""COMPUTED_VALUE"""),76465.0)</f>
        <v>76465</v>
      </c>
      <c r="D3110" s="9"/>
      <c r="E3110" s="9"/>
      <c r="F3110" s="9">
        <f>IFERROR(__xludf.DUMMYFUNCTION("""COMPUTED_VALUE"""),2.69)</f>
        <v>2.69</v>
      </c>
      <c r="G3110" s="9">
        <f>IFERROR(__xludf.DUMMYFUNCTION("""COMPUTED_VALUE"""),2.69)</f>
        <v>2.69</v>
      </c>
      <c r="H3110" s="9">
        <f>IFERROR(__xludf.DUMMYFUNCTION("""COMPUTED_VALUE"""),1.0)</f>
        <v>1</v>
      </c>
      <c r="I3110" s="9"/>
      <c r="J3110" s="9"/>
      <c r="K3110" s="9"/>
      <c r="L3110" s="9"/>
      <c r="M3110" s="9"/>
      <c r="N3110" s="9"/>
      <c r="O3110" s="9"/>
      <c r="P3110" s="9"/>
      <c r="Q3110" s="9"/>
      <c r="R3110" s="9"/>
      <c r="S3110" s="9"/>
      <c r="T3110" s="9"/>
    </row>
    <row r="3111" ht="15.75" customHeight="1">
      <c r="A3111" s="11">
        <f>IFERROR(__xludf.DUMMYFUNCTION("""COMPUTED_VALUE"""),44471.0)</f>
        <v>44471</v>
      </c>
      <c r="B3111" s="9">
        <f>IFERROR(__xludf.DUMMYFUNCTION("""COMPUTED_VALUE"""),1003737.0)</f>
        <v>1003737</v>
      </c>
      <c r="C3111" s="9">
        <f>IFERROR(__xludf.DUMMYFUNCTION("""COMPUTED_VALUE"""),71404.0)</f>
        <v>71404</v>
      </c>
      <c r="D3111" s="9"/>
      <c r="E3111" s="9"/>
      <c r="F3111" s="9">
        <f>IFERROR(__xludf.DUMMYFUNCTION("""COMPUTED_VALUE"""),7.64)</f>
        <v>7.64</v>
      </c>
      <c r="G3111" s="9">
        <f>IFERROR(__xludf.DUMMYFUNCTION("""COMPUTED_VALUE"""),7.64)</f>
        <v>7.64</v>
      </c>
      <c r="H3111" s="9">
        <f>IFERROR(__xludf.DUMMYFUNCTION("""COMPUTED_VALUE"""),1.0)</f>
        <v>1</v>
      </c>
      <c r="I3111" s="9"/>
      <c r="J3111" s="9"/>
      <c r="K3111" s="9"/>
      <c r="L3111" s="9"/>
      <c r="M3111" s="9"/>
      <c r="N3111" s="9"/>
      <c r="O3111" s="9"/>
      <c r="P3111" s="9"/>
      <c r="Q3111" s="9"/>
      <c r="R3111" s="9"/>
      <c r="S3111" s="9"/>
      <c r="T3111" s="9"/>
    </row>
    <row r="3112" ht="15.75" customHeight="1">
      <c r="A3112" s="11">
        <f>IFERROR(__xludf.DUMMYFUNCTION("""COMPUTED_VALUE"""),44471.0)</f>
        <v>44471</v>
      </c>
      <c r="B3112" s="9">
        <f>IFERROR(__xludf.DUMMYFUNCTION("""COMPUTED_VALUE"""),1003737.0)</f>
        <v>1003737</v>
      </c>
      <c r="C3112" s="9">
        <f>IFERROR(__xludf.DUMMYFUNCTION("""COMPUTED_VALUE"""),110576.0)</f>
        <v>110576</v>
      </c>
      <c r="D3112" s="9"/>
      <c r="E3112" s="9"/>
      <c r="F3112" s="9">
        <f>IFERROR(__xludf.DUMMYFUNCTION("""COMPUTED_VALUE"""),2.85)</f>
        <v>2.85</v>
      </c>
      <c r="G3112" s="9">
        <f>IFERROR(__xludf.DUMMYFUNCTION("""COMPUTED_VALUE"""),2.85)</f>
        <v>2.85</v>
      </c>
      <c r="H3112" s="9">
        <f>IFERROR(__xludf.DUMMYFUNCTION("""COMPUTED_VALUE"""),1.0)</f>
        <v>1</v>
      </c>
      <c r="I3112" s="9"/>
      <c r="J3112" s="9"/>
      <c r="K3112" s="9"/>
      <c r="L3112" s="9"/>
      <c r="M3112" s="9"/>
      <c r="N3112" s="9"/>
      <c r="O3112" s="9"/>
      <c r="P3112" s="9"/>
      <c r="Q3112" s="9"/>
      <c r="R3112" s="9"/>
      <c r="S3112" s="9"/>
      <c r="T3112" s="9"/>
    </row>
    <row r="3113" ht="15.75" customHeight="1">
      <c r="A3113" s="11">
        <f>IFERROR(__xludf.DUMMYFUNCTION("""COMPUTED_VALUE"""),44471.0)</f>
        <v>44471</v>
      </c>
      <c r="B3113" s="9">
        <f>IFERROR(__xludf.DUMMYFUNCTION("""COMPUTED_VALUE"""),1003737.0)</f>
        <v>1003737</v>
      </c>
      <c r="C3113" s="9">
        <f>IFERROR(__xludf.DUMMYFUNCTION("""COMPUTED_VALUE"""),113094.0)</f>
        <v>113094</v>
      </c>
      <c r="D3113" s="9"/>
      <c r="E3113" s="9"/>
      <c r="F3113" s="9">
        <f>IFERROR(__xludf.DUMMYFUNCTION("""COMPUTED_VALUE"""),1.74)</f>
        <v>1.74</v>
      </c>
      <c r="G3113" s="9">
        <f>IFERROR(__xludf.DUMMYFUNCTION("""COMPUTED_VALUE"""),1.74)</f>
        <v>1.74</v>
      </c>
      <c r="H3113" s="9">
        <f>IFERROR(__xludf.DUMMYFUNCTION("""COMPUTED_VALUE"""),1.0)</f>
        <v>1</v>
      </c>
      <c r="I3113" s="9"/>
      <c r="J3113" s="9"/>
      <c r="K3113" s="9"/>
      <c r="L3113" s="9"/>
      <c r="M3113" s="9"/>
      <c r="N3113" s="9"/>
      <c r="O3113" s="9"/>
      <c r="P3113" s="9"/>
      <c r="Q3113" s="9"/>
      <c r="R3113" s="9"/>
      <c r="S3113" s="9"/>
      <c r="T3113" s="9"/>
    </row>
    <row r="3114" ht="15.75" customHeight="1">
      <c r="A3114" s="11">
        <f>IFERROR(__xludf.DUMMYFUNCTION("""COMPUTED_VALUE"""),44471.0)</f>
        <v>44471</v>
      </c>
      <c r="B3114" s="9">
        <f>IFERROR(__xludf.DUMMYFUNCTION("""COMPUTED_VALUE"""),1003738.0)</f>
        <v>1003738</v>
      </c>
      <c r="C3114" s="9">
        <f>IFERROR(__xludf.DUMMYFUNCTION("""COMPUTED_VALUE"""),111728.0)</f>
        <v>111728</v>
      </c>
      <c r="D3114" s="9"/>
      <c r="E3114" s="9"/>
      <c r="F3114" s="9">
        <f>IFERROR(__xludf.DUMMYFUNCTION("""COMPUTED_VALUE"""),7.29)</f>
        <v>7.29</v>
      </c>
      <c r="G3114" s="9">
        <f>IFERROR(__xludf.DUMMYFUNCTION("""COMPUTED_VALUE"""),7.29)</f>
        <v>7.29</v>
      </c>
      <c r="H3114" s="9">
        <f>IFERROR(__xludf.DUMMYFUNCTION("""COMPUTED_VALUE"""),1.0)</f>
        <v>1</v>
      </c>
      <c r="I3114" s="9"/>
      <c r="J3114" s="9"/>
      <c r="K3114" s="9"/>
      <c r="L3114" s="9"/>
      <c r="M3114" s="9"/>
      <c r="N3114" s="9"/>
      <c r="O3114" s="9"/>
      <c r="P3114" s="9"/>
      <c r="Q3114" s="9"/>
      <c r="R3114" s="9"/>
      <c r="S3114" s="9"/>
      <c r="T3114" s="9"/>
    </row>
    <row r="3115" ht="15.75" customHeight="1">
      <c r="A3115" s="11">
        <f>IFERROR(__xludf.DUMMYFUNCTION("""COMPUTED_VALUE"""),44471.0)</f>
        <v>44471</v>
      </c>
      <c r="B3115" s="9">
        <f>IFERROR(__xludf.DUMMYFUNCTION("""COMPUTED_VALUE"""),1003738.0)</f>
        <v>1003738</v>
      </c>
      <c r="C3115" s="9">
        <f>IFERROR(__xludf.DUMMYFUNCTION("""COMPUTED_VALUE"""),90174.0)</f>
        <v>90174</v>
      </c>
      <c r="D3115" s="9"/>
      <c r="E3115" s="9"/>
      <c r="F3115" s="9">
        <f>IFERROR(__xludf.DUMMYFUNCTION("""COMPUTED_VALUE"""),6.1)</f>
        <v>6.1</v>
      </c>
      <c r="G3115" s="9">
        <f>IFERROR(__xludf.DUMMYFUNCTION("""COMPUTED_VALUE"""),6.1)</f>
        <v>6.1</v>
      </c>
      <c r="H3115" s="9">
        <f>IFERROR(__xludf.DUMMYFUNCTION("""COMPUTED_VALUE"""),1.0)</f>
        <v>1</v>
      </c>
      <c r="I3115" s="9"/>
      <c r="J3115" s="9"/>
      <c r="K3115" s="9"/>
      <c r="L3115" s="9"/>
      <c r="M3115" s="9"/>
      <c r="N3115" s="9"/>
      <c r="O3115" s="9"/>
      <c r="P3115" s="9"/>
      <c r="Q3115" s="9"/>
      <c r="R3115" s="9"/>
      <c r="S3115" s="9"/>
      <c r="T3115" s="9"/>
    </row>
    <row r="3116" ht="15.75" customHeight="1">
      <c r="A3116" s="11">
        <f>IFERROR(__xludf.DUMMYFUNCTION("""COMPUTED_VALUE"""),44471.0)</f>
        <v>44471</v>
      </c>
      <c r="B3116" s="9">
        <f>IFERROR(__xludf.DUMMYFUNCTION("""COMPUTED_VALUE"""),1003738.0)</f>
        <v>1003738</v>
      </c>
      <c r="C3116" s="9">
        <f>IFERROR(__xludf.DUMMYFUNCTION("""COMPUTED_VALUE"""),41513.0)</f>
        <v>41513</v>
      </c>
      <c r="D3116" s="9"/>
      <c r="E3116" s="9"/>
      <c r="F3116" s="9">
        <f>IFERROR(__xludf.DUMMYFUNCTION("""COMPUTED_VALUE"""),69.01)</f>
        <v>69.01</v>
      </c>
      <c r="G3116" s="9">
        <f>IFERROR(__xludf.DUMMYFUNCTION("""COMPUTED_VALUE"""),69.01)</f>
        <v>69.01</v>
      </c>
      <c r="H3116" s="9">
        <f>IFERROR(__xludf.DUMMYFUNCTION("""COMPUTED_VALUE"""),8.0)</f>
        <v>8</v>
      </c>
      <c r="I3116" s="9"/>
      <c r="J3116" s="9"/>
      <c r="K3116" s="9"/>
      <c r="L3116" s="9"/>
      <c r="M3116" s="9"/>
      <c r="N3116" s="9"/>
      <c r="O3116" s="9"/>
      <c r="P3116" s="9"/>
      <c r="Q3116" s="9"/>
      <c r="R3116" s="9"/>
      <c r="S3116" s="9"/>
      <c r="T3116" s="9"/>
    </row>
    <row r="3117" ht="15.75" customHeight="1">
      <c r="A3117" s="11">
        <f>IFERROR(__xludf.DUMMYFUNCTION("""COMPUTED_VALUE"""),44471.0)</f>
        <v>44471</v>
      </c>
      <c r="B3117" s="9">
        <f>IFERROR(__xludf.DUMMYFUNCTION("""COMPUTED_VALUE"""),1003739.0)</f>
        <v>1003739</v>
      </c>
      <c r="C3117" s="9">
        <f>IFERROR(__xludf.DUMMYFUNCTION("""COMPUTED_VALUE"""),24162.0)</f>
        <v>24162</v>
      </c>
      <c r="D3117" s="9"/>
      <c r="E3117" s="9"/>
      <c r="F3117" s="9">
        <f>IFERROR(__xludf.DUMMYFUNCTION("""COMPUTED_VALUE"""),23.66)</f>
        <v>23.66</v>
      </c>
      <c r="G3117" s="9">
        <f>IFERROR(__xludf.DUMMYFUNCTION("""COMPUTED_VALUE"""),23.66)</f>
        <v>23.66</v>
      </c>
      <c r="H3117" s="9">
        <f>IFERROR(__xludf.DUMMYFUNCTION("""COMPUTED_VALUE"""),5.0)</f>
        <v>5</v>
      </c>
      <c r="I3117" s="9"/>
      <c r="J3117" s="9"/>
      <c r="K3117" s="9"/>
      <c r="L3117" s="9"/>
      <c r="M3117" s="9"/>
      <c r="N3117" s="9"/>
      <c r="O3117" s="9"/>
      <c r="P3117" s="9"/>
      <c r="Q3117" s="9"/>
      <c r="R3117" s="9"/>
      <c r="S3117" s="9"/>
      <c r="T3117" s="9"/>
    </row>
    <row r="3118" ht="15.75" customHeight="1">
      <c r="A3118" s="11">
        <f>IFERROR(__xludf.DUMMYFUNCTION("""COMPUTED_VALUE"""),44471.0)</f>
        <v>44471</v>
      </c>
      <c r="B3118" s="9">
        <f>IFERROR(__xludf.DUMMYFUNCTION("""COMPUTED_VALUE"""),1003739.0)</f>
        <v>1003739</v>
      </c>
      <c r="C3118" s="9">
        <f>IFERROR(__xludf.DUMMYFUNCTION("""COMPUTED_VALUE"""),86169.0)</f>
        <v>86169</v>
      </c>
      <c r="D3118" s="9"/>
      <c r="E3118" s="9"/>
      <c r="F3118" s="9">
        <f>IFERROR(__xludf.DUMMYFUNCTION("""COMPUTED_VALUE"""),56.18)</f>
        <v>56.18</v>
      </c>
      <c r="G3118" s="9">
        <f>IFERROR(__xludf.DUMMYFUNCTION("""COMPUTED_VALUE"""),56.18)</f>
        <v>56.18</v>
      </c>
      <c r="H3118" s="9">
        <f>IFERROR(__xludf.DUMMYFUNCTION("""COMPUTED_VALUE"""),12.0)</f>
        <v>12</v>
      </c>
      <c r="I3118" s="9"/>
      <c r="J3118" s="9"/>
      <c r="K3118" s="9"/>
      <c r="L3118" s="9"/>
      <c r="M3118" s="9"/>
      <c r="N3118" s="9"/>
      <c r="O3118" s="9"/>
      <c r="P3118" s="9"/>
      <c r="Q3118" s="9"/>
      <c r="R3118" s="9"/>
      <c r="S3118" s="9"/>
      <c r="T3118" s="9"/>
    </row>
    <row r="3119" ht="15.75" customHeight="1">
      <c r="A3119" s="11">
        <f>IFERROR(__xludf.DUMMYFUNCTION("""COMPUTED_VALUE"""),44471.0)</f>
        <v>44471</v>
      </c>
      <c r="B3119" s="9">
        <f>IFERROR(__xludf.DUMMYFUNCTION("""COMPUTED_VALUE"""),1003740.0)</f>
        <v>1003740</v>
      </c>
      <c r="C3119" s="9">
        <f>IFERROR(__xludf.DUMMYFUNCTION("""COMPUTED_VALUE"""),110722.0)</f>
        <v>110722</v>
      </c>
      <c r="D3119" s="9"/>
      <c r="E3119" s="9"/>
      <c r="F3119" s="9">
        <f>IFERROR(__xludf.DUMMYFUNCTION("""COMPUTED_VALUE"""),28.8)</f>
        <v>28.8</v>
      </c>
      <c r="G3119" s="9">
        <f>IFERROR(__xludf.DUMMYFUNCTION("""COMPUTED_VALUE"""),28.8)</f>
        <v>28.8</v>
      </c>
      <c r="H3119" s="9">
        <f>IFERROR(__xludf.DUMMYFUNCTION("""COMPUTED_VALUE"""),2.0)</f>
        <v>2</v>
      </c>
      <c r="I3119" s="9"/>
      <c r="J3119" s="9"/>
      <c r="K3119" s="9"/>
      <c r="L3119" s="9"/>
      <c r="M3119" s="9"/>
      <c r="N3119" s="9"/>
      <c r="O3119" s="9"/>
      <c r="P3119" s="9"/>
      <c r="Q3119" s="9"/>
      <c r="R3119" s="9"/>
      <c r="S3119" s="9"/>
      <c r="T3119" s="9"/>
    </row>
    <row r="3120" ht="15.75" customHeight="1">
      <c r="A3120" s="11">
        <f>IFERROR(__xludf.DUMMYFUNCTION("""COMPUTED_VALUE"""),44471.0)</f>
        <v>44471</v>
      </c>
      <c r="B3120" s="9">
        <f>IFERROR(__xludf.DUMMYFUNCTION("""COMPUTED_VALUE"""),1003741.0)</f>
        <v>1003741</v>
      </c>
      <c r="C3120" s="9">
        <f>IFERROR(__xludf.DUMMYFUNCTION("""COMPUTED_VALUE"""),42207.0)</f>
        <v>42207</v>
      </c>
      <c r="D3120" s="9"/>
      <c r="E3120" s="9"/>
      <c r="F3120" s="9">
        <f>IFERROR(__xludf.DUMMYFUNCTION("""COMPUTED_VALUE"""),6.04)</f>
        <v>6.04</v>
      </c>
      <c r="G3120" s="9">
        <f>IFERROR(__xludf.DUMMYFUNCTION("""COMPUTED_VALUE"""),6.04)</f>
        <v>6.04</v>
      </c>
      <c r="H3120" s="9">
        <f>IFERROR(__xludf.DUMMYFUNCTION("""COMPUTED_VALUE"""),1.0)</f>
        <v>1</v>
      </c>
      <c r="I3120" s="9"/>
      <c r="J3120" s="9"/>
      <c r="K3120" s="9"/>
      <c r="L3120" s="9"/>
      <c r="M3120" s="9"/>
      <c r="N3120" s="9"/>
      <c r="O3120" s="9"/>
      <c r="P3120" s="9"/>
      <c r="Q3120" s="9"/>
      <c r="R3120" s="9"/>
      <c r="S3120" s="9"/>
      <c r="T3120" s="9"/>
    </row>
    <row r="3121" ht="15.75" customHeight="1">
      <c r="A3121" s="11">
        <f>IFERROR(__xludf.DUMMYFUNCTION("""COMPUTED_VALUE"""),44471.0)</f>
        <v>44471</v>
      </c>
      <c r="B3121" s="9">
        <f>IFERROR(__xludf.DUMMYFUNCTION("""COMPUTED_VALUE"""),1003741.0)</f>
        <v>1003741</v>
      </c>
      <c r="C3121" s="9">
        <f>IFERROR(__xludf.DUMMYFUNCTION("""COMPUTED_VALUE"""),80573.0)</f>
        <v>80573</v>
      </c>
      <c r="D3121" s="9"/>
      <c r="E3121" s="9"/>
      <c r="F3121" s="9">
        <f>IFERROR(__xludf.DUMMYFUNCTION("""COMPUTED_VALUE"""),11.1)</f>
        <v>11.1</v>
      </c>
      <c r="G3121" s="9">
        <f>IFERROR(__xludf.DUMMYFUNCTION("""COMPUTED_VALUE"""),11.1)</f>
        <v>11.1</v>
      </c>
      <c r="H3121" s="9">
        <f>IFERROR(__xludf.DUMMYFUNCTION("""COMPUTED_VALUE"""),1.0)</f>
        <v>1</v>
      </c>
      <c r="I3121" s="9"/>
      <c r="J3121" s="9"/>
      <c r="K3121" s="9"/>
      <c r="L3121" s="9"/>
      <c r="M3121" s="9"/>
      <c r="N3121" s="9"/>
      <c r="O3121" s="9"/>
      <c r="P3121" s="9"/>
      <c r="Q3121" s="9"/>
      <c r="R3121" s="9"/>
      <c r="S3121" s="9"/>
      <c r="T3121" s="9"/>
    </row>
    <row r="3122" ht="15.75" customHeight="1">
      <c r="A3122" s="11">
        <f>IFERROR(__xludf.DUMMYFUNCTION("""COMPUTED_VALUE"""),44471.0)</f>
        <v>44471</v>
      </c>
      <c r="B3122" s="9">
        <f>IFERROR(__xludf.DUMMYFUNCTION("""COMPUTED_VALUE"""),1003741.0)</f>
        <v>1003741</v>
      </c>
      <c r="C3122" s="9">
        <f>IFERROR(__xludf.DUMMYFUNCTION("""COMPUTED_VALUE"""),182010.0)</f>
        <v>182010</v>
      </c>
      <c r="D3122" s="9"/>
      <c r="E3122" s="9"/>
      <c r="F3122" s="9">
        <f>IFERROR(__xludf.DUMMYFUNCTION("""COMPUTED_VALUE"""),3.43)</f>
        <v>3.43</v>
      </c>
      <c r="G3122" s="9">
        <f>IFERROR(__xludf.DUMMYFUNCTION("""COMPUTED_VALUE"""),3.43)</f>
        <v>3.43</v>
      </c>
      <c r="H3122" s="9">
        <f>IFERROR(__xludf.DUMMYFUNCTION("""COMPUTED_VALUE"""),1.0)</f>
        <v>1</v>
      </c>
      <c r="I3122" s="9"/>
      <c r="J3122" s="9"/>
      <c r="K3122" s="9"/>
      <c r="L3122" s="9"/>
      <c r="M3122" s="9"/>
      <c r="N3122" s="9"/>
      <c r="O3122" s="9"/>
      <c r="P3122" s="9"/>
      <c r="Q3122" s="9"/>
      <c r="R3122" s="9"/>
      <c r="S3122" s="9"/>
      <c r="T3122" s="9"/>
    </row>
    <row r="3123" ht="15.75" customHeight="1">
      <c r="A3123" s="11">
        <f>IFERROR(__xludf.DUMMYFUNCTION("""COMPUTED_VALUE"""),44471.0)</f>
        <v>44471</v>
      </c>
      <c r="B3123" s="9">
        <f>IFERROR(__xludf.DUMMYFUNCTION("""COMPUTED_VALUE"""),1003741.0)</f>
        <v>1003741</v>
      </c>
      <c r="C3123" s="9">
        <f>IFERROR(__xludf.DUMMYFUNCTION("""COMPUTED_VALUE"""),80205.0)</f>
        <v>80205</v>
      </c>
      <c r="D3123" s="9"/>
      <c r="E3123" s="9"/>
      <c r="F3123" s="9">
        <f>IFERROR(__xludf.DUMMYFUNCTION("""COMPUTED_VALUE"""),3.43)</f>
        <v>3.43</v>
      </c>
      <c r="G3123" s="9">
        <f>IFERROR(__xludf.DUMMYFUNCTION("""COMPUTED_VALUE"""),3.43)</f>
        <v>3.43</v>
      </c>
      <c r="H3123" s="9">
        <f>IFERROR(__xludf.DUMMYFUNCTION("""COMPUTED_VALUE"""),1.0)</f>
        <v>1</v>
      </c>
      <c r="I3123" s="9"/>
      <c r="J3123" s="9"/>
      <c r="K3123" s="9"/>
      <c r="L3123" s="9"/>
      <c r="M3123" s="9"/>
      <c r="N3123" s="9"/>
      <c r="O3123" s="9"/>
      <c r="P3123" s="9"/>
      <c r="Q3123" s="9"/>
      <c r="R3123" s="9"/>
      <c r="S3123" s="9"/>
      <c r="T3123" s="9"/>
    </row>
    <row r="3124" ht="15.75" customHeight="1">
      <c r="A3124" s="11">
        <f>IFERROR(__xludf.DUMMYFUNCTION("""COMPUTED_VALUE"""),44471.0)</f>
        <v>44471</v>
      </c>
      <c r="B3124" s="9">
        <f>IFERROR(__xludf.DUMMYFUNCTION("""COMPUTED_VALUE"""),1003741.0)</f>
        <v>1003741</v>
      </c>
      <c r="C3124" s="9">
        <f>IFERROR(__xludf.DUMMYFUNCTION("""COMPUTED_VALUE"""),44268.0)</f>
        <v>44268</v>
      </c>
      <c r="D3124" s="9"/>
      <c r="E3124" s="9"/>
      <c r="F3124" s="9">
        <f>IFERROR(__xludf.DUMMYFUNCTION("""COMPUTED_VALUE"""),6.36)</f>
        <v>6.36</v>
      </c>
      <c r="G3124" s="9">
        <f>IFERROR(__xludf.DUMMYFUNCTION("""COMPUTED_VALUE"""),6.36)</f>
        <v>6.36</v>
      </c>
      <c r="H3124" s="9">
        <f>IFERROR(__xludf.DUMMYFUNCTION("""COMPUTED_VALUE"""),1.0)</f>
        <v>1</v>
      </c>
      <c r="I3124" s="9"/>
      <c r="J3124" s="9"/>
      <c r="K3124" s="9"/>
      <c r="L3124" s="9"/>
      <c r="M3124" s="9"/>
      <c r="N3124" s="9"/>
      <c r="O3124" s="9"/>
      <c r="P3124" s="9"/>
      <c r="Q3124" s="9"/>
      <c r="R3124" s="9"/>
      <c r="S3124" s="9"/>
      <c r="T3124" s="9"/>
    </row>
    <row r="3125" ht="15.75" customHeight="1">
      <c r="A3125" s="11">
        <f>IFERROR(__xludf.DUMMYFUNCTION("""COMPUTED_VALUE"""),44471.0)</f>
        <v>44471</v>
      </c>
      <c r="B3125" s="9">
        <f>IFERROR(__xludf.DUMMYFUNCTION("""COMPUTED_VALUE"""),1003741.0)</f>
        <v>1003741</v>
      </c>
      <c r="C3125" s="9">
        <f>IFERROR(__xludf.DUMMYFUNCTION("""COMPUTED_VALUE"""),109307.0)</f>
        <v>109307</v>
      </c>
      <c r="D3125" s="9"/>
      <c r="E3125" s="9"/>
      <c r="F3125" s="9">
        <f>IFERROR(__xludf.DUMMYFUNCTION("""COMPUTED_VALUE"""),9.24)</f>
        <v>9.24</v>
      </c>
      <c r="G3125" s="9">
        <f>IFERROR(__xludf.DUMMYFUNCTION("""COMPUTED_VALUE"""),9.24)</f>
        <v>9.24</v>
      </c>
      <c r="H3125" s="9">
        <f>IFERROR(__xludf.DUMMYFUNCTION("""COMPUTED_VALUE"""),1.0)</f>
        <v>1</v>
      </c>
      <c r="I3125" s="9"/>
      <c r="J3125" s="9"/>
      <c r="K3125" s="9"/>
      <c r="L3125" s="9"/>
      <c r="M3125" s="9"/>
      <c r="N3125" s="9"/>
      <c r="O3125" s="9"/>
      <c r="P3125" s="9"/>
      <c r="Q3125" s="9"/>
      <c r="R3125" s="9"/>
      <c r="S3125" s="9"/>
      <c r="T3125" s="9"/>
    </row>
    <row r="3126" ht="15.75" customHeight="1">
      <c r="A3126" s="11">
        <f>IFERROR(__xludf.DUMMYFUNCTION("""COMPUTED_VALUE"""),44471.0)</f>
        <v>44471</v>
      </c>
      <c r="B3126" s="9">
        <f>IFERROR(__xludf.DUMMYFUNCTION("""COMPUTED_VALUE"""),1003741.0)</f>
        <v>1003741</v>
      </c>
      <c r="C3126" s="9">
        <f>IFERROR(__xludf.DUMMYFUNCTION("""COMPUTED_VALUE"""),69110.0)</f>
        <v>69110</v>
      </c>
      <c r="D3126" s="9"/>
      <c r="E3126" s="9"/>
      <c r="F3126" s="9">
        <f>IFERROR(__xludf.DUMMYFUNCTION("""COMPUTED_VALUE"""),2.94)</f>
        <v>2.94</v>
      </c>
      <c r="G3126" s="9">
        <f>IFERROR(__xludf.DUMMYFUNCTION("""COMPUTED_VALUE"""),2.94)</f>
        <v>2.94</v>
      </c>
      <c r="H3126" s="9">
        <f>IFERROR(__xludf.DUMMYFUNCTION("""COMPUTED_VALUE"""),1.0)</f>
        <v>1</v>
      </c>
      <c r="I3126" s="9"/>
      <c r="J3126" s="9"/>
      <c r="K3126" s="9"/>
      <c r="L3126" s="9"/>
      <c r="M3126" s="9"/>
      <c r="N3126" s="9"/>
      <c r="O3126" s="9"/>
      <c r="P3126" s="9"/>
      <c r="Q3126" s="9"/>
      <c r="R3126" s="9"/>
      <c r="S3126" s="9"/>
      <c r="T3126" s="9"/>
    </row>
    <row r="3127" ht="15.75" customHeight="1">
      <c r="A3127" s="11">
        <f>IFERROR(__xludf.DUMMYFUNCTION("""COMPUTED_VALUE"""),44471.0)</f>
        <v>44471</v>
      </c>
      <c r="B3127" s="9">
        <f>IFERROR(__xludf.DUMMYFUNCTION("""COMPUTED_VALUE"""),1003741.0)</f>
        <v>1003741</v>
      </c>
      <c r="C3127" s="9">
        <f>IFERROR(__xludf.DUMMYFUNCTION("""COMPUTED_VALUE"""),80550.0)</f>
        <v>80550</v>
      </c>
      <c r="D3127" s="10" t="str">
        <f>IFERROR(__xludf.DUMMYFUNCTION("""COMPUTED_VALUE"""),"Vive le bio")</f>
        <v>Vive le bio</v>
      </c>
      <c r="E3127" s="10"/>
      <c r="F3127" s="9">
        <f>IFERROR(__xludf.DUMMYFUNCTION("""COMPUTED_VALUE"""),11.6111111111111)</f>
        <v>11.61111111</v>
      </c>
      <c r="G3127" s="9">
        <f>IFERROR(__xludf.DUMMYFUNCTION("""COMPUTED_VALUE"""),10.45)</f>
        <v>10.45</v>
      </c>
      <c r="H3127" s="9">
        <f>IFERROR(__xludf.DUMMYFUNCTION("""COMPUTED_VALUE"""),1.0)</f>
        <v>1</v>
      </c>
      <c r="I3127" s="9"/>
      <c r="J3127" s="9"/>
      <c r="K3127" s="9"/>
      <c r="L3127" s="9"/>
      <c r="M3127" s="9"/>
      <c r="N3127" s="9"/>
      <c r="O3127" s="9"/>
      <c r="P3127" s="9"/>
      <c r="Q3127" s="9"/>
      <c r="R3127" s="9"/>
      <c r="S3127" s="9"/>
      <c r="T3127" s="9"/>
    </row>
    <row r="3128" ht="15.75" customHeight="1">
      <c r="A3128" s="11">
        <f>IFERROR(__xludf.DUMMYFUNCTION("""COMPUTED_VALUE"""),44471.0)</f>
        <v>44471</v>
      </c>
      <c r="B3128" s="9">
        <f>IFERROR(__xludf.DUMMYFUNCTION("""COMPUTED_VALUE"""),1003741.0)</f>
        <v>1003741</v>
      </c>
      <c r="C3128" s="9">
        <f>IFERROR(__xludf.DUMMYFUNCTION("""COMPUTED_VALUE"""),86360.0)</f>
        <v>86360</v>
      </c>
      <c r="D3128" s="9"/>
      <c r="E3128" s="9"/>
      <c r="F3128" s="9">
        <f>IFERROR(__xludf.DUMMYFUNCTION("""COMPUTED_VALUE"""),8.3)</f>
        <v>8.3</v>
      </c>
      <c r="G3128" s="9">
        <f>IFERROR(__xludf.DUMMYFUNCTION("""COMPUTED_VALUE"""),8.3)</f>
        <v>8.3</v>
      </c>
      <c r="H3128" s="9">
        <f>IFERROR(__xludf.DUMMYFUNCTION("""COMPUTED_VALUE"""),1.0)</f>
        <v>1</v>
      </c>
      <c r="I3128" s="9"/>
      <c r="J3128" s="9"/>
      <c r="K3128" s="9"/>
      <c r="L3128" s="9"/>
      <c r="M3128" s="9"/>
      <c r="N3128" s="9"/>
      <c r="O3128" s="9"/>
      <c r="P3128" s="9"/>
      <c r="Q3128" s="9"/>
      <c r="R3128" s="9"/>
      <c r="S3128" s="9"/>
      <c r="T3128" s="9"/>
    </row>
    <row r="3129" ht="15.75" customHeight="1">
      <c r="A3129" s="11">
        <f>IFERROR(__xludf.DUMMYFUNCTION("""COMPUTED_VALUE"""),44471.0)</f>
        <v>44471</v>
      </c>
      <c r="B3129" s="9">
        <f>IFERROR(__xludf.DUMMYFUNCTION("""COMPUTED_VALUE"""),1003741.0)</f>
        <v>1003741</v>
      </c>
      <c r="C3129" s="9">
        <f>IFERROR(__xludf.DUMMYFUNCTION("""COMPUTED_VALUE"""),69109.0)</f>
        <v>69109</v>
      </c>
      <c r="D3129" s="10" t="str">
        <f>IFERROR(__xludf.DUMMYFUNCTION("""COMPUTED_VALUE"""),"Offre speciale")</f>
        <v>Offre speciale</v>
      </c>
      <c r="E3129" s="10"/>
      <c r="F3129" s="9">
        <f>IFERROR(__xludf.DUMMYFUNCTION("""COMPUTED_VALUE"""),3.12222222222222)</f>
        <v>3.122222222</v>
      </c>
      <c r="G3129" s="9">
        <f>IFERROR(__xludf.DUMMYFUNCTION("""COMPUTED_VALUE"""),2.81)</f>
        <v>2.81</v>
      </c>
      <c r="H3129" s="9">
        <f>IFERROR(__xludf.DUMMYFUNCTION("""COMPUTED_VALUE"""),1.0)</f>
        <v>1</v>
      </c>
      <c r="I3129" s="9"/>
      <c r="J3129" s="9"/>
      <c r="K3129" s="9"/>
      <c r="L3129" s="9"/>
      <c r="M3129" s="9"/>
      <c r="N3129" s="9"/>
      <c r="O3129" s="9"/>
      <c r="P3129" s="9"/>
      <c r="Q3129" s="9"/>
      <c r="R3129" s="9"/>
      <c r="S3129" s="9"/>
      <c r="T3129" s="9"/>
    </row>
    <row r="3130" ht="15.75" customHeight="1">
      <c r="A3130" s="11">
        <f>IFERROR(__xludf.DUMMYFUNCTION("""COMPUTED_VALUE"""),44471.0)</f>
        <v>44471</v>
      </c>
      <c r="B3130" s="9">
        <f>IFERROR(__xludf.DUMMYFUNCTION("""COMPUTED_VALUE"""),1003741.0)</f>
        <v>1003741</v>
      </c>
      <c r="C3130" s="9">
        <f>IFERROR(__xludf.DUMMYFUNCTION("""COMPUTED_VALUE"""),10565.0)</f>
        <v>10565</v>
      </c>
      <c r="D3130" s="9"/>
      <c r="E3130" s="9"/>
      <c r="F3130" s="9">
        <f>IFERROR(__xludf.DUMMYFUNCTION("""COMPUTED_VALUE"""),7.93)</f>
        <v>7.93</v>
      </c>
      <c r="G3130" s="9">
        <f>IFERROR(__xludf.DUMMYFUNCTION("""COMPUTED_VALUE"""),7.93)</f>
        <v>7.93</v>
      </c>
      <c r="H3130" s="9">
        <f>IFERROR(__xludf.DUMMYFUNCTION("""COMPUTED_VALUE"""),1.0)</f>
        <v>1</v>
      </c>
      <c r="I3130" s="9"/>
      <c r="J3130" s="9"/>
      <c r="K3130" s="9"/>
      <c r="L3130" s="9"/>
      <c r="M3130" s="9"/>
      <c r="N3130" s="9"/>
      <c r="O3130" s="9"/>
      <c r="P3130" s="9"/>
      <c r="Q3130" s="9"/>
      <c r="R3130" s="9"/>
      <c r="S3130" s="9"/>
      <c r="T3130" s="9"/>
    </row>
    <row r="3131" ht="15.75" customHeight="1">
      <c r="A3131" s="11">
        <f>IFERROR(__xludf.DUMMYFUNCTION("""COMPUTED_VALUE"""),44471.0)</f>
        <v>44471</v>
      </c>
      <c r="B3131" s="9">
        <f>IFERROR(__xludf.DUMMYFUNCTION("""COMPUTED_VALUE"""),1003741.0)</f>
        <v>1003741</v>
      </c>
      <c r="C3131" s="9">
        <f>IFERROR(__xludf.DUMMYFUNCTION("""COMPUTED_VALUE"""),84324.0)</f>
        <v>84324</v>
      </c>
      <c r="D3131" s="9"/>
      <c r="E3131" s="9"/>
      <c r="F3131" s="9">
        <f>IFERROR(__xludf.DUMMYFUNCTION("""COMPUTED_VALUE"""),3.86)</f>
        <v>3.86</v>
      </c>
      <c r="G3131" s="9">
        <f>IFERROR(__xludf.DUMMYFUNCTION("""COMPUTED_VALUE"""),3.86)</f>
        <v>3.86</v>
      </c>
      <c r="H3131" s="9">
        <f>IFERROR(__xludf.DUMMYFUNCTION("""COMPUTED_VALUE"""),1.0)</f>
        <v>1</v>
      </c>
      <c r="I3131" s="9"/>
      <c r="J3131" s="9"/>
      <c r="K3131" s="9"/>
      <c r="L3131" s="9"/>
      <c r="M3131" s="9"/>
      <c r="N3131" s="9"/>
      <c r="O3131" s="9"/>
      <c r="P3131" s="9"/>
      <c r="Q3131" s="9"/>
      <c r="R3131" s="9"/>
      <c r="S3131" s="9"/>
      <c r="T3131" s="9"/>
    </row>
    <row r="3132" ht="15.75" customHeight="1">
      <c r="A3132" s="11">
        <f>IFERROR(__xludf.DUMMYFUNCTION("""COMPUTED_VALUE"""),44471.0)</f>
        <v>44471</v>
      </c>
      <c r="B3132" s="9">
        <f>IFERROR(__xludf.DUMMYFUNCTION("""COMPUTED_VALUE"""),1003741.0)</f>
        <v>1003741</v>
      </c>
      <c r="C3132" s="9">
        <f>IFERROR(__xludf.DUMMYFUNCTION("""COMPUTED_VALUE"""),121988.0)</f>
        <v>121988</v>
      </c>
      <c r="D3132" s="9"/>
      <c r="E3132" s="9"/>
      <c r="F3132" s="9">
        <f>IFERROR(__xludf.DUMMYFUNCTION("""COMPUTED_VALUE"""),3.12)</f>
        <v>3.12</v>
      </c>
      <c r="G3132" s="9">
        <f>IFERROR(__xludf.DUMMYFUNCTION("""COMPUTED_VALUE"""),3.12)</f>
        <v>3.12</v>
      </c>
      <c r="H3132" s="9">
        <f>IFERROR(__xludf.DUMMYFUNCTION("""COMPUTED_VALUE"""),1.0)</f>
        <v>1</v>
      </c>
      <c r="I3132" s="9"/>
      <c r="J3132" s="9"/>
      <c r="K3132" s="9"/>
      <c r="L3132" s="9"/>
      <c r="M3132" s="9"/>
      <c r="N3132" s="9"/>
      <c r="O3132" s="9"/>
      <c r="P3132" s="9"/>
      <c r="Q3132" s="9"/>
      <c r="R3132" s="9"/>
      <c r="S3132" s="9"/>
      <c r="T3132" s="9"/>
    </row>
    <row r="3133" ht="15.75" customHeight="1">
      <c r="A3133" s="11">
        <f>IFERROR(__xludf.DUMMYFUNCTION("""COMPUTED_VALUE"""),44471.0)</f>
        <v>44471</v>
      </c>
      <c r="B3133" s="9">
        <f>IFERROR(__xludf.DUMMYFUNCTION("""COMPUTED_VALUE"""),1003741.0)</f>
        <v>1003741</v>
      </c>
      <c r="C3133" s="9">
        <f>IFERROR(__xludf.DUMMYFUNCTION("""COMPUTED_VALUE"""),121987.0)</f>
        <v>121987</v>
      </c>
      <c r="D3133" s="9"/>
      <c r="E3133" s="9"/>
      <c r="F3133" s="9">
        <f>IFERROR(__xludf.DUMMYFUNCTION("""COMPUTED_VALUE"""),4.92)</f>
        <v>4.92</v>
      </c>
      <c r="G3133" s="9">
        <f>IFERROR(__xludf.DUMMYFUNCTION("""COMPUTED_VALUE"""),4.92)</f>
        <v>4.92</v>
      </c>
      <c r="H3133" s="9">
        <f>IFERROR(__xludf.DUMMYFUNCTION("""COMPUTED_VALUE"""),2.0)</f>
        <v>2</v>
      </c>
      <c r="I3133" s="9"/>
      <c r="J3133" s="9"/>
      <c r="K3133" s="9"/>
      <c r="L3133" s="9"/>
      <c r="M3133" s="9"/>
      <c r="N3133" s="9"/>
      <c r="O3133" s="9"/>
      <c r="P3133" s="9"/>
      <c r="Q3133" s="9"/>
      <c r="R3133" s="9"/>
      <c r="S3133" s="9"/>
      <c r="T3133" s="9"/>
    </row>
    <row r="3134" ht="15.75" customHeight="1">
      <c r="A3134" s="11">
        <f>IFERROR(__xludf.DUMMYFUNCTION("""COMPUTED_VALUE"""),44471.0)</f>
        <v>44471</v>
      </c>
      <c r="B3134" s="9">
        <f>IFERROR(__xludf.DUMMYFUNCTION("""COMPUTED_VALUE"""),1003741.0)</f>
        <v>1003741</v>
      </c>
      <c r="C3134" s="9">
        <f>IFERROR(__xludf.DUMMYFUNCTION("""COMPUTED_VALUE"""),68938.0)</f>
        <v>68938</v>
      </c>
      <c r="D3134" s="9"/>
      <c r="E3134" s="9"/>
      <c r="F3134" s="9">
        <f>IFERROR(__xludf.DUMMYFUNCTION("""COMPUTED_VALUE"""),4.92)</f>
        <v>4.92</v>
      </c>
      <c r="G3134" s="9">
        <f>IFERROR(__xludf.DUMMYFUNCTION("""COMPUTED_VALUE"""),4.92)</f>
        <v>4.92</v>
      </c>
      <c r="H3134" s="9">
        <f>IFERROR(__xludf.DUMMYFUNCTION("""COMPUTED_VALUE"""),2.0)</f>
        <v>2</v>
      </c>
      <c r="I3134" s="9"/>
      <c r="J3134" s="9"/>
      <c r="K3134" s="9"/>
      <c r="L3134" s="9"/>
      <c r="M3134" s="9"/>
      <c r="N3134" s="9"/>
      <c r="O3134" s="9"/>
      <c r="P3134" s="9"/>
      <c r="Q3134" s="9"/>
      <c r="R3134" s="9"/>
      <c r="S3134" s="9"/>
      <c r="T3134" s="9"/>
    </row>
    <row r="3135" ht="15.75" customHeight="1">
      <c r="A3135" s="11">
        <f>IFERROR(__xludf.DUMMYFUNCTION("""COMPUTED_VALUE"""),44471.0)</f>
        <v>44471</v>
      </c>
      <c r="B3135" s="9">
        <f>IFERROR(__xludf.DUMMYFUNCTION("""COMPUTED_VALUE"""),1003741.0)</f>
        <v>1003741</v>
      </c>
      <c r="C3135" s="9">
        <f>IFERROR(__xludf.DUMMYFUNCTION("""COMPUTED_VALUE"""),80040.0)</f>
        <v>80040</v>
      </c>
      <c r="D3135" s="10" t="str">
        <f>IFERROR(__xludf.DUMMYFUNCTION("""COMPUTED_VALUE"""),"Offre speciale")</f>
        <v>Offre speciale</v>
      </c>
      <c r="E3135" s="10"/>
      <c r="F3135" s="9">
        <f>IFERROR(__xludf.DUMMYFUNCTION("""COMPUTED_VALUE"""),5.73333333333333)</f>
        <v>5.733333333</v>
      </c>
      <c r="G3135" s="9">
        <f>IFERROR(__xludf.DUMMYFUNCTION("""COMPUTED_VALUE"""),4.3)</f>
        <v>4.3</v>
      </c>
      <c r="H3135" s="9">
        <f>IFERROR(__xludf.DUMMYFUNCTION("""COMPUTED_VALUE"""),2.0)</f>
        <v>2</v>
      </c>
      <c r="I3135" s="9"/>
      <c r="J3135" s="9"/>
      <c r="K3135" s="9"/>
      <c r="L3135" s="9"/>
      <c r="M3135" s="9"/>
      <c r="N3135" s="9"/>
      <c r="O3135" s="9"/>
      <c r="P3135" s="9"/>
      <c r="Q3135" s="9"/>
      <c r="R3135" s="9"/>
      <c r="S3135" s="9"/>
      <c r="T3135" s="9"/>
    </row>
    <row r="3136" ht="15.75" customHeight="1">
      <c r="A3136" s="11">
        <f>IFERROR(__xludf.DUMMYFUNCTION("""COMPUTED_VALUE"""),44471.0)</f>
        <v>44471</v>
      </c>
      <c r="B3136" s="9">
        <f>IFERROR(__xludf.DUMMYFUNCTION("""COMPUTED_VALUE"""),1003741.0)</f>
        <v>1003741</v>
      </c>
      <c r="C3136" s="9">
        <f>IFERROR(__xludf.DUMMYFUNCTION("""COMPUTED_VALUE"""),69117.0)</f>
        <v>69117</v>
      </c>
      <c r="D3136" s="9"/>
      <c r="E3136" s="9"/>
      <c r="F3136" s="9">
        <f>IFERROR(__xludf.DUMMYFUNCTION("""COMPUTED_VALUE"""),4.99)</f>
        <v>4.99</v>
      </c>
      <c r="G3136" s="9">
        <f>IFERROR(__xludf.DUMMYFUNCTION("""COMPUTED_VALUE"""),4.99)</f>
        <v>4.99</v>
      </c>
      <c r="H3136" s="9">
        <f>IFERROR(__xludf.DUMMYFUNCTION("""COMPUTED_VALUE"""),2.0)</f>
        <v>2</v>
      </c>
      <c r="I3136" s="9"/>
      <c r="J3136" s="9"/>
      <c r="K3136" s="9"/>
      <c r="L3136" s="9"/>
      <c r="M3136" s="9"/>
      <c r="N3136" s="9"/>
      <c r="O3136" s="9"/>
      <c r="P3136" s="9"/>
      <c r="Q3136" s="9"/>
      <c r="R3136" s="9"/>
      <c r="S3136" s="9"/>
      <c r="T3136" s="9"/>
    </row>
    <row r="3137" ht="15.75" customHeight="1">
      <c r="A3137" s="11">
        <f>IFERROR(__xludf.DUMMYFUNCTION("""COMPUTED_VALUE"""),44471.0)</f>
        <v>44471</v>
      </c>
      <c r="B3137" s="9">
        <f>IFERROR(__xludf.DUMMYFUNCTION("""COMPUTED_VALUE"""),1003741.0)</f>
        <v>1003741</v>
      </c>
      <c r="C3137" s="9">
        <f>IFERROR(__xludf.DUMMYFUNCTION("""COMPUTED_VALUE"""),199479.0)</f>
        <v>199479</v>
      </c>
      <c r="D3137" s="9"/>
      <c r="E3137" s="9"/>
      <c r="F3137" s="9">
        <f>IFERROR(__xludf.DUMMYFUNCTION("""COMPUTED_VALUE"""),8.2)</f>
        <v>8.2</v>
      </c>
      <c r="G3137" s="9">
        <f>IFERROR(__xludf.DUMMYFUNCTION("""COMPUTED_VALUE"""),8.2)</f>
        <v>8.2</v>
      </c>
      <c r="H3137" s="9">
        <f>IFERROR(__xludf.DUMMYFUNCTION("""COMPUTED_VALUE"""),3.0)</f>
        <v>3</v>
      </c>
      <c r="I3137" s="9"/>
      <c r="J3137" s="9"/>
      <c r="K3137" s="9"/>
      <c r="L3137" s="9"/>
      <c r="M3137" s="9"/>
      <c r="N3137" s="9"/>
      <c r="O3137" s="9"/>
      <c r="P3137" s="9"/>
      <c r="Q3137" s="9"/>
      <c r="R3137" s="9"/>
      <c r="S3137" s="9"/>
      <c r="T3137" s="9"/>
    </row>
    <row r="3138" ht="15.75" customHeight="1">
      <c r="A3138" s="11">
        <f>IFERROR(__xludf.DUMMYFUNCTION("""COMPUTED_VALUE"""),44471.0)</f>
        <v>44471</v>
      </c>
      <c r="B3138" s="9">
        <f>IFERROR(__xludf.DUMMYFUNCTION("""COMPUTED_VALUE"""),1003741.0)</f>
        <v>1003741</v>
      </c>
      <c r="C3138" s="9">
        <f>IFERROR(__xludf.DUMMYFUNCTION("""COMPUTED_VALUE"""),46123.0)</f>
        <v>46123</v>
      </c>
      <c r="D3138" s="9"/>
      <c r="E3138" s="9"/>
      <c r="F3138" s="9">
        <f>IFERROR(__xludf.DUMMYFUNCTION("""COMPUTED_VALUE"""),5.36)</f>
        <v>5.36</v>
      </c>
      <c r="G3138" s="9">
        <f>IFERROR(__xludf.DUMMYFUNCTION("""COMPUTED_VALUE"""),5.36)</f>
        <v>5.36</v>
      </c>
      <c r="H3138" s="9">
        <f>IFERROR(__xludf.DUMMYFUNCTION("""COMPUTED_VALUE"""),3.0)</f>
        <v>3</v>
      </c>
      <c r="I3138" s="9"/>
      <c r="J3138" s="9"/>
      <c r="K3138" s="9"/>
      <c r="L3138" s="9"/>
      <c r="M3138" s="9"/>
      <c r="N3138" s="9"/>
      <c r="O3138" s="9"/>
      <c r="P3138" s="9"/>
      <c r="Q3138" s="9"/>
      <c r="R3138" s="9"/>
      <c r="S3138" s="9"/>
      <c r="T3138" s="9"/>
    </row>
    <row r="3139" ht="15.75" customHeight="1">
      <c r="A3139" s="11">
        <f>IFERROR(__xludf.DUMMYFUNCTION("""COMPUTED_VALUE"""),44471.0)</f>
        <v>44471</v>
      </c>
      <c r="B3139" s="9">
        <f>IFERROR(__xludf.DUMMYFUNCTION("""COMPUTED_VALUE"""),1003741.0)</f>
        <v>1003741</v>
      </c>
      <c r="C3139" s="9">
        <f>IFERROR(__xludf.DUMMYFUNCTION("""COMPUTED_VALUE"""),84315.0)</f>
        <v>84315</v>
      </c>
      <c r="D3139" s="9"/>
      <c r="E3139" s="9"/>
      <c r="F3139" s="9">
        <f>IFERROR(__xludf.DUMMYFUNCTION("""COMPUTED_VALUE"""),11.57)</f>
        <v>11.57</v>
      </c>
      <c r="G3139" s="9">
        <f>IFERROR(__xludf.DUMMYFUNCTION("""COMPUTED_VALUE"""),11.57)</f>
        <v>11.57</v>
      </c>
      <c r="H3139" s="9">
        <f>IFERROR(__xludf.DUMMYFUNCTION("""COMPUTED_VALUE"""),3.0)</f>
        <v>3</v>
      </c>
      <c r="I3139" s="9"/>
      <c r="J3139" s="9"/>
      <c r="K3139" s="9"/>
      <c r="L3139" s="9"/>
      <c r="M3139" s="9"/>
      <c r="N3139" s="9"/>
      <c r="O3139" s="9"/>
      <c r="P3139" s="9"/>
      <c r="Q3139" s="9"/>
      <c r="R3139" s="9"/>
      <c r="S3139" s="9"/>
      <c r="T3139" s="9"/>
    </row>
    <row r="3140" ht="15.75" customHeight="1">
      <c r="A3140" s="11">
        <f>IFERROR(__xludf.DUMMYFUNCTION("""COMPUTED_VALUE"""),44471.0)</f>
        <v>44471</v>
      </c>
      <c r="B3140" s="9">
        <f>IFERROR(__xludf.DUMMYFUNCTION("""COMPUTED_VALUE"""),1003741.0)</f>
        <v>1003741</v>
      </c>
      <c r="C3140" s="9">
        <f>IFERROR(__xludf.DUMMYFUNCTION("""COMPUTED_VALUE"""),46132.0)</f>
        <v>46132</v>
      </c>
      <c r="D3140" s="9"/>
      <c r="E3140" s="9"/>
      <c r="F3140" s="9">
        <f>IFERROR(__xludf.DUMMYFUNCTION("""COMPUTED_VALUE"""),7.22)</f>
        <v>7.22</v>
      </c>
      <c r="G3140" s="9">
        <f>IFERROR(__xludf.DUMMYFUNCTION("""COMPUTED_VALUE"""),7.22)</f>
        <v>7.22</v>
      </c>
      <c r="H3140" s="9">
        <f>IFERROR(__xludf.DUMMYFUNCTION("""COMPUTED_VALUE"""),4.0)</f>
        <v>4</v>
      </c>
      <c r="I3140" s="9"/>
      <c r="J3140" s="9"/>
      <c r="K3140" s="9"/>
      <c r="L3140" s="9"/>
      <c r="M3140" s="9"/>
      <c r="N3140" s="9"/>
      <c r="O3140" s="9"/>
      <c r="P3140" s="9"/>
      <c r="Q3140" s="9"/>
      <c r="R3140" s="9"/>
      <c r="S3140" s="9"/>
      <c r="T3140" s="9"/>
    </row>
    <row r="3141" ht="15.75" customHeight="1">
      <c r="A3141" s="11">
        <f>IFERROR(__xludf.DUMMYFUNCTION("""COMPUTED_VALUE"""),44471.0)</f>
        <v>44471</v>
      </c>
      <c r="B3141" s="9">
        <f>IFERROR(__xludf.DUMMYFUNCTION("""COMPUTED_VALUE"""),1003743.0)</f>
        <v>1003743</v>
      </c>
      <c r="C3141" s="9">
        <f>IFERROR(__xludf.DUMMYFUNCTION("""COMPUTED_VALUE"""),116771.0)</f>
        <v>116771</v>
      </c>
      <c r="D3141" s="9"/>
      <c r="E3141" s="9"/>
      <c r="F3141" s="9">
        <f>IFERROR(__xludf.DUMMYFUNCTION("""COMPUTED_VALUE"""),4.01)</f>
        <v>4.01</v>
      </c>
      <c r="G3141" s="9">
        <f>IFERROR(__xludf.DUMMYFUNCTION("""COMPUTED_VALUE"""),4.01)</f>
        <v>4.01</v>
      </c>
      <c r="H3141" s="9">
        <f>IFERROR(__xludf.DUMMYFUNCTION("""COMPUTED_VALUE"""),1.0)</f>
        <v>1</v>
      </c>
      <c r="I3141" s="9"/>
      <c r="J3141" s="9"/>
      <c r="K3141" s="9"/>
      <c r="L3141" s="9"/>
      <c r="M3141" s="9"/>
      <c r="N3141" s="9"/>
      <c r="O3141" s="9"/>
      <c r="P3141" s="9"/>
      <c r="Q3141" s="9"/>
      <c r="R3141" s="9"/>
      <c r="S3141" s="9"/>
      <c r="T3141" s="9"/>
    </row>
    <row r="3142" ht="15.75" customHeight="1">
      <c r="A3142" s="11">
        <f>IFERROR(__xludf.DUMMYFUNCTION("""COMPUTED_VALUE"""),44471.0)</f>
        <v>44471</v>
      </c>
      <c r="B3142" s="9">
        <f>IFERROR(__xludf.DUMMYFUNCTION("""COMPUTED_VALUE"""),1003743.0)</f>
        <v>1003743</v>
      </c>
      <c r="C3142" s="9">
        <f>IFERROR(__xludf.DUMMYFUNCTION("""COMPUTED_VALUE"""),80622.0)</f>
        <v>80622</v>
      </c>
      <c r="D3142" s="9"/>
      <c r="E3142" s="9"/>
      <c r="F3142" s="9">
        <f>IFERROR(__xludf.DUMMYFUNCTION("""COMPUTED_VALUE"""),4.28)</f>
        <v>4.28</v>
      </c>
      <c r="G3142" s="9">
        <f>IFERROR(__xludf.DUMMYFUNCTION("""COMPUTED_VALUE"""),4.28)</f>
        <v>4.28</v>
      </c>
      <c r="H3142" s="9">
        <f>IFERROR(__xludf.DUMMYFUNCTION("""COMPUTED_VALUE"""),1.0)</f>
        <v>1</v>
      </c>
      <c r="I3142" s="9"/>
      <c r="J3142" s="9"/>
      <c r="K3142" s="9"/>
      <c r="L3142" s="9"/>
      <c r="M3142" s="9"/>
      <c r="N3142" s="9"/>
      <c r="O3142" s="9"/>
      <c r="P3142" s="9"/>
      <c r="Q3142" s="9"/>
      <c r="R3142" s="9"/>
      <c r="S3142" s="9"/>
      <c r="T3142" s="9"/>
    </row>
    <row r="3143" ht="15.75" customHeight="1">
      <c r="A3143" s="11">
        <f>IFERROR(__xludf.DUMMYFUNCTION("""COMPUTED_VALUE"""),44471.0)</f>
        <v>44471</v>
      </c>
      <c r="B3143" s="9">
        <f>IFERROR(__xludf.DUMMYFUNCTION("""COMPUTED_VALUE"""),1003743.0)</f>
        <v>1003743</v>
      </c>
      <c r="C3143" s="9">
        <f>IFERROR(__xludf.DUMMYFUNCTION("""COMPUTED_VALUE"""),110000.0)</f>
        <v>110000</v>
      </c>
      <c r="D3143" s="9"/>
      <c r="E3143" s="9"/>
      <c r="F3143" s="9">
        <f>IFERROR(__xludf.DUMMYFUNCTION("""COMPUTED_VALUE"""),8.07)</f>
        <v>8.07</v>
      </c>
      <c r="G3143" s="9">
        <f>IFERROR(__xludf.DUMMYFUNCTION("""COMPUTED_VALUE"""),8.07)</f>
        <v>8.07</v>
      </c>
      <c r="H3143" s="9">
        <f>IFERROR(__xludf.DUMMYFUNCTION("""COMPUTED_VALUE"""),3.0)</f>
        <v>3</v>
      </c>
      <c r="I3143" s="9"/>
      <c r="J3143" s="9"/>
      <c r="K3143" s="9"/>
      <c r="L3143" s="9"/>
      <c r="M3143" s="9"/>
      <c r="N3143" s="9"/>
      <c r="O3143" s="9"/>
      <c r="P3143" s="9"/>
      <c r="Q3143" s="9"/>
      <c r="R3143" s="9"/>
      <c r="S3143" s="9"/>
      <c r="T3143" s="9"/>
    </row>
    <row r="3144" ht="15.75" customHeight="1">
      <c r="A3144" s="11">
        <f>IFERROR(__xludf.DUMMYFUNCTION("""COMPUTED_VALUE"""),44471.0)</f>
        <v>44471</v>
      </c>
      <c r="B3144" s="9">
        <f>IFERROR(__xludf.DUMMYFUNCTION("""COMPUTED_VALUE"""),1003743.0)</f>
        <v>1003743</v>
      </c>
      <c r="C3144" s="9">
        <f>IFERROR(__xludf.DUMMYFUNCTION("""COMPUTED_VALUE"""),127016.0)</f>
        <v>127016</v>
      </c>
      <c r="D3144" s="10" t="str">
        <f>IFERROR(__xludf.DUMMYFUNCTION("""COMPUTED_VALUE"""),"Carryboo coton 2021")</f>
        <v>Carryboo coton 2021</v>
      </c>
      <c r="E3144" s="10"/>
      <c r="F3144" s="9">
        <f>IFERROR(__xludf.DUMMYFUNCTION("""COMPUTED_VALUE"""),25.72)</f>
        <v>25.72</v>
      </c>
      <c r="G3144" s="9">
        <f>IFERROR(__xludf.DUMMYFUNCTION("""COMPUTED_VALUE"""),19.29)</f>
        <v>19.29</v>
      </c>
      <c r="H3144" s="9">
        <f>IFERROR(__xludf.DUMMYFUNCTION("""COMPUTED_VALUE"""),6.0)</f>
        <v>6</v>
      </c>
      <c r="I3144" s="9"/>
      <c r="J3144" s="9"/>
      <c r="K3144" s="9"/>
      <c r="L3144" s="9"/>
      <c r="M3144" s="9"/>
      <c r="N3144" s="9"/>
      <c r="O3144" s="9"/>
      <c r="P3144" s="9"/>
      <c r="Q3144" s="9"/>
      <c r="R3144" s="9"/>
      <c r="S3144" s="9"/>
      <c r="T3144" s="9"/>
    </row>
    <row r="3145" ht="15.75" customHeight="1">
      <c r="A3145" s="11">
        <f>IFERROR(__xludf.DUMMYFUNCTION("""COMPUTED_VALUE"""),44471.0)</f>
        <v>44471</v>
      </c>
      <c r="B3145" s="9">
        <f>IFERROR(__xludf.DUMMYFUNCTION("""COMPUTED_VALUE"""),1003743.0)</f>
        <v>1003743</v>
      </c>
      <c r="C3145" s="9">
        <f>IFERROR(__xludf.DUMMYFUNCTION("""COMPUTED_VALUE"""),26651.0)</f>
        <v>26651</v>
      </c>
      <c r="D3145" s="9"/>
      <c r="E3145" s="9"/>
      <c r="F3145" s="9">
        <f>IFERROR(__xludf.DUMMYFUNCTION("""COMPUTED_VALUE"""),100.48)</f>
        <v>100.48</v>
      </c>
      <c r="G3145" s="9">
        <f>IFERROR(__xludf.DUMMYFUNCTION("""COMPUTED_VALUE"""),100.48)</f>
        <v>100.48</v>
      </c>
      <c r="H3145" s="9">
        <f>IFERROR(__xludf.DUMMYFUNCTION("""COMPUTED_VALUE"""),8.0)</f>
        <v>8</v>
      </c>
      <c r="I3145" s="9"/>
      <c r="J3145" s="9"/>
      <c r="K3145" s="9"/>
      <c r="L3145" s="9"/>
      <c r="M3145" s="9"/>
      <c r="N3145" s="9"/>
      <c r="O3145" s="9"/>
      <c r="P3145" s="9"/>
      <c r="Q3145" s="9"/>
      <c r="R3145" s="9"/>
      <c r="S3145" s="9"/>
      <c r="T3145" s="9"/>
    </row>
    <row r="3146" ht="15.75" customHeight="1">
      <c r="A3146" s="11">
        <f>IFERROR(__xludf.DUMMYFUNCTION("""COMPUTED_VALUE"""),44471.0)</f>
        <v>44471</v>
      </c>
      <c r="B3146" s="9">
        <f>IFERROR(__xludf.DUMMYFUNCTION("""COMPUTED_VALUE"""),1003744.0)</f>
        <v>1003744</v>
      </c>
      <c r="C3146" s="9">
        <f>IFERROR(__xludf.DUMMYFUNCTION("""COMPUTED_VALUE"""),121902.0)</f>
        <v>121902</v>
      </c>
      <c r="D3146" s="9"/>
      <c r="E3146" s="10" t="str">
        <f>IFERROR(__xludf.DUMMYFUNCTION("""COMPUTED_VALUE"""),"PREMIERE")</f>
        <v>PREMIERE</v>
      </c>
      <c r="F3146" s="10">
        <f>IFERROR(__xludf.DUMMYFUNCTION("""COMPUTED_VALUE"""),42.73)</f>
        <v>42.73</v>
      </c>
      <c r="G3146" s="9">
        <f>IFERROR(__xludf.DUMMYFUNCTION("""COMPUTED_VALUE"""),42.73)</f>
        <v>42.73</v>
      </c>
      <c r="H3146" s="9">
        <f>IFERROR(__xludf.DUMMYFUNCTION("""COMPUTED_VALUE"""),5.0)</f>
        <v>5</v>
      </c>
      <c r="I3146" s="9"/>
      <c r="J3146" s="9"/>
      <c r="K3146" s="9"/>
      <c r="L3146" s="9"/>
      <c r="M3146" s="9"/>
      <c r="N3146" s="9"/>
      <c r="O3146" s="9"/>
      <c r="P3146" s="9"/>
      <c r="Q3146" s="9"/>
      <c r="R3146" s="9"/>
      <c r="S3146" s="9"/>
      <c r="T3146" s="9"/>
    </row>
    <row r="3147" ht="15.75" customHeight="1">
      <c r="A3147" s="11">
        <f>IFERROR(__xludf.DUMMYFUNCTION("""COMPUTED_VALUE"""),44471.0)</f>
        <v>44471</v>
      </c>
      <c r="B3147" s="9">
        <f>IFERROR(__xludf.DUMMYFUNCTION("""COMPUTED_VALUE"""),1003746.0)</f>
        <v>1003746</v>
      </c>
      <c r="C3147" s="9">
        <f>IFERROR(__xludf.DUMMYFUNCTION("""COMPUTED_VALUE"""),3592.0)</f>
        <v>3592</v>
      </c>
      <c r="D3147" s="9"/>
      <c r="E3147" s="10" t="str">
        <f>IFERROR(__xludf.DUMMYFUNCTION("""COMPUTED_VALUE"""),"GREENRELAIS")</f>
        <v>GREENRELAIS</v>
      </c>
      <c r="F3147" s="10">
        <f>IFERROR(__xludf.DUMMYFUNCTION("""COMPUTED_VALUE"""),15.77)</f>
        <v>15.77</v>
      </c>
      <c r="G3147" s="9">
        <f>IFERROR(__xludf.DUMMYFUNCTION("""COMPUTED_VALUE"""),15.77)</f>
        <v>15.77</v>
      </c>
      <c r="H3147" s="9">
        <f>IFERROR(__xludf.DUMMYFUNCTION("""COMPUTED_VALUE"""),1.0)</f>
        <v>1</v>
      </c>
      <c r="I3147" s="9"/>
      <c r="J3147" s="9"/>
      <c r="K3147" s="9"/>
      <c r="L3147" s="9"/>
      <c r="M3147" s="9"/>
      <c r="N3147" s="9"/>
      <c r="O3147" s="9"/>
      <c r="P3147" s="9"/>
      <c r="Q3147" s="9"/>
      <c r="R3147" s="9"/>
      <c r="S3147" s="9"/>
      <c r="T3147" s="9"/>
    </row>
    <row r="3148" ht="15.75" customHeight="1">
      <c r="A3148" s="11">
        <f>IFERROR(__xludf.DUMMYFUNCTION("""COMPUTED_VALUE"""),44471.0)</f>
        <v>44471</v>
      </c>
      <c r="B3148" s="9">
        <f>IFERROR(__xludf.DUMMYFUNCTION("""COMPUTED_VALUE"""),1003746.0)</f>
        <v>1003746</v>
      </c>
      <c r="C3148" s="9">
        <f>IFERROR(__xludf.DUMMYFUNCTION("""COMPUTED_VALUE"""),3590.0)</f>
        <v>3590</v>
      </c>
      <c r="D3148" s="9"/>
      <c r="E3148" s="10" t="str">
        <f>IFERROR(__xludf.DUMMYFUNCTION("""COMPUTED_VALUE"""),"GREENRELAIS")</f>
        <v>GREENRELAIS</v>
      </c>
      <c r="F3148" s="10">
        <f>IFERROR(__xludf.DUMMYFUNCTION("""COMPUTED_VALUE"""),15.77)</f>
        <v>15.77</v>
      </c>
      <c r="G3148" s="9">
        <f>IFERROR(__xludf.DUMMYFUNCTION("""COMPUTED_VALUE"""),15.77)</f>
        <v>15.77</v>
      </c>
      <c r="H3148" s="9">
        <f>IFERROR(__xludf.DUMMYFUNCTION("""COMPUTED_VALUE"""),1.0)</f>
        <v>1</v>
      </c>
      <c r="I3148" s="9"/>
      <c r="J3148" s="9"/>
      <c r="K3148" s="9"/>
      <c r="L3148" s="9"/>
      <c r="M3148" s="9"/>
      <c r="N3148" s="9"/>
      <c r="O3148" s="9"/>
      <c r="P3148" s="9"/>
      <c r="Q3148" s="9"/>
      <c r="R3148" s="9"/>
      <c r="S3148" s="9"/>
      <c r="T3148" s="9"/>
    </row>
    <row r="3149" ht="15.75" customHeight="1">
      <c r="A3149" s="11">
        <f>IFERROR(__xludf.DUMMYFUNCTION("""COMPUTED_VALUE"""),44471.0)</f>
        <v>44471</v>
      </c>
      <c r="B3149" s="9">
        <f>IFERROR(__xludf.DUMMYFUNCTION("""COMPUTED_VALUE"""),1003746.0)</f>
        <v>1003746</v>
      </c>
      <c r="C3149" s="9">
        <f>IFERROR(__xludf.DUMMYFUNCTION("""COMPUTED_VALUE"""),82458.0)</f>
        <v>82458</v>
      </c>
      <c r="D3149" s="9"/>
      <c r="E3149" s="10" t="str">
        <f>IFERROR(__xludf.DUMMYFUNCTION("""COMPUTED_VALUE"""),"GREENRELAIS")</f>
        <v>GREENRELAIS</v>
      </c>
      <c r="F3149" s="10">
        <f>IFERROR(__xludf.DUMMYFUNCTION("""COMPUTED_VALUE"""),3.15)</f>
        <v>3.15</v>
      </c>
      <c r="G3149" s="9">
        <f>IFERROR(__xludf.DUMMYFUNCTION("""COMPUTED_VALUE"""),3.15)</f>
        <v>3.15</v>
      </c>
      <c r="H3149" s="9">
        <f>IFERROR(__xludf.DUMMYFUNCTION("""COMPUTED_VALUE"""),1.0)</f>
        <v>1</v>
      </c>
      <c r="I3149" s="9"/>
      <c r="J3149" s="9"/>
      <c r="K3149" s="9"/>
      <c r="L3149" s="9"/>
      <c r="M3149" s="9"/>
      <c r="N3149" s="9"/>
      <c r="O3149" s="9"/>
      <c r="P3149" s="9"/>
      <c r="Q3149" s="9"/>
      <c r="R3149" s="9"/>
      <c r="S3149" s="9"/>
      <c r="T3149" s="9"/>
    </row>
    <row r="3150" ht="15.75" customHeight="1">
      <c r="A3150" s="11">
        <f>IFERROR(__xludf.DUMMYFUNCTION("""COMPUTED_VALUE"""),44471.0)</f>
        <v>44471</v>
      </c>
      <c r="B3150" s="9">
        <f>IFERROR(__xludf.DUMMYFUNCTION("""COMPUTED_VALUE"""),1003746.0)</f>
        <v>1003746</v>
      </c>
      <c r="C3150" s="9">
        <f>IFERROR(__xludf.DUMMYFUNCTION("""COMPUTED_VALUE"""),102781.0)</f>
        <v>102781</v>
      </c>
      <c r="D3150" s="9"/>
      <c r="E3150" s="10" t="str">
        <f>IFERROR(__xludf.DUMMYFUNCTION("""COMPUTED_VALUE"""),"GREENRELAIS")</f>
        <v>GREENRELAIS</v>
      </c>
      <c r="F3150" s="10">
        <f>IFERROR(__xludf.DUMMYFUNCTION("""COMPUTED_VALUE"""),6.1)</f>
        <v>6.1</v>
      </c>
      <c r="G3150" s="9">
        <f>IFERROR(__xludf.DUMMYFUNCTION("""COMPUTED_VALUE"""),6.1)</f>
        <v>6.1</v>
      </c>
      <c r="H3150" s="9">
        <f>IFERROR(__xludf.DUMMYFUNCTION("""COMPUTED_VALUE"""),1.0)</f>
        <v>1</v>
      </c>
      <c r="I3150" s="9"/>
      <c r="J3150" s="9"/>
      <c r="K3150" s="9"/>
      <c r="L3150" s="9"/>
      <c r="M3150" s="9"/>
      <c r="N3150" s="9"/>
      <c r="O3150" s="9"/>
      <c r="P3150" s="9"/>
      <c r="Q3150" s="9"/>
      <c r="R3150" s="9"/>
      <c r="S3150" s="9"/>
      <c r="T3150" s="9"/>
    </row>
    <row r="3151" ht="15.75" customHeight="1">
      <c r="A3151" s="11">
        <f>IFERROR(__xludf.DUMMYFUNCTION("""COMPUTED_VALUE"""),44471.0)</f>
        <v>44471</v>
      </c>
      <c r="B3151" s="9">
        <f>IFERROR(__xludf.DUMMYFUNCTION("""COMPUTED_VALUE"""),1003746.0)</f>
        <v>1003746</v>
      </c>
      <c r="C3151" s="9">
        <f>IFERROR(__xludf.DUMMYFUNCTION("""COMPUTED_VALUE"""),110863.0)</f>
        <v>110863</v>
      </c>
      <c r="D3151" s="9"/>
      <c r="E3151" s="10" t="str">
        <f>IFERROR(__xludf.DUMMYFUNCTION("""COMPUTED_VALUE"""),"GREENRELAIS")</f>
        <v>GREENRELAIS</v>
      </c>
      <c r="F3151" s="10">
        <f>IFERROR(__xludf.DUMMYFUNCTION("""COMPUTED_VALUE"""),3.06)</f>
        <v>3.06</v>
      </c>
      <c r="G3151" s="9">
        <f>IFERROR(__xludf.DUMMYFUNCTION("""COMPUTED_VALUE"""),3.06)</f>
        <v>3.06</v>
      </c>
      <c r="H3151" s="9">
        <f>IFERROR(__xludf.DUMMYFUNCTION("""COMPUTED_VALUE"""),1.0)</f>
        <v>1</v>
      </c>
      <c r="I3151" s="9"/>
      <c r="J3151" s="9"/>
      <c r="K3151" s="9"/>
      <c r="L3151" s="9"/>
      <c r="M3151" s="9"/>
      <c r="N3151" s="9"/>
      <c r="O3151" s="9"/>
      <c r="P3151" s="9"/>
      <c r="Q3151" s="9"/>
      <c r="R3151" s="9"/>
      <c r="S3151" s="9"/>
      <c r="T3151" s="9"/>
    </row>
    <row r="3152" ht="15.75" customHeight="1">
      <c r="A3152" s="11">
        <f>IFERROR(__xludf.DUMMYFUNCTION("""COMPUTED_VALUE"""),44471.0)</f>
        <v>44471</v>
      </c>
      <c r="B3152" s="9">
        <f>IFERROR(__xludf.DUMMYFUNCTION("""COMPUTED_VALUE"""),1003746.0)</f>
        <v>1003746</v>
      </c>
      <c r="C3152" s="9">
        <f>IFERROR(__xludf.DUMMYFUNCTION("""COMPUTED_VALUE"""),71287.0)</f>
        <v>71287</v>
      </c>
      <c r="D3152" s="9"/>
      <c r="E3152" s="10" t="str">
        <f>IFERROR(__xludf.DUMMYFUNCTION("""COMPUTED_VALUE"""),"GREENRELAIS")</f>
        <v>GREENRELAIS</v>
      </c>
      <c r="F3152" s="10">
        <f>IFERROR(__xludf.DUMMYFUNCTION("""COMPUTED_VALUE"""),7.17)</f>
        <v>7.17</v>
      </c>
      <c r="G3152" s="9">
        <f>IFERROR(__xludf.DUMMYFUNCTION("""COMPUTED_VALUE"""),7.17)</f>
        <v>7.17</v>
      </c>
      <c r="H3152" s="9">
        <f>IFERROR(__xludf.DUMMYFUNCTION("""COMPUTED_VALUE"""),1.0)</f>
        <v>1</v>
      </c>
      <c r="I3152" s="9"/>
      <c r="J3152" s="9"/>
      <c r="K3152" s="9"/>
      <c r="L3152" s="9"/>
      <c r="M3152" s="9"/>
      <c r="N3152" s="9"/>
      <c r="O3152" s="9"/>
      <c r="P3152" s="9"/>
      <c r="Q3152" s="9"/>
      <c r="R3152" s="9"/>
      <c r="S3152" s="9"/>
      <c r="T3152" s="9"/>
    </row>
    <row r="3153" ht="15.75" customHeight="1">
      <c r="A3153" s="11">
        <f>IFERROR(__xludf.DUMMYFUNCTION("""COMPUTED_VALUE"""),44471.0)</f>
        <v>44471</v>
      </c>
      <c r="B3153" s="9">
        <f>IFERROR(__xludf.DUMMYFUNCTION("""COMPUTED_VALUE"""),1003746.0)</f>
        <v>1003746</v>
      </c>
      <c r="C3153" s="9">
        <f>IFERROR(__xludf.DUMMYFUNCTION("""COMPUTED_VALUE"""),82455.0)</f>
        <v>82455</v>
      </c>
      <c r="D3153" s="10" t="str">
        <f>IFERROR(__xludf.DUMMYFUNCTION("""COMPUTED_VALUE"""),"Vive le bio")</f>
        <v>Vive le bio</v>
      </c>
      <c r="E3153" s="10" t="str">
        <f>IFERROR(__xludf.DUMMYFUNCTION("""COMPUTED_VALUE"""),"GREENRELAIS")</f>
        <v>GREENRELAIS</v>
      </c>
      <c r="F3153" s="10">
        <f>IFERROR(__xludf.DUMMYFUNCTION("""COMPUTED_VALUE"""),3.15555555555555)</f>
        <v>3.155555556</v>
      </c>
      <c r="G3153" s="9">
        <f>IFERROR(__xludf.DUMMYFUNCTION("""COMPUTED_VALUE"""),2.84)</f>
        <v>2.84</v>
      </c>
      <c r="H3153" s="9">
        <f>IFERROR(__xludf.DUMMYFUNCTION("""COMPUTED_VALUE"""),1.0)</f>
        <v>1</v>
      </c>
      <c r="I3153" s="9"/>
      <c r="J3153" s="9"/>
      <c r="K3153" s="9"/>
      <c r="L3153" s="9"/>
      <c r="M3153" s="9"/>
      <c r="N3153" s="9"/>
      <c r="O3153" s="9"/>
      <c r="P3153" s="9"/>
      <c r="Q3153" s="9"/>
      <c r="R3153" s="9"/>
      <c r="S3153" s="9"/>
      <c r="T3153" s="9"/>
    </row>
    <row r="3154" ht="15.75" customHeight="1">
      <c r="A3154" s="11">
        <f>IFERROR(__xludf.DUMMYFUNCTION("""COMPUTED_VALUE"""),44471.0)</f>
        <v>44471</v>
      </c>
      <c r="B3154" s="9">
        <f>IFERROR(__xludf.DUMMYFUNCTION("""COMPUTED_VALUE"""),1003747.0)</f>
        <v>1003747</v>
      </c>
      <c r="C3154" s="9">
        <f>IFERROR(__xludf.DUMMYFUNCTION("""COMPUTED_VALUE"""),84202.0)</f>
        <v>84202</v>
      </c>
      <c r="D3154" s="9"/>
      <c r="E3154" s="9"/>
      <c r="F3154" s="9">
        <f>IFERROR(__xludf.DUMMYFUNCTION("""COMPUTED_VALUE"""),10.62)</f>
        <v>10.62</v>
      </c>
      <c r="G3154" s="9">
        <f>IFERROR(__xludf.DUMMYFUNCTION("""COMPUTED_VALUE"""),10.62)</f>
        <v>10.62</v>
      </c>
      <c r="H3154" s="9">
        <f>IFERROR(__xludf.DUMMYFUNCTION("""COMPUTED_VALUE"""),4.0)</f>
        <v>4</v>
      </c>
      <c r="I3154" s="9"/>
      <c r="J3154" s="9"/>
      <c r="K3154" s="9"/>
      <c r="L3154" s="9"/>
      <c r="M3154" s="9"/>
      <c r="N3154" s="9"/>
      <c r="O3154" s="9"/>
      <c r="P3154" s="9"/>
      <c r="Q3154" s="9"/>
      <c r="R3154" s="9"/>
      <c r="S3154" s="9"/>
      <c r="T3154" s="9"/>
    </row>
    <row r="3155" ht="15.75" customHeight="1">
      <c r="A3155" s="11">
        <f>IFERROR(__xludf.DUMMYFUNCTION("""COMPUTED_VALUE"""),44471.0)</f>
        <v>44471</v>
      </c>
      <c r="B3155" s="9">
        <f>IFERROR(__xludf.DUMMYFUNCTION("""COMPUTED_VALUE"""),1003747.0)</f>
        <v>1003747</v>
      </c>
      <c r="C3155" s="9">
        <f>IFERROR(__xludf.DUMMYFUNCTION("""COMPUTED_VALUE"""),26148.0)</f>
        <v>26148</v>
      </c>
      <c r="D3155" s="9"/>
      <c r="E3155" s="9"/>
      <c r="F3155" s="9">
        <f>IFERROR(__xludf.DUMMYFUNCTION("""COMPUTED_VALUE"""),19.27)</f>
        <v>19.27</v>
      </c>
      <c r="G3155" s="9">
        <f>IFERROR(__xludf.DUMMYFUNCTION("""COMPUTED_VALUE"""),19.27)</f>
        <v>19.27</v>
      </c>
      <c r="H3155" s="9">
        <f>IFERROR(__xludf.DUMMYFUNCTION("""COMPUTED_VALUE"""),5.0)</f>
        <v>5</v>
      </c>
      <c r="I3155" s="9"/>
      <c r="J3155" s="9"/>
      <c r="K3155" s="9"/>
      <c r="L3155" s="9"/>
      <c r="M3155" s="9"/>
      <c r="N3155" s="9"/>
      <c r="O3155" s="9"/>
      <c r="P3155" s="9"/>
      <c r="Q3155" s="9"/>
      <c r="R3155" s="9"/>
      <c r="S3155" s="9"/>
      <c r="T3155" s="9"/>
    </row>
    <row r="3156" ht="15.75" customHeight="1">
      <c r="A3156" s="11">
        <f>IFERROR(__xludf.DUMMYFUNCTION("""COMPUTED_VALUE"""),44471.0)</f>
        <v>44471</v>
      </c>
      <c r="B3156" s="9">
        <f>IFERROR(__xludf.DUMMYFUNCTION("""COMPUTED_VALUE"""),1003748.0)</f>
        <v>1003748</v>
      </c>
      <c r="C3156" s="9">
        <f>IFERROR(__xludf.DUMMYFUNCTION("""COMPUTED_VALUE"""),23473.0)</f>
        <v>23473</v>
      </c>
      <c r="D3156" s="9"/>
      <c r="E3156" s="9"/>
      <c r="F3156" s="9">
        <f>IFERROR(__xludf.DUMMYFUNCTION("""COMPUTED_VALUE"""),3.38)</f>
        <v>3.38</v>
      </c>
      <c r="G3156" s="9">
        <f>IFERROR(__xludf.DUMMYFUNCTION("""COMPUTED_VALUE"""),3.38)</f>
        <v>3.38</v>
      </c>
      <c r="H3156" s="9">
        <f>IFERROR(__xludf.DUMMYFUNCTION("""COMPUTED_VALUE"""),1.0)</f>
        <v>1</v>
      </c>
      <c r="I3156" s="9"/>
      <c r="J3156" s="9"/>
      <c r="K3156" s="9"/>
      <c r="L3156" s="9"/>
      <c r="M3156" s="9"/>
      <c r="N3156" s="9"/>
      <c r="O3156" s="9"/>
      <c r="P3156" s="9"/>
      <c r="Q3156" s="9"/>
      <c r="R3156" s="9"/>
      <c r="S3156" s="9"/>
      <c r="T3156" s="9"/>
    </row>
    <row r="3157" ht="15.75" customHeight="1">
      <c r="A3157" s="11">
        <f>IFERROR(__xludf.DUMMYFUNCTION("""COMPUTED_VALUE"""),44471.0)</f>
        <v>44471</v>
      </c>
      <c r="B3157" s="9">
        <f>IFERROR(__xludf.DUMMYFUNCTION("""COMPUTED_VALUE"""),1003748.0)</f>
        <v>1003748</v>
      </c>
      <c r="C3157" s="9">
        <f>IFERROR(__xludf.DUMMYFUNCTION("""COMPUTED_VALUE"""),98939.0)</f>
        <v>98939</v>
      </c>
      <c r="D3157" s="10" t="str">
        <f>IFERROR(__xludf.DUMMYFUNCTION("""COMPUTED_VALUE"""),"Offre Speciale")</f>
        <v>Offre Speciale</v>
      </c>
      <c r="E3157" s="10"/>
      <c r="F3157" s="9">
        <f>IFERROR(__xludf.DUMMYFUNCTION("""COMPUTED_VALUE"""),19.325)</f>
        <v>19.325</v>
      </c>
      <c r="G3157" s="9">
        <f>IFERROR(__xludf.DUMMYFUNCTION("""COMPUTED_VALUE"""),15.46)</f>
        <v>15.46</v>
      </c>
      <c r="H3157" s="9">
        <f>IFERROR(__xludf.DUMMYFUNCTION("""COMPUTED_VALUE"""),1.0)</f>
        <v>1</v>
      </c>
      <c r="I3157" s="9"/>
      <c r="J3157" s="9"/>
      <c r="K3157" s="9"/>
      <c r="L3157" s="9"/>
      <c r="M3157" s="9"/>
      <c r="N3157" s="9"/>
      <c r="O3157" s="9"/>
      <c r="P3157" s="9"/>
      <c r="Q3157" s="9"/>
      <c r="R3157" s="9"/>
      <c r="S3157" s="9"/>
      <c r="T3157" s="9"/>
    </row>
    <row r="3158" ht="15.75" customHeight="1">
      <c r="A3158" s="11">
        <f>IFERROR(__xludf.DUMMYFUNCTION("""COMPUTED_VALUE"""),44471.0)</f>
        <v>44471</v>
      </c>
      <c r="B3158" s="9">
        <f>IFERROR(__xludf.DUMMYFUNCTION("""COMPUTED_VALUE"""),1003748.0)</f>
        <v>1003748</v>
      </c>
      <c r="C3158" s="9">
        <f>IFERROR(__xludf.DUMMYFUNCTION("""COMPUTED_VALUE"""),14694.0)</f>
        <v>14694</v>
      </c>
      <c r="D3158" s="9"/>
      <c r="E3158" s="9"/>
      <c r="F3158" s="9">
        <f>IFERROR(__xludf.DUMMYFUNCTION("""COMPUTED_VALUE"""),1.39)</f>
        <v>1.39</v>
      </c>
      <c r="G3158" s="9">
        <f>IFERROR(__xludf.DUMMYFUNCTION("""COMPUTED_VALUE"""),1.39)</f>
        <v>1.39</v>
      </c>
      <c r="H3158" s="9">
        <f>IFERROR(__xludf.DUMMYFUNCTION("""COMPUTED_VALUE"""),1.0)</f>
        <v>1</v>
      </c>
      <c r="I3158" s="9"/>
      <c r="J3158" s="9"/>
      <c r="K3158" s="9"/>
      <c r="L3158" s="9"/>
      <c r="M3158" s="9"/>
      <c r="N3158" s="9"/>
      <c r="O3158" s="9"/>
      <c r="P3158" s="9"/>
      <c r="Q3158" s="9"/>
      <c r="R3158" s="9"/>
      <c r="S3158" s="9"/>
      <c r="T3158" s="9"/>
    </row>
    <row r="3159" ht="15.75" customHeight="1">
      <c r="A3159" s="11">
        <f>IFERROR(__xludf.DUMMYFUNCTION("""COMPUTED_VALUE"""),44471.0)</f>
        <v>44471</v>
      </c>
      <c r="B3159" s="9">
        <f>IFERROR(__xludf.DUMMYFUNCTION("""COMPUTED_VALUE"""),1003748.0)</f>
        <v>1003748</v>
      </c>
      <c r="C3159" s="9">
        <f>IFERROR(__xludf.DUMMYFUNCTION("""COMPUTED_VALUE"""),14706.0)</f>
        <v>14706</v>
      </c>
      <c r="D3159" s="9"/>
      <c r="E3159" s="9"/>
      <c r="F3159" s="9">
        <f>IFERROR(__xludf.DUMMYFUNCTION("""COMPUTED_VALUE"""),1.64)</f>
        <v>1.64</v>
      </c>
      <c r="G3159" s="9">
        <f>IFERROR(__xludf.DUMMYFUNCTION("""COMPUTED_VALUE"""),1.64)</f>
        <v>1.64</v>
      </c>
      <c r="H3159" s="9">
        <f>IFERROR(__xludf.DUMMYFUNCTION("""COMPUTED_VALUE"""),1.0)</f>
        <v>1</v>
      </c>
      <c r="I3159" s="9"/>
      <c r="J3159" s="9"/>
      <c r="K3159" s="9"/>
      <c r="L3159" s="9"/>
      <c r="M3159" s="9"/>
      <c r="N3159" s="9"/>
      <c r="O3159" s="9"/>
      <c r="P3159" s="9"/>
      <c r="Q3159" s="9"/>
      <c r="R3159" s="9"/>
      <c r="S3159" s="9"/>
      <c r="T3159" s="9"/>
    </row>
    <row r="3160" ht="15.75" customHeight="1">
      <c r="A3160" s="11">
        <f>IFERROR(__xludf.DUMMYFUNCTION("""COMPUTED_VALUE"""),44471.0)</f>
        <v>44471</v>
      </c>
      <c r="B3160" s="9">
        <f>IFERROR(__xludf.DUMMYFUNCTION("""COMPUTED_VALUE"""),1003748.0)</f>
        <v>1003748</v>
      </c>
      <c r="C3160" s="9">
        <f>IFERROR(__xludf.DUMMYFUNCTION("""COMPUTED_VALUE"""),14709.0)</f>
        <v>14709</v>
      </c>
      <c r="D3160" s="9"/>
      <c r="E3160" s="9"/>
      <c r="F3160" s="9">
        <f>IFERROR(__xludf.DUMMYFUNCTION("""COMPUTED_VALUE"""),1.4)</f>
        <v>1.4</v>
      </c>
      <c r="G3160" s="9">
        <f>IFERROR(__xludf.DUMMYFUNCTION("""COMPUTED_VALUE"""),1.4)</f>
        <v>1.4</v>
      </c>
      <c r="H3160" s="9">
        <f>IFERROR(__xludf.DUMMYFUNCTION("""COMPUTED_VALUE"""),1.0)</f>
        <v>1</v>
      </c>
      <c r="I3160" s="9"/>
      <c r="J3160" s="9"/>
      <c r="K3160" s="9"/>
      <c r="L3160" s="9"/>
      <c r="M3160" s="9"/>
      <c r="N3160" s="9"/>
      <c r="O3160" s="9"/>
      <c r="P3160" s="9"/>
      <c r="Q3160" s="9"/>
      <c r="R3160" s="9"/>
      <c r="S3160" s="9"/>
      <c r="T3160" s="9"/>
    </row>
    <row r="3161" ht="15.75" customHeight="1">
      <c r="A3161" s="11">
        <f>IFERROR(__xludf.DUMMYFUNCTION("""COMPUTED_VALUE"""),44471.0)</f>
        <v>44471</v>
      </c>
      <c r="B3161" s="9">
        <f>IFERROR(__xludf.DUMMYFUNCTION("""COMPUTED_VALUE"""),1003748.0)</f>
        <v>1003748</v>
      </c>
      <c r="C3161" s="9">
        <f>IFERROR(__xludf.DUMMYFUNCTION("""COMPUTED_VALUE"""),113193.0)</f>
        <v>113193</v>
      </c>
      <c r="D3161" s="10" t="str">
        <f>IFERROR(__xludf.DUMMYFUNCTION("""COMPUTED_VALUE"""),"Offre Speciale")</f>
        <v>Offre Speciale</v>
      </c>
      <c r="E3161" s="10"/>
      <c r="F3161" s="9">
        <f>IFERROR(__xludf.DUMMYFUNCTION("""COMPUTED_VALUE"""),20.4588235294117)</f>
        <v>20.45882353</v>
      </c>
      <c r="G3161" s="9">
        <f>IFERROR(__xludf.DUMMYFUNCTION("""COMPUTED_VALUE"""),17.39)</f>
        <v>17.39</v>
      </c>
      <c r="H3161" s="9">
        <f>IFERROR(__xludf.DUMMYFUNCTION("""COMPUTED_VALUE"""),1.0)</f>
        <v>1</v>
      </c>
      <c r="I3161" s="9"/>
      <c r="J3161" s="9"/>
      <c r="K3161" s="9"/>
      <c r="L3161" s="9"/>
      <c r="M3161" s="9"/>
      <c r="N3161" s="9"/>
      <c r="O3161" s="9"/>
      <c r="P3161" s="9"/>
      <c r="Q3161" s="9"/>
      <c r="R3161" s="9"/>
      <c r="S3161" s="9"/>
      <c r="T3161" s="9"/>
    </row>
    <row r="3162" ht="15.75" customHeight="1">
      <c r="A3162" s="11">
        <f>IFERROR(__xludf.DUMMYFUNCTION("""COMPUTED_VALUE"""),44471.0)</f>
        <v>44471</v>
      </c>
      <c r="B3162" s="9">
        <f>IFERROR(__xludf.DUMMYFUNCTION("""COMPUTED_VALUE"""),1003748.0)</f>
        <v>1003748</v>
      </c>
      <c r="C3162" s="9">
        <f>IFERROR(__xludf.DUMMYFUNCTION("""COMPUTED_VALUE"""),119241.0)</f>
        <v>119241</v>
      </c>
      <c r="D3162" s="9"/>
      <c r="E3162" s="9"/>
      <c r="F3162" s="9">
        <f>IFERROR(__xludf.DUMMYFUNCTION("""COMPUTED_VALUE"""),5.42)</f>
        <v>5.42</v>
      </c>
      <c r="G3162" s="9">
        <f>IFERROR(__xludf.DUMMYFUNCTION("""COMPUTED_VALUE"""),5.42)</f>
        <v>5.42</v>
      </c>
      <c r="H3162" s="9">
        <f>IFERROR(__xludf.DUMMYFUNCTION("""COMPUTED_VALUE"""),1.0)</f>
        <v>1</v>
      </c>
      <c r="I3162" s="9"/>
      <c r="J3162" s="9"/>
      <c r="K3162" s="9"/>
      <c r="L3162" s="9"/>
      <c r="M3162" s="9"/>
      <c r="N3162" s="9"/>
      <c r="O3162" s="9"/>
      <c r="P3162" s="9"/>
      <c r="Q3162" s="9"/>
      <c r="R3162" s="9"/>
      <c r="S3162" s="9"/>
      <c r="T3162" s="9"/>
    </row>
    <row r="3163" ht="15.75" customHeight="1">
      <c r="A3163" s="11">
        <f>IFERROR(__xludf.DUMMYFUNCTION("""COMPUTED_VALUE"""),44471.0)</f>
        <v>44471</v>
      </c>
      <c r="B3163" s="9">
        <f>IFERROR(__xludf.DUMMYFUNCTION("""COMPUTED_VALUE"""),1003748.0)</f>
        <v>1003748</v>
      </c>
      <c r="C3163" s="9">
        <f>IFERROR(__xludf.DUMMYFUNCTION("""COMPUTED_VALUE"""),5604.0)</f>
        <v>5604</v>
      </c>
      <c r="D3163" s="10" t="str">
        <f>IFERROR(__xludf.DUMMYFUNCTION("""COMPUTED_VALUE"""),"Vive le bio")</f>
        <v>Vive le bio</v>
      </c>
      <c r="E3163" s="10"/>
      <c r="F3163" s="9">
        <f>IFERROR(__xludf.DUMMYFUNCTION("""COMPUTED_VALUE"""),2.25555555555555)</f>
        <v>2.255555556</v>
      </c>
      <c r="G3163" s="9">
        <f>IFERROR(__xludf.DUMMYFUNCTION("""COMPUTED_VALUE"""),2.03)</f>
        <v>2.03</v>
      </c>
      <c r="H3163" s="9">
        <f>IFERROR(__xludf.DUMMYFUNCTION("""COMPUTED_VALUE"""),1.0)</f>
        <v>1</v>
      </c>
      <c r="I3163" s="9"/>
      <c r="J3163" s="9"/>
      <c r="K3163" s="9"/>
      <c r="L3163" s="9"/>
      <c r="M3163" s="9"/>
      <c r="N3163" s="9"/>
      <c r="O3163" s="9"/>
      <c r="P3163" s="9"/>
      <c r="Q3163" s="9"/>
      <c r="R3163" s="9"/>
      <c r="S3163" s="9"/>
      <c r="T3163" s="9"/>
    </row>
    <row r="3164" ht="15.75" customHeight="1">
      <c r="A3164" s="11">
        <f>IFERROR(__xludf.DUMMYFUNCTION("""COMPUTED_VALUE"""),44471.0)</f>
        <v>44471</v>
      </c>
      <c r="B3164" s="9">
        <f>IFERROR(__xludf.DUMMYFUNCTION("""COMPUTED_VALUE"""),1003748.0)</f>
        <v>1003748</v>
      </c>
      <c r="C3164" s="9">
        <f>IFERROR(__xludf.DUMMYFUNCTION("""COMPUTED_VALUE"""),30569.0)</f>
        <v>30569</v>
      </c>
      <c r="D3164" s="9"/>
      <c r="E3164" s="9"/>
      <c r="F3164" s="9">
        <f>IFERROR(__xludf.DUMMYFUNCTION("""COMPUTED_VALUE"""),10.15)</f>
        <v>10.15</v>
      </c>
      <c r="G3164" s="9">
        <f>IFERROR(__xludf.DUMMYFUNCTION("""COMPUTED_VALUE"""),10.15)</f>
        <v>10.15</v>
      </c>
      <c r="H3164" s="9">
        <f>IFERROR(__xludf.DUMMYFUNCTION("""COMPUTED_VALUE"""),1.0)</f>
        <v>1</v>
      </c>
      <c r="I3164" s="9"/>
      <c r="J3164" s="9"/>
      <c r="K3164" s="9"/>
      <c r="L3164" s="9"/>
      <c r="M3164" s="9"/>
      <c r="N3164" s="9"/>
      <c r="O3164" s="9"/>
      <c r="P3164" s="9"/>
      <c r="Q3164" s="9"/>
      <c r="R3164" s="9"/>
      <c r="S3164" s="9"/>
      <c r="T3164" s="9"/>
    </row>
    <row r="3165" ht="15.75" customHeight="1">
      <c r="A3165" s="11">
        <f>IFERROR(__xludf.DUMMYFUNCTION("""COMPUTED_VALUE"""),44471.0)</f>
        <v>44471</v>
      </c>
      <c r="B3165" s="9">
        <f>IFERROR(__xludf.DUMMYFUNCTION("""COMPUTED_VALUE"""),1003748.0)</f>
        <v>1003748</v>
      </c>
      <c r="C3165" s="9">
        <f>IFERROR(__xludf.DUMMYFUNCTION("""COMPUTED_VALUE"""),68313.0)</f>
        <v>68313</v>
      </c>
      <c r="D3165" s="9"/>
      <c r="E3165" s="9"/>
      <c r="F3165" s="9">
        <f>IFERROR(__xludf.DUMMYFUNCTION("""COMPUTED_VALUE"""),9.47)</f>
        <v>9.47</v>
      </c>
      <c r="G3165" s="9">
        <f>IFERROR(__xludf.DUMMYFUNCTION("""COMPUTED_VALUE"""),9.47)</f>
        <v>9.47</v>
      </c>
      <c r="H3165" s="9">
        <f>IFERROR(__xludf.DUMMYFUNCTION("""COMPUTED_VALUE"""),2.0)</f>
        <v>2</v>
      </c>
      <c r="I3165" s="9"/>
      <c r="J3165" s="9"/>
      <c r="K3165" s="9"/>
      <c r="L3165" s="9"/>
      <c r="M3165" s="9"/>
      <c r="N3165" s="9"/>
      <c r="O3165" s="9"/>
      <c r="P3165" s="9"/>
      <c r="Q3165" s="9"/>
      <c r="R3165" s="9"/>
      <c r="S3165" s="9"/>
      <c r="T3165" s="9"/>
    </row>
    <row r="3166" ht="15.75" customHeight="1">
      <c r="A3166" s="11">
        <f>IFERROR(__xludf.DUMMYFUNCTION("""COMPUTED_VALUE"""),44471.0)</f>
        <v>44471</v>
      </c>
      <c r="B3166" s="9">
        <f>IFERROR(__xludf.DUMMYFUNCTION("""COMPUTED_VALUE"""),1003748.0)</f>
        <v>1003748</v>
      </c>
      <c r="C3166" s="9">
        <f>IFERROR(__xludf.DUMMYFUNCTION("""COMPUTED_VALUE"""),76466.0)</f>
        <v>76466</v>
      </c>
      <c r="D3166" s="9"/>
      <c r="E3166" s="9"/>
      <c r="F3166" s="9">
        <f>IFERROR(__xludf.DUMMYFUNCTION("""COMPUTED_VALUE"""),15.08)</f>
        <v>15.08</v>
      </c>
      <c r="G3166" s="9">
        <f>IFERROR(__xludf.DUMMYFUNCTION("""COMPUTED_VALUE"""),15.08)</f>
        <v>15.08</v>
      </c>
      <c r="H3166" s="9">
        <f>IFERROR(__xludf.DUMMYFUNCTION("""COMPUTED_VALUE"""),4.0)</f>
        <v>4</v>
      </c>
      <c r="I3166" s="9"/>
      <c r="J3166" s="9"/>
      <c r="K3166" s="9"/>
      <c r="L3166" s="9"/>
      <c r="M3166" s="9"/>
      <c r="N3166" s="9"/>
      <c r="O3166" s="9"/>
      <c r="P3166" s="9"/>
      <c r="Q3166" s="9"/>
      <c r="R3166" s="9"/>
      <c r="S3166" s="9"/>
      <c r="T3166" s="9"/>
    </row>
    <row r="3167" ht="15.75" customHeight="1">
      <c r="A3167" s="11">
        <f>IFERROR(__xludf.DUMMYFUNCTION("""COMPUTED_VALUE"""),44471.0)</f>
        <v>44471</v>
      </c>
      <c r="B3167" s="9">
        <f>IFERROR(__xludf.DUMMYFUNCTION("""COMPUTED_VALUE"""),1003749.0)</f>
        <v>1003749</v>
      </c>
      <c r="C3167" s="9">
        <f>IFERROR(__xludf.DUMMYFUNCTION("""COMPUTED_VALUE"""),18318.0)</f>
        <v>18318</v>
      </c>
      <c r="D3167" s="10" t="str">
        <f>IFERROR(__xludf.DUMMYFUNCTION("""COMPUTED_VALUE"""),"Vive le bio")</f>
        <v>Vive le bio</v>
      </c>
      <c r="E3167" s="10"/>
      <c r="F3167" s="9">
        <f>IFERROR(__xludf.DUMMYFUNCTION("""COMPUTED_VALUE"""),33.0888888888888)</f>
        <v>33.08888889</v>
      </c>
      <c r="G3167" s="9">
        <f>IFERROR(__xludf.DUMMYFUNCTION("""COMPUTED_VALUE"""),29.78)</f>
        <v>29.78</v>
      </c>
      <c r="H3167" s="9">
        <f>IFERROR(__xludf.DUMMYFUNCTION("""COMPUTED_VALUE"""),3.0)</f>
        <v>3</v>
      </c>
      <c r="I3167" s="9"/>
      <c r="J3167" s="9"/>
      <c r="K3167" s="9"/>
      <c r="L3167" s="9"/>
      <c r="M3167" s="9"/>
      <c r="N3167" s="9"/>
      <c r="O3167" s="9"/>
      <c r="P3167" s="9"/>
      <c r="Q3167" s="9"/>
      <c r="R3167" s="9"/>
      <c r="S3167" s="9"/>
      <c r="T3167" s="9"/>
    </row>
    <row r="3168" ht="15.75" customHeight="1">
      <c r="A3168" s="11">
        <f>IFERROR(__xludf.DUMMYFUNCTION("""COMPUTED_VALUE"""),44471.0)</f>
        <v>44471</v>
      </c>
      <c r="B3168" s="9">
        <f>IFERROR(__xludf.DUMMYFUNCTION("""COMPUTED_VALUE"""),1003750.0)</f>
        <v>1003750</v>
      </c>
      <c r="C3168" s="9">
        <f>IFERROR(__xludf.DUMMYFUNCTION("""COMPUTED_VALUE"""),46953.0)</f>
        <v>46953</v>
      </c>
      <c r="D3168" s="9"/>
      <c r="E3168" s="9"/>
      <c r="F3168" s="9">
        <f>IFERROR(__xludf.DUMMYFUNCTION("""COMPUTED_VALUE"""),9.77)</f>
        <v>9.77</v>
      </c>
      <c r="G3168" s="9">
        <f>IFERROR(__xludf.DUMMYFUNCTION("""COMPUTED_VALUE"""),9.77)</f>
        <v>9.77</v>
      </c>
      <c r="H3168" s="9">
        <f>IFERROR(__xludf.DUMMYFUNCTION("""COMPUTED_VALUE"""),1.0)</f>
        <v>1</v>
      </c>
      <c r="I3168" s="9"/>
      <c r="J3168" s="9"/>
      <c r="K3168" s="9"/>
      <c r="L3168" s="9"/>
      <c r="M3168" s="9"/>
      <c r="N3168" s="9"/>
      <c r="O3168" s="9"/>
      <c r="P3168" s="9"/>
      <c r="Q3168" s="9"/>
      <c r="R3168" s="9"/>
      <c r="S3168" s="9"/>
      <c r="T3168" s="9"/>
    </row>
    <row r="3169" ht="15.75" customHeight="1">
      <c r="A3169" s="11">
        <f>IFERROR(__xludf.DUMMYFUNCTION("""COMPUTED_VALUE"""),44471.0)</f>
        <v>44471</v>
      </c>
      <c r="B3169" s="9">
        <f>IFERROR(__xludf.DUMMYFUNCTION("""COMPUTED_VALUE"""),1003750.0)</f>
        <v>1003750</v>
      </c>
      <c r="C3169" s="9">
        <f>IFERROR(__xludf.DUMMYFUNCTION("""COMPUTED_VALUE"""),79299.0)</f>
        <v>79299</v>
      </c>
      <c r="D3169" s="10" t="str">
        <f>IFERROR(__xludf.DUMMYFUNCTION("""COMPUTED_VALUE"""),"Offre speciale")</f>
        <v>Offre speciale</v>
      </c>
      <c r="E3169" s="10"/>
      <c r="F3169" s="9">
        <f>IFERROR(__xludf.DUMMYFUNCTION("""COMPUTED_VALUE"""),3.70588235294117)</f>
        <v>3.705882353</v>
      </c>
      <c r="G3169" s="9">
        <f>IFERROR(__xludf.DUMMYFUNCTION("""COMPUTED_VALUE"""),3.15)</f>
        <v>3.15</v>
      </c>
      <c r="H3169" s="9">
        <f>IFERROR(__xludf.DUMMYFUNCTION("""COMPUTED_VALUE"""),1.0)</f>
        <v>1</v>
      </c>
      <c r="I3169" s="9"/>
      <c r="J3169" s="9"/>
      <c r="K3169" s="9"/>
      <c r="L3169" s="9"/>
      <c r="M3169" s="9"/>
      <c r="N3169" s="9"/>
      <c r="O3169" s="9"/>
      <c r="P3169" s="9"/>
      <c r="Q3169" s="9"/>
      <c r="R3169" s="9"/>
      <c r="S3169" s="9"/>
      <c r="T3169" s="9"/>
    </row>
    <row r="3170" ht="15.75" customHeight="1">
      <c r="A3170" s="11">
        <f>IFERROR(__xludf.DUMMYFUNCTION("""COMPUTED_VALUE"""),44471.0)</f>
        <v>44471</v>
      </c>
      <c r="B3170" s="9">
        <f>IFERROR(__xludf.DUMMYFUNCTION("""COMPUTED_VALUE"""),1003750.0)</f>
        <v>1003750</v>
      </c>
      <c r="C3170" s="9">
        <f>IFERROR(__xludf.DUMMYFUNCTION("""COMPUTED_VALUE"""),75436.0)</f>
        <v>75436</v>
      </c>
      <c r="D3170" s="9"/>
      <c r="E3170" s="9"/>
      <c r="F3170" s="9">
        <f>IFERROR(__xludf.DUMMYFUNCTION("""COMPUTED_VALUE"""),10.15)</f>
        <v>10.15</v>
      </c>
      <c r="G3170" s="9">
        <f>IFERROR(__xludf.DUMMYFUNCTION("""COMPUTED_VALUE"""),10.15)</f>
        <v>10.15</v>
      </c>
      <c r="H3170" s="9">
        <f>IFERROR(__xludf.DUMMYFUNCTION("""COMPUTED_VALUE"""),1.0)</f>
        <v>1</v>
      </c>
      <c r="I3170" s="9"/>
      <c r="J3170" s="9"/>
      <c r="K3170" s="9"/>
      <c r="L3170" s="9"/>
      <c r="M3170" s="9"/>
      <c r="N3170" s="9"/>
      <c r="O3170" s="9"/>
      <c r="P3170" s="9"/>
      <c r="Q3170" s="9"/>
      <c r="R3170" s="9"/>
      <c r="S3170" s="9"/>
      <c r="T3170" s="9"/>
    </row>
    <row r="3171" ht="15.75" customHeight="1">
      <c r="A3171" s="11">
        <f>IFERROR(__xludf.DUMMYFUNCTION("""COMPUTED_VALUE"""),44471.0)</f>
        <v>44471</v>
      </c>
      <c r="B3171" s="9">
        <f>IFERROR(__xludf.DUMMYFUNCTION("""COMPUTED_VALUE"""),1003750.0)</f>
        <v>1003750</v>
      </c>
      <c r="C3171" s="9">
        <f>IFERROR(__xludf.DUMMYFUNCTION("""COMPUTED_VALUE"""),71322.0)</f>
        <v>71322</v>
      </c>
      <c r="D3171" s="9"/>
      <c r="E3171" s="9"/>
      <c r="F3171" s="9">
        <f>IFERROR(__xludf.DUMMYFUNCTION("""COMPUTED_VALUE"""),12.92)</f>
        <v>12.92</v>
      </c>
      <c r="G3171" s="9">
        <f>IFERROR(__xludf.DUMMYFUNCTION("""COMPUTED_VALUE"""),12.92)</f>
        <v>12.92</v>
      </c>
      <c r="H3171" s="9">
        <f>IFERROR(__xludf.DUMMYFUNCTION("""COMPUTED_VALUE"""),1.0)</f>
        <v>1</v>
      </c>
      <c r="I3171" s="9"/>
      <c r="J3171" s="9"/>
      <c r="K3171" s="9"/>
      <c r="L3171" s="9"/>
      <c r="M3171" s="9"/>
      <c r="N3171" s="9"/>
      <c r="O3171" s="9"/>
      <c r="P3171" s="9"/>
      <c r="Q3171" s="9"/>
      <c r="R3171" s="9"/>
      <c r="S3171" s="9"/>
      <c r="T3171" s="9"/>
    </row>
    <row r="3172" ht="15.75" customHeight="1">
      <c r="A3172" s="11">
        <f>IFERROR(__xludf.DUMMYFUNCTION("""COMPUTED_VALUE"""),44471.0)</f>
        <v>44471</v>
      </c>
      <c r="B3172" s="9">
        <f>IFERROR(__xludf.DUMMYFUNCTION("""COMPUTED_VALUE"""),1003750.0)</f>
        <v>1003750</v>
      </c>
      <c r="C3172" s="9">
        <f>IFERROR(__xludf.DUMMYFUNCTION("""COMPUTED_VALUE"""),42241.0)</f>
        <v>42241</v>
      </c>
      <c r="D3172" s="9"/>
      <c r="E3172" s="9"/>
      <c r="F3172" s="9">
        <f>IFERROR(__xludf.DUMMYFUNCTION("""COMPUTED_VALUE"""),6.25)</f>
        <v>6.25</v>
      </c>
      <c r="G3172" s="9">
        <f>IFERROR(__xludf.DUMMYFUNCTION("""COMPUTED_VALUE"""),6.25)</f>
        <v>6.25</v>
      </c>
      <c r="H3172" s="9">
        <f>IFERROR(__xludf.DUMMYFUNCTION("""COMPUTED_VALUE"""),2.0)</f>
        <v>2</v>
      </c>
      <c r="I3172" s="9"/>
      <c r="J3172" s="9"/>
      <c r="K3172" s="9"/>
      <c r="L3172" s="9"/>
      <c r="M3172" s="9"/>
      <c r="N3172" s="9"/>
      <c r="O3172" s="9"/>
      <c r="P3172" s="9"/>
      <c r="Q3172" s="9"/>
      <c r="R3172" s="9"/>
      <c r="S3172" s="9"/>
      <c r="T3172" s="9"/>
    </row>
    <row r="3173" ht="15.75" customHeight="1">
      <c r="A3173" s="11">
        <f>IFERROR(__xludf.DUMMYFUNCTION("""COMPUTED_VALUE"""),44471.0)</f>
        <v>44471</v>
      </c>
      <c r="B3173" s="9">
        <f>IFERROR(__xludf.DUMMYFUNCTION("""COMPUTED_VALUE"""),1003750.0)</f>
        <v>1003750</v>
      </c>
      <c r="C3173" s="9">
        <f>IFERROR(__xludf.DUMMYFUNCTION("""COMPUTED_VALUE"""),23061.0)</f>
        <v>23061</v>
      </c>
      <c r="D3173" s="9"/>
      <c r="E3173" s="9"/>
      <c r="F3173" s="9">
        <f>IFERROR(__xludf.DUMMYFUNCTION("""COMPUTED_VALUE"""),8.77)</f>
        <v>8.77</v>
      </c>
      <c r="G3173" s="9">
        <f>IFERROR(__xludf.DUMMYFUNCTION("""COMPUTED_VALUE"""),8.77)</f>
        <v>8.77</v>
      </c>
      <c r="H3173" s="9">
        <f>IFERROR(__xludf.DUMMYFUNCTION("""COMPUTED_VALUE"""),2.0)</f>
        <v>2</v>
      </c>
      <c r="I3173" s="9"/>
      <c r="J3173" s="9"/>
      <c r="K3173" s="9"/>
      <c r="L3173" s="9"/>
      <c r="M3173" s="9"/>
      <c r="N3173" s="9"/>
      <c r="O3173" s="9"/>
      <c r="P3173" s="9"/>
      <c r="Q3173" s="9"/>
      <c r="R3173" s="9"/>
      <c r="S3173" s="9"/>
      <c r="T3173" s="9"/>
    </row>
    <row r="3174" ht="15.75" customHeight="1">
      <c r="A3174" s="11">
        <f>IFERROR(__xludf.DUMMYFUNCTION("""COMPUTED_VALUE"""),44471.0)</f>
        <v>44471</v>
      </c>
      <c r="B3174" s="9">
        <f>IFERROR(__xludf.DUMMYFUNCTION("""COMPUTED_VALUE"""),1003750.0)</f>
        <v>1003750</v>
      </c>
      <c r="C3174" s="9">
        <f>IFERROR(__xludf.DUMMYFUNCTION("""COMPUTED_VALUE"""),79300.0)</f>
        <v>79300</v>
      </c>
      <c r="D3174" s="10" t="str">
        <f>IFERROR(__xludf.DUMMYFUNCTION("""COMPUTED_VALUE"""),"Offre speciale")</f>
        <v>Offre speciale</v>
      </c>
      <c r="E3174" s="10"/>
      <c r="F3174" s="9">
        <f>IFERROR(__xludf.DUMMYFUNCTION("""COMPUTED_VALUE"""),11.1294117647058)</f>
        <v>11.12941176</v>
      </c>
      <c r="G3174" s="9">
        <f>IFERROR(__xludf.DUMMYFUNCTION("""COMPUTED_VALUE"""),9.46)</f>
        <v>9.46</v>
      </c>
      <c r="H3174" s="9">
        <f>IFERROR(__xludf.DUMMYFUNCTION("""COMPUTED_VALUE"""),3.0)</f>
        <v>3</v>
      </c>
      <c r="I3174" s="9"/>
      <c r="J3174" s="9"/>
      <c r="K3174" s="9"/>
      <c r="L3174" s="9"/>
      <c r="M3174" s="9"/>
      <c r="N3174" s="9"/>
      <c r="O3174" s="9"/>
      <c r="P3174" s="9"/>
      <c r="Q3174" s="9"/>
      <c r="R3174" s="9"/>
      <c r="S3174" s="9"/>
      <c r="T3174" s="9"/>
    </row>
    <row r="3175" ht="15.75" customHeight="1">
      <c r="A3175" s="11">
        <f>IFERROR(__xludf.DUMMYFUNCTION("""COMPUTED_VALUE"""),44471.0)</f>
        <v>44471</v>
      </c>
      <c r="B3175" s="9">
        <f>IFERROR(__xludf.DUMMYFUNCTION("""COMPUTED_VALUE"""),1003750.0)</f>
        <v>1003750</v>
      </c>
      <c r="C3175" s="9">
        <f>IFERROR(__xludf.DUMMYFUNCTION("""COMPUTED_VALUE"""),100819.0)</f>
        <v>100819</v>
      </c>
      <c r="D3175" s="10" t="str">
        <f>IFERROR(__xludf.DUMMYFUNCTION("""COMPUTED_VALUE"""),"Offre speciale")</f>
        <v>Offre speciale</v>
      </c>
      <c r="E3175" s="10"/>
      <c r="F3175" s="9">
        <f>IFERROR(__xludf.DUMMYFUNCTION("""COMPUTED_VALUE"""),9.95294117647059)</f>
        <v>9.952941176</v>
      </c>
      <c r="G3175" s="9">
        <f>IFERROR(__xludf.DUMMYFUNCTION("""COMPUTED_VALUE"""),8.46)</f>
        <v>8.46</v>
      </c>
      <c r="H3175" s="9">
        <f>IFERROR(__xludf.DUMMYFUNCTION("""COMPUTED_VALUE"""),3.0)</f>
        <v>3</v>
      </c>
      <c r="I3175" s="9"/>
      <c r="J3175" s="9"/>
      <c r="K3175" s="9"/>
      <c r="L3175" s="9"/>
      <c r="M3175" s="9"/>
      <c r="N3175" s="9"/>
      <c r="O3175" s="9"/>
      <c r="P3175" s="9"/>
      <c r="Q3175" s="9"/>
      <c r="R3175" s="9"/>
      <c r="S3175" s="9"/>
      <c r="T3175" s="9"/>
    </row>
    <row r="3176" ht="15.75" customHeight="1">
      <c r="A3176" s="11">
        <f>IFERROR(__xludf.DUMMYFUNCTION("""COMPUTED_VALUE"""),44471.0)</f>
        <v>44471</v>
      </c>
      <c r="B3176" s="9">
        <f>IFERROR(__xludf.DUMMYFUNCTION("""COMPUTED_VALUE"""),1003751.0)</f>
        <v>1003751</v>
      </c>
      <c r="C3176" s="9">
        <f>IFERROR(__xludf.DUMMYFUNCTION("""COMPUTED_VALUE"""),76466.0)</f>
        <v>76466</v>
      </c>
      <c r="D3176" s="9"/>
      <c r="E3176" s="10" t="str">
        <f>IFERROR(__xludf.DUMMYFUNCTION("""COMPUTED_VALUE"""),"GREENRELAIS")</f>
        <v>GREENRELAIS</v>
      </c>
      <c r="F3176" s="10">
        <f>IFERROR(__xludf.DUMMYFUNCTION("""COMPUTED_VALUE"""),3.77)</f>
        <v>3.77</v>
      </c>
      <c r="G3176" s="9">
        <f>IFERROR(__xludf.DUMMYFUNCTION("""COMPUTED_VALUE"""),3.77)</f>
        <v>3.77</v>
      </c>
      <c r="H3176" s="9">
        <f>IFERROR(__xludf.DUMMYFUNCTION("""COMPUTED_VALUE"""),1.0)</f>
        <v>1</v>
      </c>
      <c r="I3176" s="9"/>
      <c r="J3176" s="9"/>
      <c r="K3176" s="9"/>
      <c r="L3176" s="9"/>
      <c r="M3176" s="9"/>
      <c r="N3176" s="9"/>
      <c r="O3176" s="9"/>
      <c r="P3176" s="9"/>
      <c r="Q3176" s="9"/>
      <c r="R3176" s="9"/>
      <c r="S3176" s="9"/>
      <c r="T3176" s="9"/>
    </row>
    <row r="3177" ht="15.75" customHeight="1">
      <c r="A3177" s="11">
        <f>IFERROR(__xludf.DUMMYFUNCTION("""COMPUTED_VALUE"""),44471.0)</f>
        <v>44471</v>
      </c>
      <c r="B3177" s="9">
        <f>IFERROR(__xludf.DUMMYFUNCTION("""COMPUTED_VALUE"""),1003751.0)</f>
        <v>1003751</v>
      </c>
      <c r="C3177" s="9">
        <f>IFERROR(__xludf.DUMMYFUNCTION("""COMPUTED_VALUE"""),7256.0)</f>
        <v>7256</v>
      </c>
      <c r="D3177" s="9"/>
      <c r="E3177" s="10" t="str">
        <f>IFERROR(__xludf.DUMMYFUNCTION("""COMPUTED_VALUE"""),"GREENRELAIS")</f>
        <v>GREENRELAIS</v>
      </c>
      <c r="F3177" s="10">
        <f>IFERROR(__xludf.DUMMYFUNCTION("""COMPUTED_VALUE"""),1.47)</f>
        <v>1.47</v>
      </c>
      <c r="G3177" s="9">
        <f>IFERROR(__xludf.DUMMYFUNCTION("""COMPUTED_VALUE"""),1.47)</f>
        <v>1.47</v>
      </c>
      <c r="H3177" s="9">
        <f>IFERROR(__xludf.DUMMYFUNCTION("""COMPUTED_VALUE"""),1.0)</f>
        <v>1</v>
      </c>
      <c r="I3177" s="9"/>
      <c r="J3177" s="9"/>
      <c r="K3177" s="9"/>
      <c r="L3177" s="9"/>
      <c r="M3177" s="9"/>
      <c r="N3177" s="9"/>
      <c r="O3177" s="9"/>
      <c r="P3177" s="9"/>
      <c r="Q3177" s="9"/>
      <c r="R3177" s="9"/>
      <c r="S3177" s="9"/>
      <c r="T3177" s="9"/>
    </row>
    <row r="3178" ht="15.75" customHeight="1">
      <c r="A3178" s="11">
        <f>IFERROR(__xludf.DUMMYFUNCTION("""COMPUTED_VALUE"""),44471.0)</f>
        <v>44471</v>
      </c>
      <c r="B3178" s="9">
        <f>IFERROR(__xludf.DUMMYFUNCTION("""COMPUTED_VALUE"""),1003751.0)</f>
        <v>1003751</v>
      </c>
      <c r="C3178" s="9">
        <f>IFERROR(__xludf.DUMMYFUNCTION("""COMPUTED_VALUE"""),41225.0)</f>
        <v>41225</v>
      </c>
      <c r="D3178" s="10" t="str">
        <f>IFERROR(__xludf.DUMMYFUNCTION("""COMPUTED_VALUE"""),"Offre Speciale")</f>
        <v>Offre Speciale</v>
      </c>
      <c r="E3178" s="10" t="str">
        <f>IFERROR(__xludf.DUMMYFUNCTION("""COMPUTED_VALUE"""),"GREENRELAIS")</f>
        <v>GREENRELAIS</v>
      </c>
      <c r="F3178" s="10">
        <f>IFERROR(__xludf.DUMMYFUNCTION("""COMPUTED_VALUE"""),16.1363636363636)</f>
        <v>16.13636364</v>
      </c>
      <c r="G3178" s="9">
        <f>IFERROR(__xludf.DUMMYFUNCTION("""COMPUTED_VALUE"""),14.2)</f>
        <v>14.2</v>
      </c>
      <c r="H3178" s="9">
        <f>IFERROR(__xludf.DUMMYFUNCTION("""COMPUTED_VALUE"""),1.0)</f>
        <v>1</v>
      </c>
      <c r="I3178" s="9"/>
      <c r="J3178" s="9"/>
      <c r="K3178" s="9"/>
      <c r="L3178" s="9"/>
      <c r="M3178" s="9"/>
      <c r="N3178" s="9"/>
      <c r="O3178" s="9"/>
      <c r="P3178" s="9"/>
      <c r="Q3178" s="9"/>
      <c r="R3178" s="9"/>
      <c r="S3178" s="9"/>
      <c r="T3178" s="9"/>
    </row>
    <row r="3179" ht="15.75" customHeight="1">
      <c r="A3179" s="11">
        <f>IFERROR(__xludf.DUMMYFUNCTION("""COMPUTED_VALUE"""),44471.0)</f>
        <v>44471</v>
      </c>
      <c r="B3179" s="9">
        <f>IFERROR(__xludf.DUMMYFUNCTION("""COMPUTED_VALUE"""),1003751.0)</f>
        <v>1003751</v>
      </c>
      <c r="C3179" s="9">
        <f>IFERROR(__xludf.DUMMYFUNCTION("""COMPUTED_VALUE"""),98426.0)</f>
        <v>98426</v>
      </c>
      <c r="D3179" s="9"/>
      <c r="E3179" s="10" t="str">
        <f>IFERROR(__xludf.DUMMYFUNCTION("""COMPUTED_VALUE"""),"GREENRELAIS")</f>
        <v>GREENRELAIS</v>
      </c>
      <c r="F3179" s="10">
        <f>IFERROR(__xludf.DUMMYFUNCTION("""COMPUTED_VALUE"""),2.22)</f>
        <v>2.22</v>
      </c>
      <c r="G3179" s="9">
        <f>IFERROR(__xludf.DUMMYFUNCTION("""COMPUTED_VALUE"""),2.22)</f>
        <v>2.22</v>
      </c>
      <c r="H3179" s="9">
        <f>IFERROR(__xludf.DUMMYFUNCTION("""COMPUTED_VALUE"""),1.0)</f>
        <v>1</v>
      </c>
      <c r="I3179" s="9"/>
      <c r="J3179" s="9"/>
      <c r="K3179" s="9"/>
      <c r="L3179" s="9"/>
      <c r="M3179" s="9"/>
      <c r="N3179" s="9"/>
      <c r="O3179" s="9"/>
      <c r="P3179" s="9"/>
      <c r="Q3179" s="9"/>
      <c r="R3179" s="9"/>
      <c r="S3179" s="9"/>
      <c r="T3179" s="9"/>
    </row>
    <row r="3180" ht="15.75" customHeight="1">
      <c r="A3180" s="11">
        <f>IFERROR(__xludf.DUMMYFUNCTION("""COMPUTED_VALUE"""),44471.0)</f>
        <v>44471</v>
      </c>
      <c r="B3180" s="9">
        <f>IFERROR(__xludf.DUMMYFUNCTION("""COMPUTED_VALUE"""),1003751.0)</f>
        <v>1003751</v>
      </c>
      <c r="C3180" s="9">
        <f>IFERROR(__xludf.DUMMYFUNCTION("""COMPUTED_VALUE"""),7263.0)</f>
        <v>7263</v>
      </c>
      <c r="D3180" s="9"/>
      <c r="E3180" s="10" t="str">
        <f>IFERROR(__xludf.DUMMYFUNCTION("""COMPUTED_VALUE"""),"GREENRELAIS")</f>
        <v>GREENRELAIS</v>
      </c>
      <c r="F3180" s="10">
        <f>IFERROR(__xludf.DUMMYFUNCTION("""COMPUTED_VALUE"""),2.22)</f>
        <v>2.22</v>
      </c>
      <c r="G3180" s="9">
        <f>IFERROR(__xludf.DUMMYFUNCTION("""COMPUTED_VALUE"""),2.22)</f>
        <v>2.22</v>
      </c>
      <c r="H3180" s="9">
        <f>IFERROR(__xludf.DUMMYFUNCTION("""COMPUTED_VALUE"""),1.0)</f>
        <v>1</v>
      </c>
      <c r="I3180" s="9"/>
      <c r="J3180" s="9"/>
      <c r="K3180" s="9"/>
      <c r="L3180" s="9"/>
      <c r="M3180" s="9"/>
      <c r="N3180" s="9"/>
      <c r="O3180" s="9"/>
      <c r="P3180" s="9"/>
      <c r="Q3180" s="9"/>
      <c r="R3180" s="9"/>
      <c r="S3180" s="9"/>
      <c r="T3180" s="9"/>
    </row>
    <row r="3181" ht="15.75" customHeight="1">
      <c r="A3181" s="11">
        <f>IFERROR(__xludf.DUMMYFUNCTION("""COMPUTED_VALUE"""),44471.0)</f>
        <v>44471</v>
      </c>
      <c r="B3181" s="9">
        <f>IFERROR(__xludf.DUMMYFUNCTION("""COMPUTED_VALUE"""),1003751.0)</f>
        <v>1003751</v>
      </c>
      <c r="C3181" s="9">
        <f>IFERROR(__xludf.DUMMYFUNCTION("""COMPUTED_VALUE"""),110568.0)</f>
        <v>110568</v>
      </c>
      <c r="D3181" s="9"/>
      <c r="E3181" s="10" t="str">
        <f>IFERROR(__xludf.DUMMYFUNCTION("""COMPUTED_VALUE"""),"GREENRELAIS")</f>
        <v>GREENRELAIS</v>
      </c>
      <c r="F3181" s="10">
        <f>IFERROR(__xludf.DUMMYFUNCTION("""COMPUTED_VALUE"""),3.77)</f>
        <v>3.77</v>
      </c>
      <c r="G3181" s="9">
        <f>IFERROR(__xludf.DUMMYFUNCTION("""COMPUTED_VALUE"""),3.77)</f>
        <v>3.77</v>
      </c>
      <c r="H3181" s="9">
        <f>IFERROR(__xludf.DUMMYFUNCTION("""COMPUTED_VALUE"""),2.0)</f>
        <v>2</v>
      </c>
      <c r="I3181" s="9"/>
      <c r="J3181" s="9"/>
      <c r="K3181" s="9"/>
      <c r="L3181" s="9"/>
      <c r="M3181" s="9"/>
      <c r="N3181" s="9"/>
      <c r="O3181" s="9"/>
      <c r="P3181" s="9"/>
      <c r="Q3181" s="9"/>
      <c r="R3181" s="9"/>
      <c r="S3181" s="9"/>
      <c r="T3181" s="9"/>
    </row>
    <row r="3182" ht="15.75" customHeight="1">
      <c r="A3182" s="11">
        <f>IFERROR(__xludf.DUMMYFUNCTION("""COMPUTED_VALUE"""),44471.0)</f>
        <v>44471</v>
      </c>
      <c r="B3182" s="9">
        <f>IFERROR(__xludf.DUMMYFUNCTION("""COMPUTED_VALUE"""),1003751.0)</f>
        <v>1003751</v>
      </c>
      <c r="C3182" s="9">
        <f>IFERROR(__xludf.DUMMYFUNCTION("""COMPUTED_VALUE"""),8695.0)</f>
        <v>8695</v>
      </c>
      <c r="D3182" s="10" t="str">
        <f>IFERROR(__xludf.DUMMYFUNCTION("""COMPUTED_VALUE"""),"Offre speciale")</f>
        <v>Offre speciale</v>
      </c>
      <c r="E3182" s="10" t="str">
        <f>IFERROR(__xludf.DUMMYFUNCTION("""COMPUTED_VALUE"""),"GREENRELAIS")</f>
        <v>GREENRELAIS</v>
      </c>
      <c r="F3182" s="10">
        <f>IFERROR(__xludf.DUMMYFUNCTION("""COMPUTED_VALUE"""),6.43529411764705)</f>
        <v>6.435294118</v>
      </c>
      <c r="G3182" s="9">
        <f>IFERROR(__xludf.DUMMYFUNCTION("""COMPUTED_VALUE"""),5.47)</f>
        <v>5.47</v>
      </c>
      <c r="H3182" s="9">
        <f>IFERROR(__xludf.DUMMYFUNCTION("""COMPUTED_VALUE"""),3.0)</f>
        <v>3</v>
      </c>
      <c r="I3182" s="9"/>
      <c r="J3182" s="9"/>
      <c r="K3182" s="9"/>
      <c r="L3182" s="9"/>
      <c r="M3182" s="9"/>
      <c r="N3182" s="9"/>
      <c r="O3182" s="9"/>
      <c r="P3182" s="9"/>
      <c r="Q3182" s="9"/>
      <c r="R3182" s="9"/>
      <c r="S3182" s="9"/>
      <c r="T3182" s="9"/>
    </row>
    <row r="3183" ht="15.75" customHeight="1">
      <c r="A3183" s="11">
        <f>IFERROR(__xludf.DUMMYFUNCTION("""COMPUTED_VALUE"""),44471.0)</f>
        <v>44471</v>
      </c>
      <c r="B3183" s="9">
        <f>IFERROR(__xludf.DUMMYFUNCTION("""COMPUTED_VALUE"""),1003751.0)</f>
        <v>1003751</v>
      </c>
      <c r="C3183" s="9">
        <f>IFERROR(__xludf.DUMMYFUNCTION("""COMPUTED_VALUE"""),110337.0)</f>
        <v>110337</v>
      </c>
      <c r="D3183" s="10" t="str">
        <f>IFERROR(__xludf.DUMMYFUNCTION("""COMPUTED_VALUE"""),"Love &amp; Green Couches et Culottes sept 2021")</f>
        <v>Love &amp; Green Couches et Culottes sept 2021</v>
      </c>
      <c r="E3183" s="10" t="str">
        <f>IFERROR(__xludf.DUMMYFUNCTION("""COMPUTED_VALUE"""),"GREENRELAIS")</f>
        <v>GREENRELAIS</v>
      </c>
      <c r="F3183" s="10">
        <f>IFERROR(__xludf.DUMMYFUNCTION("""COMPUTED_VALUE"""),31.3714285714285)</f>
        <v>31.37142857</v>
      </c>
      <c r="G3183" s="9">
        <f>IFERROR(__xludf.DUMMYFUNCTION("""COMPUTED_VALUE"""),21.96)</f>
        <v>21.96</v>
      </c>
      <c r="H3183" s="9">
        <f>IFERROR(__xludf.DUMMYFUNCTION("""COMPUTED_VALUE"""),3.0)</f>
        <v>3</v>
      </c>
      <c r="I3183" s="9"/>
      <c r="J3183" s="9"/>
      <c r="K3183" s="9"/>
      <c r="L3183" s="9"/>
      <c r="M3183" s="9"/>
      <c r="N3183" s="9"/>
      <c r="O3183" s="9"/>
      <c r="P3183" s="9"/>
      <c r="Q3183" s="9"/>
      <c r="R3183" s="9"/>
      <c r="S3183" s="9"/>
      <c r="T3183" s="9"/>
    </row>
    <row r="3184" ht="15.75" customHeight="1">
      <c r="A3184" s="11">
        <f>IFERROR(__xludf.DUMMYFUNCTION("""COMPUTED_VALUE"""),44471.0)</f>
        <v>44471</v>
      </c>
      <c r="B3184" s="9">
        <f>IFERROR(__xludf.DUMMYFUNCTION("""COMPUTED_VALUE"""),1003752.0)</f>
        <v>1003752</v>
      </c>
      <c r="C3184" s="9">
        <f>IFERROR(__xludf.DUMMYFUNCTION("""COMPUTED_VALUE"""),11404.0)</f>
        <v>11404</v>
      </c>
      <c r="D3184" s="9"/>
      <c r="E3184" s="9"/>
      <c r="F3184" s="9">
        <f>IFERROR(__xludf.DUMMYFUNCTION("""COMPUTED_VALUE"""),11.48)</f>
        <v>11.48</v>
      </c>
      <c r="G3184" s="9">
        <f>IFERROR(__xludf.DUMMYFUNCTION("""COMPUTED_VALUE"""),11.48)</f>
        <v>11.48</v>
      </c>
      <c r="H3184" s="9">
        <f>IFERROR(__xludf.DUMMYFUNCTION("""COMPUTED_VALUE"""),2.0)</f>
        <v>2</v>
      </c>
      <c r="I3184" s="9"/>
      <c r="J3184" s="9"/>
      <c r="K3184" s="9"/>
      <c r="L3184" s="9"/>
      <c r="M3184" s="9"/>
      <c r="N3184" s="9"/>
      <c r="O3184" s="9"/>
      <c r="P3184" s="9"/>
      <c r="Q3184" s="9"/>
      <c r="R3184" s="9"/>
      <c r="S3184" s="9"/>
      <c r="T3184" s="9"/>
    </row>
    <row r="3185" ht="15.75" customHeight="1">
      <c r="A3185" s="11">
        <f>IFERROR(__xludf.DUMMYFUNCTION("""COMPUTED_VALUE"""),44471.0)</f>
        <v>44471</v>
      </c>
      <c r="B3185" s="9">
        <f>IFERROR(__xludf.DUMMYFUNCTION("""COMPUTED_VALUE"""),1003752.0)</f>
        <v>1003752</v>
      </c>
      <c r="C3185" s="9">
        <f>IFERROR(__xludf.DUMMYFUNCTION("""COMPUTED_VALUE"""),86836.0)</f>
        <v>86836</v>
      </c>
      <c r="D3185" s="9"/>
      <c r="E3185" s="9"/>
      <c r="F3185" s="9">
        <f>IFERROR(__xludf.DUMMYFUNCTION("""COMPUTED_VALUE"""),7.85)</f>
        <v>7.85</v>
      </c>
      <c r="G3185" s="9">
        <f>IFERROR(__xludf.DUMMYFUNCTION("""COMPUTED_VALUE"""),7.85)</f>
        <v>7.85</v>
      </c>
      <c r="H3185" s="9">
        <f>IFERROR(__xludf.DUMMYFUNCTION("""COMPUTED_VALUE"""),3.0)</f>
        <v>3</v>
      </c>
      <c r="I3185" s="9"/>
      <c r="J3185" s="9"/>
      <c r="K3185" s="9"/>
      <c r="L3185" s="9"/>
      <c r="M3185" s="9"/>
      <c r="N3185" s="9"/>
      <c r="O3185" s="9"/>
      <c r="P3185" s="9"/>
      <c r="Q3185" s="9"/>
      <c r="R3185" s="9"/>
      <c r="S3185" s="9"/>
      <c r="T3185" s="9"/>
    </row>
    <row r="3186" ht="15.75" customHeight="1">
      <c r="A3186" s="11">
        <f>IFERROR(__xludf.DUMMYFUNCTION("""COMPUTED_VALUE"""),44471.0)</f>
        <v>44471</v>
      </c>
      <c r="B3186" s="9">
        <f>IFERROR(__xludf.DUMMYFUNCTION("""COMPUTED_VALUE"""),1003753.0)</f>
        <v>1003753</v>
      </c>
      <c r="C3186" s="9">
        <f>IFERROR(__xludf.DUMMYFUNCTION("""COMPUTED_VALUE"""),121077.0)</f>
        <v>121077</v>
      </c>
      <c r="D3186" s="9"/>
      <c r="E3186" s="9"/>
      <c r="F3186" s="9">
        <f>IFERROR(__xludf.DUMMYFUNCTION("""COMPUTED_VALUE"""),17.94)</f>
        <v>17.94</v>
      </c>
      <c r="G3186" s="9">
        <f>IFERROR(__xludf.DUMMYFUNCTION("""COMPUTED_VALUE"""),17.94)</f>
        <v>17.94</v>
      </c>
      <c r="H3186" s="9">
        <f>IFERROR(__xludf.DUMMYFUNCTION("""COMPUTED_VALUE"""),1.0)</f>
        <v>1</v>
      </c>
      <c r="I3186" s="9"/>
      <c r="J3186" s="9"/>
      <c r="K3186" s="9"/>
      <c r="L3186" s="9"/>
      <c r="M3186" s="9"/>
      <c r="N3186" s="9"/>
      <c r="O3186" s="9"/>
      <c r="P3186" s="9"/>
      <c r="Q3186" s="9"/>
      <c r="R3186" s="9"/>
      <c r="S3186" s="9"/>
      <c r="T3186" s="9"/>
    </row>
    <row r="3187" ht="15.75" customHeight="1">
      <c r="A3187" s="11">
        <f>IFERROR(__xludf.DUMMYFUNCTION("""COMPUTED_VALUE"""),44471.0)</f>
        <v>44471</v>
      </c>
      <c r="B3187" s="9">
        <f>IFERROR(__xludf.DUMMYFUNCTION("""COMPUTED_VALUE"""),1003753.0)</f>
        <v>1003753</v>
      </c>
      <c r="C3187" s="9">
        <f>IFERROR(__xludf.DUMMYFUNCTION("""COMPUTED_VALUE"""),121076.0)</f>
        <v>121076</v>
      </c>
      <c r="D3187" s="9"/>
      <c r="E3187" s="9"/>
      <c r="F3187" s="9">
        <f>IFERROR(__xludf.DUMMYFUNCTION("""COMPUTED_VALUE"""),17.94)</f>
        <v>17.94</v>
      </c>
      <c r="G3187" s="9">
        <f>IFERROR(__xludf.DUMMYFUNCTION("""COMPUTED_VALUE"""),17.94)</f>
        <v>17.94</v>
      </c>
      <c r="H3187" s="9">
        <f>IFERROR(__xludf.DUMMYFUNCTION("""COMPUTED_VALUE"""),1.0)</f>
        <v>1</v>
      </c>
      <c r="I3187" s="9"/>
      <c r="J3187" s="9"/>
      <c r="K3187" s="9"/>
      <c r="L3187" s="9"/>
      <c r="M3187" s="9"/>
      <c r="N3187" s="9"/>
      <c r="O3187" s="9"/>
      <c r="P3187" s="9"/>
      <c r="Q3187" s="9"/>
      <c r="R3187" s="9"/>
      <c r="S3187" s="9"/>
      <c r="T3187" s="9"/>
    </row>
    <row r="3188" ht="15.75" customHeight="1">
      <c r="A3188" s="11">
        <f>IFERROR(__xludf.DUMMYFUNCTION("""COMPUTED_VALUE"""),44471.0)</f>
        <v>44471</v>
      </c>
      <c r="B3188" s="9">
        <f>IFERROR(__xludf.DUMMYFUNCTION("""COMPUTED_VALUE"""),1003754.0)</f>
        <v>1003754</v>
      </c>
      <c r="C3188" s="9">
        <f>IFERROR(__xludf.DUMMYFUNCTION("""COMPUTED_VALUE"""),79695.0)</f>
        <v>79695</v>
      </c>
      <c r="D3188" s="9"/>
      <c r="E3188" s="9"/>
      <c r="F3188" s="9">
        <f>IFERROR(__xludf.DUMMYFUNCTION("""COMPUTED_VALUE"""),17.94)</f>
        <v>17.94</v>
      </c>
      <c r="G3188" s="9">
        <f>IFERROR(__xludf.DUMMYFUNCTION("""COMPUTED_VALUE"""),17.94)</f>
        <v>17.94</v>
      </c>
      <c r="H3188" s="9">
        <f>IFERROR(__xludf.DUMMYFUNCTION("""COMPUTED_VALUE"""),1.0)</f>
        <v>1</v>
      </c>
      <c r="I3188" s="9"/>
      <c r="J3188" s="9"/>
      <c r="K3188" s="9"/>
      <c r="L3188" s="9"/>
      <c r="M3188" s="9"/>
      <c r="N3188" s="9"/>
      <c r="O3188" s="9"/>
      <c r="P3188" s="9"/>
      <c r="Q3188" s="9"/>
      <c r="R3188" s="9"/>
      <c r="S3188" s="9"/>
      <c r="T3188" s="9"/>
    </row>
    <row r="3189" ht="15.75" customHeight="1">
      <c r="A3189" s="11">
        <f>IFERROR(__xludf.DUMMYFUNCTION("""COMPUTED_VALUE"""),44471.0)</f>
        <v>44471</v>
      </c>
      <c r="B3189" s="9">
        <f>IFERROR(__xludf.DUMMYFUNCTION("""COMPUTED_VALUE"""),1003755.0)</f>
        <v>1003755</v>
      </c>
      <c r="C3189" s="9">
        <f>IFERROR(__xludf.DUMMYFUNCTION("""COMPUTED_VALUE"""),108881.0)</f>
        <v>108881</v>
      </c>
      <c r="D3189" s="10" t="str">
        <f>IFERROR(__xludf.DUMMYFUNCTION("""COMPUTED_VALUE"""),"Offre Speciale")</f>
        <v>Offre Speciale</v>
      </c>
      <c r="E3189" s="10"/>
      <c r="F3189" s="9">
        <f>IFERROR(__xludf.DUMMYFUNCTION("""COMPUTED_VALUE"""),8.01176470588235)</f>
        <v>8.011764706</v>
      </c>
      <c r="G3189" s="9">
        <f>IFERROR(__xludf.DUMMYFUNCTION("""COMPUTED_VALUE"""),6.81)</f>
        <v>6.81</v>
      </c>
      <c r="H3189" s="9">
        <f>IFERROR(__xludf.DUMMYFUNCTION("""COMPUTED_VALUE"""),2.0)</f>
        <v>2</v>
      </c>
      <c r="I3189" s="9"/>
      <c r="J3189" s="9"/>
      <c r="K3189" s="9"/>
      <c r="L3189" s="9"/>
      <c r="M3189" s="9"/>
      <c r="N3189" s="9"/>
      <c r="O3189" s="9"/>
      <c r="P3189" s="9"/>
      <c r="Q3189" s="9"/>
      <c r="R3189" s="9"/>
      <c r="S3189" s="9"/>
      <c r="T3189" s="9"/>
    </row>
    <row r="3190" ht="15.75" customHeight="1">
      <c r="A3190" s="11">
        <f>IFERROR(__xludf.DUMMYFUNCTION("""COMPUTED_VALUE"""),44471.0)</f>
        <v>44471</v>
      </c>
      <c r="B3190" s="9">
        <f>IFERROR(__xludf.DUMMYFUNCTION("""COMPUTED_VALUE"""),1003755.0)</f>
        <v>1003755</v>
      </c>
      <c r="C3190" s="9">
        <f>IFERROR(__xludf.DUMMYFUNCTION("""COMPUTED_VALUE"""),83269.0)</f>
        <v>83269</v>
      </c>
      <c r="D3190" s="10" t="str">
        <f>IFERROR(__xludf.DUMMYFUNCTION("""COMPUTED_VALUE"""),"Vive le bio")</f>
        <v>Vive le bio</v>
      </c>
      <c r="E3190" s="10"/>
      <c r="F3190" s="9">
        <f>IFERROR(__xludf.DUMMYFUNCTION("""COMPUTED_VALUE"""),5.38888888888888)</f>
        <v>5.388888889</v>
      </c>
      <c r="G3190" s="9">
        <f>IFERROR(__xludf.DUMMYFUNCTION("""COMPUTED_VALUE"""),4.85)</f>
        <v>4.85</v>
      </c>
      <c r="H3190" s="9">
        <f>IFERROR(__xludf.DUMMYFUNCTION("""COMPUTED_VALUE"""),2.0)</f>
        <v>2</v>
      </c>
      <c r="I3190" s="9"/>
      <c r="J3190" s="9"/>
      <c r="K3190" s="9"/>
      <c r="L3190" s="9"/>
      <c r="M3190" s="9"/>
      <c r="N3190" s="9"/>
      <c r="O3190" s="9"/>
      <c r="P3190" s="9"/>
      <c r="Q3190" s="9"/>
      <c r="R3190" s="9"/>
      <c r="S3190" s="9"/>
      <c r="T3190" s="9"/>
    </row>
    <row r="3191" ht="15.75" customHeight="1">
      <c r="A3191" s="11">
        <f>IFERROR(__xludf.DUMMYFUNCTION("""COMPUTED_VALUE"""),44471.0)</f>
        <v>44471</v>
      </c>
      <c r="B3191" s="9">
        <f>IFERROR(__xludf.DUMMYFUNCTION("""COMPUTED_VALUE"""),1003756.0)</f>
        <v>1003756</v>
      </c>
      <c r="C3191" s="9">
        <f>IFERROR(__xludf.DUMMYFUNCTION("""COMPUTED_VALUE"""),9606.0)</f>
        <v>9606</v>
      </c>
      <c r="D3191" s="9"/>
      <c r="E3191" s="9"/>
      <c r="F3191" s="9">
        <f>IFERROR(__xludf.DUMMYFUNCTION("""COMPUTED_VALUE"""),3.0)</f>
        <v>3</v>
      </c>
      <c r="G3191" s="9">
        <f>IFERROR(__xludf.DUMMYFUNCTION("""COMPUTED_VALUE"""),3.0)</f>
        <v>3</v>
      </c>
      <c r="H3191" s="9">
        <f>IFERROR(__xludf.DUMMYFUNCTION("""COMPUTED_VALUE"""),1.0)</f>
        <v>1</v>
      </c>
      <c r="I3191" s="9"/>
      <c r="J3191" s="9"/>
      <c r="K3191" s="9"/>
      <c r="L3191" s="9"/>
      <c r="M3191" s="9"/>
      <c r="N3191" s="9"/>
      <c r="O3191" s="9"/>
      <c r="P3191" s="9"/>
      <c r="Q3191" s="9"/>
      <c r="R3191" s="9"/>
      <c r="S3191" s="9"/>
      <c r="T3191" s="9"/>
    </row>
    <row r="3192" ht="15.75" customHeight="1">
      <c r="A3192" s="11">
        <f>IFERROR(__xludf.DUMMYFUNCTION("""COMPUTED_VALUE"""),44471.0)</f>
        <v>44471</v>
      </c>
      <c r="B3192" s="9">
        <f>IFERROR(__xludf.DUMMYFUNCTION("""COMPUTED_VALUE"""),1003756.0)</f>
        <v>1003756</v>
      </c>
      <c r="C3192" s="9">
        <f>IFERROR(__xludf.DUMMYFUNCTION("""COMPUTED_VALUE"""),113960.0)</f>
        <v>113960</v>
      </c>
      <c r="D3192" s="9"/>
      <c r="E3192" s="9"/>
      <c r="F3192" s="9">
        <f>IFERROR(__xludf.DUMMYFUNCTION("""COMPUTED_VALUE"""),2.13)</f>
        <v>2.13</v>
      </c>
      <c r="G3192" s="9">
        <f>IFERROR(__xludf.DUMMYFUNCTION("""COMPUTED_VALUE"""),2.13)</f>
        <v>2.13</v>
      </c>
      <c r="H3192" s="9">
        <f>IFERROR(__xludf.DUMMYFUNCTION("""COMPUTED_VALUE"""),1.0)</f>
        <v>1</v>
      </c>
      <c r="I3192" s="9"/>
      <c r="J3192" s="9"/>
      <c r="K3192" s="9"/>
      <c r="L3192" s="9"/>
      <c r="M3192" s="9"/>
      <c r="N3192" s="9"/>
      <c r="O3192" s="9"/>
      <c r="P3192" s="9"/>
      <c r="Q3192" s="9"/>
      <c r="R3192" s="9"/>
      <c r="S3192" s="9"/>
      <c r="T3192" s="9"/>
    </row>
    <row r="3193" ht="15.75" customHeight="1">
      <c r="A3193" s="11">
        <f>IFERROR(__xludf.DUMMYFUNCTION("""COMPUTED_VALUE"""),44471.0)</f>
        <v>44471</v>
      </c>
      <c r="B3193" s="9">
        <f>IFERROR(__xludf.DUMMYFUNCTION("""COMPUTED_VALUE"""),1003756.0)</f>
        <v>1003756</v>
      </c>
      <c r="C3193" s="9">
        <f>IFERROR(__xludf.DUMMYFUNCTION("""COMPUTED_VALUE"""),112169.0)</f>
        <v>112169</v>
      </c>
      <c r="D3193" s="9"/>
      <c r="E3193" s="9"/>
      <c r="F3193" s="9">
        <f>IFERROR(__xludf.DUMMYFUNCTION("""COMPUTED_VALUE"""),1.63)</f>
        <v>1.63</v>
      </c>
      <c r="G3193" s="9">
        <f>IFERROR(__xludf.DUMMYFUNCTION("""COMPUTED_VALUE"""),1.63)</f>
        <v>1.63</v>
      </c>
      <c r="H3193" s="9">
        <f>IFERROR(__xludf.DUMMYFUNCTION("""COMPUTED_VALUE"""),1.0)</f>
        <v>1</v>
      </c>
      <c r="I3193" s="9"/>
      <c r="J3193" s="9"/>
      <c r="K3193" s="9"/>
      <c r="L3193" s="9"/>
      <c r="M3193" s="9"/>
      <c r="N3193" s="9"/>
      <c r="O3193" s="9"/>
      <c r="P3193" s="9"/>
      <c r="Q3193" s="9"/>
      <c r="R3193" s="9"/>
      <c r="S3193" s="9"/>
      <c r="T3193" s="9"/>
    </row>
    <row r="3194" ht="15.75" customHeight="1">
      <c r="A3194" s="11">
        <f>IFERROR(__xludf.DUMMYFUNCTION("""COMPUTED_VALUE"""),44471.0)</f>
        <v>44471</v>
      </c>
      <c r="B3194" s="9">
        <f>IFERROR(__xludf.DUMMYFUNCTION("""COMPUTED_VALUE"""),1003756.0)</f>
        <v>1003756</v>
      </c>
      <c r="C3194" s="9">
        <f>IFERROR(__xludf.DUMMYFUNCTION("""COMPUTED_VALUE"""),87447.0)</f>
        <v>87447</v>
      </c>
      <c r="D3194" s="9"/>
      <c r="E3194" s="9"/>
      <c r="F3194" s="9">
        <f>IFERROR(__xludf.DUMMYFUNCTION("""COMPUTED_VALUE"""),1.01)</f>
        <v>1.01</v>
      </c>
      <c r="G3194" s="9">
        <f>IFERROR(__xludf.DUMMYFUNCTION("""COMPUTED_VALUE"""),1.01)</f>
        <v>1.01</v>
      </c>
      <c r="H3194" s="9">
        <f>IFERROR(__xludf.DUMMYFUNCTION("""COMPUTED_VALUE"""),1.0)</f>
        <v>1</v>
      </c>
      <c r="I3194" s="9"/>
      <c r="J3194" s="9"/>
      <c r="K3194" s="9"/>
      <c r="L3194" s="9"/>
      <c r="M3194" s="9"/>
      <c r="N3194" s="9"/>
      <c r="O3194" s="9"/>
      <c r="P3194" s="9"/>
      <c r="Q3194" s="9"/>
      <c r="R3194" s="9"/>
      <c r="S3194" s="9"/>
      <c r="T3194" s="9"/>
    </row>
    <row r="3195" ht="15.75" customHeight="1">
      <c r="A3195" s="11">
        <f>IFERROR(__xludf.DUMMYFUNCTION("""COMPUTED_VALUE"""),44471.0)</f>
        <v>44471</v>
      </c>
      <c r="B3195" s="9">
        <f>IFERROR(__xludf.DUMMYFUNCTION("""COMPUTED_VALUE"""),1003756.0)</f>
        <v>1003756</v>
      </c>
      <c r="C3195" s="9">
        <f>IFERROR(__xludf.DUMMYFUNCTION("""COMPUTED_VALUE"""),120865.0)</f>
        <v>120865</v>
      </c>
      <c r="D3195" s="9"/>
      <c r="E3195" s="9"/>
      <c r="F3195" s="9">
        <f>IFERROR(__xludf.DUMMYFUNCTION("""COMPUTED_VALUE"""),4.06)</f>
        <v>4.06</v>
      </c>
      <c r="G3195" s="9">
        <f>IFERROR(__xludf.DUMMYFUNCTION("""COMPUTED_VALUE"""),4.06)</f>
        <v>4.06</v>
      </c>
      <c r="H3195" s="9">
        <f>IFERROR(__xludf.DUMMYFUNCTION("""COMPUTED_VALUE"""),1.0)</f>
        <v>1</v>
      </c>
      <c r="I3195" s="9"/>
      <c r="J3195" s="9"/>
      <c r="K3195" s="9"/>
      <c r="L3195" s="9"/>
      <c r="M3195" s="9"/>
      <c r="N3195" s="9"/>
      <c r="O3195" s="9"/>
      <c r="P3195" s="9"/>
      <c r="Q3195" s="9"/>
      <c r="R3195" s="9"/>
      <c r="S3195" s="9"/>
      <c r="T3195" s="9"/>
    </row>
    <row r="3196" ht="15.75" customHeight="1">
      <c r="A3196" s="11">
        <f>IFERROR(__xludf.DUMMYFUNCTION("""COMPUTED_VALUE"""),44471.0)</f>
        <v>44471</v>
      </c>
      <c r="B3196" s="9">
        <f>IFERROR(__xludf.DUMMYFUNCTION("""COMPUTED_VALUE"""),1003756.0)</f>
        <v>1003756</v>
      </c>
      <c r="C3196" s="9">
        <f>IFERROR(__xludf.DUMMYFUNCTION("""COMPUTED_VALUE"""),120531.0)</f>
        <v>120531</v>
      </c>
      <c r="D3196" s="10" t="str">
        <f>IFERROR(__xludf.DUMMYFUNCTION("""COMPUTED_VALUE"""),"Vive le bio")</f>
        <v>Vive le bio</v>
      </c>
      <c r="E3196" s="10"/>
      <c r="F3196" s="9">
        <f>IFERROR(__xludf.DUMMYFUNCTION("""COMPUTED_VALUE"""),2.03333333333333)</f>
        <v>2.033333333</v>
      </c>
      <c r="G3196" s="9">
        <f>IFERROR(__xludf.DUMMYFUNCTION("""COMPUTED_VALUE"""),1.83)</f>
        <v>1.83</v>
      </c>
      <c r="H3196" s="9">
        <f>IFERROR(__xludf.DUMMYFUNCTION("""COMPUTED_VALUE"""),1.0)</f>
        <v>1</v>
      </c>
      <c r="I3196" s="9"/>
      <c r="J3196" s="9"/>
      <c r="K3196" s="9"/>
      <c r="L3196" s="9"/>
      <c r="M3196" s="9"/>
      <c r="N3196" s="9"/>
      <c r="O3196" s="9"/>
      <c r="P3196" s="9"/>
      <c r="Q3196" s="9"/>
      <c r="R3196" s="9"/>
      <c r="S3196" s="9"/>
      <c r="T3196" s="9"/>
    </row>
    <row r="3197" ht="15.75" customHeight="1">
      <c r="A3197" s="11">
        <f>IFERROR(__xludf.DUMMYFUNCTION("""COMPUTED_VALUE"""),44471.0)</f>
        <v>44471</v>
      </c>
      <c r="B3197" s="9">
        <f>IFERROR(__xludf.DUMMYFUNCTION("""COMPUTED_VALUE"""),1003756.0)</f>
        <v>1003756</v>
      </c>
      <c r="C3197" s="9">
        <f>IFERROR(__xludf.DUMMYFUNCTION("""COMPUTED_VALUE"""),9567.0)</f>
        <v>9567</v>
      </c>
      <c r="D3197" s="9"/>
      <c r="E3197" s="9"/>
      <c r="F3197" s="9">
        <f>IFERROR(__xludf.DUMMYFUNCTION("""COMPUTED_VALUE"""),1.33)</f>
        <v>1.33</v>
      </c>
      <c r="G3197" s="9">
        <f>IFERROR(__xludf.DUMMYFUNCTION("""COMPUTED_VALUE"""),1.33)</f>
        <v>1.33</v>
      </c>
      <c r="H3197" s="9">
        <f>IFERROR(__xludf.DUMMYFUNCTION("""COMPUTED_VALUE"""),1.0)</f>
        <v>1</v>
      </c>
      <c r="I3197" s="9"/>
      <c r="J3197" s="9"/>
      <c r="K3197" s="9"/>
      <c r="L3197" s="9"/>
      <c r="M3197" s="9"/>
      <c r="N3197" s="9"/>
      <c r="O3197" s="9"/>
      <c r="P3197" s="9"/>
      <c r="Q3197" s="9"/>
      <c r="R3197" s="9"/>
      <c r="S3197" s="9"/>
      <c r="T3197" s="9"/>
    </row>
    <row r="3198" ht="15.75" customHeight="1">
      <c r="A3198" s="11">
        <f>IFERROR(__xludf.DUMMYFUNCTION("""COMPUTED_VALUE"""),44471.0)</f>
        <v>44471</v>
      </c>
      <c r="B3198" s="9">
        <f>IFERROR(__xludf.DUMMYFUNCTION("""COMPUTED_VALUE"""),1003756.0)</f>
        <v>1003756</v>
      </c>
      <c r="C3198" s="9">
        <f>IFERROR(__xludf.DUMMYFUNCTION("""COMPUTED_VALUE"""),116187.0)</f>
        <v>116187</v>
      </c>
      <c r="D3198" s="9"/>
      <c r="E3198" s="9"/>
      <c r="F3198" s="9">
        <f>IFERROR(__xludf.DUMMYFUNCTION("""COMPUTED_VALUE"""),2.79)</f>
        <v>2.79</v>
      </c>
      <c r="G3198" s="9">
        <f>IFERROR(__xludf.DUMMYFUNCTION("""COMPUTED_VALUE"""),2.79)</f>
        <v>2.79</v>
      </c>
      <c r="H3198" s="9">
        <f>IFERROR(__xludf.DUMMYFUNCTION("""COMPUTED_VALUE"""),1.0)</f>
        <v>1</v>
      </c>
      <c r="I3198" s="9"/>
      <c r="J3198" s="9"/>
      <c r="K3198" s="9"/>
      <c r="L3198" s="9"/>
      <c r="M3198" s="9"/>
      <c r="N3198" s="9"/>
      <c r="O3198" s="9"/>
      <c r="P3198" s="9"/>
      <c r="Q3198" s="9"/>
      <c r="R3198" s="9"/>
      <c r="S3198" s="9"/>
      <c r="T3198" s="9"/>
    </row>
    <row r="3199" ht="15.75" customHeight="1">
      <c r="A3199" s="11">
        <f>IFERROR(__xludf.DUMMYFUNCTION("""COMPUTED_VALUE"""),44471.0)</f>
        <v>44471</v>
      </c>
      <c r="B3199" s="9">
        <f>IFERROR(__xludf.DUMMYFUNCTION("""COMPUTED_VALUE"""),1003756.0)</f>
        <v>1003756</v>
      </c>
      <c r="C3199" s="9">
        <f>IFERROR(__xludf.DUMMYFUNCTION("""COMPUTED_VALUE"""),112991.0)</f>
        <v>112991</v>
      </c>
      <c r="D3199" s="9"/>
      <c r="E3199" s="9"/>
      <c r="F3199" s="9">
        <f>IFERROR(__xludf.DUMMYFUNCTION("""COMPUTED_VALUE"""),6.91)</f>
        <v>6.91</v>
      </c>
      <c r="G3199" s="9">
        <f>IFERROR(__xludf.DUMMYFUNCTION("""COMPUTED_VALUE"""),6.91)</f>
        <v>6.91</v>
      </c>
      <c r="H3199" s="9">
        <f>IFERROR(__xludf.DUMMYFUNCTION("""COMPUTED_VALUE"""),1.0)</f>
        <v>1</v>
      </c>
      <c r="I3199" s="9"/>
      <c r="J3199" s="9"/>
      <c r="K3199" s="9"/>
      <c r="L3199" s="9"/>
      <c r="M3199" s="9"/>
      <c r="N3199" s="9"/>
      <c r="O3199" s="9"/>
      <c r="P3199" s="9"/>
      <c r="Q3199" s="9"/>
      <c r="R3199" s="9"/>
      <c r="S3199" s="9"/>
      <c r="T3199" s="9"/>
    </row>
    <row r="3200" ht="15.75" customHeight="1">
      <c r="A3200" s="11">
        <f>IFERROR(__xludf.DUMMYFUNCTION("""COMPUTED_VALUE"""),44471.0)</f>
        <v>44471</v>
      </c>
      <c r="B3200" s="9">
        <f>IFERROR(__xludf.DUMMYFUNCTION("""COMPUTED_VALUE"""),1003756.0)</f>
        <v>1003756</v>
      </c>
      <c r="C3200" s="9">
        <f>IFERROR(__xludf.DUMMYFUNCTION("""COMPUTED_VALUE"""),17620.0)</f>
        <v>17620</v>
      </c>
      <c r="D3200" s="9"/>
      <c r="E3200" s="9"/>
      <c r="F3200" s="9">
        <f>IFERROR(__xludf.DUMMYFUNCTION("""COMPUTED_VALUE"""),8.61)</f>
        <v>8.61</v>
      </c>
      <c r="G3200" s="9">
        <f>IFERROR(__xludf.DUMMYFUNCTION("""COMPUTED_VALUE"""),8.61)</f>
        <v>8.61</v>
      </c>
      <c r="H3200" s="9">
        <f>IFERROR(__xludf.DUMMYFUNCTION("""COMPUTED_VALUE"""),1.0)</f>
        <v>1</v>
      </c>
      <c r="I3200" s="9"/>
      <c r="J3200" s="9"/>
      <c r="K3200" s="9"/>
      <c r="L3200" s="9"/>
      <c r="M3200" s="9"/>
      <c r="N3200" s="9"/>
      <c r="O3200" s="9"/>
      <c r="P3200" s="9"/>
      <c r="Q3200" s="9"/>
      <c r="R3200" s="9"/>
      <c r="S3200" s="9"/>
      <c r="T3200" s="9"/>
    </row>
    <row r="3201" ht="15.75" customHeight="1">
      <c r="A3201" s="11">
        <f>IFERROR(__xludf.DUMMYFUNCTION("""COMPUTED_VALUE"""),44471.0)</f>
        <v>44471</v>
      </c>
      <c r="B3201" s="9">
        <f>IFERROR(__xludf.DUMMYFUNCTION("""COMPUTED_VALUE"""),1003756.0)</f>
        <v>1003756</v>
      </c>
      <c r="C3201" s="9">
        <f>IFERROR(__xludf.DUMMYFUNCTION("""COMPUTED_VALUE"""),24166.0)</f>
        <v>24166</v>
      </c>
      <c r="D3201" s="9"/>
      <c r="E3201" s="9"/>
      <c r="F3201" s="9">
        <f>IFERROR(__xludf.DUMMYFUNCTION("""COMPUTED_VALUE"""),1.92)</f>
        <v>1.92</v>
      </c>
      <c r="G3201" s="9">
        <f>IFERROR(__xludf.DUMMYFUNCTION("""COMPUTED_VALUE"""),1.92)</f>
        <v>1.92</v>
      </c>
      <c r="H3201" s="9">
        <f>IFERROR(__xludf.DUMMYFUNCTION("""COMPUTED_VALUE"""),1.0)</f>
        <v>1</v>
      </c>
      <c r="I3201" s="9"/>
      <c r="J3201" s="9"/>
      <c r="K3201" s="9"/>
      <c r="L3201" s="9"/>
      <c r="M3201" s="9"/>
      <c r="N3201" s="9"/>
      <c r="O3201" s="9"/>
      <c r="P3201" s="9"/>
      <c r="Q3201" s="9"/>
      <c r="R3201" s="9"/>
      <c r="S3201" s="9"/>
      <c r="T3201" s="9"/>
    </row>
    <row r="3202" ht="15.75" customHeight="1">
      <c r="A3202" s="11">
        <f>IFERROR(__xludf.DUMMYFUNCTION("""COMPUTED_VALUE"""),44471.0)</f>
        <v>44471</v>
      </c>
      <c r="B3202" s="9">
        <f>IFERROR(__xludf.DUMMYFUNCTION("""COMPUTED_VALUE"""),1003756.0)</f>
        <v>1003756</v>
      </c>
      <c r="C3202" s="9">
        <f>IFERROR(__xludf.DUMMYFUNCTION("""COMPUTED_VALUE"""),42241.0)</f>
        <v>42241</v>
      </c>
      <c r="D3202" s="9"/>
      <c r="E3202" s="9"/>
      <c r="F3202" s="9">
        <f>IFERROR(__xludf.DUMMYFUNCTION("""COMPUTED_VALUE"""),3.12)</f>
        <v>3.12</v>
      </c>
      <c r="G3202" s="9">
        <f>IFERROR(__xludf.DUMMYFUNCTION("""COMPUTED_VALUE"""),3.12)</f>
        <v>3.12</v>
      </c>
      <c r="H3202" s="9">
        <f>IFERROR(__xludf.DUMMYFUNCTION("""COMPUTED_VALUE"""),1.0)</f>
        <v>1</v>
      </c>
      <c r="I3202" s="9"/>
      <c r="J3202" s="9"/>
      <c r="K3202" s="9"/>
      <c r="L3202" s="9"/>
      <c r="M3202" s="9"/>
      <c r="N3202" s="9"/>
      <c r="O3202" s="9"/>
      <c r="P3202" s="9"/>
      <c r="Q3202" s="9"/>
      <c r="R3202" s="9"/>
      <c r="S3202" s="9"/>
      <c r="T3202" s="9"/>
    </row>
    <row r="3203" ht="15.75" customHeight="1">
      <c r="A3203" s="11">
        <f>IFERROR(__xludf.DUMMYFUNCTION("""COMPUTED_VALUE"""),44471.0)</f>
        <v>44471</v>
      </c>
      <c r="B3203" s="9">
        <f>IFERROR(__xludf.DUMMYFUNCTION("""COMPUTED_VALUE"""),1003756.0)</f>
        <v>1003756</v>
      </c>
      <c r="C3203" s="9">
        <f>IFERROR(__xludf.DUMMYFUNCTION("""COMPUTED_VALUE"""),107187.0)</f>
        <v>107187</v>
      </c>
      <c r="D3203" s="9"/>
      <c r="E3203" s="9"/>
      <c r="F3203" s="9">
        <f>IFERROR(__xludf.DUMMYFUNCTION("""COMPUTED_VALUE"""),10.64)</f>
        <v>10.64</v>
      </c>
      <c r="G3203" s="9">
        <f>IFERROR(__xludf.DUMMYFUNCTION("""COMPUTED_VALUE"""),10.64)</f>
        <v>10.64</v>
      </c>
      <c r="H3203" s="9">
        <f>IFERROR(__xludf.DUMMYFUNCTION("""COMPUTED_VALUE"""),2.0)</f>
        <v>2</v>
      </c>
      <c r="I3203" s="9"/>
      <c r="J3203" s="9"/>
      <c r="K3203" s="9"/>
      <c r="L3203" s="9"/>
      <c r="M3203" s="9"/>
      <c r="N3203" s="9"/>
      <c r="O3203" s="9"/>
      <c r="P3203" s="9"/>
      <c r="Q3203" s="9"/>
      <c r="R3203" s="9"/>
      <c r="S3203" s="9"/>
      <c r="T3203" s="9"/>
    </row>
    <row r="3204" ht="15.75" customHeight="1">
      <c r="A3204" s="11">
        <f>IFERROR(__xludf.DUMMYFUNCTION("""COMPUTED_VALUE"""),44471.0)</f>
        <v>44471</v>
      </c>
      <c r="B3204" s="9">
        <f>IFERROR(__xludf.DUMMYFUNCTION("""COMPUTED_VALUE"""),1003756.0)</f>
        <v>1003756</v>
      </c>
      <c r="C3204" s="9">
        <f>IFERROR(__xludf.DUMMYFUNCTION("""COMPUTED_VALUE"""),94055.0)</f>
        <v>94055</v>
      </c>
      <c r="D3204" s="10" t="str">
        <f>IFERROR(__xludf.DUMMYFUNCTION("""COMPUTED_VALUE"""),"dlc courte")</f>
        <v>dlc courte</v>
      </c>
      <c r="E3204" s="10"/>
      <c r="F3204" s="9">
        <f>IFERROR(__xludf.DUMMYFUNCTION("""COMPUTED_VALUE"""),12.22)</f>
        <v>12.22</v>
      </c>
      <c r="G3204" s="9">
        <f>IFERROR(__xludf.DUMMYFUNCTION("""COMPUTED_VALUE"""),6.11)</f>
        <v>6.11</v>
      </c>
      <c r="H3204" s="9">
        <f>IFERROR(__xludf.DUMMYFUNCTION("""COMPUTED_VALUE"""),2.0)</f>
        <v>2</v>
      </c>
      <c r="I3204" s="9"/>
      <c r="J3204" s="9"/>
      <c r="K3204" s="9"/>
      <c r="L3204" s="9"/>
      <c r="M3204" s="9"/>
      <c r="N3204" s="9"/>
      <c r="O3204" s="9"/>
      <c r="P3204" s="9"/>
      <c r="Q3204" s="9"/>
      <c r="R3204" s="9"/>
      <c r="S3204" s="9"/>
      <c r="T3204" s="9"/>
    </row>
    <row r="3205" ht="15.75" customHeight="1">
      <c r="A3205" s="11">
        <f>IFERROR(__xludf.DUMMYFUNCTION("""COMPUTED_VALUE"""),44471.0)</f>
        <v>44471</v>
      </c>
      <c r="B3205" s="9">
        <f>IFERROR(__xludf.DUMMYFUNCTION("""COMPUTED_VALUE"""),1003756.0)</f>
        <v>1003756</v>
      </c>
      <c r="C3205" s="9">
        <f>IFERROR(__xludf.DUMMYFUNCTION("""COMPUTED_VALUE"""),44726.0)</f>
        <v>44726</v>
      </c>
      <c r="D3205" s="9"/>
      <c r="E3205" s="9"/>
      <c r="F3205" s="9">
        <f>IFERROR(__xludf.DUMMYFUNCTION("""COMPUTED_VALUE"""),10.84)</f>
        <v>10.84</v>
      </c>
      <c r="G3205" s="9">
        <f>IFERROR(__xludf.DUMMYFUNCTION("""COMPUTED_VALUE"""),10.84)</f>
        <v>10.84</v>
      </c>
      <c r="H3205" s="9">
        <f>IFERROR(__xludf.DUMMYFUNCTION("""COMPUTED_VALUE"""),2.0)</f>
        <v>2</v>
      </c>
      <c r="I3205" s="9"/>
      <c r="J3205" s="9"/>
      <c r="K3205" s="9"/>
      <c r="L3205" s="9"/>
      <c r="M3205" s="9"/>
      <c r="N3205" s="9"/>
      <c r="O3205" s="9"/>
      <c r="P3205" s="9"/>
      <c r="Q3205" s="9"/>
      <c r="R3205" s="9"/>
      <c r="S3205" s="9"/>
      <c r="T3205" s="9"/>
    </row>
    <row r="3206" ht="15.75" customHeight="1">
      <c r="A3206" s="11">
        <f>IFERROR(__xludf.DUMMYFUNCTION("""COMPUTED_VALUE"""),44471.0)</f>
        <v>44471</v>
      </c>
      <c r="B3206" s="9">
        <f>IFERROR(__xludf.DUMMYFUNCTION("""COMPUTED_VALUE"""),1003756.0)</f>
        <v>1003756</v>
      </c>
      <c r="C3206" s="9">
        <f>IFERROR(__xludf.DUMMYFUNCTION("""COMPUTED_VALUE"""),81742.0)</f>
        <v>81742</v>
      </c>
      <c r="D3206" s="9"/>
      <c r="E3206" s="9"/>
      <c r="F3206" s="9">
        <f>IFERROR(__xludf.DUMMYFUNCTION("""COMPUTED_VALUE"""),6.96)</f>
        <v>6.96</v>
      </c>
      <c r="G3206" s="9">
        <f>IFERROR(__xludf.DUMMYFUNCTION("""COMPUTED_VALUE"""),6.96)</f>
        <v>6.96</v>
      </c>
      <c r="H3206" s="9">
        <f>IFERROR(__xludf.DUMMYFUNCTION("""COMPUTED_VALUE"""),2.0)</f>
        <v>2</v>
      </c>
      <c r="I3206" s="9"/>
      <c r="J3206" s="9"/>
      <c r="K3206" s="9"/>
      <c r="L3206" s="9"/>
      <c r="M3206" s="9"/>
      <c r="N3206" s="9"/>
      <c r="O3206" s="9"/>
      <c r="P3206" s="9"/>
      <c r="Q3206" s="9"/>
      <c r="R3206" s="9"/>
      <c r="S3206" s="9"/>
      <c r="T3206" s="9"/>
    </row>
    <row r="3207" ht="15.75" customHeight="1">
      <c r="A3207" s="11">
        <f>IFERROR(__xludf.DUMMYFUNCTION("""COMPUTED_VALUE"""),44471.0)</f>
        <v>44471</v>
      </c>
      <c r="B3207" s="9">
        <f>IFERROR(__xludf.DUMMYFUNCTION("""COMPUTED_VALUE"""),1003756.0)</f>
        <v>1003756</v>
      </c>
      <c r="C3207" s="9">
        <f>IFERROR(__xludf.DUMMYFUNCTION("""COMPUTED_VALUE"""),87540.0)</f>
        <v>87540</v>
      </c>
      <c r="D3207" s="9"/>
      <c r="E3207" s="9"/>
      <c r="F3207" s="9">
        <f>IFERROR(__xludf.DUMMYFUNCTION("""COMPUTED_VALUE"""),12.4)</f>
        <v>12.4</v>
      </c>
      <c r="G3207" s="9">
        <f>IFERROR(__xludf.DUMMYFUNCTION("""COMPUTED_VALUE"""),12.4)</f>
        <v>12.4</v>
      </c>
      <c r="H3207" s="9">
        <f>IFERROR(__xludf.DUMMYFUNCTION("""COMPUTED_VALUE"""),4.0)</f>
        <v>4</v>
      </c>
      <c r="I3207" s="9"/>
      <c r="J3207" s="9"/>
      <c r="K3207" s="9"/>
      <c r="L3207" s="9"/>
      <c r="M3207" s="9"/>
      <c r="N3207" s="9"/>
      <c r="O3207" s="9"/>
      <c r="P3207" s="9"/>
      <c r="Q3207" s="9"/>
      <c r="R3207" s="9"/>
      <c r="S3207" s="9"/>
      <c r="T3207" s="9"/>
    </row>
    <row r="3208" ht="15.75" customHeight="1">
      <c r="A3208" s="11">
        <f>IFERROR(__xludf.DUMMYFUNCTION("""COMPUTED_VALUE"""),44471.0)</f>
        <v>44471</v>
      </c>
      <c r="B3208" s="9">
        <f>IFERROR(__xludf.DUMMYFUNCTION("""COMPUTED_VALUE"""),1003756.0)</f>
        <v>1003756</v>
      </c>
      <c r="C3208" s="9">
        <f>IFERROR(__xludf.DUMMYFUNCTION("""COMPUTED_VALUE"""),199530.0)</f>
        <v>199530</v>
      </c>
      <c r="D3208" s="9"/>
      <c r="E3208" s="9"/>
      <c r="F3208" s="9">
        <f>IFERROR(__xludf.DUMMYFUNCTION("""COMPUTED_VALUE"""),20.31)</f>
        <v>20.31</v>
      </c>
      <c r="G3208" s="9">
        <f>IFERROR(__xludf.DUMMYFUNCTION("""COMPUTED_VALUE"""),20.31)</f>
        <v>20.31</v>
      </c>
      <c r="H3208" s="9">
        <f>IFERROR(__xludf.DUMMYFUNCTION("""COMPUTED_VALUE"""),8.0)</f>
        <v>8</v>
      </c>
      <c r="I3208" s="9"/>
      <c r="J3208" s="9"/>
      <c r="K3208" s="9"/>
      <c r="L3208" s="9"/>
      <c r="M3208" s="9"/>
      <c r="N3208" s="9"/>
      <c r="O3208" s="9"/>
      <c r="P3208" s="9"/>
      <c r="Q3208" s="9"/>
      <c r="R3208" s="9"/>
      <c r="S3208" s="9"/>
      <c r="T3208" s="9"/>
    </row>
    <row r="3209" ht="15.75" customHeight="1">
      <c r="A3209" s="11">
        <f>IFERROR(__xludf.DUMMYFUNCTION("""COMPUTED_VALUE"""),44471.0)</f>
        <v>44471</v>
      </c>
      <c r="B3209" s="9">
        <f>IFERROR(__xludf.DUMMYFUNCTION("""COMPUTED_VALUE"""),1003757.0)</f>
        <v>1003757</v>
      </c>
      <c r="C3209" s="9">
        <f>IFERROR(__xludf.DUMMYFUNCTION("""COMPUTED_VALUE"""),76046.0)</f>
        <v>76046</v>
      </c>
      <c r="D3209" s="10" t="str">
        <f>IFERROR(__xludf.DUMMYFUNCTION("""COMPUTED_VALUE"""),"Vive le bio")</f>
        <v>Vive le bio</v>
      </c>
      <c r="E3209" s="10" t="str">
        <f>IFERROR(__xludf.DUMMYFUNCTION("""COMPUTED_VALUE"""),"PREMIERE")</f>
        <v>PREMIERE</v>
      </c>
      <c r="F3209" s="10">
        <f>IFERROR(__xludf.DUMMYFUNCTION("""COMPUTED_VALUE"""),17.0666666666666)</f>
        <v>17.06666667</v>
      </c>
      <c r="G3209" s="9">
        <f>IFERROR(__xludf.DUMMYFUNCTION("""COMPUTED_VALUE"""),15.36)</f>
        <v>15.36</v>
      </c>
      <c r="H3209" s="9">
        <f>IFERROR(__xludf.DUMMYFUNCTION("""COMPUTED_VALUE"""),2.0)</f>
        <v>2</v>
      </c>
      <c r="I3209" s="9"/>
      <c r="J3209" s="9"/>
      <c r="K3209" s="9"/>
      <c r="L3209" s="9"/>
      <c r="M3209" s="9"/>
      <c r="N3209" s="9"/>
      <c r="O3209" s="9"/>
      <c r="P3209" s="9"/>
      <c r="Q3209" s="9"/>
      <c r="R3209" s="9"/>
      <c r="S3209" s="9"/>
      <c r="T3209" s="9"/>
    </row>
    <row r="3210" ht="15.75" customHeight="1">
      <c r="A3210" s="11">
        <f>IFERROR(__xludf.DUMMYFUNCTION("""COMPUTED_VALUE"""),44471.0)</f>
        <v>44471</v>
      </c>
      <c r="B3210" s="9">
        <f>IFERROR(__xludf.DUMMYFUNCTION("""COMPUTED_VALUE"""),1003757.0)</f>
        <v>1003757</v>
      </c>
      <c r="C3210" s="9">
        <f>IFERROR(__xludf.DUMMYFUNCTION("""COMPUTED_VALUE"""),87242.0)</f>
        <v>87242</v>
      </c>
      <c r="D3210" s="10" t="str">
        <f>IFERROR(__xludf.DUMMYFUNCTION("""COMPUTED_VALUE"""),"Vive le bio")</f>
        <v>Vive le bio</v>
      </c>
      <c r="E3210" s="10" t="str">
        <f>IFERROR(__xludf.DUMMYFUNCTION("""COMPUTED_VALUE"""),"PREMIERE")</f>
        <v>PREMIERE</v>
      </c>
      <c r="F3210" s="10">
        <f>IFERROR(__xludf.DUMMYFUNCTION("""COMPUTED_VALUE"""),11.6444444444444)</f>
        <v>11.64444444</v>
      </c>
      <c r="G3210" s="9">
        <f>IFERROR(__xludf.DUMMYFUNCTION("""COMPUTED_VALUE"""),10.48)</f>
        <v>10.48</v>
      </c>
      <c r="H3210" s="9">
        <f>IFERROR(__xludf.DUMMYFUNCTION("""COMPUTED_VALUE"""),2.0)</f>
        <v>2</v>
      </c>
      <c r="I3210" s="9"/>
      <c r="J3210" s="9"/>
      <c r="K3210" s="9"/>
      <c r="L3210" s="9"/>
      <c r="M3210" s="9"/>
      <c r="N3210" s="9"/>
      <c r="O3210" s="9"/>
      <c r="P3210" s="9"/>
      <c r="Q3210" s="9"/>
      <c r="R3210" s="9"/>
      <c r="S3210" s="9"/>
      <c r="T3210" s="9"/>
    </row>
    <row r="3211" ht="15.75" customHeight="1">
      <c r="A3211" s="11">
        <f>IFERROR(__xludf.DUMMYFUNCTION("""COMPUTED_VALUE"""),44471.0)</f>
        <v>44471</v>
      </c>
      <c r="B3211" s="9">
        <f>IFERROR(__xludf.DUMMYFUNCTION("""COMPUTED_VALUE"""),1003757.0)</f>
        <v>1003757</v>
      </c>
      <c r="C3211" s="9">
        <f>IFERROR(__xludf.DUMMYFUNCTION("""COMPUTED_VALUE"""),11459.0)</f>
        <v>11459</v>
      </c>
      <c r="D3211" s="9"/>
      <c r="E3211" s="10" t="str">
        <f>IFERROR(__xludf.DUMMYFUNCTION("""COMPUTED_VALUE"""),"PREMIERE")</f>
        <v>PREMIERE</v>
      </c>
      <c r="F3211" s="10">
        <f>IFERROR(__xludf.DUMMYFUNCTION("""COMPUTED_VALUE"""),19.17)</f>
        <v>19.17</v>
      </c>
      <c r="G3211" s="9">
        <f>IFERROR(__xludf.DUMMYFUNCTION("""COMPUTED_VALUE"""),19.17)</f>
        <v>19.17</v>
      </c>
      <c r="H3211" s="9">
        <f>IFERROR(__xludf.DUMMYFUNCTION("""COMPUTED_VALUE"""),2.0)</f>
        <v>2</v>
      </c>
      <c r="I3211" s="9"/>
      <c r="J3211" s="9"/>
      <c r="K3211" s="9"/>
      <c r="L3211" s="9"/>
      <c r="M3211" s="9"/>
      <c r="N3211" s="9"/>
      <c r="O3211" s="9"/>
      <c r="P3211" s="9"/>
      <c r="Q3211" s="9"/>
      <c r="R3211" s="9"/>
      <c r="S3211" s="9"/>
      <c r="T3211" s="9"/>
    </row>
    <row r="3212" ht="15.75" customHeight="1">
      <c r="A3212" s="11">
        <f>IFERROR(__xludf.DUMMYFUNCTION("""COMPUTED_VALUE"""),44471.0)</f>
        <v>44471</v>
      </c>
      <c r="B3212" s="9">
        <f>IFERROR(__xludf.DUMMYFUNCTION("""COMPUTED_VALUE"""),1003757.0)</f>
        <v>1003757</v>
      </c>
      <c r="C3212" s="9">
        <f>IFERROR(__xludf.DUMMYFUNCTION("""COMPUTED_VALUE"""),45481.0)</f>
        <v>45481</v>
      </c>
      <c r="D3212" s="9"/>
      <c r="E3212" s="10" t="str">
        <f>IFERROR(__xludf.DUMMYFUNCTION("""COMPUTED_VALUE"""),"PREMIERE")</f>
        <v>PREMIERE</v>
      </c>
      <c r="F3212" s="10">
        <f>IFERROR(__xludf.DUMMYFUNCTION("""COMPUTED_VALUE"""),28.91)</f>
        <v>28.91</v>
      </c>
      <c r="G3212" s="9">
        <f>IFERROR(__xludf.DUMMYFUNCTION("""COMPUTED_VALUE"""),28.91)</f>
        <v>28.91</v>
      </c>
      <c r="H3212" s="9">
        <f>IFERROR(__xludf.DUMMYFUNCTION("""COMPUTED_VALUE"""),4.0)</f>
        <v>4</v>
      </c>
      <c r="I3212" s="9"/>
      <c r="J3212" s="9"/>
      <c r="K3212" s="9"/>
      <c r="L3212" s="9"/>
      <c r="M3212" s="9"/>
      <c r="N3212" s="9"/>
      <c r="O3212" s="9"/>
      <c r="P3212" s="9"/>
      <c r="Q3212" s="9"/>
      <c r="R3212" s="9"/>
      <c r="S3212" s="9"/>
      <c r="T3212" s="9"/>
    </row>
    <row r="3213" ht="15.75" customHeight="1">
      <c r="A3213" s="11">
        <f>IFERROR(__xludf.DUMMYFUNCTION("""COMPUTED_VALUE"""),44471.0)</f>
        <v>44471</v>
      </c>
      <c r="B3213" s="9">
        <f>IFERROR(__xludf.DUMMYFUNCTION("""COMPUTED_VALUE"""),1003757.0)</f>
        <v>1003757</v>
      </c>
      <c r="C3213" s="9">
        <f>IFERROR(__xludf.DUMMYFUNCTION("""COMPUTED_VALUE"""),79043.0)</f>
        <v>79043</v>
      </c>
      <c r="D3213" s="10" t="str">
        <f>IFERROR(__xludf.DUMMYFUNCTION("""COMPUTED_VALUE"""),"Offre Speciale")</f>
        <v>Offre Speciale</v>
      </c>
      <c r="E3213" s="10" t="str">
        <f>IFERROR(__xludf.DUMMYFUNCTION("""COMPUTED_VALUE"""),"PREMIERE")</f>
        <v>PREMIERE</v>
      </c>
      <c r="F3213" s="10">
        <f>IFERROR(__xludf.DUMMYFUNCTION("""COMPUTED_VALUE"""),40.2784810126582)</f>
        <v>40.27848101</v>
      </c>
      <c r="G3213" s="9">
        <f>IFERROR(__xludf.DUMMYFUNCTION("""COMPUTED_VALUE"""),31.82)</f>
        <v>31.82</v>
      </c>
      <c r="H3213" s="9">
        <f>IFERROR(__xludf.DUMMYFUNCTION("""COMPUTED_VALUE"""),4.0)</f>
        <v>4</v>
      </c>
      <c r="I3213" s="9"/>
      <c r="J3213" s="9"/>
      <c r="K3213" s="9"/>
      <c r="L3213" s="9"/>
      <c r="M3213" s="9"/>
      <c r="N3213" s="9"/>
      <c r="O3213" s="9"/>
      <c r="P3213" s="9"/>
      <c r="Q3213" s="9"/>
      <c r="R3213" s="9"/>
      <c r="S3213" s="9"/>
      <c r="T3213" s="9"/>
    </row>
    <row r="3214" ht="15.75" customHeight="1">
      <c r="A3214" s="11">
        <f>IFERROR(__xludf.DUMMYFUNCTION("""COMPUTED_VALUE"""),44471.0)</f>
        <v>44471</v>
      </c>
      <c r="B3214" s="9">
        <f>IFERROR(__xludf.DUMMYFUNCTION("""COMPUTED_VALUE"""),1003757.0)</f>
        <v>1003757</v>
      </c>
      <c r="C3214" s="9">
        <f>IFERROR(__xludf.DUMMYFUNCTION("""COMPUTED_VALUE"""),76581.0)</f>
        <v>76581</v>
      </c>
      <c r="D3214" s="9"/>
      <c r="E3214" s="10" t="str">
        <f>IFERROR(__xludf.DUMMYFUNCTION("""COMPUTED_VALUE"""),"PREMIERE")</f>
        <v>PREMIERE</v>
      </c>
      <c r="F3214" s="10">
        <f>IFERROR(__xludf.DUMMYFUNCTION("""COMPUTED_VALUE"""),19.24)</f>
        <v>19.24</v>
      </c>
      <c r="G3214" s="9">
        <f>IFERROR(__xludf.DUMMYFUNCTION("""COMPUTED_VALUE"""),19.24)</f>
        <v>19.24</v>
      </c>
      <c r="H3214" s="9">
        <f>IFERROR(__xludf.DUMMYFUNCTION("""COMPUTED_VALUE"""),10.0)</f>
        <v>10</v>
      </c>
      <c r="I3214" s="9"/>
      <c r="J3214" s="9"/>
      <c r="K3214" s="9"/>
      <c r="L3214" s="9"/>
      <c r="M3214" s="9"/>
      <c r="N3214" s="9"/>
      <c r="O3214" s="9"/>
      <c r="P3214" s="9"/>
      <c r="Q3214" s="9"/>
      <c r="R3214" s="9"/>
      <c r="S3214" s="9"/>
      <c r="T3214" s="9"/>
    </row>
    <row r="3215" ht="15.75" customHeight="1">
      <c r="A3215" s="11">
        <f>IFERROR(__xludf.DUMMYFUNCTION("""COMPUTED_VALUE"""),44471.0)</f>
        <v>44471</v>
      </c>
      <c r="B3215" s="9">
        <f>IFERROR(__xludf.DUMMYFUNCTION("""COMPUTED_VALUE"""),1003757.0)</f>
        <v>1003757</v>
      </c>
      <c r="C3215" s="9">
        <f>IFERROR(__xludf.DUMMYFUNCTION("""COMPUTED_VALUE"""),79107.0)</f>
        <v>79107</v>
      </c>
      <c r="D3215" s="9"/>
      <c r="E3215" s="10" t="str">
        <f>IFERROR(__xludf.DUMMYFUNCTION("""COMPUTED_VALUE"""),"PREMIERE")</f>
        <v>PREMIERE</v>
      </c>
      <c r="F3215" s="10">
        <f>IFERROR(__xludf.DUMMYFUNCTION("""COMPUTED_VALUE"""),39.41)</f>
        <v>39.41</v>
      </c>
      <c r="G3215" s="9">
        <f>IFERROR(__xludf.DUMMYFUNCTION("""COMPUTED_VALUE"""),39.41)</f>
        <v>39.41</v>
      </c>
      <c r="H3215" s="9">
        <f>IFERROR(__xludf.DUMMYFUNCTION("""COMPUTED_VALUE"""),12.0)</f>
        <v>12</v>
      </c>
      <c r="I3215" s="9"/>
      <c r="J3215" s="9"/>
      <c r="K3215" s="9"/>
      <c r="L3215" s="9"/>
      <c r="M3215" s="9"/>
      <c r="N3215" s="9"/>
      <c r="O3215" s="9"/>
      <c r="P3215" s="9"/>
      <c r="Q3215" s="9"/>
      <c r="R3215" s="9"/>
      <c r="S3215" s="9"/>
      <c r="T3215" s="9"/>
    </row>
    <row r="3216" ht="15.75" customHeight="1">
      <c r="A3216" s="11">
        <f>IFERROR(__xludf.DUMMYFUNCTION("""COMPUTED_VALUE"""),44471.0)</f>
        <v>44471</v>
      </c>
      <c r="B3216" s="9">
        <f>IFERROR(__xludf.DUMMYFUNCTION("""COMPUTED_VALUE"""),1003757.0)</f>
        <v>1003757</v>
      </c>
      <c r="C3216" s="9">
        <f>IFERROR(__xludf.DUMMYFUNCTION("""COMPUTED_VALUE"""),108897.0)</f>
        <v>108897</v>
      </c>
      <c r="D3216" s="9"/>
      <c r="E3216" s="10" t="str">
        <f>IFERROR(__xludf.DUMMYFUNCTION("""COMPUTED_VALUE"""),"PREMIERE")</f>
        <v>PREMIERE</v>
      </c>
      <c r="F3216" s="10">
        <f>IFERROR(__xludf.DUMMYFUNCTION("""COMPUTED_VALUE"""),22.93)</f>
        <v>22.93</v>
      </c>
      <c r="G3216" s="9">
        <f>IFERROR(__xludf.DUMMYFUNCTION("""COMPUTED_VALUE"""),22.93)</f>
        <v>22.93</v>
      </c>
      <c r="H3216" s="9">
        <f>IFERROR(__xludf.DUMMYFUNCTION("""COMPUTED_VALUE"""),12.0)</f>
        <v>12</v>
      </c>
      <c r="I3216" s="9"/>
      <c r="J3216" s="9"/>
      <c r="K3216" s="9"/>
      <c r="L3216" s="9"/>
      <c r="M3216" s="9"/>
      <c r="N3216" s="9"/>
      <c r="O3216" s="9"/>
      <c r="P3216" s="9"/>
      <c r="Q3216" s="9"/>
      <c r="R3216" s="9"/>
      <c r="S3216" s="9"/>
      <c r="T3216" s="9"/>
    </row>
    <row r="3217" ht="15.75" customHeight="1">
      <c r="A3217" s="11">
        <f>IFERROR(__xludf.DUMMYFUNCTION("""COMPUTED_VALUE"""),44471.0)</f>
        <v>44471</v>
      </c>
      <c r="B3217" s="9">
        <f>IFERROR(__xludf.DUMMYFUNCTION("""COMPUTED_VALUE"""),1003757.0)</f>
        <v>1003757</v>
      </c>
      <c r="C3217" s="9">
        <f>IFERROR(__xludf.DUMMYFUNCTION("""COMPUTED_VALUE"""),76290.0)</f>
        <v>76290</v>
      </c>
      <c r="D3217" s="10" t="str">
        <f>IFERROR(__xludf.DUMMYFUNCTION("""COMPUTED_VALUE"""),"Vive le bio")</f>
        <v>Vive le bio</v>
      </c>
      <c r="E3217" s="10" t="str">
        <f>IFERROR(__xludf.DUMMYFUNCTION("""COMPUTED_VALUE"""),"PREMIERE")</f>
        <v>PREMIERE</v>
      </c>
      <c r="F3217" s="10">
        <f>IFERROR(__xludf.DUMMYFUNCTION("""COMPUTED_VALUE"""),34.1444444444444)</f>
        <v>34.14444444</v>
      </c>
      <c r="G3217" s="9">
        <f>IFERROR(__xludf.DUMMYFUNCTION("""COMPUTED_VALUE"""),30.73)</f>
        <v>30.73</v>
      </c>
      <c r="H3217" s="9">
        <f>IFERROR(__xludf.DUMMYFUNCTION("""COMPUTED_VALUE"""),18.0)</f>
        <v>18</v>
      </c>
      <c r="I3217" s="9"/>
      <c r="J3217" s="9"/>
      <c r="K3217" s="9"/>
      <c r="L3217" s="9"/>
      <c r="M3217" s="9"/>
      <c r="N3217" s="9"/>
      <c r="O3217" s="9"/>
      <c r="P3217" s="9"/>
      <c r="Q3217" s="9"/>
      <c r="R3217" s="9"/>
      <c r="S3217" s="9"/>
      <c r="T3217" s="9"/>
    </row>
    <row r="3218" ht="15.75" customHeight="1">
      <c r="A3218" s="11">
        <f>IFERROR(__xludf.DUMMYFUNCTION("""COMPUTED_VALUE"""),44471.0)</f>
        <v>44471</v>
      </c>
      <c r="B3218" s="9">
        <f>IFERROR(__xludf.DUMMYFUNCTION("""COMPUTED_VALUE"""),1003757.0)</f>
        <v>1003757</v>
      </c>
      <c r="C3218" s="9">
        <f>IFERROR(__xludf.DUMMYFUNCTION("""COMPUTED_VALUE"""),77293.0)</f>
        <v>77293</v>
      </c>
      <c r="D3218" s="10" t="str">
        <f>IFERROR(__xludf.DUMMYFUNCTION("""COMPUTED_VALUE"""),"Offre speciale")</f>
        <v>Offre speciale</v>
      </c>
      <c r="E3218" s="10" t="str">
        <f>IFERROR(__xludf.DUMMYFUNCTION("""COMPUTED_VALUE"""),"PREMIERE")</f>
        <v>PREMIERE</v>
      </c>
      <c r="F3218" s="10">
        <f>IFERROR(__xludf.DUMMYFUNCTION("""COMPUTED_VALUE"""),65.1764705882352)</f>
        <v>65.17647059</v>
      </c>
      <c r="G3218" s="9">
        <f>IFERROR(__xludf.DUMMYFUNCTION("""COMPUTED_VALUE"""),55.4)</f>
        <v>55.4</v>
      </c>
      <c r="H3218" s="9">
        <f>IFERROR(__xludf.DUMMYFUNCTION("""COMPUTED_VALUE"""),18.0)</f>
        <v>18</v>
      </c>
      <c r="I3218" s="9"/>
      <c r="J3218" s="9"/>
      <c r="K3218" s="9"/>
      <c r="L3218" s="9"/>
      <c r="M3218" s="9"/>
      <c r="N3218" s="9"/>
      <c r="O3218" s="9"/>
      <c r="P3218" s="9"/>
      <c r="Q3218" s="9"/>
      <c r="R3218" s="9"/>
      <c r="S3218" s="9"/>
      <c r="T3218" s="9"/>
    </row>
    <row r="3219" ht="15.75" customHeight="1">
      <c r="A3219" s="11">
        <f>IFERROR(__xludf.DUMMYFUNCTION("""COMPUTED_VALUE"""),44471.0)</f>
        <v>44471</v>
      </c>
      <c r="B3219" s="9">
        <f>IFERROR(__xludf.DUMMYFUNCTION("""COMPUTED_VALUE"""),1003757.0)</f>
        <v>1003757</v>
      </c>
      <c r="C3219" s="9">
        <f>IFERROR(__xludf.DUMMYFUNCTION("""COMPUTED_VALUE"""),90710.0)</f>
        <v>90710</v>
      </c>
      <c r="D3219" s="9"/>
      <c r="E3219" s="10" t="str">
        <f>IFERROR(__xludf.DUMMYFUNCTION("""COMPUTED_VALUE"""),"PREMIERE")</f>
        <v>PREMIERE</v>
      </c>
      <c r="F3219" s="10">
        <f>IFERROR(__xludf.DUMMYFUNCTION("""COMPUTED_VALUE"""),20.4)</f>
        <v>20.4</v>
      </c>
      <c r="G3219" s="9">
        <f>IFERROR(__xludf.DUMMYFUNCTION("""COMPUTED_VALUE"""),20.4)</f>
        <v>20.4</v>
      </c>
      <c r="H3219" s="9">
        <f>IFERROR(__xludf.DUMMYFUNCTION("""COMPUTED_VALUE"""),20.0)</f>
        <v>20</v>
      </c>
      <c r="I3219" s="9"/>
      <c r="J3219" s="9"/>
      <c r="K3219" s="9"/>
      <c r="L3219" s="9"/>
      <c r="M3219" s="9"/>
      <c r="N3219" s="9"/>
      <c r="O3219" s="9"/>
      <c r="P3219" s="9"/>
      <c r="Q3219" s="9"/>
      <c r="R3219" s="9"/>
      <c r="S3219" s="9"/>
      <c r="T3219" s="9"/>
    </row>
    <row r="3220" ht="15.75" customHeight="1">
      <c r="A3220" s="11">
        <f>IFERROR(__xludf.DUMMYFUNCTION("""COMPUTED_VALUE"""),44471.0)</f>
        <v>44471</v>
      </c>
      <c r="B3220" s="9">
        <f>IFERROR(__xludf.DUMMYFUNCTION("""COMPUTED_VALUE"""),1003757.0)</f>
        <v>1003757</v>
      </c>
      <c r="C3220" s="9">
        <f>IFERROR(__xludf.DUMMYFUNCTION("""COMPUTED_VALUE"""),122088.0)</f>
        <v>122088</v>
      </c>
      <c r="D3220" s="9"/>
      <c r="E3220" s="10" t="str">
        <f>IFERROR(__xludf.DUMMYFUNCTION("""COMPUTED_VALUE"""),"PREMIERE")</f>
        <v>PREMIERE</v>
      </c>
      <c r="F3220" s="10">
        <f>IFERROR(__xludf.DUMMYFUNCTION("""COMPUTED_VALUE"""),34.61)</f>
        <v>34.61</v>
      </c>
      <c r="G3220" s="9">
        <f>IFERROR(__xludf.DUMMYFUNCTION("""COMPUTED_VALUE"""),34.61)</f>
        <v>34.61</v>
      </c>
      <c r="H3220" s="9">
        <f>IFERROR(__xludf.DUMMYFUNCTION("""COMPUTED_VALUE"""),20.0)</f>
        <v>20</v>
      </c>
      <c r="I3220" s="9"/>
      <c r="J3220" s="9"/>
      <c r="K3220" s="9"/>
      <c r="L3220" s="9"/>
      <c r="M3220" s="9"/>
      <c r="N3220" s="9"/>
      <c r="O3220" s="9"/>
      <c r="P3220" s="9"/>
      <c r="Q3220" s="9"/>
      <c r="R3220" s="9"/>
      <c r="S3220" s="9"/>
      <c r="T3220" s="9"/>
    </row>
    <row r="3221" ht="15.75" customHeight="1">
      <c r="A3221" s="11">
        <f>IFERROR(__xludf.DUMMYFUNCTION("""COMPUTED_VALUE"""),44471.0)</f>
        <v>44471</v>
      </c>
      <c r="B3221" s="9">
        <f>IFERROR(__xludf.DUMMYFUNCTION("""COMPUTED_VALUE"""),1003757.0)</f>
        <v>1003757</v>
      </c>
      <c r="C3221" s="9">
        <f>IFERROR(__xludf.DUMMYFUNCTION("""COMPUTED_VALUE"""),76589.0)</f>
        <v>76589</v>
      </c>
      <c r="D3221" s="10" t="str">
        <f>IFERROR(__xludf.DUMMYFUNCTION("""COMPUTED_VALUE"""),"Offre speciale")</f>
        <v>Offre speciale</v>
      </c>
      <c r="E3221" s="10" t="str">
        <f>IFERROR(__xludf.DUMMYFUNCTION("""COMPUTED_VALUE"""),"PREMIERE")</f>
        <v>PREMIERE</v>
      </c>
      <c r="F3221" s="10">
        <f>IFERROR(__xludf.DUMMYFUNCTION("""COMPUTED_VALUE"""),59.9764705882352)</f>
        <v>59.97647059</v>
      </c>
      <c r="G3221" s="9">
        <f>IFERROR(__xludf.DUMMYFUNCTION("""COMPUTED_VALUE"""),50.98)</f>
        <v>50.98</v>
      </c>
      <c r="H3221" s="9">
        <f>IFERROR(__xludf.DUMMYFUNCTION("""COMPUTED_VALUE"""),20.0)</f>
        <v>20</v>
      </c>
      <c r="I3221" s="9"/>
      <c r="J3221" s="9"/>
      <c r="K3221" s="9"/>
      <c r="L3221" s="9"/>
      <c r="M3221" s="9"/>
      <c r="N3221" s="9"/>
      <c r="O3221" s="9"/>
      <c r="P3221" s="9"/>
      <c r="Q3221" s="9"/>
      <c r="R3221" s="9"/>
      <c r="S3221" s="9"/>
      <c r="T3221" s="9"/>
    </row>
    <row r="3222" ht="15.75" customHeight="1">
      <c r="A3222" s="11">
        <f>IFERROR(__xludf.DUMMYFUNCTION("""COMPUTED_VALUE"""),44471.0)</f>
        <v>44471</v>
      </c>
      <c r="B3222" s="9">
        <f>IFERROR(__xludf.DUMMYFUNCTION("""COMPUTED_VALUE"""),1003758.0)</f>
        <v>1003758</v>
      </c>
      <c r="C3222" s="9">
        <f>IFERROR(__xludf.DUMMYFUNCTION("""COMPUTED_VALUE"""),126541.0)</f>
        <v>126541</v>
      </c>
      <c r="D3222" s="9"/>
      <c r="E3222" s="10" t="str">
        <f>IFERROR(__xludf.DUMMYFUNCTION("""COMPUTED_VALUE"""),"PREMIERE")</f>
        <v>PREMIERE</v>
      </c>
      <c r="F3222" s="10">
        <f>IFERROR(__xludf.DUMMYFUNCTION("""COMPUTED_VALUE"""),3.25)</f>
        <v>3.25</v>
      </c>
      <c r="G3222" s="9">
        <f>IFERROR(__xludf.DUMMYFUNCTION("""COMPUTED_VALUE"""),3.25)</f>
        <v>3.25</v>
      </c>
      <c r="H3222" s="9">
        <f>IFERROR(__xludf.DUMMYFUNCTION("""COMPUTED_VALUE"""),1.0)</f>
        <v>1</v>
      </c>
      <c r="I3222" s="9"/>
      <c r="J3222" s="9"/>
      <c r="K3222" s="9"/>
      <c r="L3222" s="9"/>
      <c r="M3222" s="9"/>
      <c r="N3222" s="9"/>
      <c r="O3222" s="9"/>
      <c r="P3222" s="9"/>
      <c r="Q3222" s="9"/>
      <c r="R3222" s="9"/>
      <c r="S3222" s="9"/>
      <c r="T3222" s="9"/>
    </row>
    <row r="3223" ht="15.75" customHeight="1">
      <c r="A3223" s="11">
        <f>IFERROR(__xludf.DUMMYFUNCTION("""COMPUTED_VALUE"""),44471.0)</f>
        <v>44471</v>
      </c>
      <c r="B3223" s="9">
        <f>IFERROR(__xludf.DUMMYFUNCTION("""COMPUTED_VALUE"""),1003758.0)</f>
        <v>1003758</v>
      </c>
      <c r="C3223" s="9">
        <f>IFERROR(__xludf.DUMMYFUNCTION("""COMPUTED_VALUE"""),109310.0)</f>
        <v>109310</v>
      </c>
      <c r="D3223" s="9"/>
      <c r="E3223" s="10" t="str">
        <f>IFERROR(__xludf.DUMMYFUNCTION("""COMPUTED_VALUE"""),"PREMIERE")</f>
        <v>PREMIERE</v>
      </c>
      <c r="F3223" s="10">
        <f>IFERROR(__xludf.DUMMYFUNCTION("""COMPUTED_VALUE"""),6.27)</f>
        <v>6.27</v>
      </c>
      <c r="G3223" s="9">
        <f>IFERROR(__xludf.DUMMYFUNCTION("""COMPUTED_VALUE"""),6.27)</f>
        <v>6.27</v>
      </c>
      <c r="H3223" s="9">
        <f>IFERROR(__xludf.DUMMYFUNCTION("""COMPUTED_VALUE"""),1.0)</f>
        <v>1</v>
      </c>
      <c r="I3223" s="9"/>
      <c r="J3223" s="9"/>
      <c r="K3223" s="9"/>
      <c r="L3223" s="9"/>
      <c r="M3223" s="9"/>
      <c r="N3223" s="9"/>
      <c r="O3223" s="9"/>
      <c r="P3223" s="9"/>
      <c r="Q3223" s="9"/>
      <c r="R3223" s="9"/>
      <c r="S3223" s="9"/>
      <c r="T3223" s="9"/>
    </row>
    <row r="3224" ht="15.75" customHeight="1">
      <c r="A3224" s="11">
        <f>IFERROR(__xludf.DUMMYFUNCTION("""COMPUTED_VALUE"""),44471.0)</f>
        <v>44471</v>
      </c>
      <c r="B3224" s="9">
        <f>IFERROR(__xludf.DUMMYFUNCTION("""COMPUTED_VALUE"""),1003758.0)</f>
        <v>1003758</v>
      </c>
      <c r="C3224" s="9">
        <f>IFERROR(__xludf.DUMMYFUNCTION("""COMPUTED_VALUE"""),68345.0)</f>
        <v>68345</v>
      </c>
      <c r="D3224" s="9"/>
      <c r="E3224" s="10" t="str">
        <f>IFERROR(__xludf.DUMMYFUNCTION("""COMPUTED_VALUE"""),"PREMIERE")</f>
        <v>PREMIERE</v>
      </c>
      <c r="F3224" s="10">
        <f>IFERROR(__xludf.DUMMYFUNCTION("""COMPUTED_VALUE"""),2.14)</f>
        <v>2.14</v>
      </c>
      <c r="G3224" s="9">
        <f>IFERROR(__xludf.DUMMYFUNCTION("""COMPUTED_VALUE"""),2.14)</f>
        <v>2.14</v>
      </c>
      <c r="H3224" s="9">
        <f>IFERROR(__xludf.DUMMYFUNCTION("""COMPUTED_VALUE"""),1.0)</f>
        <v>1</v>
      </c>
      <c r="I3224" s="9"/>
      <c r="J3224" s="9"/>
      <c r="K3224" s="9"/>
      <c r="L3224" s="9"/>
      <c r="M3224" s="9"/>
      <c r="N3224" s="9"/>
      <c r="O3224" s="9"/>
      <c r="P3224" s="9"/>
      <c r="Q3224" s="9"/>
      <c r="R3224" s="9"/>
      <c r="S3224" s="9"/>
      <c r="T3224" s="9"/>
    </row>
    <row r="3225" ht="15.75" customHeight="1">
      <c r="A3225" s="11">
        <f>IFERROR(__xludf.DUMMYFUNCTION("""COMPUTED_VALUE"""),44471.0)</f>
        <v>44471</v>
      </c>
      <c r="B3225" s="9">
        <f>IFERROR(__xludf.DUMMYFUNCTION("""COMPUTED_VALUE"""),1003758.0)</f>
        <v>1003758</v>
      </c>
      <c r="C3225" s="9">
        <f>IFERROR(__xludf.DUMMYFUNCTION("""COMPUTED_VALUE"""),76466.0)</f>
        <v>76466</v>
      </c>
      <c r="D3225" s="9"/>
      <c r="E3225" s="10" t="str">
        <f>IFERROR(__xludf.DUMMYFUNCTION("""COMPUTED_VALUE"""),"PREMIERE")</f>
        <v>PREMIERE</v>
      </c>
      <c r="F3225" s="10">
        <f>IFERROR(__xludf.DUMMYFUNCTION("""COMPUTED_VALUE"""),3.77)</f>
        <v>3.77</v>
      </c>
      <c r="G3225" s="9">
        <f>IFERROR(__xludf.DUMMYFUNCTION("""COMPUTED_VALUE"""),3.77)</f>
        <v>3.77</v>
      </c>
      <c r="H3225" s="9">
        <f>IFERROR(__xludf.DUMMYFUNCTION("""COMPUTED_VALUE"""),1.0)</f>
        <v>1</v>
      </c>
      <c r="I3225" s="9"/>
      <c r="J3225" s="9"/>
      <c r="K3225" s="9"/>
      <c r="L3225" s="9"/>
      <c r="M3225" s="9"/>
      <c r="N3225" s="9"/>
      <c r="O3225" s="9"/>
      <c r="P3225" s="9"/>
      <c r="Q3225" s="9"/>
      <c r="R3225" s="9"/>
      <c r="S3225" s="9"/>
      <c r="T3225" s="9"/>
    </row>
    <row r="3226" ht="15.75" customHeight="1">
      <c r="A3226" s="11">
        <f>IFERROR(__xludf.DUMMYFUNCTION("""COMPUTED_VALUE"""),44471.0)</f>
        <v>44471</v>
      </c>
      <c r="B3226" s="9">
        <f>IFERROR(__xludf.DUMMYFUNCTION("""COMPUTED_VALUE"""),1003758.0)</f>
        <v>1003758</v>
      </c>
      <c r="C3226" s="9">
        <f>IFERROR(__xludf.DUMMYFUNCTION("""COMPUTED_VALUE"""),110568.0)</f>
        <v>110568</v>
      </c>
      <c r="D3226" s="9"/>
      <c r="E3226" s="10" t="str">
        <f>IFERROR(__xludf.DUMMYFUNCTION("""COMPUTED_VALUE"""),"PREMIERE")</f>
        <v>PREMIERE</v>
      </c>
      <c r="F3226" s="10">
        <f>IFERROR(__xludf.DUMMYFUNCTION("""COMPUTED_VALUE"""),1.89)</f>
        <v>1.89</v>
      </c>
      <c r="G3226" s="9">
        <f>IFERROR(__xludf.DUMMYFUNCTION("""COMPUTED_VALUE"""),1.89)</f>
        <v>1.89</v>
      </c>
      <c r="H3226" s="9">
        <f>IFERROR(__xludf.DUMMYFUNCTION("""COMPUTED_VALUE"""),1.0)</f>
        <v>1</v>
      </c>
      <c r="I3226" s="9"/>
      <c r="J3226" s="9"/>
      <c r="K3226" s="9"/>
      <c r="L3226" s="9"/>
      <c r="M3226" s="9"/>
      <c r="N3226" s="9"/>
      <c r="O3226" s="9"/>
      <c r="P3226" s="9"/>
      <c r="Q3226" s="9"/>
      <c r="R3226" s="9"/>
      <c r="S3226" s="9"/>
      <c r="T3226" s="9"/>
    </row>
    <row r="3227" ht="15.75" customHeight="1">
      <c r="A3227" s="11">
        <f>IFERROR(__xludf.DUMMYFUNCTION("""COMPUTED_VALUE"""),44471.0)</f>
        <v>44471</v>
      </c>
      <c r="B3227" s="9">
        <f>IFERROR(__xludf.DUMMYFUNCTION("""COMPUTED_VALUE"""),1003758.0)</f>
        <v>1003758</v>
      </c>
      <c r="C3227" s="9">
        <f>IFERROR(__xludf.DUMMYFUNCTION("""COMPUTED_VALUE"""),21027.0)</f>
        <v>21027</v>
      </c>
      <c r="D3227" s="10" t="str">
        <f>IFERROR(__xludf.DUMMYFUNCTION("""COMPUTED_VALUE"""),"Vive le bio")</f>
        <v>Vive le bio</v>
      </c>
      <c r="E3227" s="10" t="str">
        <f>IFERROR(__xludf.DUMMYFUNCTION("""COMPUTED_VALUE"""),"PREMIERE")</f>
        <v>PREMIERE</v>
      </c>
      <c r="F3227" s="10">
        <f>IFERROR(__xludf.DUMMYFUNCTION("""COMPUTED_VALUE"""),6.41111111111111)</f>
        <v>6.411111111</v>
      </c>
      <c r="G3227" s="9">
        <f>IFERROR(__xludf.DUMMYFUNCTION("""COMPUTED_VALUE"""),5.77)</f>
        <v>5.77</v>
      </c>
      <c r="H3227" s="9">
        <f>IFERROR(__xludf.DUMMYFUNCTION("""COMPUTED_VALUE"""),1.0)</f>
        <v>1</v>
      </c>
      <c r="I3227" s="9"/>
      <c r="J3227" s="9"/>
      <c r="K3227" s="9"/>
      <c r="L3227" s="9"/>
      <c r="M3227" s="9"/>
      <c r="N3227" s="9"/>
      <c r="O3227" s="9"/>
      <c r="P3227" s="9"/>
      <c r="Q3227" s="9"/>
      <c r="R3227" s="9"/>
      <c r="S3227" s="9"/>
      <c r="T3227" s="9"/>
    </row>
    <row r="3228" ht="15.75" customHeight="1">
      <c r="A3228" s="11">
        <f>IFERROR(__xludf.DUMMYFUNCTION("""COMPUTED_VALUE"""),44471.0)</f>
        <v>44471</v>
      </c>
      <c r="B3228" s="9">
        <f>IFERROR(__xludf.DUMMYFUNCTION("""COMPUTED_VALUE"""),1003758.0)</f>
        <v>1003758</v>
      </c>
      <c r="C3228" s="9">
        <f>IFERROR(__xludf.DUMMYFUNCTION("""COMPUTED_VALUE"""),77398.0)</f>
        <v>77398</v>
      </c>
      <c r="D3228" s="9"/>
      <c r="E3228" s="10" t="str">
        <f>IFERROR(__xludf.DUMMYFUNCTION("""COMPUTED_VALUE"""),"PREMIERE")</f>
        <v>PREMIERE</v>
      </c>
      <c r="F3228" s="10">
        <f>IFERROR(__xludf.DUMMYFUNCTION("""COMPUTED_VALUE"""),3.67)</f>
        <v>3.67</v>
      </c>
      <c r="G3228" s="9">
        <f>IFERROR(__xludf.DUMMYFUNCTION("""COMPUTED_VALUE"""),3.67)</f>
        <v>3.67</v>
      </c>
      <c r="H3228" s="9">
        <f>IFERROR(__xludf.DUMMYFUNCTION("""COMPUTED_VALUE"""),1.0)</f>
        <v>1</v>
      </c>
      <c r="I3228" s="9"/>
      <c r="J3228" s="9"/>
      <c r="K3228" s="9"/>
      <c r="L3228" s="9"/>
      <c r="M3228" s="9"/>
      <c r="N3228" s="9"/>
      <c r="O3228" s="9"/>
      <c r="P3228" s="9"/>
      <c r="Q3228" s="9"/>
      <c r="R3228" s="9"/>
      <c r="S3228" s="9"/>
      <c r="T3228" s="9"/>
    </row>
    <row r="3229" ht="15.75" customHeight="1">
      <c r="A3229" s="11">
        <f>IFERROR(__xludf.DUMMYFUNCTION("""COMPUTED_VALUE"""),44471.0)</f>
        <v>44471</v>
      </c>
      <c r="B3229" s="9">
        <f>IFERROR(__xludf.DUMMYFUNCTION("""COMPUTED_VALUE"""),1003758.0)</f>
        <v>1003758</v>
      </c>
      <c r="C3229" s="9">
        <f>IFERROR(__xludf.DUMMYFUNCTION("""COMPUTED_VALUE"""),112248.0)</f>
        <v>112248</v>
      </c>
      <c r="D3229" s="9"/>
      <c r="E3229" s="10" t="str">
        <f>IFERROR(__xludf.DUMMYFUNCTION("""COMPUTED_VALUE"""),"PREMIERE")</f>
        <v>PREMIERE</v>
      </c>
      <c r="F3229" s="10">
        <f>IFERROR(__xludf.DUMMYFUNCTION("""COMPUTED_VALUE"""),4.13)</f>
        <v>4.13</v>
      </c>
      <c r="G3229" s="9">
        <f>IFERROR(__xludf.DUMMYFUNCTION("""COMPUTED_VALUE"""),4.13)</f>
        <v>4.13</v>
      </c>
      <c r="H3229" s="9">
        <f>IFERROR(__xludf.DUMMYFUNCTION("""COMPUTED_VALUE"""),1.0)</f>
        <v>1</v>
      </c>
      <c r="I3229" s="9"/>
      <c r="J3229" s="9"/>
      <c r="K3229" s="9"/>
      <c r="L3229" s="9"/>
      <c r="M3229" s="9"/>
      <c r="N3229" s="9"/>
      <c r="O3229" s="9"/>
      <c r="P3229" s="9"/>
      <c r="Q3229" s="9"/>
      <c r="R3229" s="9"/>
      <c r="S3229" s="9"/>
      <c r="T3229" s="9"/>
    </row>
    <row r="3230" ht="15.75" customHeight="1">
      <c r="A3230" s="11">
        <f>IFERROR(__xludf.DUMMYFUNCTION("""COMPUTED_VALUE"""),44471.0)</f>
        <v>44471</v>
      </c>
      <c r="B3230" s="9">
        <f>IFERROR(__xludf.DUMMYFUNCTION("""COMPUTED_VALUE"""),1003758.0)</f>
        <v>1003758</v>
      </c>
      <c r="C3230" s="9">
        <f>IFERROR(__xludf.DUMMYFUNCTION("""COMPUTED_VALUE"""),110975.0)</f>
        <v>110975</v>
      </c>
      <c r="D3230" s="10" t="str">
        <f>IFERROR(__xludf.DUMMYFUNCTION("""COMPUTED_VALUE"""),"Vive le bio")</f>
        <v>Vive le bio</v>
      </c>
      <c r="E3230" s="10" t="str">
        <f>IFERROR(__xludf.DUMMYFUNCTION("""COMPUTED_VALUE"""),"PREMIERE")</f>
        <v>PREMIERE</v>
      </c>
      <c r="F3230" s="10">
        <f>IFERROR(__xludf.DUMMYFUNCTION("""COMPUTED_VALUE"""),3.77777777777777)</f>
        <v>3.777777778</v>
      </c>
      <c r="G3230" s="9">
        <f>IFERROR(__xludf.DUMMYFUNCTION("""COMPUTED_VALUE"""),3.4)</f>
        <v>3.4</v>
      </c>
      <c r="H3230" s="9">
        <f>IFERROR(__xludf.DUMMYFUNCTION("""COMPUTED_VALUE"""),1.0)</f>
        <v>1</v>
      </c>
      <c r="I3230" s="9"/>
      <c r="J3230" s="9"/>
      <c r="K3230" s="9"/>
      <c r="L3230" s="9"/>
      <c r="M3230" s="9"/>
      <c r="N3230" s="9"/>
      <c r="O3230" s="9"/>
      <c r="P3230" s="9"/>
      <c r="Q3230" s="9"/>
      <c r="R3230" s="9"/>
      <c r="S3230" s="9"/>
      <c r="T3230" s="9"/>
    </row>
    <row r="3231" ht="15.75" customHeight="1">
      <c r="A3231" s="11">
        <f>IFERROR(__xludf.DUMMYFUNCTION("""COMPUTED_VALUE"""),44471.0)</f>
        <v>44471</v>
      </c>
      <c r="B3231" s="9">
        <f>IFERROR(__xludf.DUMMYFUNCTION("""COMPUTED_VALUE"""),1003758.0)</f>
        <v>1003758</v>
      </c>
      <c r="C3231" s="9">
        <f>IFERROR(__xludf.DUMMYFUNCTION("""COMPUTED_VALUE"""),119241.0)</f>
        <v>119241</v>
      </c>
      <c r="D3231" s="9"/>
      <c r="E3231" s="10" t="str">
        <f>IFERROR(__xludf.DUMMYFUNCTION("""COMPUTED_VALUE"""),"PREMIERE")</f>
        <v>PREMIERE</v>
      </c>
      <c r="F3231" s="10">
        <f>IFERROR(__xludf.DUMMYFUNCTION("""COMPUTED_VALUE"""),5.42)</f>
        <v>5.42</v>
      </c>
      <c r="G3231" s="9">
        <f>IFERROR(__xludf.DUMMYFUNCTION("""COMPUTED_VALUE"""),5.42)</f>
        <v>5.42</v>
      </c>
      <c r="H3231" s="9">
        <f>IFERROR(__xludf.DUMMYFUNCTION("""COMPUTED_VALUE"""),1.0)</f>
        <v>1</v>
      </c>
      <c r="I3231" s="9"/>
      <c r="J3231" s="9"/>
      <c r="K3231" s="9"/>
      <c r="L3231" s="9"/>
      <c r="M3231" s="9"/>
      <c r="N3231" s="9"/>
      <c r="O3231" s="9"/>
      <c r="P3231" s="9"/>
      <c r="Q3231" s="9"/>
      <c r="R3231" s="9"/>
      <c r="S3231" s="9"/>
      <c r="T3231" s="9"/>
    </row>
    <row r="3232" ht="15.75" customHeight="1">
      <c r="A3232" s="11">
        <f>IFERROR(__xludf.DUMMYFUNCTION("""COMPUTED_VALUE"""),44471.0)</f>
        <v>44471</v>
      </c>
      <c r="B3232" s="9">
        <f>IFERROR(__xludf.DUMMYFUNCTION("""COMPUTED_VALUE"""),1003758.0)</f>
        <v>1003758</v>
      </c>
      <c r="C3232" s="9">
        <f>IFERROR(__xludf.DUMMYFUNCTION("""COMPUTED_VALUE"""),48630.0)</f>
        <v>48630</v>
      </c>
      <c r="D3232" s="9"/>
      <c r="E3232" s="10" t="str">
        <f>IFERROR(__xludf.DUMMYFUNCTION("""COMPUTED_VALUE"""),"PREMIERE")</f>
        <v>PREMIERE</v>
      </c>
      <c r="F3232" s="10">
        <f>IFERROR(__xludf.DUMMYFUNCTION("""COMPUTED_VALUE"""),7.43)</f>
        <v>7.43</v>
      </c>
      <c r="G3232" s="9">
        <f>IFERROR(__xludf.DUMMYFUNCTION("""COMPUTED_VALUE"""),7.43)</f>
        <v>7.43</v>
      </c>
      <c r="H3232" s="9">
        <f>IFERROR(__xludf.DUMMYFUNCTION("""COMPUTED_VALUE"""),1.0)</f>
        <v>1</v>
      </c>
      <c r="I3232" s="9"/>
      <c r="J3232" s="9"/>
      <c r="K3232" s="9"/>
      <c r="L3232" s="9"/>
      <c r="M3232" s="9"/>
      <c r="N3232" s="9"/>
      <c r="O3232" s="9"/>
      <c r="P3232" s="9"/>
      <c r="Q3232" s="9"/>
      <c r="R3232" s="9"/>
      <c r="S3232" s="9"/>
      <c r="T3232" s="9"/>
    </row>
    <row r="3233" ht="15.75" customHeight="1">
      <c r="A3233" s="11">
        <f>IFERROR(__xludf.DUMMYFUNCTION("""COMPUTED_VALUE"""),44471.0)</f>
        <v>44471</v>
      </c>
      <c r="B3233" s="9">
        <f>IFERROR(__xludf.DUMMYFUNCTION("""COMPUTED_VALUE"""),1003758.0)</f>
        <v>1003758</v>
      </c>
      <c r="C3233" s="9">
        <f>IFERROR(__xludf.DUMMYFUNCTION("""COMPUTED_VALUE"""),77444.0)</f>
        <v>77444</v>
      </c>
      <c r="D3233" s="9"/>
      <c r="E3233" s="10" t="str">
        <f>IFERROR(__xludf.DUMMYFUNCTION("""COMPUTED_VALUE"""),"PREMIERE")</f>
        <v>PREMIERE</v>
      </c>
      <c r="F3233" s="10">
        <f>IFERROR(__xludf.DUMMYFUNCTION("""COMPUTED_VALUE"""),1.92)</f>
        <v>1.92</v>
      </c>
      <c r="G3233" s="9">
        <f>IFERROR(__xludf.DUMMYFUNCTION("""COMPUTED_VALUE"""),1.92)</f>
        <v>1.92</v>
      </c>
      <c r="H3233" s="9">
        <f>IFERROR(__xludf.DUMMYFUNCTION("""COMPUTED_VALUE"""),1.0)</f>
        <v>1</v>
      </c>
      <c r="I3233" s="9"/>
      <c r="J3233" s="9"/>
      <c r="K3233" s="9"/>
      <c r="L3233" s="9"/>
      <c r="M3233" s="9"/>
      <c r="N3233" s="9"/>
      <c r="O3233" s="9"/>
      <c r="P3233" s="9"/>
      <c r="Q3233" s="9"/>
      <c r="R3233" s="9"/>
      <c r="S3233" s="9"/>
      <c r="T3233" s="9"/>
    </row>
    <row r="3234" ht="15.75" customHeight="1">
      <c r="A3234" s="11">
        <f>IFERROR(__xludf.DUMMYFUNCTION("""COMPUTED_VALUE"""),44471.0)</f>
        <v>44471</v>
      </c>
      <c r="B3234" s="9">
        <f>IFERROR(__xludf.DUMMYFUNCTION("""COMPUTED_VALUE"""),1003758.0)</f>
        <v>1003758</v>
      </c>
      <c r="C3234" s="9">
        <f>IFERROR(__xludf.DUMMYFUNCTION("""COMPUTED_VALUE"""),76366.0)</f>
        <v>76366</v>
      </c>
      <c r="D3234" s="10" t="str">
        <f>IFERROR(__xludf.DUMMYFUNCTION("""COMPUTED_VALUE"""),"Vive le bio")</f>
        <v>Vive le bio</v>
      </c>
      <c r="E3234" s="10" t="str">
        <f>IFERROR(__xludf.DUMMYFUNCTION("""COMPUTED_VALUE"""),"PREMIERE")</f>
        <v>PREMIERE</v>
      </c>
      <c r="F3234" s="10">
        <f>IFERROR(__xludf.DUMMYFUNCTION("""COMPUTED_VALUE"""),2.88888888888888)</f>
        <v>2.888888889</v>
      </c>
      <c r="G3234" s="9">
        <f>IFERROR(__xludf.DUMMYFUNCTION("""COMPUTED_VALUE"""),2.6)</f>
        <v>2.6</v>
      </c>
      <c r="H3234" s="9">
        <f>IFERROR(__xludf.DUMMYFUNCTION("""COMPUTED_VALUE"""),1.0)</f>
        <v>1</v>
      </c>
      <c r="I3234" s="9"/>
      <c r="J3234" s="9"/>
      <c r="K3234" s="9"/>
      <c r="L3234" s="9"/>
      <c r="M3234" s="9"/>
      <c r="N3234" s="9"/>
      <c r="O3234" s="9"/>
      <c r="P3234" s="9"/>
      <c r="Q3234" s="9"/>
      <c r="R3234" s="9"/>
      <c r="S3234" s="9"/>
      <c r="T3234" s="9"/>
    </row>
    <row r="3235" ht="15.75" customHeight="1">
      <c r="A3235" s="11">
        <f>IFERROR(__xludf.DUMMYFUNCTION("""COMPUTED_VALUE"""),44471.0)</f>
        <v>44471</v>
      </c>
      <c r="B3235" s="9">
        <f>IFERROR(__xludf.DUMMYFUNCTION("""COMPUTED_VALUE"""),1003758.0)</f>
        <v>1003758</v>
      </c>
      <c r="C3235" s="9">
        <f>IFERROR(__xludf.DUMMYFUNCTION("""COMPUTED_VALUE"""),110576.0)</f>
        <v>110576</v>
      </c>
      <c r="D3235" s="9"/>
      <c r="E3235" s="10" t="str">
        <f>IFERROR(__xludf.DUMMYFUNCTION("""COMPUTED_VALUE"""),"PREMIERE")</f>
        <v>PREMIERE</v>
      </c>
      <c r="F3235" s="10">
        <f>IFERROR(__xludf.DUMMYFUNCTION("""COMPUTED_VALUE"""),2.85)</f>
        <v>2.85</v>
      </c>
      <c r="G3235" s="9">
        <f>IFERROR(__xludf.DUMMYFUNCTION("""COMPUTED_VALUE"""),2.85)</f>
        <v>2.85</v>
      </c>
      <c r="H3235" s="9">
        <f>IFERROR(__xludf.DUMMYFUNCTION("""COMPUTED_VALUE"""),1.0)</f>
        <v>1</v>
      </c>
      <c r="I3235" s="9"/>
      <c r="J3235" s="9"/>
      <c r="K3235" s="9"/>
      <c r="L3235" s="9"/>
      <c r="M3235" s="9"/>
      <c r="N3235" s="9"/>
      <c r="O3235" s="9"/>
      <c r="P3235" s="9"/>
      <c r="Q3235" s="9"/>
      <c r="R3235" s="9"/>
      <c r="S3235" s="9"/>
      <c r="T3235" s="9"/>
    </row>
    <row r="3236" ht="15.75" customHeight="1">
      <c r="A3236" s="11">
        <f>IFERROR(__xludf.DUMMYFUNCTION("""COMPUTED_VALUE"""),44471.0)</f>
        <v>44471</v>
      </c>
      <c r="B3236" s="9">
        <f>IFERROR(__xludf.DUMMYFUNCTION("""COMPUTED_VALUE"""),1003758.0)</f>
        <v>1003758</v>
      </c>
      <c r="C3236" s="9">
        <f>IFERROR(__xludf.DUMMYFUNCTION("""COMPUTED_VALUE"""),90690.0)</f>
        <v>90690</v>
      </c>
      <c r="D3236" s="9"/>
      <c r="E3236" s="10" t="str">
        <f>IFERROR(__xludf.DUMMYFUNCTION("""COMPUTED_VALUE"""),"PREMIERE")</f>
        <v>PREMIERE</v>
      </c>
      <c r="F3236" s="10">
        <f>IFERROR(__xludf.DUMMYFUNCTION("""COMPUTED_VALUE"""),1.55)</f>
        <v>1.55</v>
      </c>
      <c r="G3236" s="9">
        <f>IFERROR(__xludf.DUMMYFUNCTION("""COMPUTED_VALUE"""),1.55)</f>
        <v>1.55</v>
      </c>
      <c r="H3236" s="9">
        <f>IFERROR(__xludf.DUMMYFUNCTION("""COMPUTED_VALUE"""),1.0)</f>
        <v>1</v>
      </c>
      <c r="I3236" s="9"/>
      <c r="J3236" s="9"/>
      <c r="K3236" s="9"/>
      <c r="L3236" s="9"/>
      <c r="M3236" s="9"/>
      <c r="N3236" s="9"/>
      <c r="O3236" s="9"/>
      <c r="P3236" s="9"/>
      <c r="Q3236" s="9"/>
      <c r="R3236" s="9"/>
      <c r="S3236" s="9"/>
      <c r="T3236" s="9"/>
    </row>
    <row r="3237" ht="15.75" customHeight="1">
      <c r="A3237" s="11">
        <f>IFERROR(__xludf.DUMMYFUNCTION("""COMPUTED_VALUE"""),44471.0)</f>
        <v>44471</v>
      </c>
      <c r="B3237" s="9">
        <f>IFERROR(__xludf.DUMMYFUNCTION("""COMPUTED_VALUE"""),1003758.0)</f>
        <v>1003758</v>
      </c>
      <c r="C3237" s="9">
        <f>IFERROR(__xludf.DUMMYFUNCTION("""COMPUTED_VALUE"""),102695.0)</f>
        <v>102695</v>
      </c>
      <c r="D3237" s="9"/>
      <c r="E3237" s="10" t="str">
        <f>IFERROR(__xludf.DUMMYFUNCTION("""COMPUTED_VALUE"""),"PREMIERE")</f>
        <v>PREMIERE</v>
      </c>
      <c r="F3237" s="10">
        <f>IFERROR(__xludf.DUMMYFUNCTION("""COMPUTED_VALUE"""),6.96)</f>
        <v>6.96</v>
      </c>
      <c r="G3237" s="9">
        <f>IFERROR(__xludf.DUMMYFUNCTION("""COMPUTED_VALUE"""),6.96)</f>
        <v>6.96</v>
      </c>
      <c r="H3237" s="9">
        <f>IFERROR(__xludf.DUMMYFUNCTION("""COMPUTED_VALUE"""),1.0)</f>
        <v>1</v>
      </c>
      <c r="I3237" s="9"/>
      <c r="J3237" s="9"/>
      <c r="K3237" s="9"/>
      <c r="L3237" s="9"/>
      <c r="M3237" s="9"/>
      <c r="N3237" s="9"/>
      <c r="O3237" s="9"/>
      <c r="P3237" s="9"/>
      <c r="Q3237" s="9"/>
      <c r="R3237" s="9"/>
      <c r="S3237" s="9"/>
      <c r="T3237" s="9"/>
    </row>
    <row r="3238" ht="15.75" customHeight="1">
      <c r="A3238" s="11">
        <f>IFERROR(__xludf.DUMMYFUNCTION("""COMPUTED_VALUE"""),44471.0)</f>
        <v>44471</v>
      </c>
      <c r="B3238" s="9">
        <f>IFERROR(__xludf.DUMMYFUNCTION("""COMPUTED_VALUE"""),1003758.0)</f>
        <v>1003758</v>
      </c>
      <c r="C3238" s="9">
        <f>IFERROR(__xludf.DUMMYFUNCTION("""COMPUTED_VALUE"""),117187.0)</f>
        <v>117187</v>
      </c>
      <c r="D3238" s="9"/>
      <c r="E3238" s="10" t="str">
        <f>IFERROR(__xludf.DUMMYFUNCTION("""COMPUTED_VALUE"""),"PREMIERE")</f>
        <v>PREMIERE</v>
      </c>
      <c r="F3238" s="10">
        <f>IFERROR(__xludf.DUMMYFUNCTION("""COMPUTED_VALUE"""),3.24)</f>
        <v>3.24</v>
      </c>
      <c r="G3238" s="9">
        <f>IFERROR(__xludf.DUMMYFUNCTION("""COMPUTED_VALUE"""),3.24)</f>
        <v>3.24</v>
      </c>
      <c r="H3238" s="9">
        <f>IFERROR(__xludf.DUMMYFUNCTION("""COMPUTED_VALUE"""),1.0)</f>
        <v>1</v>
      </c>
      <c r="I3238" s="9"/>
      <c r="J3238" s="9"/>
      <c r="K3238" s="9"/>
      <c r="L3238" s="9"/>
      <c r="M3238" s="9"/>
      <c r="N3238" s="9"/>
      <c r="O3238" s="9"/>
      <c r="P3238" s="9"/>
      <c r="Q3238" s="9"/>
      <c r="R3238" s="9"/>
      <c r="S3238" s="9"/>
      <c r="T3238" s="9"/>
    </row>
    <row r="3239" ht="15.75" customHeight="1">
      <c r="A3239" s="11">
        <f>IFERROR(__xludf.DUMMYFUNCTION("""COMPUTED_VALUE"""),44471.0)</f>
        <v>44471</v>
      </c>
      <c r="B3239" s="9">
        <f>IFERROR(__xludf.DUMMYFUNCTION("""COMPUTED_VALUE"""),1003758.0)</f>
        <v>1003758</v>
      </c>
      <c r="C3239" s="9">
        <f>IFERROR(__xludf.DUMMYFUNCTION("""COMPUTED_VALUE"""),88268.0)</f>
        <v>88268</v>
      </c>
      <c r="D3239" s="9"/>
      <c r="E3239" s="10" t="str">
        <f>IFERROR(__xludf.DUMMYFUNCTION("""COMPUTED_VALUE"""),"PREMIERE")</f>
        <v>PREMIERE</v>
      </c>
      <c r="F3239" s="10">
        <f>IFERROR(__xludf.DUMMYFUNCTION("""COMPUTED_VALUE"""),1.06)</f>
        <v>1.06</v>
      </c>
      <c r="G3239" s="9">
        <f>IFERROR(__xludf.DUMMYFUNCTION("""COMPUTED_VALUE"""),1.06)</f>
        <v>1.06</v>
      </c>
      <c r="H3239" s="9">
        <f>IFERROR(__xludf.DUMMYFUNCTION("""COMPUTED_VALUE"""),1.0)</f>
        <v>1</v>
      </c>
      <c r="I3239" s="9"/>
      <c r="J3239" s="9"/>
      <c r="K3239" s="9"/>
      <c r="L3239" s="9"/>
      <c r="M3239" s="9"/>
      <c r="N3239" s="9"/>
      <c r="O3239" s="9"/>
      <c r="P3239" s="9"/>
      <c r="Q3239" s="9"/>
      <c r="R3239" s="9"/>
      <c r="S3239" s="9"/>
      <c r="T3239" s="9"/>
    </row>
    <row r="3240" ht="15.75" customHeight="1">
      <c r="A3240" s="11">
        <f>IFERROR(__xludf.DUMMYFUNCTION("""COMPUTED_VALUE"""),44471.0)</f>
        <v>44471</v>
      </c>
      <c r="B3240" s="9">
        <f>IFERROR(__xludf.DUMMYFUNCTION("""COMPUTED_VALUE"""),1003759.0)</f>
        <v>1003759</v>
      </c>
      <c r="C3240" s="9">
        <f>IFERROR(__xludf.DUMMYFUNCTION("""COMPUTED_VALUE"""),5648.0)</f>
        <v>5648</v>
      </c>
      <c r="D3240" s="10" t="str">
        <f>IFERROR(__xludf.DUMMYFUNCTION("""COMPUTED_VALUE"""),"Vive le bio")</f>
        <v>Vive le bio</v>
      </c>
      <c r="E3240" s="10" t="str">
        <f>IFERROR(__xludf.DUMMYFUNCTION("""COMPUTED_VALUE"""),"GREENRELAIS")</f>
        <v>GREENRELAIS</v>
      </c>
      <c r="F3240" s="10">
        <f>IFERROR(__xludf.DUMMYFUNCTION("""COMPUTED_VALUE"""),1.56666666666666)</f>
        <v>1.566666667</v>
      </c>
      <c r="G3240" s="9">
        <f>IFERROR(__xludf.DUMMYFUNCTION("""COMPUTED_VALUE"""),1.41)</f>
        <v>1.41</v>
      </c>
      <c r="H3240" s="9">
        <f>IFERROR(__xludf.DUMMYFUNCTION("""COMPUTED_VALUE"""),1.0)</f>
        <v>1</v>
      </c>
      <c r="I3240" s="9"/>
      <c r="J3240" s="9"/>
      <c r="K3240" s="9"/>
      <c r="L3240" s="9"/>
      <c r="M3240" s="9"/>
      <c r="N3240" s="9"/>
      <c r="O3240" s="9"/>
      <c r="P3240" s="9"/>
      <c r="Q3240" s="9"/>
      <c r="R3240" s="9"/>
      <c r="S3240" s="9"/>
      <c r="T3240" s="9"/>
    </row>
    <row r="3241" ht="15.75" customHeight="1">
      <c r="A3241" s="11">
        <f>IFERROR(__xludf.DUMMYFUNCTION("""COMPUTED_VALUE"""),44471.0)</f>
        <v>44471</v>
      </c>
      <c r="B3241" s="9">
        <f>IFERROR(__xludf.DUMMYFUNCTION("""COMPUTED_VALUE"""),1003759.0)</f>
        <v>1003759</v>
      </c>
      <c r="C3241" s="9">
        <f>IFERROR(__xludf.DUMMYFUNCTION("""COMPUTED_VALUE"""),46774.0)</f>
        <v>46774</v>
      </c>
      <c r="D3241" s="9"/>
      <c r="E3241" s="10" t="str">
        <f>IFERROR(__xludf.DUMMYFUNCTION("""COMPUTED_VALUE"""),"GREENRELAIS")</f>
        <v>GREENRELAIS</v>
      </c>
      <c r="F3241" s="10">
        <f>IFERROR(__xludf.DUMMYFUNCTION("""COMPUTED_VALUE"""),2.26)</f>
        <v>2.26</v>
      </c>
      <c r="G3241" s="9">
        <f>IFERROR(__xludf.DUMMYFUNCTION("""COMPUTED_VALUE"""),2.26)</f>
        <v>2.26</v>
      </c>
      <c r="H3241" s="9">
        <f>IFERROR(__xludf.DUMMYFUNCTION("""COMPUTED_VALUE"""),1.0)</f>
        <v>1</v>
      </c>
      <c r="I3241" s="9"/>
      <c r="J3241" s="9"/>
      <c r="K3241" s="9"/>
      <c r="L3241" s="9"/>
      <c r="M3241" s="9"/>
      <c r="N3241" s="9"/>
      <c r="O3241" s="9"/>
      <c r="P3241" s="9"/>
      <c r="Q3241" s="9"/>
      <c r="R3241" s="9"/>
      <c r="S3241" s="9"/>
      <c r="T3241" s="9"/>
    </row>
    <row r="3242" ht="15.75" customHeight="1">
      <c r="A3242" s="11">
        <f>IFERROR(__xludf.DUMMYFUNCTION("""COMPUTED_VALUE"""),44471.0)</f>
        <v>44471</v>
      </c>
      <c r="B3242" s="9">
        <f>IFERROR(__xludf.DUMMYFUNCTION("""COMPUTED_VALUE"""),1003759.0)</f>
        <v>1003759</v>
      </c>
      <c r="C3242" s="9">
        <f>IFERROR(__xludf.DUMMYFUNCTION("""COMPUTED_VALUE"""),90931.0)</f>
        <v>90931</v>
      </c>
      <c r="D3242" s="9"/>
      <c r="E3242" s="10" t="str">
        <f>IFERROR(__xludf.DUMMYFUNCTION("""COMPUTED_VALUE"""),"GREENRELAIS")</f>
        <v>GREENRELAIS</v>
      </c>
      <c r="F3242" s="10">
        <f>IFERROR(__xludf.DUMMYFUNCTION("""COMPUTED_VALUE"""),1.64)</f>
        <v>1.64</v>
      </c>
      <c r="G3242" s="9">
        <f>IFERROR(__xludf.DUMMYFUNCTION("""COMPUTED_VALUE"""),1.64)</f>
        <v>1.64</v>
      </c>
      <c r="H3242" s="9">
        <f>IFERROR(__xludf.DUMMYFUNCTION("""COMPUTED_VALUE"""),1.0)</f>
        <v>1</v>
      </c>
      <c r="I3242" s="9"/>
      <c r="J3242" s="9"/>
      <c r="K3242" s="9"/>
      <c r="L3242" s="9"/>
      <c r="M3242" s="9"/>
      <c r="N3242" s="9"/>
      <c r="O3242" s="9"/>
      <c r="P3242" s="9"/>
      <c r="Q3242" s="9"/>
      <c r="R3242" s="9"/>
      <c r="S3242" s="9"/>
      <c r="T3242" s="9"/>
    </row>
    <row r="3243" ht="15.75" customHeight="1">
      <c r="A3243" s="11">
        <f>IFERROR(__xludf.DUMMYFUNCTION("""COMPUTED_VALUE"""),44471.0)</f>
        <v>44471</v>
      </c>
      <c r="B3243" s="9">
        <f>IFERROR(__xludf.DUMMYFUNCTION("""COMPUTED_VALUE"""),1003759.0)</f>
        <v>1003759</v>
      </c>
      <c r="C3243" s="9">
        <f>IFERROR(__xludf.DUMMYFUNCTION("""COMPUTED_VALUE"""),90671.0)</f>
        <v>90671</v>
      </c>
      <c r="D3243" s="9"/>
      <c r="E3243" s="10" t="str">
        <f>IFERROR(__xludf.DUMMYFUNCTION("""COMPUTED_VALUE"""),"GREENRELAIS")</f>
        <v>GREENRELAIS</v>
      </c>
      <c r="F3243" s="10">
        <f>IFERROR(__xludf.DUMMYFUNCTION("""COMPUTED_VALUE"""),1.64)</f>
        <v>1.64</v>
      </c>
      <c r="G3243" s="9">
        <f>IFERROR(__xludf.DUMMYFUNCTION("""COMPUTED_VALUE"""),1.64)</f>
        <v>1.64</v>
      </c>
      <c r="H3243" s="9">
        <f>IFERROR(__xludf.DUMMYFUNCTION("""COMPUTED_VALUE"""),1.0)</f>
        <v>1</v>
      </c>
      <c r="I3243" s="9"/>
      <c r="J3243" s="9"/>
      <c r="K3243" s="9"/>
      <c r="L3243" s="9"/>
      <c r="M3243" s="9"/>
      <c r="N3243" s="9"/>
      <c r="O3243" s="9"/>
      <c r="P3243" s="9"/>
      <c r="Q3243" s="9"/>
      <c r="R3243" s="9"/>
      <c r="S3243" s="9"/>
      <c r="T3243" s="9"/>
    </row>
    <row r="3244" ht="15.75" customHeight="1">
      <c r="A3244" s="11">
        <f>IFERROR(__xludf.DUMMYFUNCTION("""COMPUTED_VALUE"""),44471.0)</f>
        <v>44471</v>
      </c>
      <c r="B3244" s="9">
        <f>IFERROR(__xludf.DUMMYFUNCTION("""COMPUTED_VALUE"""),1003759.0)</f>
        <v>1003759</v>
      </c>
      <c r="C3244" s="9">
        <f>IFERROR(__xludf.DUMMYFUNCTION("""COMPUTED_VALUE"""),113096.0)</f>
        <v>113096</v>
      </c>
      <c r="D3244" s="9"/>
      <c r="E3244" s="10" t="str">
        <f>IFERROR(__xludf.DUMMYFUNCTION("""COMPUTED_VALUE"""),"GREENRELAIS")</f>
        <v>GREENRELAIS</v>
      </c>
      <c r="F3244" s="10">
        <f>IFERROR(__xludf.DUMMYFUNCTION("""COMPUTED_VALUE"""),3.29)</f>
        <v>3.29</v>
      </c>
      <c r="G3244" s="9">
        <f>IFERROR(__xludf.DUMMYFUNCTION("""COMPUTED_VALUE"""),3.29)</f>
        <v>3.29</v>
      </c>
      <c r="H3244" s="9">
        <f>IFERROR(__xludf.DUMMYFUNCTION("""COMPUTED_VALUE"""),1.0)</f>
        <v>1</v>
      </c>
      <c r="I3244" s="9"/>
      <c r="J3244" s="9"/>
      <c r="K3244" s="9"/>
      <c r="L3244" s="9"/>
      <c r="M3244" s="9"/>
      <c r="N3244" s="9"/>
      <c r="O3244" s="9"/>
      <c r="P3244" s="9"/>
      <c r="Q3244" s="9"/>
      <c r="R3244" s="9"/>
      <c r="S3244" s="9"/>
      <c r="T3244" s="9"/>
    </row>
    <row r="3245" ht="15.75" customHeight="1">
      <c r="A3245" s="11">
        <f>IFERROR(__xludf.DUMMYFUNCTION("""COMPUTED_VALUE"""),44471.0)</f>
        <v>44471</v>
      </c>
      <c r="B3245" s="9">
        <f>IFERROR(__xludf.DUMMYFUNCTION("""COMPUTED_VALUE"""),1003759.0)</f>
        <v>1003759</v>
      </c>
      <c r="C3245" s="9">
        <f>IFERROR(__xludf.DUMMYFUNCTION("""COMPUTED_VALUE"""),90710.0)</f>
        <v>90710</v>
      </c>
      <c r="D3245" s="9"/>
      <c r="E3245" s="10" t="str">
        <f>IFERROR(__xludf.DUMMYFUNCTION("""COMPUTED_VALUE"""),"GREENRELAIS")</f>
        <v>GREENRELAIS</v>
      </c>
      <c r="F3245" s="10">
        <f>IFERROR(__xludf.DUMMYFUNCTION("""COMPUTED_VALUE"""),1.02)</f>
        <v>1.02</v>
      </c>
      <c r="G3245" s="9">
        <f>IFERROR(__xludf.DUMMYFUNCTION("""COMPUTED_VALUE"""),1.02)</f>
        <v>1.02</v>
      </c>
      <c r="H3245" s="9">
        <f>IFERROR(__xludf.DUMMYFUNCTION("""COMPUTED_VALUE"""),1.0)</f>
        <v>1</v>
      </c>
      <c r="I3245" s="9"/>
      <c r="J3245" s="9"/>
      <c r="K3245" s="9"/>
      <c r="L3245" s="9"/>
      <c r="M3245" s="9"/>
      <c r="N3245" s="9"/>
      <c r="O3245" s="9"/>
      <c r="P3245" s="9"/>
      <c r="Q3245" s="9"/>
      <c r="R3245" s="9"/>
      <c r="S3245" s="9"/>
      <c r="T3245" s="9"/>
    </row>
    <row r="3246" ht="15.75" customHeight="1">
      <c r="A3246" s="11">
        <f>IFERROR(__xludf.DUMMYFUNCTION("""COMPUTED_VALUE"""),44471.0)</f>
        <v>44471</v>
      </c>
      <c r="B3246" s="9">
        <f>IFERROR(__xludf.DUMMYFUNCTION("""COMPUTED_VALUE"""),1003759.0)</f>
        <v>1003759</v>
      </c>
      <c r="C3246" s="9">
        <f>IFERROR(__xludf.DUMMYFUNCTION("""COMPUTED_VALUE"""),73946.0)</f>
        <v>73946</v>
      </c>
      <c r="D3246" s="9"/>
      <c r="E3246" s="10" t="str">
        <f>IFERROR(__xludf.DUMMYFUNCTION("""COMPUTED_VALUE"""),"GREENRELAIS")</f>
        <v>GREENRELAIS</v>
      </c>
      <c r="F3246" s="10">
        <f>IFERROR(__xludf.DUMMYFUNCTION("""COMPUTED_VALUE"""),6.09)</f>
        <v>6.09</v>
      </c>
      <c r="G3246" s="9">
        <f>IFERROR(__xludf.DUMMYFUNCTION("""COMPUTED_VALUE"""),6.09)</f>
        <v>6.09</v>
      </c>
      <c r="H3246" s="9">
        <f>IFERROR(__xludf.DUMMYFUNCTION("""COMPUTED_VALUE"""),1.0)</f>
        <v>1</v>
      </c>
      <c r="I3246" s="9"/>
      <c r="J3246" s="9"/>
      <c r="K3246" s="9"/>
      <c r="L3246" s="9"/>
      <c r="M3246" s="9"/>
      <c r="N3246" s="9"/>
      <c r="O3246" s="9"/>
      <c r="P3246" s="9"/>
      <c r="Q3246" s="9"/>
      <c r="R3246" s="9"/>
      <c r="S3246" s="9"/>
      <c r="T3246" s="9"/>
    </row>
    <row r="3247" ht="15.75" customHeight="1">
      <c r="A3247" s="11">
        <f>IFERROR(__xludf.DUMMYFUNCTION("""COMPUTED_VALUE"""),44471.0)</f>
        <v>44471</v>
      </c>
      <c r="B3247" s="9">
        <f>IFERROR(__xludf.DUMMYFUNCTION("""COMPUTED_VALUE"""),1003759.0)</f>
        <v>1003759</v>
      </c>
      <c r="C3247" s="9">
        <f>IFERROR(__xludf.DUMMYFUNCTION("""COMPUTED_VALUE"""),110577.0)</f>
        <v>110577</v>
      </c>
      <c r="D3247" s="9"/>
      <c r="E3247" s="10" t="str">
        <f>IFERROR(__xludf.DUMMYFUNCTION("""COMPUTED_VALUE"""),"GREENRELAIS")</f>
        <v>GREENRELAIS</v>
      </c>
      <c r="F3247" s="10">
        <f>IFERROR(__xludf.DUMMYFUNCTION("""COMPUTED_VALUE"""),1.21)</f>
        <v>1.21</v>
      </c>
      <c r="G3247" s="9">
        <f>IFERROR(__xludf.DUMMYFUNCTION("""COMPUTED_VALUE"""),1.21)</f>
        <v>1.21</v>
      </c>
      <c r="H3247" s="9">
        <f>IFERROR(__xludf.DUMMYFUNCTION("""COMPUTED_VALUE"""),1.0)</f>
        <v>1</v>
      </c>
      <c r="I3247" s="9"/>
      <c r="J3247" s="9"/>
      <c r="K3247" s="9"/>
      <c r="L3247" s="9"/>
      <c r="M3247" s="9"/>
      <c r="N3247" s="9"/>
      <c r="O3247" s="9"/>
      <c r="P3247" s="9"/>
      <c r="Q3247" s="9"/>
      <c r="R3247" s="9"/>
      <c r="S3247" s="9"/>
      <c r="T3247" s="9"/>
    </row>
    <row r="3248" ht="15.75" customHeight="1">
      <c r="A3248" s="11">
        <f>IFERROR(__xludf.DUMMYFUNCTION("""COMPUTED_VALUE"""),44471.0)</f>
        <v>44471</v>
      </c>
      <c r="B3248" s="9">
        <f>IFERROR(__xludf.DUMMYFUNCTION("""COMPUTED_VALUE"""),1003759.0)</f>
        <v>1003759</v>
      </c>
      <c r="C3248" s="9">
        <f>IFERROR(__xludf.DUMMYFUNCTION("""COMPUTED_VALUE"""),77492.0)</f>
        <v>77492</v>
      </c>
      <c r="D3248" s="10" t="str">
        <f>IFERROR(__xludf.DUMMYFUNCTION("""COMPUTED_VALUE"""),"Vive le bio")</f>
        <v>Vive le bio</v>
      </c>
      <c r="E3248" s="10" t="str">
        <f>IFERROR(__xludf.DUMMYFUNCTION("""COMPUTED_VALUE"""),"GREENRELAIS")</f>
        <v>GREENRELAIS</v>
      </c>
      <c r="F3248" s="10">
        <f>IFERROR(__xludf.DUMMYFUNCTION("""COMPUTED_VALUE"""),3.58888888888888)</f>
        <v>3.588888889</v>
      </c>
      <c r="G3248" s="9">
        <f>IFERROR(__xludf.DUMMYFUNCTION("""COMPUTED_VALUE"""),3.23)</f>
        <v>3.23</v>
      </c>
      <c r="H3248" s="9">
        <f>IFERROR(__xludf.DUMMYFUNCTION("""COMPUTED_VALUE"""),1.0)</f>
        <v>1</v>
      </c>
      <c r="I3248" s="9"/>
      <c r="J3248" s="9"/>
      <c r="K3248" s="9"/>
      <c r="L3248" s="9"/>
      <c r="M3248" s="9"/>
      <c r="N3248" s="9"/>
      <c r="O3248" s="9"/>
      <c r="P3248" s="9"/>
      <c r="Q3248" s="9"/>
      <c r="R3248" s="9"/>
      <c r="S3248" s="9"/>
      <c r="T3248" s="9"/>
    </row>
    <row r="3249" ht="15.75" customHeight="1">
      <c r="A3249" s="11">
        <f>IFERROR(__xludf.DUMMYFUNCTION("""COMPUTED_VALUE"""),44471.0)</f>
        <v>44471</v>
      </c>
      <c r="B3249" s="9">
        <f>IFERROR(__xludf.DUMMYFUNCTION("""COMPUTED_VALUE"""),1003759.0)</f>
        <v>1003759</v>
      </c>
      <c r="C3249" s="9">
        <f>IFERROR(__xludf.DUMMYFUNCTION("""COMPUTED_VALUE"""),82206.0)</f>
        <v>82206</v>
      </c>
      <c r="D3249" s="10" t="str">
        <f>IFERROR(__xludf.DUMMYFUNCTION("""COMPUTED_VALUE"""),"Offre speciale")</f>
        <v>Offre speciale</v>
      </c>
      <c r="E3249" s="10" t="str">
        <f>IFERROR(__xludf.DUMMYFUNCTION("""COMPUTED_VALUE"""),"GREENRELAIS")</f>
        <v>GREENRELAIS</v>
      </c>
      <c r="F3249" s="10">
        <f>IFERROR(__xludf.DUMMYFUNCTION("""COMPUTED_VALUE"""),1.84705882352941)</f>
        <v>1.847058824</v>
      </c>
      <c r="G3249" s="9">
        <f>IFERROR(__xludf.DUMMYFUNCTION("""COMPUTED_VALUE"""),1.57)</f>
        <v>1.57</v>
      </c>
      <c r="H3249" s="9">
        <f>IFERROR(__xludf.DUMMYFUNCTION("""COMPUTED_VALUE"""),1.0)</f>
        <v>1</v>
      </c>
      <c r="I3249" s="9"/>
      <c r="J3249" s="9"/>
      <c r="K3249" s="9"/>
      <c r="L3249" s="9"/>
      <c r="M3249" s="9"/>
      <c r="N3249" s="9"/>
      <c r="O3249" s="9"/>
      <c r="P3249" s="9"/>
      <c r="Q3249" s="9"/>
      <c r="R3249" s="9"/>
      <c r="S3249" s="9"/>
      <c r="T3249" s="9"/>
    </row>
    <row r="3250" ht="15.75" customHeight="1">
      <c r="A3250" s="11">
        <f>IFERROR(__xludf.DUMMYFUNCTION("""COMPUTED_VALUE"""),44471.0)</f>
        <v>44471</v>
      </c>
      <c r="B3250" s="9">
        <f>IFERROR(__xludf.DUMMYFUNCTION("""COMPUTED_VALUE"""),1003759.0)</f>
        <v>1003759</v>
      </c>
      <c r="C3250" s="9">
        <f>IFERROR(__xludf.DUMMYFUNCTION("""COMPUTED_VALUE"""),76035.0)</f>
        <v>76035</v>
      </c>
      <c r="D3250" s="9"/>
      <c r="E3250" s="10" t="str">
        <f>IFERROR(__xludf.DUMMYFUNCTION("""COMPUTED_VALUE"""),"GREENRELAIS")</f>
        <v>GREENRELAIS</v>
      </c>
      <c r="F3250" s="10">
        <f>IFERROR(__xludf.DUMMYFUNCTION("""COMPUTED_VALUE"""),2.95)</f>
        <v>2.95</v>
      </c>
      <c r="G3250" s="9">
        <f>IFERROR(__xludf.DUMMYFUNCTION("""COMPUTED_VALUE"""),2.95)</f>
        <v>2.95</v>
      </c>
      <c r="H3250" s="9">
        <f>IFERROR(__xludf.DUMMYFUNCTION("""COMPUTED_VALUE"""),1.0)</f>
        <v>1</v>
      </c>
      <c r="I3250" s="9"/>
      <c r="J3250" s="9"/>
      <c r="K3250" s="9"/>
      <c r="L3250" s="9"/>
      <c r="M3250" s="9"/>
      <c r="N3250" s="9"/>
      <c r="O3250" s="9"/>
      <c r="P3250" s="9"/>
      <c r="Q3250" s="9"/>
      <c r="R3250" s="9"/>
      <c r="S3250" s="9"/>
      <c r="T3250" s="9"/>
    </row>
    <row r="3251" ht="15.75" customHeight="1">
      <c r="A3251" s="11">
        <f>IFERROR(__xludf.DUMMYFUNCTION("""COMPUTED_VALUE"""),44471.0)</f>
        <v>44471</v>
      </c>
      <c r="B3251" s="9">
        <f>IFERROR(__xludf.DUMMYFUNCTION("""COMPUTED_VALUE"""),1003759.0)</f>
        <v>1003759</v>
      </c>
      <c r="C3251" s="9">
        <f>IFERROR(__xludf.DUMMYFUNCTION("""COMPUTED_VALUE"""),119986.0)</f>
        <v>119986</v>
      </c>
      <c r="D3251" s="10" t="str">
        <f>IFERROR(__xludf.DUMMYFUNCTION("""COMPUTED_VALUE"""),"DLC courtes")</f>
        <v>DLC courtes</v>
      </c>
      <c r="E3251" s="10" t="str">
        <f>IFERROR(__xludf.DUMMYFUNCTION("""COMPUTED_VALUE"""),"GREENRELAIS")</f>
        <v>GREENRELAIS</v>
      </c>
      <c r="F3251" s="10">
        <f>IFERROR(__xludf.DUMMYFUNCTION("""COMPUTED_VALUE"""),3.47499999999999)</f>
        <v>3.475</v>
      </c>
      <c r="G3251" s="9">
        <f>IFERROR(__xludf.DUMMYFUNCTION("""COMPUTED_VALUE"""),2.78)</f>
        <v>2.78</v>
      </c>
      <c r="H3251" s="9">
        <f>IFERROR(__xludf.DUMMYFUNCTION("""COMPUTED_VALUE"""),1.0)</f>
        <v>1</v>
      </c>
      <c r="I3251" s="9"/>
      <c r="J3251" s="9"/>
      <c r="K3251" s="9"/>
      <c r="L3251" s="9"/>
      <c r="M3251" s="9"/>
      <c r="N3251" s="9"/>
      <c r="O3251" s="9"/>
      <c r="P3251" s="9"/>
      <c r="Q3251" s="9"/>
      <c r="R3251" s="9"/>
      <c r="S3251" s="9"/>
      <c r="T3251" s="9"/>
    </row>
    <row r="3252" ht="15.75" customHeight="1">
      <c r="A3252" s="11">
        <f>IFERROR(__xludf.DUMMYFUNCTION("""COMPUTED_VALUE"""),44471.0)</f>
        <v>44471</v>
      </c>
      <c r="B3252" s="9">
        <f>IFERROR(__xludf.DUMMYFUNCTION("""COMPUTED_VALUE"""),1003759.0)</f>
        <v>1003759</v>
      </c>
      <c r="C3252" s="9">
        <f>IFERROR(__xludf.DUMMYFUNCTION("""COMPUTED_VALUE"""),77326.0)</f>
        <v>77326</v>
      </c>
      <c r="D3252" s="9"/>
      <c r="E3252" s="10" t="str">
        <f>IFERROR(__xludf.DUMMYFUNCTION("""COMPUTED_VALUE"""),"GREENRELAIS")</f>
        <v>GREENRELAIS</v>
      </c>
      <c r="F3252" s="10">
        <f>IFERROR(__xludf.DUMMYFUNCTION("""COMPUTED_VALUE"""),2.85)</f>
        <v>2.85</v>
      </c>
      <c r="G3252" s="9">
        <f>IFERROR(__xludf.DUMMYFUNCTION("""COMPUTED_VALUE"""),2.85)</f>
        <v>2.85</v>
      </c>
      <c r="H3252" s="9">
        <f>IFERROR(__xludf.DUMMYFUNCTION("""COMPUTED_VALUE"""),1.0)</f>
        <v>1</v>
      </c>
      <c r="I3252" s="9"/>
      <c r="J3252" s="9"/>
      <c r="K3252" s="9"/>
      <c r="L3252" s="9"/>
      <c r="M3252" s="9"/>
      <c r="N3252" s="9"/>
      <c r="O3252" s="9"/>
      <c r="P3252" s="9"/>
      <c r="Q3252" s="9"/>
      <c r="R3252" s="9"/>
      <c r="S3252" s="9"/>
      <c r="T3252" s="9"/>
    </row>
    <row r="3253" ht="15.75" customHeight="1">
      <c r="A3253" s="11">
        <f>IFERROR(__xludf.DUMMYFUNCTION("""COMPUTED_VALUE"""),44471.0)</f>
        <v>44471</v>
      </c>
      <c r="B3253" s="9">
        <f>IFERROR(__xludf.DUMMYFUNCTION("""COMPUTED_VALUE"""),1003759.0)</f>
        <v>1003759</v>
      </c>
      <c r="C3253" s="9">
        <f>IFERROR(__xludf.DUMMYFUNCTION("""COMPUTED_VALUE"""),109310.0)</f>
        <v>109310</v>
      </c>
      <c r="D3253" s="9"/>
      <c r="E3253" s="10" t="str">
        <f>IFERROR(__xludf.DUMMYFUNCTION("""COMPUTED_VALUE"""),"GREENRELAIS")</f>
        <v>GREENRELAIS</v>
      </c>
      <c r="F3253" s="10">
        <f>IFERROR(__xludf.DUMMYFUNCTION("""COMPUTED_VALUE"""),25.08)</f>
        <v>25.08</v>
      </c>
      <c r="G3253" s="9">
        <f>IFERROR(__xludf.DUMMYFUNCTION("""COMPUTED_VALUE"""),25.08)</f>
        <v>25.08</v>
      </c>
      <c r="H3253" s="9">
        <f>IFERROR(__xludf.DUMMYFUNCTION("""COMPUTED_VALUE"""),4.0)</f>
        <v>4</v>
      </c>
      <c r="I3253" s="9"/>
      <c r="J3253" s="9"/>
      <c r="K3253" s="9"/>
      <c r="L3253" s="9"/>
      <c r="M3253" s="9"/>
      <c r="N3253" s="9"/>
      <c r="O3253" s="9"/>
      <c r="P3253" s="9"/>
      <c r="Q3253" s="9"/>
      <c r="R3253" s="9"/>
      <c r="S3253" s="9"/>
      <c r="T3253" s="9"/>
    </row>
    <row r="3254" ht="15.75" customHeight="1">
      <c r="A3254" s="11">
        <f>IFERROR(__xludf.DUMMYFUNCTION("""COMPUTED_VALUE"""),44471.0)</f>
        <v>44471</v>
      </c>
      <c r="B3254" s="9">
        <f>IFERROR(__xludf.DUMMYFUNCTION("""COMPUTED_VALUE"""),1003760.0)</f>
        <v>1003760</v>
      </c>
      <c r="C3254" s="9">
        <f>IFERROR(__xludf.DUMMYFUNCTION("""COMPUTED_VALUE"""),72099.0)</f>
        <v>72099</v>
      </c>
      <c r="D3254" s="9"/>
      <c r="E3254" s="9"/>
      <c r="F3254" s="9">
        <f>IFERROR(__xludf.DUMMYFUNCTION("""COMPUTED_VALUE"""),9.64)</f>
        <v>9.64</v>
      </c>
      <c r="G3254" s="9">
        <f>IFERROR(__xludf.DUMMYFUNCTION("""COMPUTED_VALUE"""),9.64)</f>
        <v>9.64</v>
      </c>
      <c r="H3254" s="9">
        <f>IFERROR(__xludf.DUMMYFUNCTION("""COMPUTED_VALUE"""),1.0)</f>
        <v>1</v>
      </c>
      <c r="I3254" s="9"/>
      <c r="J3254" s="9"/>
      <c r="K3254" s="9"/>
      <c r="L3254" s="9"/>
      <c r="M3254" s="9"/>
      <c r="N3254" s="9"/>
      <c r="O3254" s="9"/>
      <c r="P3254" s="9"/>
      <c r="Q3254" s="9"/>
      <c r="R3254" s="9"/>
      <c r="S3254" s="9"/>
      <c r="T3254" s="9"/>
    </row>
    <row r="3255" ht="15.75" customHeight="1">
      <c r="A3255" s="11">
        <f>IFERROR(__xludf.DUMMYFUNCTION("""COMPUTED_VALUE"""),44471.0)</f>
        <v>44471</v>
      </c>
      <c r="B3255" s="9">
        <f>IFERROR(__xludf.DUMMYFUNCTION("""COMPUTED_VALUE"""),1003760.0)</f>
        <v>1003760</v>
      </c>
      <c r="C3255" s="9">
        <f>IFERROR(__xludf.DUMMYFUNCTION("""COMPUTED_VALUE"""),18115.0)</f>
        <v>18115</v>
      </c>
      <c r="D3255" s="9"/>
      <c r="E3255" s="9"/>
      <c r="F3255" s="9">
        <f>IFERROR(__xludf.DUMMYFUNCTION("""COMPUTED_VALUE"""),3.79)</f>
        <v>3.79</v>
      </c>
      <c r="G3255" s="9">
        <f>IFERROR(__xludf.DUMMYFUNCTION("""COMPUTED_VALUE"""),3.79)</f>
        <v>3.79</v>
      </c>
      <c r="H3255" s="9">
        <f>IFERROR(__xludf.DUMMYFUNCTION("""COMPUTED_VALUE"""),1.0)</f>
        <v>1</v>
      </c>
      <c r="I3255" s="9"/>
      <c r="J3255" s="9"/>
      <c r="K3255" s="9"/>
      <c r="L3255" s="9"/>
      <c r="M3255" s="9"/>
      <c r="N3255" s="9"/>
      <c r="O3255" s="9"/>
      <c r="P3255" s="9"/>
      <c r="Q3255" s="9"/>
      <c r="R3255" s="9"/>
      <c r="S3255" s="9"/>
      <c r="T3255" s="9"/>
    </row>
    <row r="3256" ht="15.75" customHeight="1">
      <c r="A3256" s="11">
        <f>IFERROR(__xludf.DUMMYFUNCTION("""COMPUTED_VALUE"""),44471.0)</f>
        <v>44471</v>
      </c>
      <c r="B3256" s="9">
        <f>IFERROR(__xludf.DUMMYFUNCTION("""COMPUTED_VALUE"""),1003760.0)</f>
        <v>1003760</v>
      </c>
      <c r="C3256" s="9">
        <f>IFERROR(__xludf.DUMMYFUNCTION("""COMPUTED_VALUE"""),73245.0)</f>
        <v>73245</v>
      </c>
      <c r="D3256" s="9"/>
      <c r="E3256" s="9"/>
      <c r="F3256" s="9">
        <f>IFERROR(__xludf.DUMMYFUNCTION("""COMPUTED_VALUE"""),1.46)</f>
        <v>1.46</v>
      </c>
      <c r="G3256" s="9">
        <f>IFERROR(__xludf.DUMMYFUNCTION("""COMPUTED_VALUE"""),1.46)</f>
        <v>1.46</v>
      </c>
      <c r="H3256" s="9">
        <f>IFERROR(__xludf.DUMMYFUNCTION("""COMPUTED_VALUE"""),1.0)</f>
        <v>1</v>
      </c>
      <c r="I3256" s="9"/>
      <c r="J3256" s="9"/>
      <c r="K3256" s="9"/>
      <c r="L3256" s="9"/>
      <c r="M3256" s="9"/>
      <c r="N3256" s="9"/>
      <c r="O3256" s="9"/>
      <c r="P3256" s="9"/>
      <c r="Q3256" s="9"/>
      <c r="R3256" s="9"/>
      <c r="S3256" s="9"/>
      <c r="T3256" s="9"/>
    </row>
    <row r="3257" ht="15.75" customHeight="1">
      <c r="A3257" s="11">
        <f>IFERROR(__xludf.DUMMYFUNCTION("""COMPUTED_VALUE"""),44471.0)</f>
        <v>44471</v>
      </c>
      <c r="B3257" s="9">
        <f>IFERROR(__xludf.DUMMYFUNCTION("""COMPUTED_VALUE"""),1003760.0)</f>
        <v>1003760</v>
      </c>
      <c r="C3257" s="9">
        <f>IFERROR(__xludf.DUMMYFUNCTION("""COMPUTED_VALUE"""),46823.0)</f>
        <v>46823</v>
      </c>
      <c r="D3257" s="9"/>
      <c r="E3257" s="9"/>
      <c r="F3257" s="9">
        <f>IFERROR(__xludf.DUMMYFUNCTION("""COMPUTED_VALUE"""),8.36)</f>
        <v>8.36</v>
      </c>
      <c r="G3257" s="9">
        <f>IFERROR(__xludf.DUMMYFUNCTION("""COMPUTED_VALUE"""),8.36)</f>
        <v>8.36</v>
      </c>
      <c r="H3257" s="9">
        <f>IFERROR(__xludf.DUMMYFUNCTION("""COMPUTED_VALUE"""),2.0)</f>
        <v>2</v>
      </c>
      <c r="I3257" s="9"/>
      <c r="J3257" s="9"/>
      <c r="K3257" s="9"/>
      <c r="L3257" s="9"/>
      <c r="M3257" s="9"/>
      <c r="N3257" s="9"/>
      <c r="O3257" s="9"/>
      <c r="P3257" s="9"/>
      <c r="Q3257" s="9"/>
      <c r="R3257" s="9"/>
      <c r="S3257" s="9"/>
      <c r="T3257" s="9"/>
    </row>
    <row r="3258" ht="15.75" customHeight="1">
      <c r="A3258" s="11">
        <f>IFERROR(__xludf.DUMMYFUNCTION("""COMPUTED_VALUE"""),44471.0)</f>
        <v>44471</v>
      </c>
      <c r="B3258" s="9">
        <f>IFERROR(__xludf.DUMMYFUNCTION("""COMPUTED_VALUE"""),1003760.0)</f>
        <v>1003760</v>
      </c>
      <c r="C3258" s="9">
        <f>IFERROR(__xludf.DUMMYFUNCTION("""COMPUTED_VALUE"""),100240.0)</f>
        <v>100240</v>
      </c>
      <c r="D3258" s="9"/>
      <c r="E3258" s="9"/>
      <c r="F3258" s="9">
        <f>IFERROR(__xludf.DUMMYFUNCTION("""COMPUTED_VALUE"""),4.45)</f>
        <v>4.45</v>
      </c>
      <c r="G3258" s="9">
        <f>IFERROR(__xludf.DUMMYFUNCTION("""COMPUTED_VALUE"""),4.45)</f>
        <v>4.45</v>
      </c>
      <c r="H3258" s="9">
        <f>IFERROR(__xludf.DUMMYFUNCTION("""COMPUTED_VALUE"""),3.0)</f>
        <v>3</v>
      </c>
      <c r="I3258" s="9"/>
      <c r="J3258" s="9"/>
      <c r="K3258" s="9"/>
      <c r="L3258" s="9"/>
      <c r="M3258" s="9"/>
      <c r="N3258" s="9"/>
      <c r="O3258" s="9"/>
      <c r="P3258" s="9"/>
      <c r="Q3258" s="9"/>
      <c r="R3258" s="9"/>
      <c r="S3258" s="9"/>
      <c r="T3258" s="9"/>
    </row>
    <row r="3259" ht="15.75" customHeight="1">
      <c r="A3259" s="11">
        <f>IFERROR(__xludf.DUMMYFUNCTION("""COMPUTED_VALUE"""),44471.0)</f>
        <v>44471</v>
      </c>
      <c r="B3259" s="9">
        <f>IFERROR(__xludf.DUMMYFUNCTION("""COMPUTED_VALUE"""),1003760.0)</f>
        <v>1003760</v>
      </c>
      <c r="C3259" s="9">
        <f>IFERROR(__xludf.DUMMYFUNCTION("""COMPUTED_VALUE"""),110342.0)</f>
        <v>110342</v>
      </c>
      <c r="D3259" s="10" t="str">
        <f>IFERROR(__xludf.DUMMYFUNCTION("""COMPUTED_VALUE"""),"Love &amp; Green Couches et Culottes sept 2021")</f>
        <v>Love &amp; Green Couches et Culottes sept 2021</v>
      </c>
      <c r="E3259" s="10"/>
      <c r="F3259" s="9">
        <f>IFERROR(__xludf.DUMMYFUNCTION("""COMPUTED_VALUE"""),41.4)</f>
        <v>41.4</v>
      </c>
      <c r="G3259" s="9">
        <f>IFERROR(__xludf.DUMMYFUNCTION("""COMPUTED_VALUE"""),28.98)</f>
        <v>28.98</v>
      </c>
      <c r="H3259" s="9">
        <f>IFERROR(__xludf.DUMMYFUNCTION("""COMPUTED_VALUE"""),4.0)</f>
        <v>4</v>
      </c>
      <c r="I3259" s="9"/>
      <c r="J3259" s="9"/>
      <c r="K3259" s="9"/>
      <c r="L3259" s="9"/>
      <c r="M3259" s="9"/>
      <c r="N3259" s="9"/>
      <c r="O3259" s="9"/>
      <c r="P3259" s="9"/>
      <c r="Q3259" s="9"/>
      <c r="R3259" s="9"/>
      <c r="S3259" s="9"/>
      <c r="T3259" s="9"/>
    </row>
    <row r="3260" ht="15.75" customHeight="1">
      <c r="A3260" s="11">
        <f>IFERROR(__xludf.DUMMYFUNCTION("""COMPUTED_VALUE"""),44471.0)</f>
        <v>44471</v>
      </c>
      <c r="B3260" s="9">
        <f>IFERROR(__xludf.DUMMYFUNCTION("""COMPUTED_VALUE"""),1003760.0)</f>
        <v>1003760</v>
      </c>
      <c r="C3260" s="9">
        <f>IFERROR(__xludf.DUMMYFUNCTION("""COMPUTED_VALUE"""),5605.0)</f>
        <v>5605</v>
      </c>
      <c r="D3260" s="9"/>
      <c r="E3260" s="9"/>
      <c r="F3260" s="9">
        <f>IFERROR(__xludf.DUMMYFUNCTION("""COMPUTED_VALUE"""),18.68)</f>
        <v>18.68</v>
      </c>
      <c r="G3260" s="9">
        <f>IFERROR(__xludf.DUMMYFUNCTION("""COMPUTED_VALUE"""),18.68)</f>
        <v>18.68</v>
      </c>
      <c r="H3260" s="9">
        <f>IFERROR(__xludf.DUMMYFUNCTION("""COMPUTED_VALUE"""),4.0)</f>
        <v>4</v>
      </c>
      <c r="I3260" s="9"/>
      <c r="J3260" s="9"/>
      <c r="K3260" s="9"/>
      <c r="L3260" s="9"/>
      <c r="M3260" s="9"/>
      <c r="N3260" s="9"/>
      <c r="O3260" s="9"/>
      <c r="P3260" s="9"/>
      <c r="Q3260" s="9"/>
      <c r="R3260" s="9"/>
      <c r="S3260" s="9"/>
      <c r="T3260" s="9"/>
    </row>
    <row r="3261" ht="15.75" customHeight="1">
      <c r="A3261" s="11">
        <f>IFERROR(__xludf.DUMMYFUNCTION("""COMPUTED_VALUE"""),44471.0)</f>
        <v>44471</v>
      </c>
      <c r="B3261" s="9">
        <f>IFERROR(__xludf.DUMMYFUNCTION("""COMPUTED_VALUE"""),1003761.0)</f>
        <v>1003761</v>
      </c>
      <c r="C3261" s="9">
        <f>IFERROR(__xludf.DUMMYFUNCTION("""COMPUTED_VALUE"""),83590.0)</f>
        <v>83590</v>
      </c>
      <c r="D3261" s="10" t="str">
        <f>IFERROR(__xludf.DUMMYFUNCTION("""COMPUTED_VALUE"""),"Vive le bio")</f>
        <v>Vive le bio</v>
      </c>
      <c r="E3261" s="10" t="str">
        <f>IFERROR(__xludf.DUMMYFUNCTION("""COMPUTED_VALUE"""),"GREENRELAIS")</f>
        <v>GREENRELAIS</v>
      </c>
      <c r="F3261" s="10">
        <f>IFERROR(__xludf.DUMMYFUNCTION("""COMPUTED_VALUE"""),3.76666666666666)</f>
        <v>3.766666667</v>
      </c>
      <c r="G3261" s="9">
        <f>IFERROR(__xludf.DUMMYFUNCTION("""COMPUTED_VALUE"""),3.39)</f>
        <v>3.39</v>
      </c>
      <c r="H3261" s="9">
        <f>IFERROR(__xludf.DUMMYFUNCTION("""COMPUTED_VALUE"""),1.0)</f>
        <v>1</v>
      </c>
      <c r="I3261" s="9"/>
      <c r="J3261" s="9"/>
      <c r="K3261" s="9"/>
      <c r="L3261" s="9"/>
      <c r="M3261" s="9"/>
      <c r="N3261" s="9"/>
      <c r="O3261" s="9"/>
      <c r="P3261" s="9"/>
      <c r="Q3261" s="9"/>
      <c r="R3261" s="9"/>
      <c r="S3261" s="9"/>
      <c r="T3261" s="9"/>
    </row>
    <row r="3262" ht="15.75" customHeight="1">
      <c r="A3262" s="11">
        <f>IFERROR(__xludf.DUMMYFUNCTION("""COMPUTED_VALUE"""),44471.0)</f>
        <v>44471</v>
      </c>
      <c r="B3262" s="9">
        <f>IFERROR(__xludf.DUMMYFUNCTION("""COMPUTED_VALUE"""),1003761.0)</f>
        <v>1003761</v>
      </c>
      <c r="C3262" s="9">
        <f>IFERROR(__xludf.DUMMYFUNCTION("""COMPUTED_VALUE"""),9650.0)</f>
        <v>9650</v>
      </c>
      <c r="D3262" s="9"/>
      <c r="E3262" s="10" t="str">
        <f>IFERROR(__xludf.DUMMYFUNCTION("""COMPUTED_VALUE"""),"GREENRELAIS")</f>
        <v>GREENRELAIS</v>
      </c>
      <c r="F3262" s="10">
        <f>IFERROR(__xludf.DUMMYFUNCTION("""COMPUTED_VALUE"""),2.52)</f>
        <v>2.52</v>
      </c>
      <c r="G3262" s="9">
        <f>IFERROR(__xludf.DUMMYFUNCTION("""COMPUTED_VALUE"""),2.52)</f>
        <v>2.52</v>
      </c>
      <c r="H3262" s="9">
        <f>IFERROR(__xludf.DUMMYFUNCTION("""COMPUTED_VALUE"""),1.0)</f>
        <v>1</v>
      </c>
      <c r="I3262" s="9"/>
      <c r="J3262" s="9"/>
      <c r="K3262" s="9"/>
      <c r="L3262" s="9"/>
      <c r="M3262" s="9"/>
      <c r="N3262" s="9"/>
      <c r="O3262" s="9"/>
      <c r="P3262" s="9"/>
      <c r="Q3262" s="9"/>
      <c r="R3262" s="9"/>
      <c r="S3262" s="9"/>
      <c r="T3262" s="9"/>
    </row>
    <row r="3263" ht="15.75" customHeight="1">
      <c r="A3263" s="11">
        <f>IFERROR(__xludf.DUMMYFUNCTION("""COMPUTED_VALUE"""),44471.0)</f>
        <v>44471</v>
      </c>
      <c r="B3263" s="9">
        <f>IFERROR(__xludf.DUMMYFUNCTION("""COMPUTED_VALUE"""),1003761.0)</f>
        <v>1003761</v>
      </c>
      <c r="C3263" s="9">
        <f>IFERROR(__xludf.DUMMYFUNCTION("""COMPUTED_VALUE"""),5081.0)</f>
        <v>5081</v>
      </c>
      <c r="D3263" s="10" t="str">
        <f>IFERROR(__xludf.DUMMYFUNCTION("""COMPUTED_VALUE"""),"Vive le bio")</f>
        <v>Vive le bio</v>
      </c>
      <c r="E3263" s="10" t="str">
        <f>IFERROR(__xludf.DUMMYFUNCTION("""COMPUTED_VALUE"""),"GREENRELAIS")</f>
        <v>GREENRELAIS</v>
      </c>
      <c r="F3263" s="10">
        <f>IFERROR(__xludf.DUMMYFUNCTION("""COMPUTED_VALUE"""),2.88421052631579)</f>
        <v>2.884210526</v>
      </c>
      <c r="G3263" s="9">
        <f>IFERROR(__xludf.DUMMYFUNCTION("""COMPUTED_VALUE"""),2.74)</f>
        <v>2.74</v>
      </c>
      <c r="H3263" s="9">
        <f>IFERROR(__xludf.DUMMYFUNCTION("""COMPUTED_VALUE"""),1.0)</f>
        <v>1</v>
      </c>
      <c r="I3263" s="9"/>
      <c r="J3263" s="9"/>
      <c r="K3263" s="9"/>
      <c r="L3263" s="9"/>
      <c r="M3263" s="9"/>
      <c r="N3263" s="9"/>
      <c r="O3263" s="9"/>
      <c r="P3263" s="9"/>
      <c r="Q3263" s="9"/>
      <c r="R3263" s="9"/>
      <c r="S3263" s="9"/>
      <c r="T3263" s="9"/>
    </row>
    <row r="3264" ht="15.75" customHeight="1">
      <c r="A3264" s="11">
        <f>IFERROR(__xludf.DUMMYFUNCTION("""COMPUTED_VALUE"""),44471.0)</f>
        <v>44471</v>
      </c>
      <c r="B3264" s="9">
        <f>IFERROR(__xludf.DUMMYFUNCTION("""COMPUTED_VALUE"""),1003761.0)</f>
        <v>1003761</v>
      </c>
      <c r="C3264" s="9">
        <f>IFERROR(__xludf.DUMMYFUNCTION("""COMPUTED_VALUE"""),4327.0)</f>
        <v>4327</v>
      </c>
      <c r="D3264" s="9"/>
      <c r="E3264" s="10" t="str">
        <f>IFERROR(__xludf.DUMMYFUNCTION("""COMPUTED_VALUE"""),"GREENRELAIS")</f>
        <v>GREENRELAIS</v>
      </c>
      <c r="F3264" s="10">
        <f>IFERROR(__xludf.DUMMYFUNCTION("""COMPUTED_VALUE"""),2.69)</f>
        <v>2.69</v>
      </c>
      <c r="G3264" s="9">
        <f>IFERROR(__xludf.DUMMYFUNCTION("""COMPUTED_VALUE"""),2.69)</f>
        <v>2.69</v>
      </c>
      <c r="H3264" s="9">
        <f>IFERROR(__xludf.DUMMYFUNCTION("""COMPUTED_VALUE"""),1.0)</f>
        <v>1</v>
      </c>
      <c r="I3264" s="9"/>
      <c r="J3264" s="9"/>
      <c r="K3264" s="9"/>
      <c r="L3264" s="9"/>
      <c r="M3264" s="9"/>
      <c r="N3264" s="9"/>
      <c r="O3264" s="9"/>
      <c r="P3264" s="9"/>
      <c r="Q3264" s="9"/>
      <c r="R3264" s="9"/>
      <c r="S3264" s="9"/>
      <c r="T3264" s="9"/>
    </row>
    <row r="3265" ht="15.75" customHeight="1">
      <c r="A3265" s="11">
        <f>IFERROR(__xludf.DUMMYFUNCTION("""COMPUTED_VALUE"""),44471.0)</f>
        <v>44471</v>
      </c>
      <c r="B3265" s="9">
        <f>IFERROR(__xludf.DUMMYFUNCTION("""COMPUTED_VALUE"""),1003761.0)</f>
        <v>1003761</v>
      </c>
      <c r="C3265" s="9">
        <f>IFERROR(__xludf.DUMMYFUNCTION("""COMPUTED_VALUE"""),47638.0)</f>
        <v>47638</v>
      </c>
      <c r="D3265" s="9"/>
      <c r="E3265" s="10" t="str">
        <f>IFERROR(__xludf.DUMMYFUNCTION("""COMPUTED_VALUE"""),"GREENRELAIS")</f>
        <v>GREENRELAIS</v>
      </c>
      <c r="F3265" s="10">
        <f>IFERROR(__xludf.DUMMYFUNCTION("""COMPUTED_VALUE"""),1.98)</f>
        <v>1.98</v>
      </c>
      <c r="G3265" s="9">
        <f>IFERROR(__xludf.DUMMYFUNCTION("""COMPUTED_VALUE"""),1.98)</f>
        <v>1.98</v>
      </c>
      <c r="H3265" s="9">
        <f>IFERROR(__xludf.DUMMYFUNCTION("""COMPUTED_VALUE"""),1.0)</f>
        <v>1</v>
      </c>
      <c r="I3265" s="9"/>
      <c r="J3265" s="9"/>
      <c r="K3265" s="9"/>
      <c r="L3265" s="9"/>
      <c r="M3265" s="9"/>
      <c r="N3265" s="9"/>
      <c r="O3265" s="9"/>
      <c r="P3265" s="9"/>
      <c r="Q3265" s="9"/>
      <c r="R3265" s="9"/>
      <c r="S3265" s="9"/>
      <c r="T3265" s="9"/>
    </row>
    <row r="3266" ht="15.75" customHeight="1">
      <c r="A3266" s="11">
        <f>IFERROR(__xludf.DUMMYFUNCTION("""COMPUTED_VALUE"""),44471.0)</f>
        <v>44471</v>
      </c>
      <c r="B3266" s="9">
        <f>IFERROR(__xludf.DUMMYFUNCTION("""COMPUTED_VALUE"""),1003761.0)</f>
        <v>1003761</v>
      </c>
      <c r="C3266" s="9">
        <f>IFERROR(__xludf.DUMMYFUNCTION("""COMPUTED_VALUE"""),4321.0)</f>
        <v>4321</v>
      </c>
      <c r="D3266" s="9"/>
      <c r="E3266" s="10" t="str">
        <f>IFERROR(__xludf.DUMMYFUNCTION("""COMPUTED_VALUE"""),"GREENRELAIS")</f>
        <v>GREENRELAIS</v>
      </c>
      <c r="F3266" s="10">
        <f>IFERROR(__xludf.DUMMYFUNCTION("""COMPUTED_VALUE"""),2.36)</f>
        <v>2.36</v>
      </c>
      <c r="G3266" s="9">
        <f>IFERROR(__xludf.DUMMYFUNCTION("""COMPUTED_VALUE"""),2.36)</f>
        <v>2.36</v>
      </c>
      <c r="H3266" s="9">
        <f>IFERROR(__xludf.DUMMYFUNCTION("""COMPUTED_VALUE"""),1.0)</f>
        <v>1</v>
      </c>
      <c r="I3266" s="9"/>
      <c r="J3266" s="9"/>
      <c r="K3266" s="9"/>
      <c r="L3266" s="9"/>
      <c r="M3266" s="9"/>
      <c r="N3266" s="9"/>
      <c r="O3266" s="9"/>
      <c r="P3266" s="9"/>
      <c r="Q3266" s="9"/>
      <c r="R3266" s="9"/>
      <c r="S3266" s="9"/>
      <c r="T3266" s="9"/>
    </row>
    <row r="3267" ht="15.75" customHeight="1">
      <c r="A3267" s="11">
        <f>IFERROR(__xludf.DUMMYFUNCTION("""COMPUTED_VALUE"""),44471.0)</f>
        <v>44471</v>
      </c>
      <c r="B3267" s="9">
        <f>IFERROR(__xludf.DUMMYFUNCTION("""COMPUTED_VALUE"""),1003761.0)</f>
        <v>1003761</v>
      </c>
      <c r="C3267" s="9">
        <f>IFERROR(__xludf.DUMMYFUNCTION("""COMPUTED_VALUE"""),27380.0)</f>
        <v>27380</v>
      </c>
      <c r="D3267" s="10" t="str">
        <f>IFERROR(__xludf.DUMMYFUNCTION("""COMPUTED_VALUE"""),"Vive le bio")</f>
        <v>Vive le bio</v>
      </c>
      <c r="E3267" s="10" t="str">
        <f>IFERROR(__xludf.DUMMYFUNCTION("""COMPUTED_VALUE"""),"GREENRELAIS")</f>
        <v>GREENRELAIS</v>
      </c>
      <c r="F3267" s="10">
        <f>IFERROR(__xludf.DUMMYFUNCTION("""COMPUTED_VALUE"""),35.6222222222222)</f>
        <v>35.62222222</v>
      </c>
      <c r="G3267" s="9">
        <f>IFERROR(__xludf.DUMMYFUNCTION("""COMPUTED_VALUE"""),32.06)</f>
        <v>32.06</v>
      </c>
      <c r="H3267" s="9">
        <f>IFERROR(__xludf.DUMMYFUNCTION("""COMPUTED_VALUE"""),1.0)</f>
        <v>1</v>
      </c>
      <c r="I3267" s="9"/>
      <c r="J3267" s="9"/>
      <c r="K3267" s="9"/>
      <c r="L3267" s="9"/>
      <c r="M3267" s="9"/>
      <c r="N3267" s="9"/>
      <c r="O3267" s="9"/>
      <c r="P3267" s="9"/>
      <c r="Q3267" s="9"/>
      <c r="R3267" s="9"/>
      <c r="S3267" s="9"/>
      <c r="T3267" s="9"/>
    </row>
    <row r="3268" ht="15.75" customHeight="1">
      <c r="A3268" s="11">
        <f>IFERROR(__xludf.DUMMYFUNCTION("""COMPUTED_VALUE"""),44471.0)</f>
        <v>44471</v>
      </c>
      <c r="B3268" s="9">
        <f>IFERROR(__xludf.DUMMYFUNCTION("""COMPUTED_VALUE"""),1003761.0)</f>
        <v>1003761</v>
      </c>
      <c r="C3268" s="9">
        <f>IFERROR(__xludf.DUMMYFUNCTION("""COMPUTED_VALUE"""),85159.0)</f>
        <v>85159</v>
      </c>
      <c r="D3268" s="9"/>
      <c r="E3268" s="10" t="str">
        <f>IFERROR(__xludf.DUMMYFUNCTION("""COMPUTED_VALUE"""),"GREENRELAIS")</f>
        <v>GREENRELAIS</v>
      </c>
      <c r="F3268" s="10">
        <f>IFERROR(__xludf.DUMMYFUNCTION("""COMPUTED_VALUE"""),8.06)</f>
        <v>8.06</v>
      </c>
      <c r="G3268" s="9">
        <f>IFERROR(__xludf.DUMMYFUNCTION("""COMPUTED_VALUE"""),8.06)</f>
        <v>8.06</v>
      </c>
      <c r="H3268" s="9">
        <f>IFERROR(__xludf.DUMMYFUNCTION("""COMPUTED_VALUE"""),3.0)</f>
        <v>3</v>
      </c>
      <c r="I3268" s="9"/>
      <c r="J3268" s="9"/>
      <c r="K3268" s="9"/>
      <c r="L3268" s="9"/>
      <c r="M3268" s="9"/>
      <c r="N3268" s="9"/>
      <c r="O3268" s="9"/>
      <c r="P3268" s="9"/>
      <c r="Q3268" s="9"/>
      <c r="R3268" s="9"/>
      <c r="S3268" s="9"/>
      <c r="T3268" s="9"/>
    </row>
    <row r="3269" ht="15.75" customHeight="1">
      <c r="A3269" s="11">
        <f>IFERROR(__xludf.DUMMYFUNCTION("""COMPUTED_VALUE"""),44471.0)</f>
        <v>44471</v>
      </c>
      <c r="B3269" s="9">
        <f>IFERROR(__xludf.DUMMYFUNCTION("""COMPUTED_VALUE"""),1003762.0)</f>
        <v>1003762</v>
      </c>
      <c r="C3269" s="9">
        <f>IFERROR(__xludf.DUMMYFUNCTION("""COMPUTED_VALUE"""),75750.0)</f>
        <v>75750</v>
      </c>
      <c r="D3269" s="9"/>
      <c r="E3269" s="10" t="str">
        <f>IFERROR(__xludf.DUMMYFUNCTION("""COMPUTED_VALUE"""),"GREENRELAIS")</f>
        <v>GREENRELAIS</v>
      </c>
      <c r="F3269" s="10">
        <f>IFERROR(__xludf.DUMMYFUNCTION("""COMPUTED_VALUE"""),4.77)</f>
        <v>4.77</v>
      </c>
      <c r="G3269" s="9">
        <f>IFERROR(__xludf.DUMMYFUNCTION("""COMPUTED_VALUE"""),4.77)</f>
        <v>4.77</v>
      </c>
      <c r="H3269" s="9">
        <f>IFERROR(__xludf.DUMMYFUNCTION("""COMPUTED_VALUE"""),2.0)</f>
        <v>2</v>
      </c>
      <c r="I3269" s="9"/>
      <c r="J3269" s="9"/>
      <c r="K3269" s="9"/>
      <c r="L3269" s="9"/>
      <c r="M3269" s="9"/>
      <c r="N3269" s="9"/>
      <c r="O3269" s="9"/>
      <c r="P3269" s="9"/>
      <c r="Q3269" s="9"/>
      <c r="R3269" s="9"/>
      <c r="S3269" s="9"/>
      <c r="T3269" s="9"/>
    </row>
    <row r="3270" ht="15.75" customHeight="1">
      <c r="A3270" s="11">
        <f>IFERROR(__xludf.DUMMYFUNCTION("""COMPUTED_VALUE"""),44471.0)</f>
        <v>44471</v>
      </c>
      <c r="B3270" s="9">
        <f>IFERROR(__xludf.DUMMYFUNCTION("""COMPUTED_VALUE"""),1003762.0)</f>
        <v>1003762</v>
      </c>
      <c r="C3270" s="9">
        <f>IFERROR(__xludf.DUMMYFUNCTION("""COMPUTED_VALUE"""),4301.0)</f>
        <v>4301</v>
      </c>
      <c r="D3270" s="9"/>
      <c r="E3270" s="10" t="str">
        <f>IFERROR(__xludf.DUMMYFUNCTION("""COMPUTED_VALUE"""),"GREENRELAIS")</f>
        <v>GREENRELAIS</v>
      </c>
      <c r="F3270" s="10">
        <f>IFERROR(__xludf.DUMMYFUNCTION("""COMPUTED_VALUE"""),4.3)</f>
        <v>4.3</v>
      </c>
      <c r="G3270" s="9">
        <f>IFERROR(__xludf.DUMMYFUNCTION("""COMPUTED_VALUE"""),4.3)</f>
        <v>4.3</v>
      </c>
      <c r="H3270" s="9">
        <f>IFERROR(__xludf.DUMMYFUNCTION("""COMPUTED_VALUE"""),2.0)</f>
        <v>2</v>
      </c>
      <c r="I3270" s="9"/>
      <c r="J3270" s="9"/>
      <c r="K3270" s="9"/>
      <c r="L3270" s="9"/>
      <c r="M3270" s="9"/>
      <c r="N3270" s="9"/>
      <c r="O3270" s="9"/>
      <c r="P3270" s="9"/>
      <c r="Q3270" s="9"/>
      <c r="R3270" s="9"/>
      <c r="S3270" s="9"/>
      <c r="T3270" s="9"/>
    </row>
    <row r="3271" ht="15.75" customHeight="1">
      <c r="A3271" s="11">
        <f>IFERROR(__xludf.DUMMYFUNCTION("""COMPUTED_VALUE"""),44471.0)</f>
        <v>44471</v>
      </c>
      <c r="B3271" s="9">
        <f>IFERROR(__xludf.DUMMYFUNCTION("""COMPUTED_VALUE"""),1003762.0)</f>
        <v>1003762</v>
      </c>
      <c r="C3271" s="9">
        <f>IFERROR(__xludf.DUMMYFUNCTION("""COMPUTED_VALUE"""),75752.0)</f>
        <v>75752</v>
      </c>
      <c r="D3271" s="9"/>
      <c r="E3271" s="10" t="str">
        <f>IFERROR(__xludf.DUMMYFUNCTION("""COMPUTED_VALUE"""),"GREENRELAIS")</f>
        <v>GREENRELAIS</v>
      </c>
      <c r="F3271" s="10">
        <f>IFERROR(__xludf.DUMMYFUNCTION("""COMPUTED_VALUE"""),6.99)</f>
        <v>6.99</v>
      </c>
      <c r="G3271" s="9">
        <f>IFERROR(__xludf.DUMMYFUNCTION("""COMPUTED_VALUE"""),6.99)</f>
        <v>6.99</v>
      </c>
      <c r="H3271" s="9">
        <f>IFERROR(__xludf.DUMMYFUNCTION("""COMPUTED_VALUE"""),3.0)</f>
        <v>3</v>
      </c>
      <c r="I3271" s="9"/>
      <c r="J3271" s="9"/>
      <c r="K3271" s="9"/>
      <c r="L3271" s="9"/>
      <c r="M3271" s="9"/>
      <c r="N3271" s="9"/>
      <c r="O3271" s="9"/>
      <c r="P3271" s="9"/>
      <c r="Q3271" s="9"/>
      <c r="R3271" s="9"/>
      <c r="S3271" s="9"/>
      <c r="T3271" s="9"/>
    </row>
    <row r="3272" ht="15.75" customHeight="1">
      <c r="A3272" s="11">
        <f>IFERROR(__xludf.DUMMYFUNCTION("""COMPUTED_VALUE"""),44471.0)</f>
        <v>44471</v>
      </c>
      <c r="B3272" s="9">
        <f>IFERROR(__xludf.DUMMYFUNCTION("""COMPUTED_VALUE"""),1003762.0)</f>
        <v>1003762</v>
      </c>
      <c r="C3272" s="9">
        <f>IFERROR(__xludf.DUMMYFUNCTION("""COMPUTED_VALUE"""),7257.0)</f>
        <v>7257</v>
      </c>
      <c r="D3272" s="10" t="str">
        <f>IFERROR(__xludf.DUMMYFUNCTION("""COMPUTED_VALUE"""),"Vive le bio")</f>
        <v>Vive le bio</v>
      </c>
      <c r="E3272" s="10" t="str">
        <f>IFERROR(__xludf.DUMMYFUNCTION("""COMPUTED_VALUE"""),"GREENRELAIS")</f>
        <v>GREENRELAIS</v>
      </c>
      <c r="F3272" s="10">
        <f>IFERROR(__xludf.DUMMYFUNCTION("""COMPUTED_VALUE"""),18.0)</f>
        <v>18</v>
      </c>
      <c r="G3272" s="9">
        <f>IFERROR(__xludf.DUMMYFUNCTION("""COMPUTED_VALUE"""),16.2)</f>
        <v>16.2</v>
      </c>
      <c r="H3272" s="9">
        <f>IFERROR(__xludf.DUMMYFUNCTION("""COMPUTED_VALUE"""),4.0)</f>
        <v>4</v>
      </c>
      <c r="I3272" s="9"/>
      <c r="J3272" s="9"/>
      <c r="K3272" s="9"/>
      <c r="L3272" s="9"/>
      <c r="M3272" s="9"/>
      <c r="N3272" s="9"/>
      <c r="O3272" s="9"/>
      <c r="P3272" s="9"/>
      <c r="Q3272" s="9"/>
      <c r="R3272" s="9"/>
      <c r="S3272" s="9"/>
      <c r="T3272" s="9"/>
    </row>
    <row r="3273" ht="15.75" customHeight="1">
      <c r="A3273" s="11">
        <f>IFERROR(__xludf.DUMMYFUNCTION("""COMPUTED_VALUE"""),44471.0)</f>
        <v>44471</v>
      </c>
      <c r="B3273" s="9">
        <f>IFERROR(__xludf.DUMMYFUNCTION("""COMPUTED_VALUE"""),1003762.0)</f>
        <v>1003762</v>
      </c>
      <c r="C3273" s="9">
        <f>IFERROR(__xludf.DUMMYFUNCTION("""COMPUTED_VALUE"""),44612.0)</f>
        <v>44612</v>
      </c>
      <c r="D3273" s="9"/>
      <c r="E3273" s="10" t="str">
        <f>IFERROR(__xludf.DUMMYFUNCTION("""COMPUTED_VALUE"""),"GREENRELAIS")</f>
        <v>GREENRELAIS</v>
      </c>
      <c r="F3273" s="10">
        <f>IFERROR(__xludf.DUMMYFUNCTION("""COMPUTED_VALUE"""),26.38)</f>
        <v>26.38</v>
      </c>
      <c r="G3273" s="9">
        <f>IFERROR(__xludf.DUMMYFUNCTION("""COMPUTED_VALUE"""),26.38)</f>
        <v>26.38</v>
      </c>
      <c r="H3273" s="9">
        <f>IFERROR(__xludf.DUMMYFUNCTION("""COMPUTED_VALUE"""),6.0)</f>
        <v>6</v>
      </c>
      <c r="I3273" s="9"/>
      <c r="J3273" s="9"/>
      <c r="K3273" s="9"/>
      <c r="L3273" s="9"/>
      <c r="M3273" s="9"/>
      <c r="N3273" s="9"/>
      <c r="O3273" s="9"/>
      <c r="P3273" s="9"/>
      <c r="Q3273" s="9"/>
      <c r="R3273" s="9"/>
      <c r="S3273" s="9"/>
      <c r="T3273" s="9"/>
    </row>
    <row r="3274" ht="15.75" customHeight="1">
      <c r="A3274" s="11">
        <f>IFERROR(__xludf.DUMMYFUNCTION("""COMPUTED_VALUE"""),44471.0)</f>
        <v>44471</v>
      </c>
      <c r="B3274" s="9">
        <f>IFERROR(__xludf.DUMMYFUNCTION("""COMPUTED_VALUE"""),1003763.0)</f>
        <v>1003763</v>
      </c>
      <c r="C3274" s="9">
        <f>IFERROR(__xludf.DUMMYFUNCTION("""COMPUTED_VALUE"""),109309.0)</f>
        <v>109309</v>
      </c>
      <c r="D3274" s="9"/>
      <c r="E3274" s="9"/>
      <c r="F3274" s="9">
        <f>IFERROR(__xludf.DUMMYFUNCTION("""COMPUTED_VALUE"""),8.27)</f>
        <v>8.27</v>
      </c>
      <c r="G3274" s="9">
        <f>IFERROR(__xludf.DUMMYFUNCTION("""COMPUTED_VALUE"""),8.27)</f>
        <v>8.27</v>
      </c>
      <c r="H3274" s="9">
        <f>IFERROR(__xludf.DUMMYFUNCTION("""COMPUTED_VALUE"""),1.0)</f>
        <v>1</v>
      </c>
      <c r="I3274" s="9"/>
      <c r="J3274" s="9"/>
      <c r="K3274" s="9"/>
      <c r="L3274" s="9"/>
      <c r="M3274" s="9"/>
      <c r="N3274" s="9"/>
      <c r="O3274" s="9"/>
      <c r="P3274" s="9"/>
      <c r="Q3274" s="9"/>
      <c r="R3274" s="9"/>
      <c r="S3274" s="9"/>
      <c r="T3274" s="9"/>
    </row>
    <row r="3275" ht="15.75" customHeight="1">
      <c r="A3275" s="11">
        <f>IFERROR(__xludf.DUMMYFUNCTION("""COMPUTED_VALUE"""),44471.0)</f>
        <v>44471</v>
      </c>
      <c r="B3275" s="9">
        <f>IFERROR(__xludf.DUMMYFUNCTION("""COMPUTED_VALUE"""),1003763.0)</f>
        <v>1003763</v>
      </c>
      <c r="C3275" s="9">
        <f>IFERROR(__xludf.DUMMYFUNCTION("""COMPUTED_VALUE"""),9648.0)</f>
        <v>9648</v>
      </c>
      <c r="D3275" s="9"/>
      <c r="E3275" s="9"/>
      <c r="F3275" s="9">
        <f>IFERROR(__xludf.DUMMYFUNCTION("""COMPUTED_VALUE"""),2.39)</f>
        <v>2.39</v>
      </c>
      <c r="G3275" s="9">
        <f>IFERROR(__xludf.DUMMYFUNCTION("""COMPUTED_VALUE"""),2.39)</f>
        <v>2.39</v>
      </c>
      <c r="H3275" s="9">
        <f>IFERROR(__xludf.DUMMYFUNCTION("""COMPUTED_VALUE"""),1.0)</f>
        <v>1</v>
      </c>
      <c r="I3275" s="9"/>
      <c r="J3275" s="9"/>
      <c r="K3275" s="9"/>
      <c r="L3275" s="9"/>
      <c r="M3275" s="9"/>
      <c r="N3275" s="9"/>
      <c r="O3275" s="9"/>
      <c r="P3275" s="9"/>
      <c r="Q3275" s="9"/>
      <c r="R3275" s="9"/>
      <c r="S3275" s="9"/>
      <c r="T3275" s="9"/>
    </row>
    <row r="3276" ht="15.75" customHeight="1">
      <c r="A3276" s="11">
        <f>IFERROR(__xludf.DUMMYFUNCTION("""COMPUTED_VALUE"""),44471.0)</f>
        <v>44471</v>
      </c>
      <c r="B3276" s="9">
        <f>IFERROR(__xludf.DUMMYFUNCTION("""COMPUTED_VALUE"""),1003763.0)</f>
        <v>1003763</v>
      </c>
      <c r="C3276" s="9">
        <f>IFERROR(__xludf.DUMMYFUNCTION("""COMPUTED_VALUE"""),9647.0)</f>
        <v>9647</v>
      </c>
      <c r="D3276" s="9"/>
      <c r="E3276" s="9"/>
      <c r="F3276" s="9">
        <f>IFERROR(__xludf.DUMMYFUNCTION("""COMPUTED_VALUE"""),2.89)</f>
        <v>2.89</v>
      </c>
      <c r="G3276" s="9">
        <f>IFERROR(__xludf.DUMMYFUNCTION("""COMPUTED_VALUE"""),2.89)</f>
        <v>2.89</v>
      </c>
      <c r="H3276" s="9">
        <f>IFERROR(__xludf.DUMMYFUNCTION("""COMPUTED_VALUE"""),1.0)</f>
        <v>1</v>
      </c>
      <c r="I3276" s="9"/>
      <c r="J3276" s="9"/>
      <c r="K3276" s="9"/>
      <c r="L3276" s="9"/>
      <c r="M3276" s="9"/>
      <c r="N3276" s="9"/>
      <c r="O3276" s="9"/>
      <c r="P3276" s="9"/>
      <c r="Q3276" s="9"/>
      <c r="R3276" s="9"/>
      <c r="S3276" s="9"/>
      <c r="T3276" s="9"/>
    </row>
    <row r="3277" ht="15.75" customHeight="1">
      <c r="A3277" s="11">
        <f>IFERROR(__xludf.DUMMYFUNCTION("""COMPUTED_VALUE"""),44471.0)</f>
        <v>44471</v>
      </c>
      <c r="B3277" s="9">
        <f>IFERROR(__xludf.DUMMYFUNCTION("""COMPUTED_VALUE"""),1003763.0)</f>
        <v>1003763</v>
      </c>
      <c r="C3277" s="9">
        <f>IFERROR(__xludf.DUMMYFUNCTION("""COMPUTED_VALUE"""),133910.0)</f>
        <v>133910</v>
      </c>
      <c r="D3277" s="9"/>
      <c r="E3277" s="9"/>
      <c r="F3277" s="9">
        <f>IFERROR(__xludf.DUMMYFUNCTION("""COMPUTED_VALUE"""),2.89)</f>
        <v>2.89</v>
      </c>
      <c r="G3277" s="9">
        <f>IFERROR(__xludf.DUMMYFUNCTION("""COMPUTED_VALUE"""),2.89)</f>
        <v>2.89</v>
      </c>
      <c r="H3277" s="9">
        <f>IFERROR(__xludf.DUMMYFUNCTION("""COMPUTED_VALUE"""),1.0)</f>
        <v>1</v>
      </c>
      <c r="I3277" s="9"/>
      <c r="J3277" s="9"/>
      <c r="K3277" s="9"/>
      <c r="L3277" s="9"/>
      <c r="M3277" s="9"/>
      <c r="N3277" s="9"/>
      <c r="O3277" s="9"/>
      <c r="P3277" s="9"/>
      <c r="Q3277" s="9"/>
      <c r="R3277" s="9"/>
      <c r="S3277" s="9"/>
      <c r="T3277" s="9"/>
    </row>
    <row r="3278" ht="15.75" customHeight="1">
      <c r="A3278" s="11">
        <f>IFERROR(__xludf.DUMMYFUNCTION("""COMPUTED_VALUE"""),44471.0)</f>
        <v>44471</v>
      </c>
      <c r="B3278" s="9">
        <f>IFERROR(__xludf.DUMMYFUNCTION("""COMPUTED_VALUE"""),1003763.0)</f>
        <v>1003763</v>
      </c>
      <c r="C3278" s="9">
        <f>IFERROR(__xludf.DUMMYFUNCTION("""COMPUTED_VALUE"""),79424.0)</f>
        <v>79424</v>
      </c>
      <c r="D3278" s="9"/>
      <c r="E3278" s="9"/>
      <c r="F3278" s="9">
        <f>IFERROR(__xludf.DUMMYFUNCTION("""COMPUTED_VALUE"""),2.89)</f>
        <v>2.89</v>
      </c>
      <c r="G3278" s="9">
        <f>IFERROR(__xludf.DUMMYFUNCTION("""COMPUTED_VALUE"""),2.89)</f>
        <v>2.89</v>
      </c>
      <c r="H3278" s="9">
        <f>IFERROR(__xludf.DUMMYFUNCTION("""COMPUTED_VALUE"""),1.0)</f>
        <v>1</v>
      </c>
      <c r="I3278" s="9"/>
      <c r="J3278" s="9"/>
      <c r="K3278" s="9"/>
      <c r="L3278" s="9"/>
      <c r="M3278" s="9"/>
      <c r="N3278" s="9"/>
      <c r="O3278" s="9"/>
      <c r="P3278" s="9"/>
      <c r="Q3278" s="9"/>
      <c r="R3278" s="9"/>
      <c r="S3278" s="9"/>
      <c r="T3278" s="9"/>
    </row>
    <row r="3279" ht="15.75" customHeight="1">
      <c r="A3279" s="11">
        <f>IFERROR(__xludf.DUMMYFUNCTION("""COMPUTED_VALUE"""),44471.0)</f>
        <v>44471</v>
      </c>
      <c r="B3279" s="9">
        <f>IFERROR(__xludf.DUMMYFUNCTION("""COMPUTED_VALUE"""),1003763.0)</f>
        <v>1003763</v>
      </c>
      <c r="C3279" s="9">
        <f>IFERROR(__xludf.DUMMYFUNCTION("""COMPUTED_VALUE"""),122215.0)</f>
        <v>122215</v>
      </c>
      <c r="D3279" s="9"/>
      <c r="E3279" s="9"/>
      <c r="F3279" s="9">
        <f>IFERROR(__xludf.DUMMYFUNCTION("""COMPUTED_VALUE"""),2.79)</f>
        <v>2.79</v>
      </c>
      <c r="G3279" s="9">
        <f>IFERROR(__xludf.DUMMYFUNCTION("""COMPUTED_VALUE"""),2.79)</f>
        <v>2.79</v>
      </c>
      <c r="H3279" s="9">
        <f>IFERROR(__xludf.DUMMYFUNCTION("""COMPUTED_VALUE"""),1.0)</f>
        <v>1</v>
      </c>
      <c r="I3279" s="9"/>
      <c r="J3279" s="9"/>
      <c r="K3279" s="9"/>
      <c r="L3279" s="9"/>
      <c r="M3279" s="9"/>
      <c r="N3279" s="9"/>
      <c r="O3279" s="9"/>
      <c r="P3279" s="9"/>
      <c r="Q3279" s="9"/>
      <c r="R3279" s="9"/>
      <c r="S3279" s="9"/>
      <c r="T3279" s="9"/>
    </row>
    <row r="3280" ht="15.75" customHeight="1">
      <c r="A3280" s="11">
        <f>IFERROR(__xludf.DUMMYFUNCTION("""COMPUTED_VALUE"""),44471.0)</f>
        <v>44471</v>
      </c>
      <c r="B3280" s="9">
        <f>IFERROR(__xludf.DUMMYFUNCTION("""COMPUTED_VALUE"""),1003763.0)</f>
        <v>1003763</v>
      </c>
      <c r="C3280" s="9">
        <f>IFERROR(__xludf.DUMMYFUNCTION("""COMPUTED_VALUE"""),99036.0)</f>
        <v>99036</v>
      </c>
      <c r="D3280" s="9"/>
      <c r="E3280" s="9"/>
      <c r="F3280" s="9">
        <f>IFERROR(__xludf.DUMMYFUNCTION("""COMPUTED_VALUE"""),2.43)</f>
        <v>2.43</v>
      </c>
      <c r="G3280" s="9">
        <f>IFERROR(__xludf.DUMMYFUNCTION("""COMPUTED_VALUE"""),2.43)</f>
        <v>2.43</v>
      </c>
      <c r="H3280" s="9">
        <f>IFERROR(__xludf.DUMMYFUNCTION("""COMPUTED_VALUE"""),1.0)</f>
        <v>1</v>
      </c>
      <c r="I3280" s="9"/>
      <c r="J3280" s="9"/>
      <c r="K3280" s="9"/>
      <c r="L3280" s="9"/>
      <c r="M3280" s="9"/>
      <c r="N3280" s="9"/>
      <c r="O3280" s="9"/>
      <c r="P3280" s="9"/>
      <c r="Q3280" s="9"/>
      <c r="R3280" s="9"/>
      <c r="S3280" s="9"/>
      <c r="T3280" s="9"/>
    </row>
    <row r="3281" ht="15.75" customHeight="1">
      <c r="A3281" s="11">
        <f>IFERROR(__xludf.DUMMYFUNCTION("""COMPUTED_VALUE"""),44471.0)</f>
        <v>44471</v>
      </c>
      <c r="B3281" s="9">
        <f>IFERROR(__xludf.DUMMYFUNCTION("""COMPUTED_VALUE"""),1003763.0)</f>
        <v>1003763</v>
      </c>
      <c r="C3281" s="9">
        <f>IFERROR(__xludf.DUMMYFUNCTION("""COMPUTED_VALUE"""),9660.0)</f>
        <v>9660</v>
      </c>
      <c r="D3281" s="9"/>
      <c r="E3281" s="9"/>
      <c r="F3281" s="9">
        <f>IFERROR(__xludf.DUMMYFUNCTION("""COMPUTED_VALUE"""),2.44)</f>
        <v>2.44</v>
      </c>
      <c r="G3281" s="9">
        <f>IFERROR(__xludf.DUMMYFUNCTION("""COMPUTED_VALUE"""),2.44)</f>
        <v>2.44</v>
      </c>
      <c r="H3281" s="9">
        <f>IFERROR(__xludf.DUMMYFUNCTION("""COMPUTED_VALUE"""),1.0)</f>
        <v>1</v>
      </c>
      <c r="I3281" s="9"/>
      <c r="J3281" s="9"/>
      <c r="K3281" s="9"/>
      <c r="L3281" s="9"/>
      <c r="M3281" s="9"/>
      <c r="N3281" s="9"/>
      <c r="O3281" s="9"/>
      <c r="P3281" s="9"/>
      <c r="Q3281" s="9"/>
      <c r="R3281" s="9"/>
      <c r="S3281" s="9"/>
      <c r="T3281" s="9"/>
    </row>
    <row r="3282" ht="15.75" customHeight="1">
      <c r="A3282" s="11">
        <f>IFERROR(__xludf.DUMMYFUNCTION("""COMPUTED_VALUE"""),44471.0)</f>
        <v>44471</v>
      </c>
      <c r="B3282" s="9">
        <f>IFERROR(__xludf.DUMMYFUNCTION("""COMPUTED_VALUE"""),1003763.0)</f>
        <v>1003763</v>
      </c>
      <c r="C3282" s="9">
        <f>IFERROR(__xludf.DUMMYFUNCTION("""COMPUTED_VALUE"""),122216.0)</f>
        <v>122216</v>
      </c>
      <c r="D3282" s="9"/>
      <c r="E3282" s="9"/>
      <c r="F3282" s="9">
        <f>IFERROR(__xludf.DUMMYFUNCTION("""COMPUTED_VALUE"""),2.94)</f>
        <v>2.94</v>
      </c>
      <c r="G3282" s="9">
        <f>IFERROR(__xludf.DUMMYFUNCTION("""COMPUTED_VALUE"""),2.94)</f>
        <v>2.94</v>
      </c>
      <c r="H3282" s="9">
        <f>IFERROR(__xludf.DUMMYFUNCTION("""COMPUTED_VALUE"""),1.0)</f>
        <v>1</v>
      </c>
      <c r="I3282" s="9"/>
      <c r="J3282" s="9"/>
      <c r="K3282" s="9"/>
      <c r="L3282" s="9"/>
      <c r="M3282" s="9"/>
      <c r="N3282" s="9"/>
      <c r="O3282" s="9"/>
      <c r="P3282" s="9"/>
      <c r="Q3282" s="9"/>
      <c r="R3282" s="9"/>
      <c r="S3282" s="9"/>
      <c r="T3282" s="9"/>
    </row>
    <row r="3283" ht="15.75" customHeight="1">
      <c r="A3283" s="11">
        <f>IFERROR(__xludf.DUMMYFUNCTION("""COMPUTED_VALUE"""),44471.0)</f>
        <v>44471</v>
      </c>
      <c r="B3283" s="9">
        <f>IFERROR(__xludf.DUMMYFUNCTION("""COMPUTED_VALUE"""),1003763.0)</f>
        <v>1003763</v>
      </c>
      <c r="C3283" s="9">
        <f>IFERROR(__xludf.DUMMYFUNCTION("""COMPUTED_VALUE"""),122217.0)</f>
        <v>122217</v>
      </c>
      <c r="D3283" s="9"/>
      <c r="E3283" s="9"/>
      <c r="F3283" s="9">
        <f>IFERROR(__xludf.DUMMYFUNCTION("""COMPUTED_VALUE"""),2.94)</f>
        <v>2.94</v>
      </c>
      <c r="G3283" s="9">
        <f>IFERROR(__xludf.DUMMYFUNCTION("""COMPUTED_VALUE"""),2.94)</f>
        <v>2.94</v>
      </c>
      <c r="H3283" s="9">
        <f>IFERROR(__xludf.DUMMYFUNCTION("""COMPUTED_VALUE"""),1.0)</f>
        <v>1</v>
      </c>
      <c r="I3283" s="9"/>
      <c r="J3283" s="9"/>
      <c r="K3283" s="9"/>
      <c r="L3283" s="9"/>
      <c r="M3283" s="9"/>
      <c r="N3283" s="9"/>
      <c r="O3283" s="9"/>
      <c r="P3283" s="9"/>
      <c r="Q3283" s="9"/>
      <c r="R3283" s="9"/>
      <c r="S3283" s="9"/>
      <c r="T3283" s="9"/>
    </row>
    <row r="3284" ht="15.75" customHeight="1">
      <c r="A3284" s="11">
        <f>IFERROR(__xludf.DUMMYFUNCTION("""COMPUTED_VALUE"""),44471.0)</f>
        <v>44471</v>
      </c>
      <c r="B3284" s="9">
        <f>IFERROR(__xludf.DUMMYFUNCTION("""COMPUTED_VALUE"""),1003763.0)</f>
        <v>1003763</v>
      </c>
      <c r="C3284" s="9">
        <f>IFERROR(__xludf.DUMMYFUNCTION("""COMPUTED_VALUE"""),80648.0)</f>
        <v>80648</v>
      </c>
      <c r="D3284" s="9"/>
      <c r="E3284" s="9"/>
      <c r="F3284" s="9">
        <f>IFERROR(__xludf.DUMMYFUNCTION("""COMPUTED_VALUE"""),3.32)</f>
        <v>3.32</v>
      </c>
      <c r="G3284" s="9">
        <f>IFERROR(__xludf.DUMMYFUNCTION("""COMPUTED_VALUE"""),3.32)</f>
        <v>3.32</v>
      </c>
      <c r="H3284" s="9">
        <f>IFERROR(__xludf.DUMMYFUNCTION("""COMPUTED_VALUE"""),1.0)</f>
        <v>1</v>
      </c>
      <c r="I3284" s="9"/>
      <c r="J3284" s="9"/>
      <c r="K3284" s="9"/>
      <c r="L3284" s="9"/>
      <c r="M3284" s="9"/>
      <c r="N3284" s="9"/>
      <c r="O3284" s="9"/>
      <c r="P3284" s="9"/>
      <c r="Q3284" s="9"/>
      <c r="R3284" s="9"/>
      <c r="S3284" s="9"/>
      <c r="T3284" s="9"/>
    </row>
    <row r="3285" ht="15.75" customHeight="1">
      <c r="A3285" s="11">
        <f>IFERROR(__xludf.DUMMYFUNCTION("""COMPUTED_VALUE"""),44471.0)</f>
        <v>44471</v>
      </c>
      <c r="B3285" s="9">
        <f>IFERROR(__xludf.DUMMYFUNCTION("""COMPUTED_VALUE"""),1003763.0)</f>
        <v>1003763</v>
      </c>
      <c r="C3285" s="9">
        <f>IFERROR(__xludf.DUMMYFUNCTION("""COMPUTED_VALUE"""),41910.0)</f>
        <v>41910</v>
      </c>
      <c r="D3285" s="9"/>
      <c r="E3285" s="9"/>
      <c r="F3285" s="9">
        <f>IFERROR(__xludf.DUMMYFUNCTION("""COMPUTED_VALUE"""),3.2)</f>
        <v>3.2</v>
      </c>
      <c r="G3285" s="9">
        <f>IFERROR(__xludf.DUMMYFUNCTION("""COMPUTED_VALUE"""),3.2)</f>
        <v>3.2</v>
      </c>
      <c r="H3285" s="9">
        <f>IFERROR(__xludf.DUMMYFUNCTION("""COMPUTED_VALUE"""),1.0)</f>
        <v>1</v>
      </c>
      <c r="I3285" s="9"/>
      <c r="J3285" s="9"/>
      <c r="K3285" s="9"/>
      <c r="L3285" s="9"/>
      <c r="M3285" s="9"/>
      <c r="N3285" s="9"/>
      <c r="O3285" s="9"/>
      <c r="P3285" s="9"/>
      <c r="Q3285" s="9"/>
      <c r="R3285" s="9"/>
      <c r="S3285" s="9"/>
      <c r="T3285" s="9"/>
    </row>
    <row r="3286" ht="15.75" customHeight="1">
      <c r="A3286" s="11">
        <f>IFERROR(__xludf.DUMMYFUNCTION("""COMPUTED_VALUE"""),44471.0)</f>
        <v>44471</v>
      </c>
      <c r="B3286" s="9">
        <f>IFERROR(__xludf.DUMMYFUNCTION("""COMPUTED_VALUE"""),1003763.0)</f>
        <v>1003763</v>
      </c>
      <c r="C3286" s="9">
        <f>IFERROR(__xludf.DUMMYFUNCTION("""COMPUTED_VALUE"""),70422.0)</f>
        <v>70422</v>
      </c>
      <c r="D3286" s="9"/>
      <c r="E3286" s="9"/>
      <c r="F3286" s="9">
        <f>IFERROR(__xludf.DUMMYFUNCTION("""COMPUTED_VALUE"""),3.2)</f>
        <v>3.2</v>
      </c>
      <c r="G3286" s="9">
        <f>IFERROR(__xludf.DUMMYFUNCTION("""COMPUTED_VALUE"""),3.2)</f>
        <v>3.2</v>
      </c>
      <c r="H3286" s="9">
        <f>IFERROR(__xludf.DUMMYFUNCTION("""COMPUTED_VALUE"""),1.0)</f>
        <v>1</v>
      </c>
      <c r="I3286" s="9"/>
      <c r="J3286" s="9"/>
      <c r="K3286" s="9"/>
      <c r="L3286" s="9"/>
      <c r="M3286" s="9"/>
      <c r="N3286" s="9"/>
      <c r="O3286" s="9"/>
      <c r="P3286" s="9"/>
      <c r="Q3286" s="9"/>
      <c r="R3286" s="9"/>
      <c r="S3286" s="9"/>
      <c r="T3286" s="9"/>
    </row>
    <row r="3287" ht="15.75" customHeight="1">
      <c r="A3287" s="11">
        <f>IFERROR(__xludf.DUMMYFUNCTION("""COMPUTED_VALUE"""),44471.0)</f>
        <v>44471</v>
      </c>
      <c r="B3287" s="9">
        <f>IFERROR(__xludf.DUMMYFUNCTION("""COMPUTED_VALUE"""),1003763.0)</f>
        <v>1003763</v>
      </c>
      <c r="C3287" s="9">
        <f>IFERROR(__xludf.DUMMYFUNCTION("""COMPUTED_VALUE"""),9681.0)</f>
        <v>9681</v>
      </c>
      <c r="D3287" s="9"/>
      <c r="E3287" s="9"/>
      <c r="F3287" s="9">
        <f>IFERROR(__xludf.DUMMYFUNCTION("""COMPUTED_VALUE"""),1.73)</f>
        <v>1.73</v>
      </c>
      <c r="G3287" s="9">
        <f>IFERROR(__xludf.DUMMYFUNCTION("""COMPUTED_VALUE"""),1.73)</f>
        <v>1.73</v>
      </c>
      <c r="H3287" s="9">
        <f>IFERROR(__xludf.DUMMYFUNCTION("""COMPUTED_VALUE"""),1.0)</f>
        <v>1</v>
      </c>
      <c r="I3287" s="9"/>
      <c r="J3287" s="9"/>
      <c r="K3287" s="9"/>
      <c r="L3287" s="9"/>
      <c r="M3287" s="9"/>
      <c r="N3287" s="9"/>
      <c r="O3287" s="9"/>
      <c r="P3287" s="9"/>
      <c r="Q3287" s="9"/>
      <c r="R3287" s="9"/>
      <c r="S3287" s="9"/>
      <c r="T3287" s="9"/>
    </row>
    <row r="3288" ht="15.75" customHeight="1">
      <c r="A3288" s="11">
        <f>IFERROR(__xludf.DUMMYFUNCTION("""COMPUTED_VALUE"""),44471.0)</f>
        <v>44471</v>
      </c>
      <c r="B3288" s="9">
        <f>IFERROR(__xludf.DUMMYFUNCTION("""COMPUTED_VALUE"""),1003763.0)</f>
        <v>1003763</v>
      </c>
      <c r="C3288" s="9">
        <f>IFERROR(__xludf.DUMMYFUNCTION("""COMPUTED_VALUE"""),41921.0)</f>
        <v>41921</v>
      </c>
      <c r="D3288" s="9"/>
      <c r="E3288" s="9"/>
      <c r="F3288" s="9">
        <f>IFERROR(__xludf.DUMMYFUNCTION("""COMPUTED_VALUE"""),2.84)</f>
        <v>2.84</v>
      </c>
      <c r="G3288" s="9">
        <f>IFERROR(__xludf.DUMMYFUNCTION("""COMPUTED_VALUE"""),2.84)</f>
        <v>2.84</v>
      </c>
      <c r="H3288" s="9">
        <f>IFERROR(__xludf.DUMMYFUNCTION("""COMPUTED_VALUE"""),1.0)</f>
        <v>1</v>
      </c>
      <c r="I3288" s="9"/>
      <c r="J3288" s="9"/>
      <c r="K3288" s="9"/>
      <c r="L3288" s="9"/>
      <c r="M3288" s="9"/>
      <c r="N3288" s="9"/>
      <c r="O3288" s="9"/>
      <c r="P3288" s="9"/>
      <c r="Q3288" s="9"/>
      <c r="R3288" s="9"/>
      <c r="S3288" s="9"/>
      <c r="T3288" s="9"/>
    </row>
    <row r="3289" ht="15.75" customHeight="1">
      <c r="A3289" s="11">
        <f>IFERROR(__xludf.DUMMYFUNCTION("""COMPUTED_VALUE"""),44471.0)</f>
        <v>44471</v>
      </c>
      <c r="B3289" s="9">
        <f>IFERROR(__xludf.DUMMYFUNCTION("""COMPUTED_VALUE"""),1003763.0)</f>
        <v>1003763</v>
      </c>
      <c r="C3289" s="9">
        <f>IFERROR(__xludf.DUMMYFUNCTION("""COMPUTED_VALUE"""),9673.0)</f>
        <v>9673</v>
      </c>
      <c r="D3289" s="9"/>
      <c r="E3289" s="9"/>
      <c r="F3289" s="9">
        <f>IFERROR(__xludf.DUMMYFUNCTION("""COMPUTED_VALUE"""),2.1)</f>
        <v>2.1</v>
      </c>
      <c r="G3289" s="9">
        <f>IFERROR(__xludf.DUMMYFUNCTION("""COMPUTED_VALUE"""),2.1)</f>
        <v>2.1</v>
      </c>
      <c r="H3289" s="9">
        <f>IFERROR(__xludf.DUMMYFUNCTION("""COMPUTED_VALUE"""),1.0)</f>
        <v>1</v>
      </c>
      <c r="I3289" s="9"/>
      <c r="J3289" s="9"/>
      <c r="K3289" s="9"/>
      <c r="L3289" s="9"/>
      <c r="M3289" s="9"/>
      <c r="N3289" s="9"/>
      <c r="O3289" s="9"/>
      <c r="P3289" s="9"/>
      <c r="Q3289" s="9"/>
      <c r="R3289" s="9"/>
      <c r="S3289" s="9"/>
      <c r="T3289" s="9"/>
    </row>
    <row r="3290" ht="15.75" customHeight="1">
      <c r="A3290" s="11">
        <f>IFERROR(__xludf.DUMMYFUNCTION("""COMPUTED_VALUE"""),44471.0)</f>
        <v>44471</v>
      </c>
      <c r="B3290" s="9">
        <f>IFERROR(__xludf.DUMMYFUNCTION("""COMPUTED_VALUE"""),1003763.0)</f>
        <v>1003763</v>
      </c>
      <c r="C3290" s="9">
        <f>IFERROR(__xludf.DUMMYFUNCTION("""COMPUTED_VALUE"""),79425.0)</f>
        <v>79425</v>
      </c>
      <c r="D3290" s="9"/>
      <c r="E3290" s="9"/>
      <c r="F3290" s="9">
        <f>IFERROR(__xludf.DUMMYFUNCTION("""COMPUTED_VALUE"""),2.85)</f>
        <v>2.85</v>
      </c>
      <c r="G3290" s="9">
        <f>IFERROR(__xludf.DUMMYFUNCTION("""COMPUTED_VALUE"""),2.85)</f>
        <v>2.85</v>
      </c>
      <c r="H3290" s="9">
        <f>IFERROR(__xludf.DUMMYFUNCTION("""COMPUTED_VALUE"""),1.0)</f>
        <v>1</v>
      </c>
      <c r="I3290" s="9"/>
      <c r="J3290" s="9"/>
      <c r="K3290" s="9"/>
      <c r="L3290" s="9"/>
      <c r="M3290" s="9"/>
      <c r="N3290" s="9"/>
      <c r="O3290" s="9"/>
      <c r="P3290" s="9"/>
      <c r="Q3290" s="9"/>
      <c r="R3290" s="9"/>
      <c r="S3290" s="9"/>
      <c r="T3290" s="9"/>
    </row>
    <row r="3291" ht="15.75" customHeight="1">
      <c r="A3291" s="11">
        <f>IFERROR(__xludf.DUMMYFUNCTION("""COMPUTED_VALUE"""),44471.0)</f>
        <v>44471</v>
      </c>
      <c r="B3291" s="9">
        <f>IFERROR(__xludf.DUMMYFUNCTION("""COMPUTED_VALUE"""),1003763.0)</f>
        <v>1003763</v>
      </c>
      <c r="C3291" s="9">
        <f>IFERROR(__xludf.DUMMYFUNCTION("""COMPUTED_VALUE"""),122219.0)</f>
        <v>122219</v>
      </c>
      <c r="D3291" s="9"/>
      <c r="E3291" s="9"/>
      <c r="F3291" s="9">
        <f>IFERROR(__xludf.DUMMYFUNCTION("""COMPUTED_VALUE"""),3.36)</f>
        <v>3.36</v>
      </c>
      <c r="G3291" s="9">
        <f>IFERROR(__xludf.DUMMYFUNCTION("""COMPUTED_VALUE"""),3.36)</f>
        <v>3.36</v>
      </c>
      <c r="H3291" s="9">
        <f>IFERROR(__xludf.DUMMYFUNCTION("""COMPUTED_VALUE"""),1.0)</f>
        <v>1</v>
      </c>
      <c r="I3291" s="9"/>
      <c r="J3291" s="9"/>
      <c r="K3291" s="9"/>
      <c r="L3291" s="9"/>
      <c r="M3291" s="9"/>
      <c r="N3291" s="9"/>
      <c r="O3291" s="9"/>
      <c r="P3291" s="9"/>
      <c r="Q3291" s="9"/>
      <c r="R3291" s="9"/>
      <c r="S3291" s="9"/>
      <c r="T3291" s="9"/>
    </row>
    <row r="3292" ht="15.75" customHeight="1">
      <c r="A3292" s="11">
        <f>IFERROR(__xludf.DUMMYFUNCTION("""COMPUTED_VALUE"""),44471.0)</f>
        <v>44471</v>
      </c>
      <c r="B3292" s="9">
        <f>IFERROR(__xludf.DUMMYFUNCTION("""COMPUTED_VALUE"""),1003763.0)</f>
        <v>1003763</v>
      </c>
      <c r="C3292" s="9">
        <f>IFERROR(__xludf.DUMMYFUNCTION("""COMPUTED_VALUE"""),122214.0)</f>
        <v>122214</v>
      </c>
      <c r="D3292" s="9"/>
      <c r="E3292" s="9"/>
      <c r="F3292" s="9">
        <f>IFERROR(__xludf.DUMMYFUNCTION("""COMPUTED_VALUE"""),3.36)</f>
        <v>3.36</v>
      </c>
      <c r="G3292" s="9">
        <f>IFERROR(__xludf.DUMMYFUNCTION("""COMPUTED_VALUE"""),3.36)</f>
        <v>3.36</v>
      </c>
      <c r="H3292" s="9">
        <f>IFERROR(__xludf.DUMMYFUNCTION("""COMPUTED_VALUE"""),1.0)</f>
        <v>1</v>
      </c>
      <c r="I3292" s="9"/>
      <c r="J3292" s="9"/>
      <c r="K3292" s="9"/>
      <c r="L3292" s="9"/>
      <c r="M3292" s="9"/>
      <c r="N3292" s="9"/>
      <c r="O3292" s="9"/>
      <c r="P3292" s="9"/>
      <c r="Q3292" s="9"/>
      <c r="R3292" s="9"/>
      <c r="S3292" s="9"/>
      <c r="T3292" s="9"/>
    </row>
    <row r="3293" ht="15.75" customHeight="1">
      <c r="A3293" s="11">
        <f>IFERROR(__xludf.DUMMYFUNCTION("""COMPUTED_VALUE"""),44471.0)</f>
        <v>44471</v>
      </c>
      <c r="B3293" s="9">
        <f>IFERROR(__xludf.DUMMYFUNCTION("""COMPUTED_VALUE"""),1003763.0)</f>
        <v>1003763</v>
      </c>
      <c r="C3293" s="9">
        <f>IFERROR(__xludf.DUMMYFUNCTION("""COMPUTED_VALUE"""),122746.0)</f>
        <v>122746</v>
      </c>
      <c r="D3293" s="9"/>
      <c r="E3293" s="9"/>
      <c r="F3293" s="9">
        <f>IFERROR(__xludf.DUMMYFUNCTION("""COMPUTED_VALUE"""),52.02)</f>
        <v>52.02</v>
      </c>
      <c r="G3293" s="9">
        <f>IFERROR(__xludf.DUMMYFUNCTION("""COMPUTED_VALUE"""),52.02)</f>
        <v>52.02</v>
      </c>
      <c r="H3293" s="9">
        <f>IFERROR(__xludf.DUMMYFUNCTION("""COMPUTED_VALUE"""),3.0)</f>
        <v>3</v>
      </c>
      <c r="I3293" s="9"/>
      <c r="J3293" s="9"/>
      <c r="K3293" s="9"/>
      <c r="L3293" s="9"/>
      <c r="M3293" s="9"/>
      <c r="N3293" s="9"/>
      <c r="O3293" s="9"/>
      <c r="P3293" s="9"/>
      <c r="Q3293" s="9"/>
      <c r="R3293" s="9"/>
      <c r="S3293" s="9"/>
      <c r="T3293" s="9"/>
    </row>
    <row r="3294" ht="15.75" customHeight="1">
      <c r="A3294" s="11">
        <f>IFERROR(__xludf.DUMMYFUNCTION("""COMPUTED_VALUE"""),44471.0)</f>
        <v>44471</v>
      </c>
      <c r="B3294" s="9">
        <f>IFERROR(__xludf.DUMMYFUNCTION("""COMPUTED_VALUE"""),1003763.0)</f>
        <v>1003763</v>
      </c>
      <c r="C3294" s="9">
        <f>IFERROR(__xludf.DUMMYFUNCTION("""COMPUTED_VALUE"""),3375.0)</f>
        <v>3375</v>
      </c>
      <c r="D3294" s="9"/>
      <c r="E3294" s="9"/>
      <c r="F3294" s="9">
        <f>IFERROR(__xludf.DUMMYFUNCTION("""COMPUTED_VALUE"""),7.95)</f>
        <v>7.95</v>
      </c>
      <c r="G3294" s="9">
        <f>IFERROR(__xludf.DUMMYFUNCTION("""COMPUTED_VALUE"""),7.95)</f>
        <v>7.95</v>
      </c>
      <c r="H3294" s="9">
        <f>IFERROR(__xludf.DUMMYFUNCTION("""COMPUTED_VALUE"""),3.0)</f>
        <v>3</v>
      </c>
      <c r="I3294" s="9"/>
      <c r="J3294" s="9"/>
      <c r="K3294" s="9"/>
      <c r="L3294" s="9"/>
      <c r="M3294" s="9"/>
      <c r="N3294" s="9"/>
      <c r="O3294" s="9"/>
      <c r="P3294" s="9"/>
      <c r="Q3294" s="9"/>
      <c r="R3294" s="9"/>
      <c r="S3294" s="9"/>
      <c r="T3294" s="9"/>
    </row>
    <row r="3295" ht="15.75" customHeight="1">
      <c r="A3295" s="11">
        <f>IFERROR(__xludf.DUMMYFUNCTION("""COMPUTED_VALUE"""),44471.0)</f>
        <v>44471</v>
      </c>
      <c r="B3295" s="9">
        <f>IFERROR(__xludf.DUMMYFUNCTION("""COMPUTED_VALUE"""),1003764.0)</f>
        <v>1003764</v>
      </c>
      <c r="C3295" s="9">
        <f>IFERROR(__xludf.DUMMYFUNCTION("""COMPUTED_VALUE"""),77823.0)</f>
        <v>77823</v>
      </c>
      <c r="D3295" s="10" t="str">
        <f>IFERROR(__xludf.DUMMYFUNCTION("""COMPUTED_VALUE"""),"Vive le bio")</f>
        <v>Vive le bio</v>
      </c>
      <c r="E3295" s="10" t="str">
        <f>IFERROR(__xludf.DUMMYFUNCTION("""COMPUTED_VALUE"""),"PREMIERE")</f>
        <v>PREMIERE</v>
      </c>
      <c r="F3295" s="10">
        <f>IFERROR(__xludf.DUMMYFUNCTION("""COMPUTED_VALUE"""),42.6777777777777)</f>
        <v>42.67777778</v>
      </c>
      <c r="G3295" s="9">
        <f>IFERROR(__xludf.DUMMYFUNCTION("""COMPUTED_VALUE"""),38.41)</f>
        <v>38.41</v>
      </c>
      <c r="H3295" s="9">
        <f>IFERROR(__xludf.DUMMYFUNCTION("""COMPUTED_VALUE"""),2.0)</f>
        <v>2</v>
      </c>
      <c r="I3295" s="9"/>
      <c r="J3295" s="9"/>
      <c r="K3295" s="9"/>
      <c r="L3295" s="9"/>
      <c r="M3295" s="9"/>
      <c r="N3295" s="9"/>
      <c r="O3295" s="9"/>
      <c r="P3295" s="9"/>
      <c r="Q3295" s="9"/>
      <c r="R3295" s="9"/>
      <c r="S3295" s="9"/>
      <c r="T3295" s="9"/>
    </row>
    <row r="3296" ht="15.75" customHeight="1">
      <c r="A3296" s="11">
        <f>IFERROR(__xludf.DUMMYFUNCTION("""COMPUTED_VALUE"""),44471.0)</f>
        <v>44471</v>
      </c>
      <c r="B3296" s="9">
        <f>IFERROR(__xludf.DUMMYFUNCTION("""COMPUTED_VALUE"""),1003764.0)</f>
        <v>1003764</v>
      </c>
      <c r="C3296" s="9">
        <f>IFERROR(__xludf.DUMMYFUNCTION("""COMPUTED_VALUE"""),85887.0)</f>
        <v>85887</v>
      </c>
      <c r="D3296" s="9"/>
      <c r="E3296" s="10" t="str">
        <f>IFERROR(__xludf.DUMMYFUNCTION("""COMPUTED_VALUE"""),"PREMIERE")</f>
        <v>PREMIERE</v>
      </c>
      <c r="F3296" s="10">
        <f>IFERROR(__xludf.DUMMYFUNCTION("""COMPUTED_VALUE"""),17.35)</f>
        <v>17.35</v>
      </c>
      <c r="G3296" s="9">
        <f>IFERROR(__xludf.DUMMYFUNCTION("""COMPUTED_VALUE"""),17.35)</f>
        <v>17.35</v>
      </c>
      <c r="H3296" s="9">
        <f>IFERROR(__xludf.DUMMYFUNCTION("""COMPUTED_VALUE"""),2.0)</f>
        <v>2</v>
      </c>
      <c r="I3296" s="9"/>
      <c r="J3296" s="9"/>
      <c r="K3296" s="9"/>
      <c r="L3296" s="9"/>
      <c r="M3296" s="9"/>
      <c r="N3296" s="9"/>
      <c r="O3296" s="9"/>
      <c r="P3296" s="9"/>
      <c r="Q3296" s="9"/>
      <c r="R3296" s="9"/>
      <c r="S3296" s="9"/>
      <c r="T3296" s="9"/>
    </row>
    <row r="3297" ht="15.75" customHeight="1">
      <c r="A3297" s="11">
        <f>IFERROR(__xludf.DUMMYFUNCTION("""COMPUTED_VALUE"""),44471.0)</f>
        <v>44471</v>
      </c>
      <c r="B3297" s="9">
        <f>IFERROR(__xludf.DUMMYFUNCTION("""COMPUTED_VALUE"""),1003765.0)</f>
        <v>1003765</v>
      </c>
      <c r="C3297" s="9">
        <f>IFERROR(__xludf.DUMMYFUNCTION("""COMPUTED_VALUE"""),97036.0)</f>
        <v>97036</v>
      </c>
      <c r="D3297" s="9"/>
      <c r="E3297" s="10" t="str">
        <f>IFERROR(__xludf.DUMMYFUNCTION("""COMPUTED_VALUE"""),"PREMIERE")</f>
        <v>PREMIERE</v>
      </c>
      <c r="F3297" s="10">
        <f>IFERROR(__xludf.DUMMYFUNCTION("""COMPUTED_VALUE"""),31.59)</f>
        <v>31.59</v>
      </c>
      <c r="G3297" s="9">
        <f>IFERROR(__xludf.DUMMYFUNCTION("""COMPUTED_VALUE"""),31.59)</f>
        <v>31.59</v>
      </c>
      <c r="H3297" s="9">
        <f>IFERROR(__xludf.DUMMYFUNCTION("""COMPUTED_VALUE"""),1.0)</f>
        <v>1</v>
      </c>
      <c r="I3297" s="9"/>
      <c r="J3297" s="9"/>
      <c r="K3297" s="9"/>
      <c r="L3297" s="9"/>
      <c r="M3297" s="9"/>
      <c r="N3297" s="9"/>
      <c r="O3297" s="9"/>
      <c r="P3297" s="9"/>
      <c r="Q3297" s="9"/>
      <c r="R3297" s="9"/>
      <c r="S3297" s="9"/>
      <c r="T3297" s="9"/>
    </row>
    <row r="3298" ht="15.75" customHeight="1">
      <c r="A3298" s="11">
        <f>IFERROR(__xludf.DUMMYFUNCTION("""COMPUTED_VALUE"""),44471.0)</f>
        <v>44471</v>
      </c>
      <c r="B3298" s="9">
        <f>IFERROR(__xludf.DUMMYFUNCTION("""COMPUTED_VALUE"""),1003766.0)</f>
        <v>1003766</v>
      </c>
      <c r="C3298" s="9">
        <f>IFERROR(__xludf.DUMMYFUNCTION("""COMPUTED_VALUE"""),16386.0)</f>
        <v>16386</v>
      </c>
      <c r="D3298" s="10" t="str">
        <f>IFERROR(__xludf.DUMMYFUNCTION("""COMPUTED_VALUE"""),"Vive le bio")</f>
        <v>Vive le bio</v>
      </c>
      <c r="E3298" s="10" t="str">
        <f>IFERROR(__xludf.DUMMYFUNCTION("""COMPUTED_VALUE"""),"GREENRELAIS")</f>
        <v>GREENRELAIS</v>
      </c>
      <c r="F3298" s="10">
        <f>IFERROR(__xludf.DUMMYFUNCTION("""COMPUTED_VALUE"""),14.8777777777777)</f>
        <v>14.87777778</v>
      </c>
      <c r="G3298" s="9">
        <f>IFERROR(__xludf.DUMMYFUNCTION("""COMPUTED_VALUE"""),13.39)</f>
        <v>13.39</v>
      </c>
      <c r="H3298" s="9">
        <f>IFERROR(__xludf.DUMMYFUNCTION("""COMPUTED_VALUE"""),1.0)</f>
        <v>1</v>
      </c>
      <c r="I3298" s="9"/>
      <c r="J3298" s="9"/>
      <c r="K3298" s="9"/>
      <c r="L3298" s="9"/>
      <c r="M3298" s="9"/>
      <c r="N3298" s="9"/>
      <c r="O3298" s="9"/>
      <c r="P3298" s="9"/>
      <c r="Q3298" s="9"/>
      <c r="R3298" s="9"/>
      <c r="S3298" s="9"/>
      <c r="T3298" s="9"/>
    </row>
    <row r="3299" ht="15.75" customHeight="1">
      <c r="A3299" s="11">
        <f>IFERROR(__xludf.DUMMYFUNCTION("""COMPUTED_VALUE"""),44471.0)</f>
        <v>44471</v>
      </c>
      <c r="B3299" s="9">
        <f>IFERROR(__xludf.DUMMYFUNCTION("""COMPUTED_VALUE"""),1003766.0)</f>
        <v>1003766</v>
      </c>
      <c r="C3299" s="9">
        <f>IFERROR(__xludf.DUMMYFUNCTION("""COMPUTED_VALUE"""),75323.0)</f>
        <v>75323</v>
      </c>
      <c r="D3299" s="10" t="str">
        <f>IFERROR(__xludf.DUMMYFUNCTION("""COMPUTED_VALUE"""),"Offre Speciale")</f>
        <v>Offre Speciale</v>
      </c>
      <c r="E3299" s="10" t="str">
        <f>IFERROR(__xludf.DUMMYFUNCTION("""COMPUTED_VALUE"""),"GREENRELAIS")</f>
        <v>GREENRELAIS</v>
      </c>
      <c r="F3299" s="10">
        <f>IFERROR(__xludf.DUMMYFUNCTION("""COMPUTED_VALUE"""),10.2470588235294)</f>
        <v>10.24705882</v>
      </c>
      <c r="G3299" s="9">
        <f>IFERROR(__xludf.DUMMYFUNCTION("""COMPUTED_VALUE"""),8.71)</f>
        <v>8.71</v>
      </c>
      <c r="H3299" s="9">
        <f>IFERROR(__xludf.DUMMYFUNCTION("""COMPUTED_VALUE"""),1.0)</f>
        <v>1</v>
      </c>
      <c r="I3299" s="9"/>
      <c r="J3299" s="9"/>
      <c r="K3299" s="9"/>
      <c r="L3299" s="9"/>
      <c r="M3299" s="9"/>
      <c r="N3299" s="9"/>
      <c r="O3299" s="9"/>
      <c r="P3299" s="9"/>
      <c r="Q3299" s="9"/>
      <c r="R3299" s="9"/>
      <c r="S3299" s="9"/>
      <c r="T3299" s="9"/>
    </row>
    <row r="3300" ht="15.75" customHeight="1">
      <c r="A3300" s="11">
        <f>IFERROR(__xludf.DUMMYFUNCTION("""COMPUTED_VALUE"""),44471.0)</f>
        <v>44471</v>
      </c>
      <c r="B3300" s="9">
        <f>IFERROR(__xludf.DUMMYFUNCTION("""COMPUTED_VALUE"""),1003766.0)</f>
        <v>1003766</v>
      </c>
      <c r="C3300" s="9">
        <f>IFERROR(__xludf.DUMMYFUNCTION("""COMPUTED_VALUE"""),81091.0)</f>
        <v>81091</v>
      </c>
      <c r="D3300" s="9"/>
      <c r="E3300" s="10" t="str">
        <f>IFERROR(__xludf.DUMMYFUNCTION("""COMPUTED_VALUE"""),"GREENRELAIS")</f>
        <v>GREENRELAIS</v>
      </c>
      <c r="F3300" s="10">
        <f>IFERROR(__xludf.DUMMYFUNCTION("""COMPUTED_VALUE"""),7.66)</f>
        <v>7.66</v>
      </c>
      <c r="G3300" s="9">
        <f>IFERROR(__xludf.DUMMYFUNCTION("""COMPUTED_VALUE"""),7.66)</f>
        <v>7.66</v>
      </c>
      <c r="H3300" s="9">
        <f>IFERROR(__xludf.DUMMYFUNCTION("""COMPUTED_VALUE"""),1.0)</f>
        <v>1</v>
      </c>
      <c r="I3300" s="9"/>
      <c r="J3300" s="9"/>
      <c r="K3300" s="9"/>
      <c r="L3300" s="9"/>
      <c r="M3300" s="9"/>
      <c r="N3300" s="9"/>
      <c r="O3300" s="9"/>
      <c r="P3300" s="9"/>
      <c r="Q3300" s="9"/>
      <c r="R3300" s="9"/>
      <c r="S3300" s="9"/>
      <c r="T3300" s="9"/>
    </row>
    <row r="3301" ht="15.75" customHeight="1">
      <c r="A3301" s="11">
        <f>IFERROR(__xludf.DUMMYFUNCTION("""COMPUTED_VALUE"""),44471.0)</f>
        <v>44471</v>
      </c>
      <c r="B3301" s="9">
        <f>IFERROR(__xludf.DUMMYFUNCTION("""COMPUTED_VALUE"""),1003766.0)</f>
        <v>1003766</v>
      </c>
      <c r="C3301" s="9">
        <f>IFERROR(__xludf.DUMMYFUNCTION("""COMPUTED_VALUE"""),81129.0)</f>
        <v>81129</v>
      </c>
      <c r="D3301" s="9"/>
      <c r="E3301" s="10" t="str">
        <f>IFERROR(__xludf.DUMMYFUNCTION("""COMPUTED_VALUE"""),"GREENRELAIS")</f>
        <v>GREENRELAIS</v>
      </c>
      <c r="F3301" s="10">
        <f>IFERROR(__xludf.DUMMYFUNCTION("""COMPUTED_VALUE"""),2.85)</f>
        <v>2.85</v>
      </c>
      <c r="G3301" s="9">
        <f>IFERROR(__xludf.DUMMYFUNCTION("""COMPUTED_VALUE"""),2.85)</f>
        <v>2.85</v>
      </c>
      <c r="H3301" s="9">
        <f>IFERROR(__xludf.DUMMYFUNCTION("""COMPUTED_VALUE"""),1.0)</f>
        <v>1</v>
      </c>
      <c r="I3301" s="9"/>
      <c r="J3301" s="9"/>
      <c r="K3301" s="9"/>
      <c r="L3301" s="9"/>
      <c r="M3301" s="9"/>
      <c r="N3301" s="9"/>
      <c r="O3301" s="9"/>
      <c r="P3301" s="9"/>
      <c r="Q3301" s="9"/>
      <c r="R3301" s="9"/>
      <c r="S3301" s="9"/>
      <c r="T3301" s="9"/>
    </row>
    <row r="3302" ht="15.75" customHeight="1">
      <c r="A3302" s="11">
        <f>IFERROR(__xludf.DUMMYFUNCTION("""COMPUTED_VALUE"""),44471.0)</f>
        <v>44471</v>
      </c>
      <c r="B3302" s="9">
        <f>IFERROR(__xludf.DUMMYFUNCTION("""COMPUTED_VALUE"""),1003766.0)</f>
        <v>1003766</v>
      </c>
      <c r="C3302" s="9">
        <f>IFERROR(__xludf.DUMMYFUNCTION("""COMPUTED_VALUE"""),81064.0)</f>
        <v>81064</v>
      </c>
      <c r="D3302" s="9"/>
      <c r="E3302" s="10" t="str">
        <f>IFERROR(__xludf.DUMMYFUNCTION("""COMPUTED_VALUE"""),"GREENRELAIS")</f>
        <v>GREENRELAIS</v>
      </c>
      <c r="F3302" s="10">
        <f>IFERROR(__xludf.DUMMYFUNCTION("""COMPUTED_VALUE"""),4.98)</f>
        <v>4.98</v>
      </c>
      <c r="G3302" s="9">
        <f>IFERROR(__xludf.DUMMYFUNCTION("""COMPUTED_VALUE"""),4.98)</f>
        <v>4.98</v>
      </c>
      <c r="H3302" s="9">
        <f>IFERROR(__xludf.DUMMYFUNCTION("""COMPUTED_VALUE"""),1.0)</f>
        <v>1</v>
      </c>
      <c r="I3302" s="9"/>
      <c r="J3302" s="9"/>
      <c r="K3302" s="9"/>
      <c r="L3302" s="9"/>
      <c r="M3302" s="9"/>
      <c r="N3302" s="9"/>
      <c r="O3302" s="9"/>
      <c r="P3302" s="9"/>
      <c r="Q3302" s="9"/>
      <c r="R3302" s="9"/>
      <c r="S3302" s="9"/>
      <c r="T3302" s="9"/>
    </row>
    <row r="3303" ht="15.75" customHeight="1">
      <c r="A3303" s="11">
        <f>IFERROR(__xludf.DUMMYFUNCTION("""COMPUTED_VALUE"""),44471.0)</f>
        <v>44471</v>
      </c>
      <c r="B3303" s="9">
        <f>IFERROR(__xludf.DUMMYFUNCTION("""COMPUTED_VALUE"""),1003766.0)</f>
        <v>1003766</v>
      </c>
      <c r="C3303" s="9">
        <f>IFERROR(__xludf.DUMMYFUNCTION("""COMPUTED_VALUE"""),121992.0)</f>
        <v>121992</v>
      </c>
      <c r="D3303" s="9"/>
      <c r="E3303" s="10" t="str">
        <f>IFERROR(__xludf.DUMMYFUNCTION("""COMPUTED_VALUE"""),"GREENRELAIS")</f>
        <v>GREENRELAIS</v>
      </c>
      <c r="F3303" s="10">
        <f>IFERROR(__xludf.DUMMYFUNCTION("""COMPUTED_VALUE"""),3.12)</f>
        <v>3.12</v>
      </c>
      <c r="G3303" s="9">
        <f>IFERROR(__xludf.DUMMYFUNCTION("""COMPUTED_VALUE"""),3.12)</f>
        <v>3.12</v>
      </c>
      <c r="H3303" s="9">
        <f>IFERROR(__xludf.DUMMYFUNCTION("""COMPUTED_VALUE"""),1.0)</f>
        <v>1</v>
      </c>
      <c r="I3303" s="9"/>
      <c r="J3303" s="9"/>
      <c r="K3303" s="9"/>
      <c r="L3303" s="9"/>
      <c r="M3303" s="9"/>
      <c r="N3303" s="9"/>
      <c r="O3303" s="9"/>
      <c r="P3303" s="9"/>
      <c r="Q3303" s="9"/>
      <c r="R3303" s="9"/>
      <c r="S3303" s="9"/>
      <c r="T3303" s="9"/>
    </row>
    <row r="3304" ht="15.75" customHeight="1">
      <c r="A3304" s="11">
        <f>IFERROR(__xludf.DUMMYFUNCTION("""COMPUTED_VALUE"""),44471.0)</f>
        <v>44471</v>
      </c>
      <c r="B3304" s="9">
        <f>IFERROR(__xludf.DUMMYFUNCTION("""COMPUTED_VALUE"""),1003766.0)</f>
        <v>1003766</v>
      </c>
      <c r="C3304" s="9">
        <f>IFERROR(__xludf.DUMMYFUNCTION("""COMPUTED_VALUE"""),84315.0)</f>
        <v>84315</v>
      </c>
      <c r="D3304" s="9"/>
      <c r="E3304" s="10" t="str">
        <f>IFERROR(__xludf.DUMMYFUNCTION("""COMPUTED_VALUE"""),"GREENRELAIS")</f>
        <v>GREENRELAIS</v>
      </c>
      <c r="F3304" s="10">
        <f>IFERROR(__xludf.DUMMYFUNCTION("""COMPUTED_VALUE"""),7.71)</f>
        <v>7.71</v>
      </c>
      <c r="G3304" s="9">
        <f>IFERROR(__xludf.DUMMYFUNCTION("""COMPUTED_VALUE"""),7.71)</f>
        <v>7.71</v>
      </c>
      <c r="H3304" s="9">
        <f>IFERROR(__xludf.DUMMYFUNCTION("""COMPUTED_VALUE"""),2.0)</f>
        <v>2</v>
      </c>
      <c r="I3304" s="9"/>
      <c r="J3304" s="9"/>
      <c r="K3304" s="9"/>
      <c r="L3304" s="9"/>
      <c r="M3304" s="9"/>
      <c r="N3304" s="9"/>
      <c r="O3304" s="9"/>
      <c r="P3304" s="9"/>
      <c r="Q3304" s="9"/>
      <c r="R3304" s="9"/>
      <c r="S3304" s="9"/>
      <c r="T3304" s="9"/>
    </row>
    <row r="3305" ht="15.75" customHeight="1">
      <c r="A3305" s="11">
        <f>IFERROR(__xludf.DUMMYFUNCTION("""COMPUTED_VALUE"""),44471.0)</f>
        <v>44471</v>
      </c>
      <c r="B3305" s="9">
        <f>IFERROR(__xludf.DUMMYFUNCTION("""COMPUTED_VALUE"""),1003766.0)</f>
        <v>1003766</v>
      </c>
      <c r="C3305" s="9">
        <f>IFERROR(__xludf.DUMMYFUNCTION("""COMPUTED_VALUE"""),84332.0)</f>
        <v>84332</v>
      </c>
      <c r="D3305" s="9"/>
      <c r="E3305" s="10" t="str">
        <f>IFERROR(__xludf.DUMMYFUNCTION("""COMPUTED_VALUE"""),"GREENRELAIS")</f>
        <v>GREENRELAIS</v>
      </c>
      <c r="F3305" s="10">
        <f>IFERROR(__xludf.DUMMYFUNCTION("""COMPUTED_VALUE"""),7.71)</f>
        <v>7.71</v>
      </c>
      <c r="G3305" s="9">
        <f>IFERROR(__xludf.DUMMYFUNCTION("""COMPUTED_VALUE"""),7.71)</f>
        <v>7.71</v>
      </c>
      <c r="H3305" s="9">
        <f>IFERROR(__xludf.DUMMYFUNCTION("""COMPUTED_VALUE"""),2.0)</f>
        <v>2</v>
      </c>
      <c r="I3305" s="9"/>
      <c r="J3305" s="9"/>
      <c r="K3305" s="9"/>
      <c r="L3305" s="9"/>
      <c r="M3305" s="9"/>
      <c r="N3305" s="9"/>
      <c r="O3305" s="9"/>
      <c r="P3305" s="9"/>
      <c r="Q3305" s="9"/>
      <c r="R3305" s="9"/>
      <c r="S3305" s="9"/>
      <c r="T3305" s="9"/>
    </row>
    <row r="3306" ht="15.75" customHeight="1">
      <c r="A3306" s="11">
        <f>IFERROR(__xludf.DUMMYFUNCTION("""COMPUTED_VALUE"""),44471.0)</f>
        <v>44471</v>
      </c>
      <c r="B3306" s="9">
        <f>IFERROR(__xludf.DUMMYFUNCTION("""COMPUTED_VALUE"""),1003767.0)</f>
        <v>1003767</v>
      </c>
      <c r="C3306" s="9">
        <f>IFERROR(__xludf.DUMMYFUNCTION("""COMPUTED_VALUE"""),9482.0)</f>
        <v>9482</v>
      </c>
      <c r="D3306" s="9"/>
      <c r="E3306" s="9"/>
      <c r="F3306" s="9">
        <f>IFERROR(__xludf.DUMMYFUNCTION("""COMPUTED_VALUE"""),2.5)</f>
        <v>2.5</v>
      </c>
      <c r="G3306" s="9">
        <f>IFERROR(__xludf.DUMMYFUNCTION("""COMPUTED_VALUE"""),2.5)</f>
        <v>2.5</v>
      </c>
      <c r="H3306" s="9">
        <f>IFERROR(__xludf.DUMMYFUNCTION("""COMPUTED_VALUE"""),1.0)</f>
        <v>1</v>
      </c>
      <c r="I3306" s="9"/>
      <c r="J3306" s="9"/>
      <c r="K3306" s="9"/>
      <c r="L3306" s="9"/>
      <c r="M3306" s="9"/>
      <c r="N3306" s="9"/>
      <c r="O3306" s="9"/>
      <c r="P3306" s="9"/>
      <c r="Q3306" s="9"/>
      <c r="R3306" s="9"/>
      <c r="S3306" s="9"/>
      <c r="T3306" s="9"/>
    </row>
    <row r="3307" ht="15.75" customHeight="1">
      <c r="A3307" s="11">
        <f>IFERROR(__xludf.DUMMYFUNCTION("""COMPUTED_VALUE"""),44471.0)</f>
        <v>44471</v>
      </c>
      <c r="B3307" s="9">
        <f>IFERROR(__xludf.DUMMYFUNCTION("""COMPUTED_VALUE"""),1003767.0)</f>
        <v>1003767</v>
      </c>
      <c r="C3307" s="9">
        <f>IFERROR(__xludf.DUMMYFUNCTION("""COMPUTED_VALUE"""),109309.0)</f>
        <v>109309</v>
      </c>
      <c r="D3307" s="9"/>
      <c r="E3307" s="9"/>
      <c r="F3307" s="9">
        <f>IFERROR(__xludf.DUMMYFUNCTION("""COMPUTED_VALUE"""),8.27)</f>
        <v>8.27</v>
      </c>
      <c r="G3307" s="9">
        <f>IFERROR(__xludf.DUMMYFUNCTION("""COMPUTED_VALUE"""),8.27)</f>
        <v>8.27</v>
      </c>
      <c r="H3307" s="9">
        <f>IFERROR(__xludf.DUMMYFUNCTION("""COMPUTED_VALUE"""),1.0)</f>
        <v>1</v>
      </c>
      <c r="I3307" s="9"/>
      <c r="J3307" s="9"/>
      <c r="K3307" s="9"/>
      <c r="L3307" s="9"/>
      <c r="M3307" s="9"/>
      <c r="N3307" s="9"/>
      <c r="O3307" s="9"/>
      <c r="P3307" s="9"/>
      <c r="Q3307" s="9"/>
      <c r="R3307" s="9"/>
      <c r="S3307" s="9"/>
      <c r="T3307" s="9"/>
    </row>
    <row r="3308" ht="15.75" customHeight="1">
      <c r="A3308" s="11">
        <f>IFERROR(__xludf.DUMMYFUNCTION("""COMPUTED_VALUE"""),44471.0)</f>
        <v>44471</v>
      </c>
      <c r="B3308" s="9">
        <f>IFERROR(__xludf.DUMMYFUNCTION("""COMPUTED_VALUE"""),1003767.0)</f>
        <v>1003767</v>
      </c>
      <c r="C3308" s="9">
        <f>IFERROR(__xludf.DUMMYFUNCTION("""COMPUTED_VALUE"""),103189.0)</f>
        <v>103189</v>
      </c>
      <c r="D3308" s="10" t="str">
        <f>IFERROR(__xludf.DUMMYFUNCTION("""COMPUTED_VALUE"""),"Vive le bio")</f>
        <v>Vive le bio</v>
      </c>
      <c r="E3308" s="10"/>
      <c r="F3308" s="9">
        <f>IFERROR(__xludf.DUMMYFUNCTION("""COMPUTED_VALUE"""),5.61111111111111)</f>
        <v>5.611111111</v>
      </c>
      <c r="G3308" s="9">
        <f>IFERROR(__xludf.DUMMYFUNCTION("""COMPUTED_VALUE"""),5.05)</f>
        <v>5.05</v>
      </c>
      <c r="H3308" s="9">
        <f>IFERROR(__xludf.DUMMYFUNCTION("""COMPUTED_VALUE"""),1.0)</f>
        <v>1</v>
      </c>
      <c r="I3308" s="9"/>
      <c r="J3308" s="9"/>
      <c r="K3308" s="9"/>
      <c r="L3308" s="9"/>
      <c r="M3308" s="9"/>
      <c r="N3308" s="9"/>
      <c r="O3308" s="9"/>
      <c r="P3308" s="9"/>
      <c r="Q3308" s="9"/>
      <c r="R3308" s="9"/>
      <c r="S3308" s="9"/>
      <c r="T3308" s="9"/>
    </row>
    <row r="3309" ht="15.75" customHeight="1">
      <c r="A3309" s="11">
        <f>IFERROR(__xludf.DUMMYFUNCTION("""COMPUTED_VALUE"""),44471.0)</f>
        <v>44471</v>
      </c>
      <c r="B3309" s="9">
        <f>IFERROR(__xludf.DUMMYFUNCTION("""COMPUTED_VALUE"""),1003767.0)</f>
        <v>1003767</v>
      </c>
      <c r="C3309" s="9">
        <f>IFERROR(__xludf.DUMMYFUNCTION("""COMPUTED_VALUE"""),77498.0)</f>
        <v>77498</v>
      </c>
      <c r="D3309" s="9"/>
      <c r="E3309" s="9"/>
      <c r="F3309" s="9">
        <f>IFERROR(__xludf.DUMMYFUNCTION("""COMPUTED_VALUE"""),3.15)</f>
        <v>3.15</v>
      </c>
      <c r="G3309" s="9">
        <f>IFERROR(__xludf.DUMMYFUNCTION("""COMPUTED_VALUE"""),3.15)</f>
        <v>3.15</v>
      </c>
      <c r="H3309" s="9">
        <f>IFERROR(__xludf.DUMMYFUNCTION("""COMPUTED_VALUE"""),1.0)</f>
        <v>1</v>
      </c>
      <c r="I3309" s="9"/>
      <c r="J3309" s="9"/>
      <c r="K3309" s="9"/>
      <c r="L3309" s="9"/>
      <c r="M3309" s="9"/>
      <c r="N3309" s="9"/>
      <c r="O3309" s="9"/>
      <c r="P3309" s="9"/>
      <c r="Q3309" s="9"/>
      <c r="R3309" s="9"/>
      <c r="S3309" s="9"/>
      <c r="T3309" s="9"/>
    </row>
    <row r="3310" ht="15.75" customHeight="1">
      <c r="A3310" s="11">
        <f>IFERROR(__xludf.DUMMYFUNCTION("""COMPUTED_VALUE"""),44471.0)</f>
        <v>44471</v>
      </c>
      <c r="B3310" s="9">
        <f>IFERROR(__xludf.DUMMYFUNCTION("""COMPUTED_VALUE"""),1003767.0)</f>
        <v>1003767</v>
      </c>
      <c r="C3310" s="9">
        <f>IFERROR(__xludf.DUMMYFUNCTION("""COMPUTED_VALUE"""),99263.0)</f>
        <v>99263</v>
      </c>
      <c r="D3310" s="9"/>
      <c r="E3310" s="9"/>
      <c r="F3310" s="9">
        <f>IFERROR(__xludf.DUMMYFUNCTION("""COMPUTED_VALUE"""),3.4)</f>
        <v>3.4</v>
      </c>
      <c r="G3310" s="9">
        <f>IFERROR(__xludf.DUMMYFUNCTION("""COMPUTED_VALUE"""),3.4)</f>
        <v>3.4</v>
      </c>
      <c r="H3310" s="9">
        <f>IFERROR(__xludf.DUMMYFUNCTION("""COMPUTED_VALUE"""),1.0)</f>
        <v>1</v>
      </c>
      <c r="I3310" s="9"/>
      <c r="J3310" s="9"/>
      <c r="K3310" s="9"/>
      <c r="L3310" s="9"/>
      <c r="M3310" s="9"/>
      <c r="N3310" s="9"/>
      <c r="O3310" s="9"/>
      <c r="P3310" s="9"/>
      <c r="Q3310" s="9"/>
      <c r="R3310" s="9"/>
      <c r="S3310" s="9"/>
      <c r="T3310" s="9"/>
    </row>
    <row r="3311" ht="15.75" customHeight="1">
      <c r="A3311" s="11">
        <f>IFERROR(__xludf.DUMMYFUNCTION("""COMPUTED_VALUE"""),44471.0)</f>
        <v>44471</v>
      </c>
      <c r="B3311" s="9">
        <f>IFERROR(__xludf.DUMMYFUNCTION("""COMPUTED_VALUE"""),1003767.0)</f>
        <v>1003767</v>
      </c>
      <c r="C3311" s="9">
        <f>IFERROR(__xludf.DUMMYFUNCTION("""COMPUTED_VALUE"""),86560.0)</f>
        <v>86560</v>
      </c>
      <c r="D3311" s="10" t="str">
        <f>IFERROR(__xludf.DUMMYFUNCTION("""COMPUTED_VALUE"""),"Vive le bio")</f>
        <v>Vive le bio</v>
      </c>
      <c r="E3311" s="10"/>
      <c r="F3311" s="9">
        <f>IFERROR(__xludf.DUMMYFUNCTION("""COMPUTED_VALUE"""),3.03333333333333)</f>
        <v>3.033333333</v>
      </c>
      <c r="G3311" s="9">
        <f>IFERROR(__xludf.DUMMYFUNCTION("""COMPUTED_VALUE"""),2.73)</f>
        <v>2.73</v>
      </c>
      <c r="H3311" s="9">
        <f>IFERROR(__xludf.DUMMYFUNCTION("""COMPUTED_VALUE"""),1.0)</f>
        <v>1</v>
      </c>
      <c r="I3311" s="9"/>
      <c r="J3311" s="9"/>
      <c r="K3311" s="9"/>
      <c r="L3311" s="9"/>
      <c r="M3311" s="9"/>
      <c r="N3311" s="9"/>
      <c r="O3311" s="9"/>
      <c r="P3311" s="9"/>
      <c r="Q3311" s="9"/>
      <c r="R3311" s="9"/>
      <c r="S3311" s="9"/>
      <c r="T3311" s="9"/>
    </row>
    <row r="3312" ht="15.75" customHeight="1">
      <c r="A3312" s="11">
        <f>IFERROR(__xludf.DUMMYFUNCTION("""COMPUTED_VALUE"""),44471.0)</f>
        <v>44471</v>
      </c>
      <c r="B3312" s="9">
        <f>IFERROR(__xludf.DUMMYFUNCTION("""COMPUTED_VALUE"""),1003767.0)</f>
        <v>1003767</v>
      </c>
      <c r="C3312" s="9">
        <f>IFERROR(__xludf.DUMMYFUNCTION("""COMPUTED_VALUE"""),81430.0)</f>
        <v>81430</v>
      </c>
      <c r="D3312" s="9"/>
      <c r="E3312" s="9"/>
      <c r="F3312" s="9">
        <f>IFERROR(__xludf.DUMMYFUNCTION("""COMPUTED_VALUE"""),9.66)</f>
        <v>9.66</v>
      </c>
      <c r="G3312" s="9">
        <f>IFERROR(__xludf.DUMMYFUNCTION("""COMPUTED_VALUE"""),9.66)</f>
        <v>9.66</v>
      </c>
      <c r="H3312" s="9">
        <f>IFERROR(__xludf.DUMMYFUNCTION("""COMPUTED_VALUE"""),1.0)</f>
        <v>1</v>
      </c>
      <c r="I3312" s="9"/>
      <c r="J3312" s="9"/>
      <c r="K3312" s="9"/>
      <c r="L3312" s="9"/>
      <c r="M3312" s="9"/>
      <c r="N3312" s="9"/>
      <c r="O3312" s="9"/>
      <c r="P3312" s="9"/>
      <c r="Q3312" s="9"/>
      <c r="R3312" s="9"/>
      <c r="S3312" s="9"/>
      <c r="T3312" s="9"/>
    </row>
    <row r="3313" ht="15.75" customHeight="1">
      <c r="A3313" s="11">
        <f>IFERROR(__xludf.DUMMYFUNCTION("""COMPUTED_VALUE"""),44471.0)</f>
        <v>44471</v>
      </c>
      <c r="B3313" s="9">
        <f>IFERROR(__xludf.DUMMYFUNCTION("""COMPUTED_VALUE"""),1003767.0)</f>
        <v>1003767</v>
      </c>
      <c r="C3313" s="9">
        <f>IFERROR(__xludf.DUMMYFUNCTION("""COMPUTED_VALUE"""),110833.0)</f>
        <v>110833</v>
      </c>
      <c r="D3313" s="10" t="str">
        <f>IFERROR(__xludf.DUMMYFUNCTION("""COMPUTED_VALUE"""),"Vive le bio")</f>
        <v>Vive le bio</v>
      </c>
      <c r="E3313" s="10"/>
      <c r="F3313" s="9">
        <f>IFERROR(__xludf.DUMMYFUNCTION("""COMPUTED_VALUE"""),7.25555555555555)</f>
        <v>7.255555556</v>
      </c>
      <c r="G3313" s="9">
        <f>IFERROR(__xludf.DUMMYFUNCTION("""COMPUTED_VALUE"""),6.53)</f>
        <v>6.53</v>
      </c>
      <c r="H3313" s="9">
        <f>IFERROR(__xludf.DUMMYFUNCTION("""COMPUTED_VALUE"""),1.0)</f>
        <v>1</v>
      </c>
      <c r="I3313" s="9"/>
      <c r="J3313" s="9"/>
      <c r="K3313" s="9"/>
      <c r="L3313" s="9"/>
      <c r="M3313" s="9"/>
      <c r="N3313" s="9"/>
      <c r="O3313" s="9"/>
      <c r="P3313" s="9"/>
      <c r="Q3313" s="9"/>
      <c r="R3313" s="9"/>
      <c r="S3313" s="9"/>
      <c r="T3313" s="9"/>
    </row>
    <row r="3314" ht="15.75" customHeight="1">
      <c r="A3314" s="11">
        <f>IFERROR(__xludf.DUMMYFUNCTION("""COMPUTED_VALUE"""),44471.0)</f>
        <v>44471</v>
      </c>
      <c r="B3314" s="9">
        <f>IFERROR(__xludf.DUMMYFUNCTION("""COMPUTED_VALUE"""),1003767.0)</f>
        <v>1003767</v>
      </c>
      <c r="C3314" s="9">
        <f>IFERROR(__xludf.DUMMYFUNCTION("""COMPUTED_VALUE"""),139291.0)</f>
        <v>139291</v>
      </c>
      <c r="D3314" s="9"/>
      <c r="E3314" s="9"/>
      <c r="F3314" s="9">
        <f>IFERROR(__xludf.DUMMYFUNCTION("""COMPUTED_VALUE"""),5.1)</f>
        <v>5.1</v>
      </c>
      <c r="G3314" s="9">
        <f>IFERROR(__xludf.DUMMYFUNCTION("""COMPUTED_VALUE"""),5.1)</f>
        <v>5.1</v>
      </c>
      <c r="H3314" s="9">
        <f>IFERROR(__xludf.DUMMYFUNCTION("""COMPUTED_VALUE"""),1.0)</f>
        <v>1</v>
      </c>
      <c r="I3314" s="9"/>
      <c r="J3314" s="9"/>
      <c r="K3314" s="9"/>
      <c r="L3314" s="9"/>
      <c r="M3314" s="9"/>
      <c r="N3314" s="9"/>
      <c r="O3314" s="9"/>
      <c r="P3314" s="9"/>
      <c r="Q3314" s="9"/>
      <c r="R3314" s="9"/>
      <c r="S3314" s="9"/>
      <c r="T3314" s="9"/>
    </row>
    <row r="3315" ht="15.75" customHeight="1">
      <c r="A3315" s="11">
        <f>IFERROR(__xludf.DUMMYFUNCTION("""COMPUTED_VALUE"""),44471.0)</f>
        <v>44471</v>
      </c>
      <c r="B3315" s="9">
        <f>IFERROR(__xludf.DUMMYFUNCTION("""COMPUTED_VALUE"""),1003767.0)</f>
        <v>1003767</v>
      </c>
      <c r="C3315" s="9">
        <f>IFERROR(__xludf.DUMMYFUNCTION("""COMPUTED_VALUE"""),7365.0)</f>
        <v>7365</v>
      </c>
      <c r="D3315" s="9"/>
      <c r="E3315" s="9"/>
      <c r="F3315" s="9">
        <f>IFERROR(__xludf.DUMMYFUNCTION("""COMPUTED_VALUE"""),13.09)</f>
        <v>13.09</v>
      </c>
      <c r="G3315" s="9">
        <f>IFERROR(__xludf.DUMMYFUNCTION("""COMPUTED_VALUE"""),13.09)</f>
        <v>13.09</v>
      </c>
      <c r="H3315" s="9">
        <f>IFERROR(__xludf.DUMMYFUNCTION("""COMPUTED_VALUE"""),1.0)</f>
        <v>1</v>
      </c>
      <c r="I3315" s="9"/>
      <c r="J3315" s="9"/>
      <c r="K3315" s="9"/>
      <c r="L3315" s="9"/>
      <c r="M3315" s="9"/>
      <c r="N3315" s="9"/>
      <c r="O3315" s="9"/>
      <c r="P3315" s="9"/>
      <c r="Q3315" s="9"/>
      <c r="R3315" s="9"/>
      <c r="S3315" s="9"/>
      <c r="T3315" s="9"/>
    </row>
    <row r="3316" ht="15.75" customHeight="1">
      <c r="A3316" s="11">
        <f>IFERROR(__xludf.DUMMYFUNCTION("""COMPUTED_VALUE"""),44471.0)</f>
        <v>44471</v>
      </c>
      <c r="B3316" s="9">
        <f>IFERROR(__xludf.DUMMYFUNCTION("""COMPUTED_VALUE"""),1003767.0)</f>
        <v>1003767</v>
      </c>
      <c r="C3316" s="9">
        <f>IFERROR(__xludf.DUMMYFUNCTION("""COMPUTED_VALUE"""),112249.0)</f>
        <v>112249</v>
      </c>
      <c r="D3316" s="9"/>
      <c r="E3316" s="9"/>
      <c r="F3316" s="9">
        <f>IFERROR(__xludf.DUMMYFUNCTION("""COMPUTED_VALUE"""),3.71)</f>
        <v>3.71</v>
      </c>
      <c r="G3316" s="9">
        <f>IFERROR(__xludf.DUMMYFUNCTION("""COMPUTED_VALUE"""),3.71)</f>
        <v>3.71</v>
      </c>
      <c r="H3316" s="9">
        <f>IFERROR(__xludf.DUMMYFUNCTION("""COMPUTED_VALUE"""),1.0)</f>
        <v>1</v>
      </c>
      <c r="I3316" s="9"/>
      <c r="J3316" s="9"/>
      <c r="K3316" s="9"/>
      <c r="L3316" s="9"/>
      <c r="M3316" s="9"/>
      <c r="N3316" s="9"/>
      <c r="O3316" s="9"/>
      <c r="P3316" s="9"/>
      <c r="Q3316" s="9"/>
      <c r="R3316" s="9"/>
      <c r="S3316" s="9"/>
      <c r="T3316" s="9"/>
    </row>
    <row r="3317" ht="15.75" customHeight="1">
      <c r="A3317" s="11">
        <f>IFERROR(__xludf.DUMMYFUNCTION("""COMPUTED_VALUE"""),44471.0)</f>
        <v>44471</v>
      </c>
      <c r="B3317" s="9">
        <f>IFERROR(__xludf.DUMMYFUNCTION("""COMPUTED_VALUE"""),1003767.0)</f>
        <v>1003767</v>
      </c>
      <c r="C3317" s="9">
        <f>IFERROR(__xludf.DUMMYFUNCTION("""COMPUTED_VALUE"""),12875.0)</f>
        <v>12875</v>
      </c>
      <c r="D3317" s="9"/>
      <c r="E3317" s="9"/>
      <c r="F3317" s="9">
        <f>IFERROR(__xludf.DUMMYFUNCTION("""COMPUTED_VALUE"""),16.63)</f>
        <v>16.63</v>
      </c>
      <c r="G3317" s="9">
        <f>IFERROR(__xludf.DUMMYFUNCTION("""COMPUTED_VALUE"""),16.63)</f>
        <v>16.63</v>
      </c>
      <c r="H3317" s="9">
        <f>IFERROR(__xludf.DUMMYFUNCTION("""COMPUTED_VALUE"""),1.0)</f>
        <v>1</v>
      </c>
      <c r="I3317" s="9"/>
      <c r="J3317" s="9"/>
      <c r="K3317" s="9"/>
      <c r="L3317" s="9"/>
      <c r="M3317" s="9"/>
      <c r="N3317" s="9"/>
      <c r="O3317" s="9"/>
      <c r="P3317" s="9"/>
      <c r="Q3317" s="9"/>
      <c r="R3317" s="9"/>
      <c r="S3317" s="9"/>
      <c r="T3317" s="9"/>
    </row>
    <row r="3318" ht="15.75" customHeight="1">
      <c r="A3318" s="11">
        <f>IFERROR(__xludf.DUMMYFUNCTION("""COMPUTED_VALUE"""),44471.0)</f>
        <v>44471</v>
      </c>
      <c r="B3318" s="9">
        <f>IFERROR(__xludf.DUMMYFUNCTION("""COMPUTED_VALUE"""),1003767.0)</f>
        <v>1003767</v>
      </c>
      <c r="C3318" s="9">
        <f>IFERROR(__xludf.DUMMYFUNCTION("""COMPUTED_VALUE"""),77481.0)</f>
        <v>77481</v>
      </c>
      <c r="D3318" s="9"/>
      <c r="E3318" s="9"/>
      <c r="F3318" s="9">
        <f>IFERROR(__xludf.DUMMYFUNCTION("""COMPUTED_VALUE"""),3.24)</f>
        <v>3.24</v>
      </c>
      <c r="G3318" s="9">
        <f>IFERROR(__xludf.DUMMYFUNCTION("""COMPUTED_VALUE"""),3.24)</f>
        <v>3.24</v>
      </c>
      <c r="H3318" s="9">
        <f>IFERROR(__xludf.DUMMYFUNCTION("""COMPUTED_VALUE"""),1.0)</f>
        <v>1</v>
      </c>
      <c r="I3318" s="9"/>
      <c r="J3318" s="9"/>
      <c r="K3318" s="9"/>
      <c r="L3318" s="9"/>
      <c r="M3318" s="9"/>
      <c r="N3318" s="9"/>
      <c r="O3318" s="9"/>
      <c r="P3318" s="9"/>
      <c r="Q3318" s="9"/>
      <c r="R3318" s="9"/>
      <c r="S3318" s="9"/>
      <c r="T3318" s="9"/>
    </row>
    <row r="3319" ht="15.75" customHeight="1">
      <c r="A3319" s="11">
        <f>IFERROR(__xludf.DUMMYFUNCTION("""COMPUTED_VALUE"""),44471.0)</f>
        <v>44471</v>
      </c>
      <c r="B3319" s="9">
        <f>IFERROR(__xludf.DUMMYFUNCTION("""COMPUTED_VALUE"""),1003767.0)</f>
        <v>1003767</v>
      </c>
      <c r="C3319" s="9">
        <f>IFERROR(__xludf.DUMMYFUNCTION("""COMPUTED_VALUE"""),119248.0)</f>
        <v>119248</v>
      </c>
      <c r="D3319" s="9"/>
      <c r="E3319" s="9"/>
      <c r="F3319" s="9">
        <f>IFERROR(__xludf.DUMMYFUNCTION("""COMPUTED_VALUE"""),4.74)</f>
        <v>4.74</v>
      </c>
      <c r="G3319" s="9">
        <f>IFERROR(__xludf.DUMMYFUNCTION("""COMPUTED_VALUE"""),4.74)</f>
        <v>4.74</v>
      </c>
      <c r="H3319" s="9">
        <f>IFERROR(__xludf.DUMMYFUNCTION("""COMPUTED_VALUE"""),1.0)</f>
        <v>1</v>
      </c>
      <c r="I3319" s="9"/>
      <c r="J3319" s="9"/>
      <c r="K3319" s="9"/>
      <c r="L3319" s="9"/>
      <c r="M3319" s="9"/>
      <c r="N3319" s="9"/>
      <c r="O3319" s="9"/>
      <c r="P3319" s="9"/>
      <c r="Q3319" s="9"/>
      <c r="R3319" s="9"/>
      <c r="S3319" s="9"/>
      <c r="T3319" s="9"/>
    </row>
    <row r="3320" ht="15.75" customHeight="1">
      <c r="A3320" s="11">
        <f>IFERROR(__xludf.DUMMYFUNCTION("""COMPUTED_VALUE"""),44471.0)</f>
        <v>44471</v>
      </c>
      <c r="B3320" s="9">
        <f>IFERROR(__xludf.DUMMYFUNCTION("""COMPUTED_VALUE"""),1003767.0)</f>
        <v>1003767</v>
      </c>
      <c r="C3320" s="9">
        <f>IFERROR(__xludf.DUMMYFUNCTION("""COMPUTED_VALUE"""),76223.0)</f>
        <v>76223</v>
      </c>
      <c r="D3320" s="9"/>
      <c r="E3320" s="9"/>
      <c r="F3320" s="9">
        <f>IFERROR(__xludf.DUMMYFUNCTION("""COMPUTED_VALUE"""),2.51)</f>
        <v>2.51</v>
      </c>
      <c r="G3320" s="9">
        <f>IFERROR(__xludf.DUMMYFUNCTION("""COMPUTED_VALUE"""),2.51)</f>
        <v>2.51</v>
      </c>
      <c r="H3320" s="9">
        <f>IFERROR(__xludf.DUMMYFUNCTION("""COMPUTED_VALUE"""),2.0)</f>
        <v>2</v>
      </c>
      <c r="I3320" s="9"/>
      <c r="J3320" s="9"/>
      <c r="K3320" s="9"/>
      <c r="L3320" s="9"/>
      <c r="M3320" s="9"/>
      <c r="N3320" s="9"/>
      <c r="O3320" s="9"/>
      <c r="P3320" s="9"/>
      <c r="Q3320" s="9"/>
      <c r="R3320" s="9"/>
      <c r="S3320" s="9"/>
      <c r="T3320" s="9"/>
    </row>
    <row r="3321" ht="15.75" customHeight="1">
      <c r="A3321" s="11">
        <f>IFERROR(__xludf.DUMMYFUNCTION("""COMPUTED_VALUE"""),44471.0)</f>
        <v>44471</v>
      </c>
      <c r="B3321" s="9">
        <f>IFERROR(__xludf.DUMMYFUNCTION("""COMPUTED_VALUE"""),1003767.0)</f>
        <v>1003767</v>
      </c>
      <c r="C3321" s="9">
        <f>IFERROR(__xludf.DUMMYFUNCTION("""COMPUTED_VALUE"""),88215.0)</f>
        <v>88215</v>
      </c>
      <c r="D3321" s="9"/>
      <c r="E3321" s="9"/>
      <c r="F3321" s="9">
        <f>IFERROR(__xludf.DUMMYFUNCTION("""COMPUTED_VALUE"""),6.09)</f>
        <v>6.09</v>
      </c>
      <c r="G3321" s="9">
        <f>IFERROR(__xludf.DUMMYFUNCTION("""COMPUTED_VALUE"""),6.09)</f>
        <v>6.09</v>
      </c>
      <c r="H3321" s="9">
        <f>IFERROR(__xludf.DUMMYFUNCTION("""COMPUTED_VALUE"""),2.0)</f>
        <v>2</v>
      </c>
      <c r="I3321" s="9"/>
      <c r="J3321" s="9"/>
      <c r="K3321" s="9"/>
      <c r="L3321" s="9"/>
      <c r="M3321" s="9"/>
      <c r="N3321" s="9"/>
      <c r="O3321" s="9"/>
      <c r="P3321" s="9"/>
      <c r="Q3321" s="9"/>
      <c r="R3321" s="9"/>
      <c r="S3321" s="9"/>
      <c r="T3321" s="9"/>
    </row>
    <row r="3322" ht="15.75" customHeight="1">
      <c r="A3322" s="11">
        <f>IFERROR(__xludf.DUMMYFUNCTION("""COMPUTED_VALUE"""),44471.0)</f>
        <v>44471</v>
      </c>
      <c r="B3322" s="9">
        <f>IFERROR(__xludf.DUMMYFUNCTION("""COMPUTED_VALUE"""),1003767.0)</f>
        <v>1003767</v>
      </c>
      <c r="C3322" s="9">
        <f>IFERROR(__xludf.DUMMYFUNCTION("""COMPUTED_VALUE"""),107325.0)</f>
        <v>107325</v>
      </c>
      <c r="D3322" s="9"/>
      <c r="E3322" s="9"/>
      <c r="F3322" s="9">
        <f>IFERROR(__xludf.DUMMYFUNCTION("""COMPUTED_VALUE"""),6.85)</f>
        <v>6.85</v>
      </c>
      <c r="G3322" s="9">
        <f>IFERROR(__xludf.DUMMYFUNCTION("""COMPUTED_VALUE"""),6.85)</f>
        <v>6.85</v>
      </c>
      <c r="H3322" s="9">
        <f>IFERROR(__xludf.DUMMYFUNCTION("""COMPUTED_VALUE"""),2.0)</f>
        <v>2</v>
      </c>
      <c r="I3322" s="9"/>
      <c r="J3322" s="9"/>
      <c r="K3322" s="9"/>
      <c r="L3322" s="9"/>
      <c r="M3322" s="9"/>
      <c r="N3322" s="9"/>
      <c r="O3322" s="9"/>
      <c r="P3322" s="9"/>
      <c r="Q3322" s="9"/>
      <c r="R3322" s="9"/>
      <c r="S3322" s="9"/>
      <c r="T3322" s="9"/>
    </row>
    <row r="3323" ht="15.75" customHeight="1">
      <c r="A3323" s="11">
        <f>IFERROR(__xludf.DUMMYFUNCTION("""COMPUTED_VALUE"""),44471.0)</f>
        <v>44471</v>
      </c>
      <c r="B3323" s="9">
        <f>IFERROR(__xludf.DUMMYFUNCTION("""COMPUTED_VALUE"""),1003767.0)</f>
        <v>1003767</v>
      </c>
      <c r="C3323" s="9">
        <f>IFERROR(__xludf.DUMMYFUNCTION("""COMPUTED_VALUE"""),96952.0)</f>
        <v>96952</v>
      </c>
      <c r="D3323" s="9"/>
      <c r="E3323" s="9"/>
      <c r="F3323" s="9">
        <f>IFERROR(__xludf.DUMMYFUNCTION("""COMPUTED_VALUE"""),4.63)</f>
        <v>4.63</v>
      </c>
      <c r="G3323" s="9">
        <f>IFERROR(__xludf.DUMMYFUNCTION("""COMPUTED_VALUE"""),4.63)</f>
        <v>4.63</v>
      </c>
      <c r="H3323" s="9">
        <f>IFERROR(__xludf.DUMMYFUNCTION("""COMPUTED_VALUE"""),2.0)</f>
        <v>2</v>
      </c>
      <c r="I3323" s="9"/>
      <c r="J3323" s="9"/>
      <c r="K3323" s="9"/>
      <c r="L3323" s="9"/>
      <c r="M3323" s="9"/>
      <c r="N3323" s="9"/>
      <c r="O3323" s="9"/>
      <c r="P3323" s="9"/>
      <c r="Q3323" s="9"/>
      <c r="R3323" s="9"/>
      <c r="S3323" s="9"/>
      <c r="T3323" s="9"/>
    </row>
    <row r="3324" ht="15.75" customHeight="1">
      <c r="A3324" s="11">
        <f>IFERROR(__xludf.DUMMYFUNCTION("""COMPUTED_VALUE"""),44471.0)</f>
        <v>44471</v>
      </c>
      <c r="B3324" s="9">
        <f>IFERROR(__xludf.DUMMYFUNCTION("""COMPUTED_VALUE"""),1003767.0)</f>
        <v>1003767</v>
      </c>
      <c r="C3324" s="9">
        <f>IFERROR(__xludf.DUMMYFUNCTION("""COMPUTED_VALUE"""),90643.0)</f>
        <v>90643</v>
      </c>
      <c r="D3324" s="9"/>
      <c r="E3324" s="9"/>
      <c r="F3324" s="9">
        <f>IFERROR(__xludf.DUMMYFUNCTION("""COMPUTED_VALUE"""),9.67)</f>
        <v>9.67</v>
      </c>
      <c r="G3324" s="9">
        <f>IFERROR(__xludf.DUMMYFUNCTION("""COMPUTED_VALUE"""),9.67)</f>
        <v>9.67</v>
      </c>
      <c r="H3324" s="9">
        <f>IFERROR(__xludf.DUMMYFUNCTION("""COMPUTED_VALUE"""),2.0)</f>
        <v>2</v>
      </c>
      <c r="I3324" s="9"/>
      <c r="J3324" s="9"/>
      <c r="K3324" s="9"/>
      <c r="L3324" s="9"/>
      <c r="M3324" s="9"/>
      <c r="N3324" s="9"/>
      <c r="O3324" s="9"/>
      <c r="P3324" s="9"/>
      <c r="Q3324" s="9"/>
      <c r="R3324" s="9"/>
      <c r="S3324" s="9"/>
      <c r="T3324" s="9"/>
    </row>
    <row r="3325" ht="15.75" customHeight="1">
      <c r="A3325" s="11">
        <f>IFERROR(__xludf.DUMMYFUNCTION("""COMPUTED_VALUE"""),44471.0)</f>
        <v>44471</v>
      </c>
      <c r="B3325" s="9">
        <f>IFERROR(__xludf.DUMMYFUNCTION("""COMPUTED_VALUE"""),1003768.0)</f>
        <v>1003768</v>
      </c>
      <c r="C3325" s="9">
        <f>IFERROR(__xludf.DUMMYFUNCTION("""COMPUTED_VALUE"""),81141.0)</f>
        <v>81141</v>
      </c>
      <c r="D3325" s="9"/>
      <c r="E3325" s="9"/>
      <c r="F3325" s="9">
        <f>IFERROR(__xludf.DUMMYFUNCTION("""COMPUTED_VALUE"""),2.97)</f>
        <v>2.97</v>
      </c>
      <c r="G3325" s="9">
        <f>IFERROR(__xludf.DUMMYFUNCTION("""COMPUTED_VALUE"""),2.97)</f>
        <v>2.97</v>
      </c>
      <c r="H3325" s="9">
        <f>IFERROR(__xludf.DUMMYFUNCTION("""COMPUTED_VALUE"""),1.0)</f>
        <v>1</v>
      </c>
      <c r="I3325" s="9"/>
      <c r="J3325" s="9"/>
      <c r="K3325" s="9"/>
      <c r="L3325" s="9"/>
      <c r="M3325" s="9"/>
      <c r="N3325" s="9"/>
      <c r="O3325" s="9"/>
      <c r="P3325" s="9"/>
      <c r="Q3325" s="9"/>
      <c r="R3325" s="9"/>
      <c r="S3325" s="9"/>
      <c r="T3325" s="9"/>
    </row>
    <row r="3326" ht="15.75" customHeight="1">
      <c r="A3326" s="11">
        <f>IFERROR(__xludf.DUMMYFUNCTION("""COMPUTED_VALUE"""),44471.0)</f>
        <v>44471</v>
      </c>
      <c r="B3326" s="9">
        <f>IFERROR(__xludf.DUMMYFUNCTION("""COMPUTED_VALUE"""),1003768.0)</f>
        <v>1003768</v>
      </c>
      <c r="C3326" s="9">
        <f>IFERROR(__xludf.DUMMYFUNCTION("""COMPUTED_VALUE"""),81129.0)</f>
        <v>81129</v>
      </c>
      <c r="D3326" s="9"/>
      <c r="E3326" s="9"/>
      <c r="F3326" s="9">
        <f>IFERROR(__xludf.DUMMYFUNCTION("""COMPUTED_VALUE"""),2.85)</f>
        <v>2.85</v>
      </c>
      <c r="G3326" s="9">
        <f>IFERROR(__xludf.DUMMYFUNCTION("""COMPUTED_VALUE"""),2.85)</f>
        <v>2.85</v>
      </c>
      <c r="H3326" s="9">
        <f>IFERROR(__xludf.DUMMYFUNCTION("""COMPUTED_VALUE"""),1.0)</f>
        <v>1</v>
      </c>
      <c r="I3326" s="9"/>
      <c r="J3326" s="9"/>
      <c r="K3326" s="9"/>
      <c r="L3326" s="9"/>
      <c r="M3326" s="9"/>
      <c r="N3326" s="9"/>
      <c r="O3326" s="9"/>
      <c r="P3326" s="9"/>
      <c r="Q3326" s="9"/>
      <c r="R3326" s="9"/>
      <c r="S3326" s="9"/>
      <c r="T3326" s="9"/>
    </row>
    <row r="3327" ht="15.75" customHeight="1">
      <c r="A3327" s="11">
        <f>IFERROR(__xludf.DUMMYFUNCTION("""COMPUTED_VALUE"""),44471.0)</f>
        <v>44471</v>
      </c>
      <c r="B3327" s="9">
        <f>IFERROR(__xludf.DUMMYFUNCTION("""COMPUTED_VALUE"""),1003768.0)</f>
        <v>1003768</v>
      </c>
      <c r="C3327" s="9">
        <f>IFERROR(__xludf.DUMMYFUNCTION("""COMPUTED_VALUE"""),81139.0)</f>
        <v>81139</v>
      </c>
      <c r="D3327" s="9"/>
      <c r="E3327" s="9"/>
      <c r="F3327" s="9">
        <f>IFERROR(__xludf.DUMMYFUNCTION("""COMPUTED_VALUE"""),3.12)</f>
        <v>3.12</v>
      </c>
      <c r="G3327" s="9">
        <f>IFERROR(__xludf.DUMMYFUNCTION("""COMPUTED_VALUE"""),3.12)</f>
        <v>3.12</v>
      </c>
      <c r="H3327" s="9">
        <f>IFERROR(__xludf.DUMMYFUNCTION("""COMPUTED_VALUE"""),1.0)</f>
        <v>1</v>
      </c>
      <c r="I3327" s="9"/>
      <c r="J3327" s="9"/>
      <c r="K3327" s="9"/>
      <c r="L3327" s="9"/>
      <c r="M3327" s="9"/>
      <c r="N3327" s="9"/>
      <c r="O3327" s="9"/>
      <c r="P3327" s="9"/>
      <c r="Q3327" s="9"/>
      <c r="R3327" s="9"/>
      <c r="S3327" s="9"/>
      <c r="T3327" s="9"/>
    </row>
    <row r="3328" ht="15.75" customHeight="1">
      <c r="A3328" s="11">
        <f>IFERROR(__xludf.DUMMYFUNCTION("""COMPUTED_VALUE"""),44471.0)</f>
        <v>44471</v>
      </c>
      <c r="B3328" s="9">
        <f>IFERROR(__xludf.DUMMYFUNCTION("""COMPUTED_VALUE"""),1003768.0)</f>
        <v>1003768</v>
      </c>
      <c r="C3328" s="9">
        <f>IFERROR(__xludf.DUMMYFUNCTION("""COMPUTED_VALUE"""),81043.0)</f>
        <v>81043</v>
      </c>
      <c r="D3328" s="9"/>
      <c r="E3328" s="9"/>
      <c r="F3328" s="9">
        <f>IFERROR(__xludf.DUMMYFUNCTION("""COMPUTED_VALUE"""),1.81)</f>
        <v>1.81</v>
      </c>
      <c r="G3328" s="9">
        <f>IFERROR(__xludf.DUMMYFUNCTION("""COMPUTED_VALUE"""),1.81)</f>
        <v>1.81</v>
      </c>
      <c r="H3328" s="9">
        <f>IFERROR(__xludf.DUMMYFUNCTION("""COMPUTED_VALUE"""),1.0)</f>
        <v>1</v>
      </c>
      <c r="I3328" s="9"/>
      <c r="J3328" s="9"/>
      <c r="K3328" s="9"/>
      <c r="L3328" s="9"/>
      <c r="M3328" s="9"/>
      <c r="N3328" s="9"/>
      <c r="O3328" s="9"/>
      <c r="P3328" s="9"/>
      <c r="Q3328" s="9"/>
      <c r="R3328" s="9"/>
      <c r="S3328" s="9"/>
      <c r="T3328" s="9"/>
    </row>
    <row r="3329" ht="15.75" customHeight="1">
      <c r="A3329" s="11">
        <f>IFERROR(__xludf.DUMMYFUNCTION("""COMPUTED_VALUE"""),44471.0)</f>
        <v>44471</v>
      </c>
      <c r="B3329" s="9">
        <f>IFERROR(__xludf.DUMMYFUNCTION("""COMPUTED_VALUE"""),1003769.0)</f>
        <v>1003769</v>
      </c>
      <c r="C3329" s="9">
        <f>IFERROR(__xludf.DUMMYFUNCTION("""COMPUTED_VALUE"""),78822.0)</f>
        <v>78822</v>
      </c>
      <c r="D3329" s="9"/>
      <c r="E3329" s="9"/>
      <c r="F3329" s="9">
        <f>IFERROR(__xludf.DUMMYFUNCTION("""COMPUTED_VALUE"""),1.94)</f>
        <v>1.94</v>
      </c>
      <c r="G3329" s="9">
        <f>IFERROR(__xludf.DUMMYFUNCTION("""COMPUTED_VALUE"""),1.94)</f>
        <v>1.94</v>
      </c>
      <c r="H3329" s="9">
        <f>IFERROR(__xludf.DUMMYFUNCTION("""COMPUTED_VALUE"""),1.0)</f>
        <v>1</v>
      </c>
      <c r="I3329" s="9"/>
      <c r="J3329" s="9"/>
      <c r="K3329" s="9"/>
      <c r="L3329" s="9"/>
      <c r="M3329" s="9"/>
      <c r="N3329" s="9"/>
      <c r="O3329" s="9"/>
      <c r="P3329" s="9"/>
      <c r="Q3329" s="9"/>
      <c r="R3329" s="9"/>
      <c r="S3329" s="9"/>
      <c r="T3329" s="9"/>
    </row>
    <row r="3330" ht="15.75" customHeight="1">
      <c r="A3330" s="11">
        <f>IFERROR(__xludf.DUMMYFUNCTION("""COMPUTED_VALUE"""),44471.0)</f>
        <v>44471</v>
      </c>
      <c r="B3330" s="9">
        <f>IFERROR(__xludf.DUMMYFUNCTION("""COMPUTED_VALUE"""),1003769.0)</f>
        <v>1003769</v>
      </c>
      <c r="C3330" s="9">
        <f>IFERROR(__xludf.DUMMYFUNCTION("""COMPUTED_VALUE"""),5531.0)</f>
        <v>5531</v>
      </c>
      <c r="D3330" s="9"/>
      <c r="E3330" s="9"/>
      <c r="F3330" s="9">
        <f>IFERROR(__xludf.DUMMYFUNCTION("""COMPUTED_VALUE"""),2.66)</f>
        <v>2.66</v>
      </c>
      <c r="G3330" s="9">
        <f>IFERROR(__xludf.DUMMYFUNCTION("""COMPUTED_VALUE"""),2.66)</f>
        <v>2.66</v>
      </c>
      <c r="H3330" s="9">
        <f>IFERROR(__xludf.DUMMYFUNCTION("""COMPUTED_VALUE"""),1.0)</f>
        <v>1</v>
      </c>
      <c r="I3330" s="9"/>
      <c r="J3330" s="9"/>
      <c r="K3330" s="9"/>
      <c r="L3330" s="9"/>
      <c r="M3330" s="9"/>
      <c r="N3330" s="9"/>
      <c r="O3330" s="9"/>
      <c r="P3330" s="9"/>
      <c r="Q3330" s="9"/>
      <c r="R3330" s="9"/>
      <c r="S3330" s="9"/>
      <c r="T3330" s="9"/>
    </row>
    <row r="3331" ht="15.75" customHeight="1">
      <c r="A3331" s="11">
        <f>IFERROR(__xludf.DUMMYFUNCTION("""COMPUTED_VALUE"""),44471.0)</f>
        <v>44471</v>
      </c>
      <c r="B3331" s="9">
        <f>IFERROR(__xludf.DUMMYFUNCTION("""COMPUTED_VALUE"""),1003769.0)</f>
        <v>1003769</v>
      </c>
      <c r="C3331" s="9">
        <f>IFERROR(__xludf.DUMMYFUNCTION("""COMPUTED_VALUE"""),86488.0)</f>
        <v>86488</v>
      </c>
      <c r="D3331" s="10" t="str">
        <f>IFERROR(__xludf.DUMMYFUNCTION("""COMPUTED_VALUE"""),"Offre speciale")</f>
        <v>Offre speciale</v>
      </c>
      <c r="E3331" s="10"/>
      <c r="F3331" s="9">
        <f>IFERROR(__xludf.DUMMYFUNCTION("""COMPUTED_VALUE"""),2.16470588235294)</f>
        <v>2.164705882</v>
      </c>
      <c r="G3331" s="9">
        <f>IFERROR(__xludf.DUMMYFUNCTION("""COMPUTED_VALUE"""),1.84)</f>
        <v>1.84</v>
      </c>
      <c r="H3331" s="9">
        <f>IFERROR(__xludf.DUMMYFUNCTION("""COMPUTED_VALUE"""),1.0)</f>
        <v>1</v>
      </c>
      <c r="I3331" s="9"/>
      <c r="J3331" s="9"/>
      <c r="K3331" s="9"/>
      <c r="L3331" s="9"/>
      <c r="M3331" s="9"/>
      <c r="N3331" s="9"/>
      <c r="O3331" s="9"/>
      <c r="P3331" s="9"/>
      <c r="Q3331" s="9"/>
      <c r="R3331" s="9"/>
      <c r="S3331" s="9"/>
      <c r="T3331" s="9"/>
    </row>
    <row r="3332" ht="15.75" customHeight="1">
      <c r="A3332" s="11">
        <f>IFERROR(__xludf.DUMMYFUNCTION("""COMPUTED_VALUE"""),44471.0)</f>
        <v>44471</v>
      </c>
      <c r="B3332" s="9">
        <f>IFERROR(__xludf.DUMMYFUNCTION("""COMPUTED_VALUE"""),1003769.0)</f>
        <v>1003769</v>
      </c>
      <c r="C3332" s="9">
        <f>IFERROR(__xludf.DUMMYFUNCTION("""COMPUTED_VALUE"""),117482.0)</f>
        <v>117482</v>
      </c>
      <c r="D3332" s="9"/>
      <c r="E3332" s="9"/>
      <c r="F3332" s="9">
        <f>IFERROR(__xludf.DUMMYFUNCTION("""COMPUTED_VALUE"""),2.43)</f>
        <v>2.43</v>
      </c>
      <c r="G3332" s="9">
        <f>IFERROR(__xludf.DUMMYFUNCTION("""COMPUTED_VALUE"""),2.43)</f>
        <v>2.43</v>
      </c>
      <c r="H3332" s="9">
        <f>IFERROR(__xludf.DUMMYFUNCTION("""COMPUTED_VALUE"""),1.0)</f>
        <v>1</v>
      </c>
      <c r="I3332" s="9"/>
      <c r="J3332" s="9"/>
      <c r="K3332" s="9"/>
      <c r="L3332" s="9"/>
      <c r="M3332" s="9"/>
      <c r="N3332" s="9"/>
      <c r="O3332" s="9"/>
      <c r="P3332" s="9"/>
      <c r="Q3332" s="9"/>
      <c r="R3332" s="9"/>
      <c r="S3332" s="9"/>
      <c r="T3332" s="9"/>
    </row>
    <row r="3333" ht="15.75" customHeight="1">
      <c r="A3333" s="11">
        <f>IFERROR(__xludf.DUMMYFUNCTION("""COMPUTED_VALUE"""),44471.0)</f>
        <v>44471</v>
      </c>
      <c r="B3333" s="9">
        <f>IFERROR(__xludf.DUMMYFUNCTION("""COMPUTED_VALUE"""),1003769.0)</f>
        <v>1003769</v>
      </c>
      <c r="C3333" s="9">
        <f>IFERROR(__xludf.DUMMYFUNCTION("""COMPUTED_VALUE"""),46037.0)</f>
        <v>46037</v>
      </c>
      <c r="D3333" s="9"/>
      <c r="E3333" s="9"/>
      <c r="F3333" s="9">
        <f>IFERROR(__xludf.DUMMYFUNCTION("""COMPUTED_VALUE"""),2.81)</f>
        <v>2.81</v>
      </c>
      <c r="G3333" s="9">
        <f>IFERROR(__xludf.DUMMYFUNCTION("""COMPUTED_VALUE"""),2.81)</f>
        <v>2.81</v>
      </c>
      <c r="H3333" s="9">
        <f>IFERROR(__xludf.DUMMYFUNCTION("""COMPUTED_VALUE"""),1.0)</f>
        <v>1</v>
      </c>
      <c r="I3333" s="9"/>
      <c r="J3333" s="9"/>
      <c r="K3333" s="9"/>
      <c r="L3333" s="9"/>
      <c r="M3333" s="9"/>
      <c r="N3333" s="9"/>
      <c r="O3333" s="9"/>
      <c r="P3333" s="9"/>
      <c r="Q3333" s="9"/>
      <c r="R3333" s="9"/>
      <c r="S3333" s="9"/>
      <c r="T3333" s="9"/>
    </row>
    <row r="3334" ht="15.75" customHeight="1">
      <c r="A3334" s="11">
        <f>IFERROR(__xludf.DUMMYFUNCTION("""COMPUTED_VALUE"""),44471.0)</f>
        <v>44471</v>
      </c>
      <c r="B3334" s="9">
        <f>IFERROR(__xludf.DUMMYFUNCTION("""COMPUTED_VALUE"""),1003769.0)</f>
        <v>1003769</v>
      </c>
      <c r="C3334" s="9">
        <f>IFERROR(__xludf.DUMMYFUNCTION("""COMPUTED_VALUE"""),118887.0)</f>
        <v>118887</v>
      </c>
      <c r="D3334" s="10" t="str">
        <f>IFERROR(__xludf.DUMMYFUNCTION("""COMPUTED_VALUE"""),"Vive le bio")</f>
        <v>Vive le bio</v>
      </c>
      <c r="E3334" s="10"/>
      <c r="F3334" s="9">
        <f>IFERROR(__xludf.DUMMYFUNCTION("""COMPUTED_VALUE"""),3.85555555555555)</f>
        <v>3.855555556</v>
      </c>
      <c r="G3334" s="9">
        <f>IFERROR(__xludf.DUMMYFUNCTION("""COMPUTED_VALUE"""),3.47)</f>
        <v>3.47</v>
      </c>
      <c r="H3334" s="9">
        <f>IFERROR(__xludf.DUMMYFUNCTION("""COMPUTED_VALUE"""),1.0)</f>
        <v>1</v>
      </c>
      <c r="I3334" s="9"/>
      <c r="J3334" s="9"/>
      <c r="K3334" s="9"/>
      <c r="L3334" s="9"/>
      <c r="M3334" s="9"/>
      <c r="N3334" s="9"/>
      <c r="O3334" s="9"/>
      <c r="P3334" s="9"/>
      <c r="Q3334" s="9"/>
      <c r="R3334" s="9"/>
      <c r="S3334" s="9"/>
      <c r="T3334" s="9"/>
    </row>
    <row r="3335" ht="15.75" customHeight="1">
      <c r="A3335" s="11">
        <f>IFERROR(__xludf.DUMMYFUNCTION("""COMPUTED_VALUE"""),44471.0)</f>
        <v>44471</v>
      </c>
      <c r="B3335" s="9">
        <f>IFERROR(__xludf.DUMMYFUNCTION("""COMPUTED_VALUE"""),1003769.0)</f>
        <v>1003769</v>
      </c>
      <c r="C3335" s="9">
        <f>IFERROR(__xludf.DUMMYFUNCTION("""COMPUTED_VALUE"""),79107.0)</f>
        <v>79107</v>
      </c>
      <c r="D3335" s="9"/>
      <c r="E3335" s="9"/>
      <c r="F3335" s="9">
        <f>IFERROR(__xludf.DUMMYFUNCTION("""COMPUTED_VALUE"""),3.32)</f>
        <v>3.32</v>
      </c>
      <c r="G3335" s="9">
        <f>IFERROR(__xludf.DUMMYFUNCTION("""COMPUTED_VALUE"""),3.32)</f>
        <v>3.32</v>
      </c>
      <c r="H3335" s="9">
        <f>IFERROR(__xludf.DUMMYFUNCTION("""COMPUTED_VALUE"""),1.0)</f>
        <v>1</v>
      </c>
      <c r="I3335" s="9"/>
      <c r="J3335" s="9"/>
      <c r="K3335" s="9"/>
      <c r="L3335" s="9"/>
      <c r="M3335" s="9"/>
      <c r="N3335" s="9"/>
      <c r="O3335" s="9"/>
      <c r="P3335" s="9"/>
      <c r="Q3335" s="9"/>
      <c r="R3335" s="9"/>
      <c r="S3335" s="9"/>
      <c r="T3335" s="9"/>
    </row>
    <row r="3336" ht="15.75" customHeight="1">
      <c r="A3336" s="11">
        <f>IFERROR(__xludf.DUMMYFUNCTION("""COMPUTED_VALUE"""),44471.0)</f>
        <v>44471</v>
      </c>
      <c r="B3336" s="9">
        <f>IFERROR(__xludf.DUMMYFUNCTION("""COMPUTED_VALUE"""),1003769.0)</f>
        <v>1003769</v>
      </c>
      <c r="C3336" s="9">
        <f>IFERROR(__xludf.DUMMYFUNCTION("""COMPUTED_VALUE"""),128311.0)</f>
        <v>128311</v>
      </c>
      <c r="D3336" s="9"/>
      <c r="E3336" s="9"/>
      <c r="F3336" s="9">
        <f>IFERROR(__xludf.DUMMYFUNCTION("""COMPUTED_VALUE"""),4.4)</f>
        <v>4.4</v>
      </c>
      <c r="G3336" s="9">
        <f>IFERROR(__xludf.DUMMYFUNCTION("""COMPUTED_VALUE"""),4.4)</f>
        <v>4.4</v>
      </c>
      <c r="H3336" s="9">
        <f>IFERROR(__xludf.DUMMYFUNCTION("""COMPUTED_VALUE"""),1.0)</f>
        <v>1</v>
      </c>
      <c r="I3336" s="9"/>
      <c r="J3336" s="9"/>
      <c r="K3336" s="9"/>
      <c r="L3336" s="9"/>
      <c r="M3336" s="9"/>
      <c r="N3336" s="9"/>
      <c r="O3336" s="9"/>
      <c r="P3336" s="9"/>
      <c r="Q3336" s="9"/>
      <c r="R3336" s="9"/>
      <c r="S3336" s="9"/>
      <c r="T3336" s="9"/>
    </row>
    <row r="3337" ht="15.75" customHeight="1">
      <c r="A3337" s="11">
        <f>IFERROR(__xludf.DUMMYFUNCTION("""COMPUTED_VALUE"""),44471.0)</f>
        <v>44471</v>
      </c>
      <c r="B3337" s="9">
        <f>IFERROR(__xludf.DUMMYFUNCTION("""COMPUTED_VALUE"""),1003769.0)</f>
        <v>1003769</v>
      </c>
      <c r="C3337" s="9">
        <f>IFERROR(__xludf.DUMMYFUNCTION("""COMPUTED_VALUE"""),77256.0)</f>
        <v>77256</v>
      </c>
      <c r="D3337" s="9"/>
      <c r="E3337" s="9"/>
      <c r="F3337" s="9">
        <f>IFERROR(__xludf.DUMMYFUNCTION("""COMPUTED_VALUE"""),4.92)</f>
        <v>4.92</v>
      </c>
      <c r="G3337" s="9">
        <f>IFERROR(__xludf.DUMMYFUNCTION("""COMPUTED_VALUE"""),4.92)</f>
        <v>4.92</v>
      </c>
      <c r="H3337" s="9">
        <f>IFERROR(__xludf.DUMMYFUNCTION("""COMPUTED_VALUE"""),1.0)</f>
        <v>1</v>
      </c>
      <c r="I3337" s="9"/>
      <c r="J3337" s="9"/>
      <c r="K3337" s="9"/>
      <c r="L3337" s="9"/>
      <c r="M3337" s="9"/>
      <c r="N3337" s="9"/>
      <c r="O3337" s="9"/>
      <c r="P3337" s="9"/>
      <c r="Q3337" s="9"/>
      <c r="R3337" s="9"/>
      <c r="S3337" s="9"/>
      <c r="T3337" s="9"/>
    </row>
    <row r="3338" ht="15.75" customHeight="1">
      <c r="A3338" s="11">
        <f>IFERROR(__xludf.DUMMYFUNCTION("""COMPUTED_VALUE"""),44471.0)</f>
        <v>44471</v>
      </c>
      <c r="B3338" s="9">
        <f>IFERROR(__xludf.DUMMYFUNCTION("""COMPUTED_VALUE"""),1003769.0)</f>
        <v>1003769</v>
      </c>
      <c r="C3338" s="9">
        <f>IFERROR(__xludf.DUMMYFUNCTION("""COMPUTED_VALUE"""),44694.0)</f>
        <v>44694</v>
      </c>
      <c r="D3338" s="10" t="str">
        <f>IFERROR(__xludf.DUMMYFUNCTION("""COMPUTED_VALUE"""),"Offre speciale")</f>
        <v>Offre speciale</v>
      </c>
      <c r="E3338" s="10"/>
      <c r="F3338" s="9">
        <f>IFERROR(__xludf.DUMMYFUNCTION("""COMPUTED_VALUE"""),3.56521739130434)</f>
        <v>3.565217391</v>
      </c>
      <c r="G3338" s="9">
        <f>IFERROR(__xludf.DUMMYFUNCTION("""COMPUTED_VALUE"""),3.28)</f>
        <v>3.28</v>
      </c>
      <c r="H3338" s="9">
        <f>IFERROR(__xludf.DUMMYFUNCTION("""COMPUTED_VALUE"""),1.0)</f>
        <v>1</v>
      </c>
      <c r="I3338" s="9"/>
      <c r="J3338" s="9"/>
      <c r="K3338" s="9"/>
      <c r="L3338" s="9"/>
      <c r="M3338" s="9"/>
      <c r="N3338" s="9"/>
      <c r="O3338" s="9"/>
      <c r="P3338" s="9"/>
      <c r="Q3338" s="9"/>
      <c r="R3338" s="9"/>
      <c r="S3338" s="9"/>
      <c r="T3338" s="9"/>
    </row>
    <row r="3339" ht="15.75" customHeight="1">
      <c r="A3339" s="11">
        <f>IFERROR(__xludf.DUMMYFUNCTION("""COMPUTED_VALUE"""),44471.0)</f>
        <v>44471</v>
      </c>
      <c r="B3339" s="9">
        <f>IFERROR(__xludf.DUMMYFUNCTION("""COMPUTED_VALUE"""),1003769.0)</f>
        <v>1003769</v>
      </c>
      <c r="C3339" s="9">
        <f>IFERROR(__xludf.DUMMYFUNCTION("""COMPUTED_VALUE"""),106773.0)</f>
        <v>106773</v>
      </c>
      <c r="D3339" s="9"/>
      <c r="E3339" s="9"/>
      <c r="F3339" s="9">
        <f>IFERROR(__xludf.DUMMYFUNCTION("""COMPUTED_VALUE"""),2.6)</f>
        <v>2.6</v>
      </c>
      <c r="G3339" s="9">
        <f>IFERROR(__xludf.DUMMYFUNCTION("""COMPUTED_VALUE"""),2.6)</f>
        <v>2.6</v>
      </c>
      <c r="H3339" s="9">
        <f>IFERROR(__xludf.DUMMYFUNCTION("""COMPUTED_VALUE"""),1.0)</f>
        <v>1</v>
      </c>
      <c r="I3339" s="9"/>
      <c r="J3339" s="9"/>
      <c r="K3339" s="9"/>
      <c r="L3339" s="9"/>
      <c r="M3339" s="9"/>
      <c r="N3339" s="9"/>
      <c r="O3339" s="9"/>
      <c r="P3339" s="9"/>
      <c r="Q3339" s="9"/>
      <c r="R3339" s="9"/>
      <c r="S3339" s="9"/>
      <c r="T3339" s="9"/>
    </row>
    <row r="3340" ht="15.75" customHeight="1">
      <c r="A3340" s="11">
        <f>IFERROR(__xludf.DUMMYFUNCTION("""COMPUTED_VALUE"""),44471.0)</f>
        <v>44471</v>
      </c>
      <c r="B3340" s="9">
        <f>IFERROR(__xludf.DUMMYFUNCTION("""COMPUTED_VALUE"""),1003769.0)</f>
        <v>1003769</v>
      </c>
      <c r="C3340" s="9">
        <f>IFERROR(__xludf.DUMMYFUNCTION("""COMPUTED_VALUE"""),19837.0)</f>
        <v>19837</v>
      </c>
      <c r="D3340" s="9"/>
      <c r="E3340" s="9"/>
      <c r="F3340" s="9">
        <f>IFERROR(__xludf.DUMMYFUNCTION("""COMPUTED_VALUE"""),11.06)</f>
        <v>11.06</v>
      </c>
      <c r="G3340" s="9">
        <f>IFERROR(__xludf.DUMMYFUNCTION("""COMPUTED_VALUE"""),11.06)</f>
        <v>11.06</v>
      </c>
      <c r="H3340" s="9">
        <f>IFERROR(__xludf.DUMMYFUNCTION("""COMPUTED_VALUE"""),2.0)</f>
        <v>2</v>
      </c>
      <c r="I3340" s="9"/>
      <c r="J3340" s="9"/>
      <c r="K3340" s="9"/>
      <c r="L3340" s="9"/>
      <c r="M3340" s="9"/>
      <c r="N3340" s="9"/>
      <c r="O3340" s="9"/>
      <c r="P3340" s="9"/>
      <c r="Q3340" s="9"/>
      <c r="R3340" s="9"/>
      <c r="S3340" s="9"/>
      <c r="T3340" s="9"/>
    </row>
    <row r="3341" ht="15.75" customHeight="1">
      <c r="A3341" s="11">
        <f>IFERROR(__xludf.DUMMYFUNCTION("""COMPUTED_VALUE"""),44471.0)</f>
        <v>44471</v>
      </c>
      <c r="B3341" s="9">
        <f>IFERROR(__xludf.DUMMYFUNCTION("""COMPUTED_VALUE"""),1003770.0)</f>
        <v>1003770</v>
      </c>
      <c r="C3341" s="9">
        <f>IFERROR(__xludf.DUMMYFUNCTION("""COMPUTED_VALUE"""),120964.0)</f>
        <v>120964</v>
      </c>
      <c r="D3341" s="9"/>
      <c r="E3341" s="10" t="str">
        <f>IFERROR(__xludf.DUMMYFUNCTION("""COMPUTED_VALUE"""),"GREENRELAIS")</f>
        <v>GREENRELAIS</v>
      </c>
      <c r="F3341" s="10">
        <f>IFERROR(__xludf.DUMMYFUNCTION("""COMPUTED_VALUE"""),3.0)</f>
        <v>3</v>
      </c>
      <c r="G3341" s="9">
        <f>IFERROR(__xludf.DUMMYFUNCTION("""COMPUTED_VALUE"""),3.0)</f>
        <v>3</v>
      </c>
      <c r="H3341" s="9">
        <f>IFERROR(__xludf.DUMMYFUNCTION("""COMPUTED_VALUE"""),1.0)</f>
        <v>1</v>
      </c>
      <c r="I3341" s="9"/>
      <c r="J3341" s="9"/>
      <c r="K3341" s="9"/>
      <c r="L3341" s="9"/>
      <c r="M3341" s="9"/>
      <c r="N3341" s="9"/>
      <c r="O3341" s="9"/>
      <c r="P3341" s="9"/>
      <c r="Q3341" s="9"/>
      <c r="R3341" s="9"/>
      <c r="S3341" s="9"/>
      <c r="T3341" s="9"/>
    </row>
    <row r="3342" ht="15.75" customHeight="1">
      <c r="A3342" s="11">
        <f>IFERROR(__xludf.DUMMYFUNCTION("""COMPUTED_VALUE"""),44471.0)</f>
        <v>44471</v>
      </c>
      <c r="B3342" s="9">
        <f>IFERROR(__xludf.DUMMYFUNCTION("""COMPUTED_VALUE"""),1003770.0)</f>
        <v>1003770</v>
      </c>
      <c r="C3342" s="9">
        <f>IFERROR(__xludf.DUMMYFUNCTION("""COMPUTED_VALUE"""),118594.0)</f>
        <v>118594</v>
      </c>
      <c r="D3342" s="9"/>
      <c r="E3342" s="10" t="str">
        <f>IFERROR(__xludf.DUMMYFUNCTION("""COMPUTED_VALUE"""),"GREENRELAIS")</f>
        <v>GREENRELAIS</v>
      </c>
      <c r="F3342" s="10">
        <f>IFERROR(__xludf.DUMMYFUNCTION("""COMPUTED_VALUE"""),2.13)</f>
        <v>2.13</v>
      </c>
      <c r="G3342" s="9">
        <f>IFERROR(__xludf.DUMMYFUNCTION("""COMPUTED_VALUE"""),2.13)</f>
        <v>2.13</v>
      </c>
      <c r="H3342" s="9">
        <f>IFERROR(__xludf.DUMMYFUNCTION("""COMPUTED_VALUE"""),1.0)</f>
        <v>1</v>
      </c>
      <c r="I3342" s="9"/>
      <c r="J3342" s="9"/>
      <c r="K3342" s="9"/>
      <c r="L3342" s="9"/>
      <c r="M3342" s="9"/>
      <c r="N3342" s="9"/>
      <c r="O3342" s="9"/>
      <c r="P3342" s="9"/>
      <c r="Q3342" s="9"/>
      <c r="R3342" s="9"/>
      <c r="S3342" s="9"/>
      <c r="T3342" s="9"/>
    </row>
    <row r="3343" ht="15.75" customHeight="1">
      <c r="A3343" s="11">
        <f>IFERROR(__xludf.DUMMYFUNCTION("""COMPUTED_VALUE"""),44471.0)</f>
        <v>44471</v>
      </c>
      <c r="B3343" s="9">
        <f>IFERROR(__xludf.DUMMYFUNCTION("""COMPUTED_VALUE"""),1003770.0)</f>
        <v>1003770</v>
      </c>
      <c r="C3343" s="9">
        <f>IFERROR(__xludf.DUMMYFUNCTION("""COMPUTED_VALUE"""),118590.0)</f>
        <v>118590</v>
      </c>
      <c r="D3343" s="9"/>
      <c r="E3343" s="10" t="str">
        <f>IFERROR(__xludf.DUMMYFUNCTION("""COMPUTED_VALUE"""),"GREENRELAIS")</f>
        <v>GREENRELAIS</v>
      </c>
      <c r="F3343" s="10">
        <f>IFERROR(__xludf.DUMMYFUNCTION("""COMPUTED_VALUE"""),2.13)</f>
        <v>2.13</v>
      </c>
      <c r="G3343" s="9">
        <f>IFERROR(__xludf.DUMMYFUNCTION("""COMPUTED_VALUE"""),2.13)</f>
        <v>2.13</v>
      </c>
      <c r="H3343" s="9">
        <f>IFERROR(__xludf.DUMMYFUNCTION("""COMPUTED_VALUE"""),1.0)</f>
        <v>1</v>
      </c>
      <c r="I3343" s="9"/>
      <c r="J3343" s="9"/>
      <c r="K3343" s="9"/>
      <c r="L3343" s="9"/>
      <c r="M3343" s="9"/>
      <c r="N3343" s="9"/>
      <c r="O3343" s="9"/>
      <c r="P3343" s="9"/>
      <c r="Q3343" s="9"/>
      <c r="R3343" s="9"/>
      <c r="S3343" s="9"/>
      <c r="T3343" s="9"/>
    </row>
    <row r="3344" ht="15.75" customHeight="1">
      <c r="A3344" s="11">
        <f>IFERROR(__xludf.DUMMYFUNCTION("""COMPUTED_VALUE"""),44471.0)</f>
        <v>44471</v>
      </c>
      <c r="B3344" s="9">
        <f>IFERROR(__xludf.DUMMYFUNCTION("""COMPUTED_VALUE"""),1003770.0)</f>
        <v>1003770</v>
      </c>
      <c r="C3344" s="9">
        <f>IFERROR(__xludf.DUMMYFUNCTION("""COMPUTED_VALUE"""),83598.0)</f>
        <v>83598</v>
      </c>
      <c r="D3344" s="10" t="str">
        <f>IFERROR(__xludf.DUMMYFUNCTION("""COMPUTED_VALUE"""),"Vive le bio")</f>
        <v>Vive le bio</v>
      </c>
      <c r="E3344" s="10" t="str">
        <f>IFERROR(__xludf.DUMMYFUNCTION("""COMPUTED_VALUE"""),"GREENRELAIS")</f>
        <v>GREENRELAIS</v>
      </c>
      <c r="F3344" s="10">
        <f>IFERROR(__xludf.DUMMYFUNCTION("""COMPUTED_VALUE"""),6.26666666666666)</f>
        <v>6.266666667</v>
      </c>
      <c r="G3344" s="9">
        <f>IFERROR(__xludf.DUMMYFUNCTION("""COMPUTED_VALUE"""),5.64)</f>
        <v>5.64</v>
      </c>
      <c r="H3344" s="9">
        <f>IFERROR(__xludf.DUMMYFUNCTION("""COMPUTED_VALUE"""),1.0)</f>
        <v>1</v>
      </c>
      <c r="I3344" s="9"/>
      <c r="J3344" s="9"/>
      <c r="K3344" s="9"/>
      <c r="L3344" s="9"/>
      <c r="M3344" s="9"/>
      <c r="N3344" s="9"/>
      <c r="O3344" s="9"/>
      <c r="P3344" s="9"/>
      <c r="Q3344" s="9"/>
      <c r="R3344" s="9"/>
      <c r="S3344" s="9"/>
      <c r="T3344" s="9"/>
    </row>
    <row r="3345" ht="15.75" customHeight="1">
      <c r="A3345" s="11">
        <f>IFERROR(__xludf.DUMMYFUNCTION("""COMPUTED_VALUE"""),44471.0)</f>
        <v>44471</v>
      </c>
      <c r="B3345" s="9">
        <f>IFERROR(__xludf.DUMMYFUNCTION("""COMPUTED_VALUE"""),1003770.0)</f>
        <v>1003770</v>
      </c>
      <c r="C3345" s="9">
        <f>IFERROR(__xludf.DUMMYFUNCTION("""COMPUTED_VALUE"""),87878.0)</f>
        <v>87878</v>
      </c>
      <c r="D3345" s="9"/>
      <c r="E3345" s="10" t="str">
        <f>IFERROR(__xludf.DUMMYFUNCTION("""COMPUTED_VALUE"""),"GREENRELAIS")</f>
        <v>GREENRELAIS</v>
      </c>
      <c r="F3345" s="10">
        <f>IFERROR(__xludf.DUMMYFUNCTION("""COMPUTED_VALUE"""),1.13)</f>
        <v>1.13</v>
      </c>
      <c r="G3345" s="9">
        <f>IFERROR(__xludf.DUMMYFUNCTION("""COMPUTED_VALUE"""),1.13)</f>
        <v>1.13</v>
      </c>
      <c r="H3345" s="9">
        <f>IFERROR(__xludf.DUMMYFUNCTION("""COMPUTED_VALUE"""),1.0)</f>
        <v>1</v>
      </c>
      <c r="I3345" s="9"/>
      <c r="J3345" s="9"/>
      <c r="K3345" s="9"/>
      <c r="L3345" s="9"/>
      <c r="M3345" s="9"/>
      <c r="N3345" s="9"/>
      <c r="O3345" s="9"/>
      <c r="P3345" s="9"/>
      <c r="Q3345" s="9"/>
      <c r="R3345" s="9"/>
      <c r="S3345" s="9"/>
      <c r="T3345" s="9"/>
    </row>
    <row r="3346" ht="15.75" customHeight="1">
      <c r="A3346" s="11">
        <f>IFERROR(__xludf.DUMMYFUNCTION("""COMPUTED_VALUE"""),44471.0)</f>
        <v>44471</v>
      </c>
      <c r="B3346" s="9">
        <f>IFERROR(__xludf.DUMMYFUNCTION("""COMPUTED_VALUE"""),1003770.0)</f>
        <v>1003770</v>
      </c>
      <c r="C3346" s="9">
        <f>IFERROR(__xludf.DUMMYFUNCTION("""COMPUTED_VALUE"""),87877.0)</f>
        <v>87877</v>
      </c>
      <c r="D3346" s="9"/>
      <c r="E3346" s="10" t="str">
        <f>IFERROR(__xludf.DUMMYFUNCTION("""COMPUTED_VALUE"""),"GREENRELAIS")</f>
        <v>GREENRELAIS</v>
      </c>
      <c r="F3346" s="10">
        <f>IFERROR(__xludf.DUMMYFUNCTION("""COMPUTED_VALUE"""),1.13)</f>
        <v>1.13</v>
      </c>
      <c r="G3346" s="9">
        <f>IFERROR(__xludf.DUMMYFUNCTION("""COMPUTED_VALUE"""),1.13)</f>
        <v>1.13</v>
      </c>
      <c r="H3346" s="9">
        <f>IFERROR(__xludf.DUMMYFUNCTION("""COMPUTED_VALUE"""),1.0)</f>
        <v>1</v>
      </c>
      <c r="I3346" s="9"/>
      <c r="J3346" s="9"/>
      <c r="K3346" s="9"/>
      <c r="L3346" s="9"/>
      <c r="M3346" s="9"/>
      <c r="N3346" s="9"/>
      <c r="O3346" s="9"/>
      <c r="P3346" s="9"/>
      <c r="Q3346" s="9"/>
      <c r="R3346" s="9"/>
      <c r="S3346" s="9"/>
      <c r="T3346" s="9"/>
    </row>
    <row r="3347" ht="15.75" customHeight="1">
      <c r="A3347" s="11">
        <f>IFERROR(__xludf.DUMMYFUNCTION("""COMPUTED_VALUE"""),44471.0)</f>
        <v>44471</v>
      </c>
      <c r="B3347" s="9">
        <f>IFERROR(__xludf.DUMMYFUNCTION("""COMPUTED_VALUE"""),1003770.0)</f>
        <v>1003770</v>
      </c>
      <c r="C3347" s="9">
        <f>IFERROR(__xludf.DUMMYFUNCTION("""COMPUTED_VALUE"""),87876.0)</f>
        <v>87876</v>
      </c>
      <c r="D3347" s="9"/>
      <c r="E3347" s="10" t="str">
        <f>IFERROR(__xludf.DUMMYFUNCTION("""COMPUTED_VALUE"""),"GREENRELAIS")</f>
        <v>GREENRELAIS</v>
      </c>
      <c r="F3347" s="10">
        <f>IFERROR(__xludf.DUMMYFUNCTION("""COMPUTED_VALUE"""),1.13)</f>
        <v>1.13</v>
      </c>
      <c r="G3347" s="9">
        <f>IFERROR(__xludf.DUMMYFUNCTION("""COMPUTED_VALUE"""),1.13)</f>
        <v>1.13</v>
      </c>
      <c r="H3347" s="9">
        <f>IFERROR(__xludf.DUMMYFUNCTION("""COMPUTED_VALUE"""),1.0)</f>
        <v>1</v>
      </c>
      <c r="I3347" s="9"/>
      <c r="J3347" s="9"/>
      <c r="K3347" s="9"/>
      <c r="L3347" s="9"/>
      <c r="M3347" s="9"/>
      <c r="N3347" s="9"/>
      <c r="O3347" s="9"/>
      <c r="P3347" s="9"/>
      <c r="Q3347" s="9"/>
      <c r="R3347" s="9"/>
      <c r="S3347" s="9"/>
      <c r="T3347" s="9"/>
    </row>
    <row r="3348" ht="15.75" customHeight="1">
      <c r="A3348" s="11">
        <f>IFERROR(__xludf.DUMMYFUNCTION("""COMPUTED_VALUE"""),44471.0)</f>
        <v>44471</v>
      </c>
      <c r="B3348" s="9">
        <f>IFERROR(__xludf.DUMMYFUNCTION("""COMPUTED_VALUE"""),1003770.0)</f>
        <v>1003770</v>
      </c>
      <c r="C3348" s="9">
        <f>IFERROR(__xludf.DUMMYFUNCTION("""COMPUTED_VALUE"""),109275.0)</f>
        <v>109275</v>
      </c>
      <c r="D3348" s="9"/>
      <c r="E3348" s="10" t="str">
        <f>IFERROR(__xludf.DUMMYFUNCTION("""COMPUTED_VALUE"""),"GREENRELAIS")</f>
        <v>GREENRELAIS</v>
      </c>
      <c r="F3348" s="10">
        <f>IFERROR(__xludf.DUMMYFUNCTION("""COMPUTED_VALUE"""),3.02)</f>
        <v>3.02</v>
      </c>
      <c r="G3348" s="9">
        <f>IFERROR(__xludf.DUMMYFUNCTION("""COMPUTED_VALUE"""),3.02)</f>
        <v>3.02</v>
      </c>
      <c r="H3348" s="9">
        <f>IFERROR(__xludf.DUMMYFUNCTION("""COMPUTED_VALUE"""),1.0)</f>
        <v>1</v>
      </c>
      <c r="I3348" s="9"/>
      <c r="J3348" s="9"/>
      <c r="K3348" s="9"/>
      <c r="L3348" s="9"/>
      <c r="M3348" s="9"/>
      <c r="N3348" s="9"/>
      <c r="O3348" s="9"/>
      <c r="P3348" s="9"/>
      <c r="Q3348" s="9"/>
      <c r="R3348" s="9"/>
      <c r="S3348" s="9"/>
      <c r="T3348" s="9"/>
    </row>
    <row r="3349" ht="15.75" customHeight="1">
      <c r="A3349" s="11">
        <f>IFERROR(__xludf.DUMMYFUNCTION("""COMPUTED_VALUE"""),44471.0)</f>
        <v>44471</v>
      </c>
      <c r="B3349" s="9">
        <f>IFERROR(__xludf.DUMMYFUNCTION("""COMPUTED_VALUE"""),1003770.0)</f>
        <v>1003770</v>
      </c>
      <c r="C3349" s="9">
        <f>IFERROR(__xludf.DUMMYFUNCTION("""COMPUTED_VALUE"""),122166.0)</f>
        <v>122166</v>
      </c>
      <c r="D3349" s="9"/>
      <c r="E3349" s="10" t="str">
        <f>IFERROR(__xludf.DUMMYFUNCTION("""COMPUTED_VALUE"""),"GREENRELAIS")</f>
        <v>GREENRELAIS</v>
      </c>
      <c r="F3349" s="10">
        <f>IFERROR(__xludf.DUMMYFUNCTION("""COMPUTED_VALUE"""),2.03)</f>
        <v>2.03</v>
      </c>
      <c r="G3349" s="9">
        <f>IFERROR(__xludf.DUMMYFUNCTION("""COMPUTED_VALUE"""),2.03)</f>
        <v>2.03</v>
      </c>
      <c r="H3349" s="9">
        <f>IFERROR(__xludf.DUMMYFUNCTION("""COMPUTED_VALUE"""),1.0)</f>
        <v>1</v>
      </c>
      <c r="I3349" s="9"/>
      <c r="J3349" s="9"/>
      <c r="K3349" s="9"/>
      <c r="L3349" s="9"/>
      <c r="M3349" s="9"/>
      <c r="N3349" s="9"/>
      <c r="O3349" s="9"/>
      <c r="P3349" s="9"/>
      <c r="Q3349" s="9"/>
      <c r="R3349" s="9"/>
      <c r="S3349" s="9"/>
      <c r="T3349" s="9"/>
    </row>
    <row r="3350" ht="15.75" customHeight="1">
      <c r="A3350" s="11">
        <f>IFERROR(__xludf.DUMMYFUNCTION("""COMPUTED_VALUE"""),44471.0)</f>
        <v>44471</v>
      </c>
      <c r="B3350" s="9">
        <f>IFERROR(__xludf.DUMMYFUNCTION("""COMPUTED_VALUE"""),1003770.0)</f>
        <v>1003770</v>
      </c>
      <c r="C3350" s="9">
        <f>IFERROR(__xludf.DUMMYFUNCTION("""COMPUTED_VALUE"""),122167.0)</f>
        <v>122167</v>
      </c>
      <c r="D3350" s="9"/>
      <c r="E3350" s="10" t="str">
        <f>IFERROR(__xludf.DUMMYFUNCTION("""COMPUTED_VALUE"""),"GREENRELAIS")</f>
        <v>GREENRELAIS</v>
      </c>
      <c r="F3350" s="10">
        <f>IFERROR(__xludf.DUMMYFUNCTION("""COMPUTED_VALUE"""),2.03)</f>
        <v>2.03</v>
      </c>
      <c r="G3350" s="9">
        <f>IFERROR(__xludf.DUMMYFUNCTION("""COMPUTED_VALUE"""),2.03)</f>
        <v>2.03</v>
      </c>
      <c r="H3350" s="9">
        <f>IFERROR(__xludf.DUMMYFUNCTION("""COMPUTED_VALUE"""),1.0)</f>
        <v>1</v>
      </c>
      <c r="I3350" s="9"/>
      <c r="J3350" s="9"/>
      <c r="K3350" s="9"/>
      <c r="L3350" s="9"/>
      <c r="M3350" s="9"/>
      <c r="N3350" s="9"/>
      <c r="O3350" s="9"/>
      <c r="P3350" s="9"/>
      <c r="Q3350" s="9"/>
      <c r="R3350" s="9"/>
      <c r="S3350" s="9"/>
      <c r="T3350" s="9"/>
    </row>
    <row r="3351" ht="15.75" customHeight="1">
      <c r="A3351" s="11">
        <f>IFERROR(__xludf.DUMMYFUNCTION("""COMPUTED_VALUE"""),44471.0)</f>
        <v>44471</v>
      </c>
      <c r="B3351" s="9">
        <f>IFERROR(__xludf.DUMMYFUNCTION("""COMPUTED_VALUE"""),1003770.0)</f>
        <v>1003770</v>
      </c>
      <c r="C3351" s="9">
        <f>IFERROR(__xludf.DUMMYFUNCTION("""COMPUTED_VALUE"""),83600.0)</f>
        <v>83600</v>
      </c>
      <c r="D3351" s="9"/>
      <c r="E3351" s="10" t="str">
        <f>IFERROR(__xludf.DUMMYFUNCTION("""COMPUTED_VALUE"""),"GREENRELAIS")</f>
        <v>GREENRELAIS</v>
      </c>
      <c r="F3351" s="10">
        <f>IFERROR(__xludf.DUMMYFUNCTION("""COMPUTED_VALUE"""),4.82)</f>
        <v>4.82</v>
      </c>
      <c r="G3351" s="9">
        <f>IFERROR(__xludf.DUMMYFUNCTION("""COMPUTED_VALUE"""),4.82)</f>
        <v>4.82</v>
      </c>
      <c r="H3351" s="9">
        <f>IFERROR(__xludf.DUMMYFUNCTION("""COMPUTED_VALUE"""),1.0)</f>
        <v>1</v>
      </c>
      <c r="I3351" s="9"/>
      <c r="J3351" s="9"/>
      <c r="K3351" s="9"/>
      <c r="L3351" s="9"/>
      <c r="M3351" s="9"/>
      <c r="N3351" s="9"/>
      <c r="O3351" s="9"/>
      <c r="P3351" s="9"/>
      <c r="Q3351" s="9"/>
      <c r="R3351" s="9"/>
      <c r="S3351" s="9"/>
      <c r="T3351" s="9"/>
    </row>
    <row r="3352" ht="15.75" customHeight="1">
      <c r="A3352" s="11">
        <f>IFERROR(__xludf.DUMMYFUNCTION("""COMPUTED_VALUE"""),44471.0)</f>
        <v>44471</v>
      </c>
      <c r="B3352" s="9">
        <f>IFERROR(__xludf.DUMMYFUNCTION("""COMPUTED_VALUE"""),1003770.0)</f>
        <v>1003770</v>
      </c>
      <c r="C3352" s="9">
        <f>IFERROR(__xludf.DUMMYFUNCTION("""COMPUTED_VALUE"""),10561.0)</f>
        <v>10561</v>
      </c>
      <c r="D3352" s="9"/>
      <c r="E3352" s="10" t="str">
        <f>IFERROR(__xludf.DUMMYFUNCTION("""COMPUTED_VALUE"""),"GREENRELAIS")</f>
        <v>GREENRELAIS</v>
      </c>
      <c r="F3352" s="10">
        <f>IFERROR(__xludf.DUMMYFUNCTION("""COMPUTED_VALUE"""),7.07)</f>
        <v>7.07</v>
      </c>
      <c r="G3352" s="9">
        <f>IFERROR(__xludf.DUMMYFUNCTION("""COMPUTED_VALUE"""),7.07)</f>
        <v>7.07</v>
      </c>
      <c r="H3352" s="9">
        <f>IFERROR(__xludf.DUMMYFUNCTION("""COMPUTED_VALUE"""),1.0)</f>
        <v>1</v>
      </c>
      <c r="I3352" s="9"/>
      <c r="J3352" s="9"/>
      <c r="K3352" s="9"/>
      <c r="L3352" s="9"/>
      <c r="M3352" s="9"/>
      <c r="N3352" s="9"/>
      <c r="O3352" s="9"/>
      <c r="P3352" s="9"/>
      <c r="Q3352" s="9"/>
      <c r="R3352" s="9"/>
      <c r="S3352" s="9"/>
      <c r="T3352" s="9"/>
    </row>
    <row r="3353" ht="15.75" customHeight="1">
      <c r="A3353" s="11">
        <f>IFERROR(__xludf.DUMMYFUNCTION("""COMPUTED_VALUE"""),44471.0)</f>
        <v>44471</v>
      </c>
      <c r="B3353" s="9">
        <f>IFERROR(__xludf.DUMMYFUNCTION("""COMPUTED_VALUE"""),1003770.0)</f>
        <v>1003770</v>
      </c>
      <c r="C3353" s="9">
        <f>IFERROR(__xludf.DUMMYFUNCTION("""COMPUTED_VALUE"""),116384.0)</f>
        <v>116384</v>
      </c>
      <c r="D3353" s="9"/>
      <c r="E3353" s="10" t="str">
        <f>IFERROR(__xludf.DUMMYFUNCTION("""COMPUTED_VALUE"""),"GREENRELAIS")</f>
        <v>GREENRELAIS</v>
      </c>
      <c r="F3353" s="10">
        <f>IFERROR(__xludf.DUMMYFUNCTION("""COMPUTED_VALUE"""),4.35)</f>
        <v>4.35</v>
      </c>
      <c r="G3353" s="9">
        <f>IFERROR(__xludf.DUMMYFUNCTION("""COMPUTED_VALUE"""),4.35)</f>
        <v>4.35</v>
      </c>
      <c r="H3353" s="9">
        <f>IFERROR(__xludf.DUMMYFUNCTION("""COMPUTED_VALUE"""),1.0)</f>
        <v>1</v>
      </c>
      <c r="I3353" s="9"/>
      <c r="J3353" s="9"/>
      <c r="K3353" s="9"/>
      <c r="L3353" s="9"/>
      <c r="M3353" s="9"/>
      <c r="N3353" s="9"/>
      <c r="O3353" s="9"/>
      <c r="P3353" s="9"/>
      <c r="Q3353" s="9"/>
      <c r="R3353" s="9"/>
      <c r="S3353" s="9"/>
      <c r="T3353" s="9"/>
    </row>
    <row r="3354" ht="15.75" customHeight="1">
      <c r="A3354" s="11">
        <f>IFERROR(__xludf.DUMMYFUNCTION("""COMPUTED_VALUE"""),44471.0)</f>
        <v>44471</v>
      </c>
      <c r="B3354" s="9">
        <f>IFERROR(__xludf.DUMMYFUNCTION("""COMPUTED_VALUE"""),1003770.0)</f>
        <v>1003770</v>
      </c>
      <c r="C3354" s="9">
        <f>IFERROR(__xludf.DUMMYFUNCTION("""COMPUTED_VALUE"""),83599.0)</f>
        <v>83599</v>
      </c>
      <c r="D3354" s="10" t="str">
        <f>IFERROR(__xludf.DUMMYFUNCTION("""COMPUTED_VALUE"""),"Vive le bio")</f>
        <v>Vive le bio</v>
      </c>
      <c r="E3354" s="10" t="str">
        <f>IFERROR(__xludf.DUMMYFUNCTION("""COMPUTED_VALUE"""),"GREENRELAIS")</f>
        <v>GREENRELAIS</v>
      </c>
      <c r="F3354" s="10">
        <f>IFERROR(__xludf.DUMMYFUNCTION("""COMPUTED_VALUE"""),5.6)</f>
        <v>5.6</v>
      </c>
      <c r="G3354" s="9">
        <f>IFERROR(__xludf.DUMMYFUNCTION("""COMPUTED_VALUE"""),5.04)</f>
        <v>5.04</v>
      </c>
      <c r="H3354" s="9">
        <f>IFERROR(__xludf.DUMMYFUNCTION("""COMPUTED_VALUE"""),1.0)</f>
        <v>1</v>
      </c>
      <c r="I3354" s="9"/>
      <c r="J3354" s="9"/>
      <c r="K3354" s="9"/>
      <c r="L3354" s="9"/>
      <c r="M3354" s="9"/>
      <c r="N3354" s="9"/>
      <c r="O3354" s="9"/>
      <c r="P3354" s="9"/>
      <c r="Q3354" s="9"/>
      <c r="R3354" s="9"/>
      <c r="S3354" s="9"/>
      <c r="T3354" s="9"/>
    </row>
    <row r="3355" ht="15.75" customHeight="1">
      <c r="A3355" s="11">
        <f>IFERROR(__xludf.DUMMYFUNCTION("""COMPUTED_VALUE"""),44471.0)</f>
        <v>44471</v>
      </c>
      <c r="B3355" s="9">
        <f>IFERROR(__xludf.DUMMYFUNCTION("""COMPUTED_VALUE"""),1003770.0)</f>
        <v>1003770</v>
      </c>
      <c r="C3355" s="9">
        <f>IFERROR(__xludf.DUMMYFUNCTION("""COMPUTED_VALUE"""),96003.0)</f>
        <v>96003</v>
      </c>
      <c r="D3355" s="9"/>
      <c r="E3355" s="10" t="str">
        <f>IFERROR(__xludf.DUMMYFUNCTION("""COMPUTED_VALUE"""),"GREENRELAIS")</f>
        <v>GREENRELAIS</v>
      </c>
      <c r="F3355" s="10">
        <f>IFERROR(__xludf.DUMMYFUNCTION("""COMPUTED_VALUE"""),3.43)</f>
        <v>3.43</v>
      </c>
      <c r="G3355" s="9">
        <f>IFERROR(__xludf.DUMMYFUNCTION("""COMPUTED_VALUE"""),3.43)</f>
        <v>3.43</v>
      </c>
      <c r="H3355" s="9">
        <f>IFERROR(__xludf.DUMMYFUNCTION("""COMPUTED_VALUE"""),1.0)</f>
        <v>1</v>
      </c>
      <c r="I3355" s="9"/>
      <c r="J3355" s="9"/>
      <c r="K3355" s="9"/>
      <c r="L3355" s="9"/>
      <c r="M3355" s="9"/>
      <c r="N3355" s="9"/>
      <c r="O3355" s="9"/>
      <c r="P3355" s="9"/>
      <c r="Q3355" s="9"/>
      <c r="R3355" s="9"/>
      <c r="S3355" s="9"/>
      <c r="T3355" s="9"/>
    </row>
    <row r="3356" ht="15.75" customHeight="1">
      <c r="A3356" s="11">
        <f>IFERROR(__xludf.DUMMYFUNCTION("""COMPUTED_VALUE"""),44471.0)</f>
        <v>44471</v>
      </c>
      <c r="B3356" s="9">
        <f>IFERROR(__xludf.DUMMYFUNCTION("""COMPUTED_VALUE"""),1003770.0)</f>
        <v>1003770</v>
      </c>
      <c r="C3356" s="9">
        <f>IFERROR(__xludf.DUMMYFUNCTION("""COMPUTED_VALUE"""),78856.0)</f>
        <v>78856</v>
      </c>
      <c r="D3356" s="10" t="str">
        <f>IFERROR(__xludf.DUMMYFUNCTION("""COMPUTED_VALUE"""),"Vive le bio")</f>
        <v>Vive le bio</v>
      </c>
      <c r="E3356" s="10" t="str">
        <f>IFERROR(__xludf.DUMMYFUNCTION("""COMPUTED_VALUE"""),"GREENRELAIS")</f>
        <v>GREENRELAIS</v>
      </c>
      <c r="F3356" s="10">
        <f>IFERROR(__xludf.DUMMYFUNCTION("""COMPUTED_VALUE"""),3.43333333333333)</f>
        <v>3.433333333</v>
      </c>
      <c r="G3356" s="9">
        <f>IFERROR(__xludf.DUMMYFUNCTION("""COMPUTED_VALUE"""),3.09)</f>
        <v>3.09</v>
      </c>
      <c r="H3356" s="9">
        <f>IFERROR(__xludf.DUMMYFUNCTION("""COMPUTED_VALUE"""),1.0)</f>
        <v>1</v>
      </c>
      <c r="I3356" s="9"/>
      <c r="J3356" s="9"/>
      <c r="K3356" s="9"/>
      <c r="L3356" s="9"/>
      <c r="M3356" s="9"/>
      <c r="N3356" s="9"/>
      <c r="O3356" s="9"/>
      <c r="P3356" s="9"/>
      <c r="Q3356" s="9"/>
      <c r="R3356" s="9"/>
      <c r="S3356" s="9"/>
      <c r="T3356" s="9"/>
    </row>
    <row r="3357" ht="15.75" customHeight="1">
      <c r="A3357" s="11">
        <f>IFERROR(__xludf.DUMMYFUNCTION("""COMPUTED_VALUE"""),44471.0)</f>
        <v>44471</v>
      </c>
      <c r="B3357" s="9">
        <f>IFERROR(__xludf.DUMMYFUNCTION("""COMPUTED_VALUE"""),1003770.0)</f>
        <v>1003770</v>
      </c>
      <c r="C3357" s="9">
        <f>IFERROR(__xludf.DUMMYFUNCTION("""COMPUTED_VALUE"""),78859.0)</f>
        <v>78859</v>
      </c>
      <c r="D3357" s="9"/>
      <c r="E3357" s="10" t="str">
        <f>IFERROR(__xludf.DUMMYFUNCTION("""COMPUTED_VALUE"""),"GREENRELAIS")</f>
        <v>GREENRELAIS</v>
      </c>
      <c r="F3357" s="10">
        <f>IFERROR(__xludf.DUMMYFUNCTION("""COMPUTED_VALUE"""),2.81)</f>
        <v>2.81</v>
      </c>
      <c r="G3357" s="9">
        <f>IFERROR(__xludf.DUMMYFUNCTION("""COMPUTED_VALUE"""),2.81)</f>
        <v>2.81</v>
      </c>
      <c r="H3357" s="9">
        <f>IFERROR(__xludf.DUMMYFUNCTION("""COMPUTED_VALUE"""),1.0)</f>
        <v>1</v>
      </c>
      <c r="I3357" s="9"/>
      <c r="J3357" s="9"/>
      <c r="K3357" s="9"/>
      <c r="L3357" s="9"/>
      <c r="M3357" s="9"/>
      <c r="N3357" s="9"/>
      <c r="O3357" s="9"/>
      <c r="P3357" s="9"/>
      <c r="Q3357" s="9"/>
      <c r="R3357" s="9"/>
      <c r="S3357" s="9"/>
      <c r="T3357" s="9"/>
    </row>
    <row r="3358" ht="15.75" customHeight="1">
      <c r="A3358" s="11">
        <f>IFERROR(__xludf.DUMMYFUNCTION("""COMPUTED_VALUE"""),44471.0)</f>
        <v>44471</v>
      </c>
      <c r="B3358" s="9">
        <f>IFERROR(__xludf.DUMMYFUNCTION("""COMPUTED_VALUE"""),1003770.0)</f>
        <v>1003770</v>
      </c>
      <c r="C3358" s="9">
        <f>IFERROR(__xludf.DUMMYFUNCTION("""COMPUTED_VALUE"""),83612.0)</f>
        <v>83612</v>
      </c>
      <c r="D3358" s="10" t="str">
        <f>IFERROR(__xludf.DUMMYFUNCTION("""COMPUTED_VALUE"""),"Vive le bio")</f>
        <v>Vive le bio</v>
      </c>
      <c r="E3358" s="10" t="str">
        <f>IFERROR(__xludf.DUMMYFUNCTION("""COMPUTED_VALUE"""),"GREENRELAIS")</f>
        <v>GREENRELAIS</v>
      </c>
      <c r="F3358" s="10">
        <f>IFERROR(__xludf.DUMMYFUNCTION("""COMPUTED_VALUE"""),4.82222222222222)</f>
        <v>4.822222222</v>
      </c>
      <c r="G3358" s="9">
        <f>IFERROR(__xludf.DUMMYFUNCTION("""COMPUTED_VALUE"""),4.34)</f>
        <v>4.34</v>
      </c>
      <c r="H3358" s="9">
        <f>IFERROR(__xludf.DUMMYFUNCTION("""COMPUTED_VALUE"""),1.0)</f>
        <v>1</v>
      </c>
      <c r="I3358" s="9"/>
      <c r="J3358" s="9"/>
      <c r="K3358" s="9"/>
      <c r="L3358" s="9"/>
      <c r="M3358" s="9"/>
      <c r="N3358" s="9"/>
      <c r="O3358" s="9"/>
      <c r="P3358" s="9"/>
      <c r="Q3358" s="9"/>
      <c r="R3358" s="9"/>
      <c r="S3358" s="9"/>
      <c r="T3358" s="9"/>
    </row>
    <row r="3359" ht="15.75" customHeight="1">
      <c r="A3359" s="11">
        <f>IFERROR(__xludf.DUMMYFUNCTION("""COMPUTED_VALUE"""),44471.0)</f>
        <v>44471</v>
      </c>
      <c r="B3359" s="9">
        <f>IFERROR(__xludf.DUMMYFUNCTION("""COMPUTED_VALUE"""),1003770.0)</f>
        <v>1003770</v>
      </c>
      <c r="C3359" s="9">
        <f>IFERROR(__xludf.DUMMYFUNCTION("""COMPUTED_VALUE"""),122661.0)</f>
        <v>122661</v>
      </c>
      <c r="D3359" s="9"/>
      <c r="E3359" s="10" t="str">
        <f>IFERROR(__xludf.DUMMYFUNCTION("""COMPUTED_VALUE"""),"GREENRELAIS")</f>
        <v>GREENRELAIS</v>
      </c>
      <c r="F3359" s="10">
        <f>IFERROR(__xludf.DUMMYFUNCTION("""COMPUTED_VALUE"""),4.16)</f>
        <v>4.16</v>
      </c>
      <c r="G3359" s="9">
        <f>IFERROR(__xludf.DUMMYFUNCTION("""COMPUTED_VALUE"""),4.16)</f>
        <v>4.16</v>
      </c>
      <c r="H3359" s="9">
        <f>IFERROR(__xludf.DUMMYFUNCTION("""COMPUTED_VALUE"""),1.0)</f>
        <v>1</v>
      </c>
      <c r="I3359" s="9"/>
      <c r="J3359" s="9"/>
      <c r="K3359" s="9"/>
      <c r="L3359" s="9"/>
      <c r="M3359" s="9"/>
      <c r="N3359" s="9"/>
      <c r="O3359" s="9"/>
      <c r="P3359" s="9"/>
      <c r="Q3359" s="9"/>
      <c r="R3359" s="9"/>
      <c r="S3359" s="9"/>
      <c r="T3359" s="9"/>
    </row>
    <row r="3360" ht="15.75" customHeight="1">
      <c r="A3360" s="11">
        <f>IFERROR(__xludf.DUMMYFUNCTION("""COMPUTED_VALUE"""),44471.0)</f>
        <v>44471</v>
      </c>
      <c r="B3360" s="9">
        <f>IFERROR(__xludf.DUMMYFUNCTION("""COMPUTED_VALUE"""),1003770.0)</f>
        <v>1003770</v>
      </c>
      <c r="C3360" s="9">
        <f>IFERROR(__xludf.DUMMYFUNCTION("""COMPUTED_VALUE"""),78855.0)</f>
        <v>78855</v>
      </c>
      <c r="D3360" s="10" t="str">
        <f>IFERROR(__xludf.DUMMYFUNCTION("""COMPUTED_VALUE"""),"Vive le bio")</f>
        <v>Vive le bio</v>
      </c>
      <c r="E3360" s="10" t="str">
        <f>IFERROR(__xludf.DUMMYFUNCTION("""COMPUTED_VALUE"""),"GREENRELAIS")</f>
        <v>GREENRELAIS</v>
      </c>
      <c r="F3360" s="10">
        <f>IFERROR(__xludf.DUMMYFUNCTION("""COMPUTED_VALUE"""),3.33333333333333)</f>
        <v>3.333333333</v>
      </c>
      <c r="G3360" s="9">
        <f>IFERROR(__xludf.DUMMYFUNCTION("""COMPUTED_VALUE"""),3.0)</f>
        <v>3</v>
      </c>
      <c r="H3360" s="9">
        <f>IFERROR(__xludf.DUMMYFUNCTION("""COMPUTED_VALUE"""),1.0)</f>
        <v>1</v>
      </c>
      <c r="I3360" s="9"/>
      <c r="J3360" s="9"/>
      <c r="K3360" s="9"/>
      <c r="L3360" s="9"/>
      <c r="M3360" s="9"/>
      <c r="N3360" s="9"/>
      <c r="O3360" s="9"/>
      <c r="P3360" s="9"/>
      <c r="Q3360" s="9"/>
      <c r="R3360" s="9"/>
      <c r="S3360" s="9"/>
      <c r="T3360" s="9"/>
    </row>
    <row r="3361" ht="15.75" customHeight="1">
      <c r="A3361" s="11">
        <f>IFERROR(__xludf.DUMMYFUNCTION("""COMPUTED_VALUE"""),44471.0)</f>
        <v>44471</v>
      </c>
      <c r="B3361" s="9">
        <f>IFERROR(__xludf.DUMMYFUNCTION("""COMPUTED_VALUE"""),1003770.0)</f>
        <v>1003770</v>
      </c>
      <c r="C3361" s="9">
        <f>IFERROR(__xludf.DUMMYFUNCTION("""COMPUTED_VALUE"""),104316.0)</f>
        <v>104316</v>
      </c>
      <c r="D3361" s="9"/>
      <c r="E3361" s="10" t="str">
        <f>IFERROR(__xludf.DUMMYFUNCTION("""COMPUTED_VALUE"""),"GREENRELAIS")</f>
        <v>GREENRELAIS</v>
      </c>
      <c r="F3361" s="10">
        <f>IFERROR(__xludf.DUMMYFUNCTION("""COMPUTED_VALUE"""),3.09)</f>
        <v>3.09</v>
      </c>
      <c r="G3361" s="9">
        <f>IFERROR(__xludf.DUMMYFUNCTION("""COMPUTED_VALUE"""),3.09)</f>
        <v>3.09</v>
      </c>
      <c r="H3361" s="9">
        <f>IFERROR(__xludf.DUMMYFUNCTION("""COMPUTED_VALUE"""),1.0)</f>
        <v>1</v>
      </c>
      <c r="I3361" s="9"/>
      <c r="J3361" s="9"/>
      <c r="K3361" s="9"/>
      <c r="L3361" s="9"/>
      <c r="M3361" s="9"/>
      <c r="N3361" s="9"/>
      <c r="O3361" s="9"/>
      <c r="P3361" s="9"/>
      <c r="Q3361" s="9"/>
      <c r="R3361" s="9"/>
      <c r="S3361" s="9"/>
      <c r="T3361" s="9"/>
    </row>
    <row r="3362" ht="15.75" customHeight="1">
      <c r="A3362" s="11">
        <f>IFERROR(__xludf.DUMMYFUNCTION("""COMPUTED_VALUE"""),44471.0)</f>
        <v>44471</v>
      </c>
      <c r="B3362" s="9">
        <f>IFERROR(__xludf.DUMMYFUNCTION("""COMPUTED_VALUE"""),1003770.0)</f>
        <v>1003770</v>
      </c>
      <c r="C3362" s="9">
        <f>IFERROR(__xludf.DUMMYFUNCTION("""COMPUTED_VALUE"""),104317.0)</f>
        <v>104317</v>
      </c>
      <c r="D3362" s="9"/>
      <c r="E3362" s="10" t="str">
        <f>IFERROR(__xludf.DUMMYFUNCTION("""COMPUTED_VALUE"""),"GREENRELAIS")</f>
        <v>GREENRELAIS</v>
      </c>
      <c r="F3362" s="10">
        <f>IFERROR(__xludf.DUMMYFUNCTION("""COMPUTED_VALUE"""),3.34)</f>
        <v>3.34</v>
      </c>
      <c r="G3362" s="9">
        <f>IFERROR(__xludf.DUMMYFUNCTION("""COMPUTED_VALUE"""),3.34)</f>
        <v>3.34</v>
      </c>
      <c r="H3362" s="9">
        <f>IFERROR(__xludf.DUMMYFUNCTION("""COMPUTED_VALUE"""),1.0)</f>
        <v>1</v>
      </c>
      <c r="I3362" s="9"/>
      <c r="J3362" s="9"/>
      <c r="K3362" s="9"/>
      <c r="L3362" s="9"/>
      <c r="M3362" s="9"/>
      <c r="N3362" s="9"/>
      <c r="O3362" s="9"/>
      <c r="P3362" s="9"/>
      <c r="Q3362" s="9"/>
      <c r="R3362" s="9"/>
      <c r="S3362" s="9"/>
      <c r="T3362" s="9"/>
    </row>
    <row r="3363" ht="15.75" customHeight="1">
      <c r="A3363" s="11">
        <f>IFERROR(__xludf.DUMMYFUNCTION("""COMPUTED_VALUE"""),44471.0)</f>
        <v>44471</v>
      </c>
      <c r="B3363" s="9">
        <f>IFERROR(__xludf.DUMMYFUNCTION("""COMPUTED_VALUE"""),1003770.0)</f>
        <v>1003770</v>
      </c>
      <c r="C3363" s="9">
        <f>IFERROR(__xludf.DUMMYFUNCTION("""COMPUTED_VALUE"""),5692.0)</f>
        <v>5692</v>
      </c>
      <c r="D3363" s="9"/>
      <c r="E3363" s="10" t="str">
        <f>IFERROR(__xludf.DUMMYFUNCTION("""COMPUTED_VALUE"""),"GREENRELAIS")</f>
        <v>GREENRELAIS</v>
      </c>
      <c r="F3363" s="10">
        <f>IFERROR(__xludf.DUMMYFUNCTION("""COMPUTED_VALUE"""),4.43)</f>
        <v>4.43</v>
      </c>
      <c r="G3363" s="9">
        <f>IFERROR(__xludf.DUMMYFUNCTION("""COMPUTED_VALUE"""),4.43)</f>
        <v>4.43</v>
      </c>
      <c r="H3363" s="9">
        <f>IFERROR(__xludf.DUMMYFUNCTION("""COMPUTED_VALUE"""),1.0)</f>
        <v>1</v>
      </c>
      <c r="I3363" s="9"/>
      <c r="J3363" s="9"/>
      <c r="K3363" s="9"/>
      <c r="L3363" s="9"/>
      <c r="M3363" s="9"/>
      <c r="N3363" s="9"/>
      <c r="O3363" s="9"/>
      <c r="P3363" s="9"/>
      <c r="Q3363" s="9"/>
      <c r="R3363" s="9"/>
      <c r="S3363" s="9"/>
      <c r="T3363" s="9"/>
    </row>
    <row r="3364" ht="15.75" customHeight="1">
      <c r="A3364" s="11">
        <f>IFERROR(__xludf.DUMMYFUNCTION("""COMPUTED_VALUE"""),44471.0)</f>
        <v>44471</v>
      </c>
      <c r="B3364" s="9">
        <f>IFERROR(__xludf.DUMMYFUNCTION("""COMPUTED_VALUE"""),1003770.0)</f>
        <v>1003770</v>
      </c>
      <c r="C3364" s="9">
        <f>IFERROR(__xludf.DUMMYFUNCTION("""COMPUTED_VALUE"""),10572.0)</f>
        <v>10572</v>
      </c>
      <c r="D3364" s="9"/>
      <c r="E3364" s="10" t="str">
        <f>IFERROR(__xludf.DUMMYFUNCTION("""COMPUTED_VALUE"""),"GREENRELAIS")</f>
        <v>GREENRELAIS</v>
      </c>
      <c r="F3364" s="10">
        <f>IFERROR(__xludf.DUMMYFUNCTION("""COMPUTED_VALUE"""),3.22)</f>
        <v>3.22</v>
      </c>
      <c r="G3364" s="9">
        <f>IFERROR(__xludf.DUMMYFUNCTION("""COMPUTED_VALUE"""),3.22)</f>
        <v>3.22</v>
      </c>
      <c r="H3364" s="9">
        <f>IFERROR(__xludf.DUMMYFUNCTION("""COMPUTED_VALUE"""),1.0)</f>
        <v>1</v>
      </c>
      <c r="I3364" s="9"/>
      <c r="J3364" s="9"/>
      <c r="K3364" s="9"/>
      <c r="L3364" s="9"/>
      <c r="M3364" s="9"/>
      <c r="N3364" s="9"/>
      <c r="O3364" s="9"/>
      <c r="P3364" s="9"/>
      <c r="Q3364" s="9"/>
      <c r="R3364" s="9"/>
      <c r="S3364" s="9"/>
      <c r="T3364" s="9"/>
    </row>
    <row r="3365" ht="15.75" customHeight="1">
      <c r="A3365" s="11">
        <f>IFERROR(__xludf.DUMMYFUNCTION("""COMPUTED_VALUE"""),44471.0)</f>
        <v>44471</v>
      </c>
      <c r="B3365" s="9">
        <f>IFERROR(__xludf.DUMMYFUNCTION("""COMPUTED_VALUE"""),1003770.0)</f>
        <v>1003770</v>
      </c>
      <c r="C3365" s="9">
        <f>IFERROR(__xludf.DUMMYFUNCTION("""COMPUTED_VALUE"""),83605.0)</f>
        <v>83605</v>
      </c>
      <c r="D3365" s="10" t="str">
        <f>IFERROR(__xludf.DUMMYFUNCTION("""COMPUTED_VALUE"""),"Vive le bio")</f>
        <v>Vive le bio</v>
      </c>
      <c r="E3365" s="10" t="str">
        <f>IFERROR(__xludf.DUMMYFUNCTION("""COMPUTED_VALUE"""),"GREENRELAIS")</f>
        <v>GREENRELAIS</v>
      </c>
      <c r="F3365" s="10">
        <f>IFERROR(__xludf.DUMMYFUNCTION("""COMPUTED_VALUE"""),4.88888888888888)</f>
        <v>4.888888889</v>
      </c>
      <c r="G3365" s="9">
        <f>IFERROR(__xludf.DUMMYFUNCTION("""COMPUTED_VALUE"""),4.4)</f>
        <v>4.4</v>
      </c>
      <c r="H3365" s="9">
        <f>IFERROR(__xludf.DUMMYFUNCTION("""COMPUTED_VALUE"""),1.0)</f>
        <v>1</v>
      </c>
      <c r="I3365" s="9"/>
      <c r="J3365" s="9"/>
      <c r="K3365" s="9"/>
      <c r="L3365" s="9"/>
      <c r="M3365" s="9"/>
      <c r="N3365" s="9"/>
      <c r="O3365" s="9"/>
      <c r="P3365" s="9"/>
      <c r="Q3365" s="9"/>
      <c r="R3365" s="9"/>
      <c r="S3365" s="9"/>
      <c r="T3365" s="9"/>
    </row>
    <row r="3366" ht="15.75" customHeight="1">
      <c r="A3366" s="11">
        <f>IFERROR(__xludf.DUMMYFUNCTION("""COMPUTED_VALUE"""),44471.0)</f>
        <v>44471</v>
      </c>
      <c r="B3366" s="9">
        <f>IFERROR(__xludf.DUMMYFUNCTION("""COMPUTED_VALUE"""),1003770.0)</f>
        <v>1003770</v>
      </c>
      <c r="C3366" s="9">
        <f>IFERROR(__xludf.DUMMYFUNCTION("""COMPUTED_VALUE"""),95922.0)</f>
        <v>95922</v>
      </c>
      <c r="D3366" s="9"/>
      <c r="E3366" s="10" t="str">
        <f>IFERROR(__xludf.DUMMYFUNCTION("""COMPUTED_VALUE"""),"GREENRELAIS")</f>
        <v>GREENRELAIS</v>
      </c>
      <c r="F3366" s="10">
        <f>IFERROR(__xludf.DUMMYFUNCTION("""COMPUTED_VALUE"""),4.49)</f>
        <v>4.49</v>
      </c>
      <c r="G3366" s="9">
        <f>IFERROR(__xludf.DUMMYFUNCTION("""COMPUTED_VALUE"""),4.49)</f>
        <v>4.49</v>
      </c>
      <c r="H3366" s="9">
        <f>IFERROR(__xludf.DUMMYFUNCTION("""COMPUTED_VALUE"""),1.0)</f>
        <v>1</v>
      </c>
      <c r="I3366" s="9"/>
      <c r="J3366" s="9"/>
      <c r="K3366" s="9"/>
      <c r="L3366" s="9"/>
      <c r="M3366" s="9"/>
      <c r="N3366" s="9"/>
      <c r="O3366" s="9"/>
      <c r="P3366" s="9"/>
      <c r="Q3366" s="9"/>
      <c r="R3366" s="9"/>
      <c r="S3366" s="9"/>
      <c r="T3366" s="9"/>
    </row>
    <row r="3367" ht="15.75" customHeight="1">
      <c r="A3367" s="11">
        <f>IFERROR(__xludf.DUMMYFUNCTION("""COMPUTED_VALUE"""),44471.0)</f>
        <v>44471</v>
      </c>
      <c r="B3367" s="9">
        <f>IFERROR(__xludf.DUMMYFUNCTION("""COMPUTED_VALUE"""),1003770.0)</f>
        <v>1003770</v>
      </c>
      <c r="C3367" s="9">
        <f>IFERROR(__xludf.DUMMYFUNCTION("""COMPUTED_VALUE"""),83634.0)</f>
        <v>83634</v>
      </c>
      <c r="D3367" s="9"/>
      <c r="E3367" s="10" t="str">
        <f>IFERROR(__xludf.DUMMYFUNCTION("""COMPUTED_VALUE"""),"GREENRELAIS")</f>
        <v>GREENRELAIS</v>
      </c>
      <c r="F3367" s="10">
        <f>IFERROR(__xludf.DUMMYFUNCTION("""COMPUTED_VALUE"""),5.49)</f>
        <v>5.49</v>
      </c>
      <c r="G3367" s="9">
        <f>IFERROR(__xludf.DUMMYFUNCTION("""COMPUTED_VALUE"""),5.49)</f>
        <v>5.49</v>
      </c>
      <c r="H3367" s="9">
        <f>IFERROR(__xludf.DUMMYFUNCTION("""COMPUTED_VALUE"""),1.0)</f>
        <v>1</v>
      </c>
      <c r="I3367" s="9"/>
      <c r="J3367" s="9"/>
      <c r="K3367" s="9"/>
      <c r="L3367" s="9"/>
      <c r="M3367" s="9"/>
      <c r="N3367" s="9"/>
      <c r="O3367" s="9"/>
      <c r="P3367" s="9"/>
      <c r="Q3367" s="9"/>
      <c r="R3367" s="9"/>
      <c r="S3367" s="9"/>
      <c r="T3367" s="9"/>
    </row>
    <row r="3368" ht="15.75" customHeight="1">
      <c r="A3368" s="11">
        <f>IFERROR(__xludf.DUMMYFUNCTION("""COMPUTED_VALUE"""),44471.0)</f>
        <v>44471</v>
      </c>
      <c r="B3368" s="9">
        <f>IFERROR(__xludf.DUMMYFUNCTION("""COMPUTED_VALUE"""),1003770.0)</f>
        <v>1003770</v>
      </c>
      <c r="C3368" s="9">
        <f>IFERROR(__xludf.DUMMYFUNCTION("""COMPUTED_VALUE"""),113058.0)</f>
        <v>113058</v>
      </c>
      <c r="D3368" s="10" t="str">
        <f>IFERROR(__xludf.DUMMYFUNCTION("""COMPUTED_VALUE"""),"DLC courtes")</f>
        <v>DLC courtes</v>
      </c>
      <c r="E3368" s="10" t="str">
        <f>IFERROR(__xludf.DUMMYFUNCTION("""COMPUTED_VALUE"""),"GREENRELAIS")</f>
        <v>GREENRELAIS</v>
      </c>
      <c r="F3368" s="10">
        <f>IFERROR(__xludf.DUMMYFUNCTION("""COMPUTED_VALUE"""),2.99999999999999)</f>
        <v>3</v>
      </c>
      <c r="G3368" s="9">
        <f>IFERROR(__xludf.DUMMYFUNCTION("""COMPUTED_VALUE"""),2.4)</f>
        <v>2.4</v>
      </c>
      <c r="H3368" s="9">
        <f>IFERROR(__xludf.DUMMYFUNCTION("""COMPUTED_VALUE"""),1.0)</f>
        <v>1</v>
      </c>
      <c r="I3368" s="9"/>
      <c r="J3368" s="9"/>
      <c r="K3368" s="9"/>
      <c r="L3368" s="9"/>
      <c r="M3368" s="9"/>
      <c r="N3368" s="9"/>
      <c r="O3368" s="9"/>
      <c r="P3368" s="9"/>
      <c r="Q3368" s="9"/>
      <c r="R3368" s="9"/>
      <c r="S3368" s="9"/>
      <c r="T3368" s="9"/>
    </row>
    <row r="3369" ht="15.75" customHeight="1">
      <c r="A3369" s="11">
        <f>IFERROR(__xludf.DUMMYFUNCTION("""COMPUTED_VALUE"""),44471.0)</f>
        <v>44471</v>
      </c>
      <c r="B3369" s="9">
        <f>IFERROR(__xludf.DUMMYFUNCTION("""COMPUTED_VALUE"""),1003772.0)</f>
        <v>1003772</v>
      </c>
      <c r="C3369" s="9">
        <f>IFERROR(__xludf.DUMMYFUNCTION("""COMPUTED_VALUE"""),118197.0)</f>
        <v>118197</v>
      </c>
      <c r="D3369" s="9"/>
      <c r="E3369" s="9"/>
      <c r="F3369" s="9">
        <f>IFERROR(__xludf.DUMMYFUNCTION("""COMPUTED_VALUE"""),2.63)</f>
        <v>2.63</v>
      </c>
      <c r="G3369" s="9">
        <f>IFERROR(__xludf.DUMMYFUNCTION("""COMPUTED_VALUE"""),2.63)</f>
        <v>2.63</v>
      </c>
      <c r="H3369" s="9">
        <f>IFERROR(__xludf.DUMMYFUNCTION("""COMPUTED_VALUE"""),1.0)</f>
        <v>1</v>
      </c>
      <c r="I3369" s="9"/>
      <c r="J3369" s="9"/>
      <c r="K3369" s="9"/>
      <c r="L3369" s="9"/>
      <c r="M3369" s="9"/>
      <c r="N3369" s="9"/>
      <c r="O3369" s="9"/>
      <c r="P3369" s="9"/>
      <c r="Q3369" s="9"/>
      <c r="R3369" s="9"/>
      <c r="S3369" s="9"/>
      <c r="T3369" s="9"/>
    </row>
    <row r="3370" ht="15.75" customHeight="1">
      <c r="A3370" s="11">
        <f>IFERROR(__xludf.DUMMYFUNCTION("""COMPUTED_VALUE"""),44471.0)</f>
        <v>44471</v>
      </c>
      <c r="B3370" s="9">
        <f>IFERROR(__xludf.DUMMYFUNCTION("""COMPUTED_VALUE"""),1003772.0)</f>
        <v>1003772</v>
      </c>
      <c r="C3370" s="9">
        <f>IFERROR(__xludf.DUMMYFUNCTION("""COMPUTED_VALUE"""),109309.0)</f>
        <v>109309</v>
      </c>
      <c r="D3370" s="9"/>
      <c r="E3370" s="9"/>
      <c r="F3370" s="9">
        <f>IFERROR(__xludf.DUMMYFUNCTION("""COMPUTED_VALUE"""),8.27)</f>
        <v>8.27</v>
      </c>
      <c r="G3370" s="9">
        <f>IFERROR(__xludf.DUMMYFUNCTION("""COMPUTED_VALUE"""),8.27)</f>
        <v>8.27</v>
      </c>
      <c r="H3370" s="9">
        <f>IFERROR(__xludf.DUMMYFUNCTION("""COMPUTED_VALUE"""),1.0)</f>
        <v>1</v>
      </c>
      <c r="I3370" s="9"/>
      <c r="J3370" s="9"/>
      <c r="K3370" s="9"/>
      <c r="L3370" s="9"/>
      <c r="M3370" s="9"/>
      <c r="N3370" s="9"/>
      <c r="O3370" s="9"/>
      <c r="P3370" s="9"/>
      <c r="Q3370" s="9"/>
      <c r="R3370" s="9"/>
      <c r="S3370" s="9"/>
      <c r="T3370" s="9"/>
    </row>
    <row r="3371" ht="15.75" customHeight="1">
      <c r="A3371" s="11">
        <f>IFERROR(__xludf.DUMMYFUNCTION("""COMPUTED_VALUE"""),44471.0)</f>
        <v>44471</v>
      </c>
      <c r="B3371" s="9">
        <f>IFERROR(__xludf.DUMMYFUNCTION("""COMPUTED_VALUE"""),1003772.0)</f>
        <v>1003772</v>
      </c>
      <c r="C3371" s="9">
        <f>IFERROR(__xludf.DUMMYFUNCTION("""COMPUTED_VALUE"""),109310.0)</f>
        <v>109310</v>
      </c>
      <c r="D3371" s="9"/>
      <c r="E3371" s="9"/>
      <c r="F3371" s="9">
        <f>IFERROR(__xludf.DUMMYFUNCTION("""COMPUTED_VALUE"""),6.27)</f>
        <v>6.27</v>
      </c>
      <c r="G3371" s="9">
        <f>IFERROR(__xludf.DUMMYFUNCTION("""COMPUTED_VALUE"""),6.27)</f>
        <v>6.27</v>
      </c>
      <c r="H3371" s="9">
        <f>IFERROR(__xludf.DUMMYFUNCTION("""COMPUTED_VALUE"""),1.0)</f>
        <v>1</v>
      </c>
      <c r="I3371" s="9"/>
      <c r="J3371" s="9"/>
      <c r="K3371" s="9"/>
      <c r="L3371" s="9"/>
      <c r="M3371" s="9"/>
      <c r="N3371" s="9"/>
      <c r="O3371" s="9"/>
      <c r="P3371" s="9"/>
      <c r="Q3371" s="9"/>
      <c r="R3371" s="9"/>
      <c r="S3371" s="9"/>
      <c r="T3371" s="9"/>
    </row>
    <row r="3372" ht="15.75" customHeight="1">
      <c r="A3372" s="11">
        <f>IFERROR(__xludf.DUMMYFUNCTION("""COMPUTED_VALUE"""),44471.0)</f>
        <v>44471</v>
      </c>
      <c r="B3372" s="9">
        <f>IFERROR(__xludf.DUMMYFUNCTION("""COMPUTED_VALUE"""),1003772.0)</f>
        <v>1003772</v>
      </c>
      <c r="C3372" s="9">
        <f>IFERROR(__xludf.DUMMYFUNCTION("""COMPUTED_VALUE"""),80203.0)</f>
        <v>80203</v>
      </c>
      <c r="D3372" s="9"/>
      <c r="E3372" s="9"/>
      <c r="F3372" s="9">
        <f>IFERROR(__xludf.DUMMYFUNCTION("""COMPUTED_VALUE"""),2.54)</f>
        <v>2.54</v>
      </c>
      <c r="G3372" s="9">
        <f>IFERROR(__xludf.DUMMYFUNCTION("""COMPUTED_VALUE"""),2.54)</f>
        <v>2.54</v>
      </c>
      <c r="H3372" s="9">
        <f>IFERROR(__xludf.DUMMYFUNCTION("""COMPUTED_VALUE"""),1.0)</f>
        <v>1</v>
      </c>
      <c r="I3372" s="9"/>
      <c r="J3372" s="9"/>
      <c r="K3372" s="9"/>
      <c r="L3372" s="9"/>
      <c r="M3372" s="9"/>
      <c r="N3372" s="9"/>
      <c r="O3372" s="9"/>
      <c r="P3372" s="9"/>
      <c r="Q3372" s="9"/>
      <c r="R3372" s="9"/>
      <c r="S3372" s="9"/>
      <c r="T3372" s="9"/>
    </row>
    <row r="3373" ht="15.75" customHeight="1">
      <c r="A3373" s="11">
        <f>IFERROR(__xludf.DUMMYFUNCTION("""COMPUTED_VALUE"""),44471.0)</f>
        <v>44471</v>
      </c>
      <c r="B3373" s="9">
        <f>IFERROR(__xludf.DUMMYFUNCTION("""COMPUTED_VALUE"""),1003772.0)</f>
        <v>1003772</v>
      </c>
      <c r="C3373" s="9">
        <f>IFERROR(__xludf.DUMMYFUNCTION("""COMPUTED_VALUE"""),97023.0)</f>
        <v>97023</v>
      </c>
      <c r="D3373" s="9"/>
      <c r="E3373" s="9"/>
      <c r="F3373" s="9">
        <f>IFERROR(__xludf.DUMMYFUNCTION("""COMPUTED_VALUE"""),3.18)</f>
        <v>3.18</v>
      </c>
      <c r="G3373" s="9">
        <f>IFERROR(__xludf.DUMMYFUNCTION("""COMPUTED_VALUE"""),3.18)</f>
        <v>3.18</v>
      </c>
      <c r="H3373" s="9">
        <f>IFERROR(__xludf.DUMMYFUNCTION("""COMPUTED_VALUE"""),2.0)</f>
        <v>2</v>
      </c>
      <c r="I3373" s="9"/>
      <c r="J3373" s="9"/>
      <c r="K3373" s="9"/>
      <c r="L3373" s="9"/>
      <c r="M3373" s="9"/>
      <c r="N3373" s="9"/>
      <c r="O3373" s="9"/>
      <c r="P3373" s="9"/>
      <c r="Q3373" s="9"/>
      <c r="R3373" s="9"/>
      <c r="S3373" s="9"/>
      <c r="T3373" s="9"/>
    </row>
    <row r="3374" ht="15.75" customHeight="1">
      <c r="A3374" s="11">
        <f>IFERROR(__xludf.DUMMYFUNCTION("""COMPUTED_VALUE"""),44471.0)</f>
        <v>44471</v>
      </c>
      <c r="B3374" s="9">
        <f>IFERROR(__xludf.DUMMYFUNCTION("""COMPUTED_VALUE"""),1003772.0)</f>
        <v>1003772</v>
      </c>
      <c r="C3374" s="9">
        <f>IFERROR(__xludf.DUMMYFUNCTION("""COMPUTED_VALUE"""),158473.0)</f>
        <v>158473</v>
      </c>
      <c r="D3374" s="9"/>
      <c r="E3374" s="9"/>
      <c r="F3374" s="9">
        <f>IFERROR(__xludf.DUMMYFUNCTION("""COMPUTED_VALUE"""),11.05)</f>
        <v>11.05</v>
      </c>
      <c r="G3374" s="9">
        <f>IFERROR(__xludf.DUMMYFUNCTION("""COMPUTED_VALUE"""),11.05)</f>
        <v>11.05</v>
      </c>
      <c r="H3374" s="9">
        <f>IFERROR(__xludf.DUMMYFUNCTION("""COMPUTED_VALUE"""),2.0)</f>
        <v>2</v>
      </c>
      <c r="I3374" s="9"/>
      <c r="J3374" s="9"/>
      <c r="K3374" s="9"/>
      <c r="L3374" s="9"/>
      <c r="M3374" s="9"/>
      <c r="N3374" s="9"/>
      <c r="O3374" s="9"/>
      <c r="P3374" s="9"/>
      <c r="Q3374" s="9"/>
      <c r="R3374" s="9"/>
      <c r="S3374" s="9"/>
      <c r="T3374" s="9"/>
    </row>
    <row r="3375" ht="15.75" customHeight="1">
      <c r="A3375" s="11">
        <f>IFERROR(__xludf.DUMMYFUNCTION("""COMPUTED_VALUE"""),44471.0)</f>
        <v>44471</v>
      </c>
      <c r="B3375" s="9">
        <f>IFERROR(__xludf.DUMMYFUNCTION("""COMPUTED_VALUE"""),1003772.0)</f>
        <v>1003772</v>
      </c>
      <c r="C3375" s="9">
        <f>IFERROR(__xludf.DUMMYFUNCTION("""COMPUTED_VALUE"""),112249.0)</f>
        <v>112249</v>
      </c>
      <c r="D3375" s="9"/>
      <c r="E3375" s="9"/>
      <c r="F3375" s="9">
        <f>IFERROR(__xludf.DUMMYFUNCTION("""COMPUTED_VALUE"""),7.41)</f>
        <v>7.41</v>
      </c>
      <c r="G3375" s="9">
        <f>IFERROR(__xludf.DUMMYFUNCTION("""COMPUTED_VALUE"""),7.41)</f>
        <v>7.41</v>
      </c>
      <c r="H3375" s="9">
        <f>IFERROR(__xludf.DUMMYFUNCTION("""COMPUTED_VALUE"""),2.0)</f>
        <v>2</v>
      </c>
      <c r="I3375" s="9"/>
      <c r="J3375" s="9"/>
      <c r="K3375" s="9"/>
      <c r="L3375" s="9"/>
      <c r="M3375" s="9"/>
      <c r="N3375" s="9"/>
      <c r="O3375" s="9"/>
      <c r="P3375" s="9"/>
      <c r="Q3375" s="9"/>
      <c r="R3375" s="9"/>
      <c r="S3375" s="9"/>
      <c r="T3375" s="9"/>
    </row>
    <row r="3376" ht="15.75" customHeight="1">
      <c r="A3376" s="11">
        <f>IFERROR(__xludf.DUMMYFUNCTION("""COMPUTED_VALUE"""),44471.0)</f>
        <v>44471</v>
      </c>
      <c r="B3376" s="9">
        <f>IFERROR(__xludf.DUMMYFUNCTION("""COMPUTED_VALUE"""),1003773.0)</f>
        <v>1003773</v>
      </c>
      <c r="C3376" s="9">
        <f>IFERROR(__xludf.DUMMYFUNCTION("""COMPUTED_VALUE"""),103847.0)</f>
        <v>103847</v>
      </c>
      <c r="D3376" s="9"/>
      <c r="E3376" s="9"/>
      <c r="F3376" s="9">
        <f>IFERROR(__xludf.DUMMYFUNCTION("""COMPUTED_VALUE"""),14.09)</f>
        <v>14.09</v>
      </c>
      <c r="G3376" s="9">
        <f>IFERROR(__xludf.DUMMYFUNCTION("""COMPUTED_VALUE"""),14.09)</f>
        <v>14.09</v>
      </c>
      <c r="H3376" s="9">
        <f>IFERROR(__xludf.DUMMYFUNCTION("""COMPUTED_VALUE"""),1.0)</f>
        <v>1</v>
      </c>
      <c r="I3376" s="9"/>
      <c r="J3376" s="9"/>
      <c r="K3376" s="9"/>
      <c r="L3376" s="9"/>
      <c r="M3376" s="9"/>
      <c r="N3376" s="9"/>
      <c r="O3376" s="9"/>
      <c r="P3376" s="9"/>
      <c r="Q3376" s="9"/>
      <c r="R3376" s="9"/>
      <c r="S3376" s="9"/>
      <c r="T3376" s="9"/>
    </row>
    <row r="3377" ht="15.75" customHeight="1">
      <c r="A3377" s="11">
        <f>IFERROR(__xludf.DUMMYFUNCTION("""COMPUTED_VALUE"""),44471.0)</f>
        <v>44471</v>
      </c>
      <c r="B3377" s="9">
        <f>IFERROR(__xludf.DUMMYFUNCTION("""COMPUTED_VALUE"""),1003773.0)</f>
        <v>1003773</v>
      </c>
      <c r="C3377" s="9">
        <f>IFERROR(__xludf.DUMMYFUNCTION("""COMPUTED_VALUE"""),101297.0)</f>
        <v>101297</v>
      </c>
      <c r="D3377" s="10" t="str">
        <f>IFERROR(__xludf.DUMMYFUNCTION("""COMPUTED_VALUE"""),"Natur'vox Carryboo couches Sept 21")</f>
        <v>Natur'vox Carryboo couches Sept 21</v>
      </c>
      <c r="E3377" s="10"/>
      <c r="F3377" s="9">
        <f>IFERROR(__xludf.DUMMYFUNCTION("""COMPUTED_VALUE"""),98.2266666666666)</f>
        <v>98.22666667</v>
      </c>
      <c r="G3377" s="9">
        <f>IFERROR(__xludf.DUMMYFUNCTION("""COMPUTED_VALUE"""),73.67)</f>
        <v>73.67</v>
      </c>
      <c r="H3377" s="9">
        <f>IFERROR(__xludf.DUMMYFUNCTION("""COMPUTED_VALUE"""),6.0)</f>
        <v>6</v>
      </c>
      <c r="I3377" s="9"/>
      <c r="J3377" s="9"/>
      <c r="K3377" s="9"/>
      <c r="L3377" s="9"/>
      <c r="M3377" s="9"/>
      <c r="N3377" s="9"/>
      <c r="O3377" s="9"/>
      <c r="P3377" s="9"/>
      <c r="Q3377" s="9"/>
      <c r="R3377" s="9"/>
      <c r="S3377" s="9"/>
      <c r="T3377" s="9"/>
    </row>
    <row r="3378" ht="15.75" customHeight="1">
      <c r="A3378" s="11">
        <f>IFERROR(__xludf.DUMMYFUNCTION("""COMPUTED_VALUE"""),44471.0)</f>
        <v>44471</v>
      </c>
      <c r="B3378" s="9">
        <f>IFERROR(__xludf.DUMMYFUNCTION("""COMPUTED_VALUE"""),1003774.0)</f>
        <v>1003774</v>
      </c>
      <c r="C3378" s="9">
        <f>IFERROR(__xludf.DUMMYFUNCTION("""COMPUTED_VALUE"""),45471.0)</f>
        <v>45471</v>
      </c>
      <c r="D3378" s="9"/>
      <c r="E3378" s="9"/>
      <c r="F3378" s="9">
        <f>IFERROR(__xludf.DUMMYFUNCTION("""COMPUTED_VALUE"""),6.52)</f>
        <v>6.52</v>
      </c>
      <c r="G3378" s="9">
        <f>IFERROR(__xludf.DUMMYFUNCTION("""COMPUTED_VALUE"""),6.52)</f>
        <v>6.52</v>
      </c>
      <c r="H3378" s="9">
        <f>IFERROR(__xludf.DUMMYFUNCTION("""COMPUTED_VALUE"""),1.0)</f>
        <v>1</v>
      </c>
      <c r="I3378" s="9"/>
      <c r="J3378" s="9"/>
      <c r="K3378" s="9"/>
      <c r="L3378" s="9"/>
      <c r="M3378" s="9"/>
      <c r="N3378" s="9"/>
      <c r="O3378" s="9"/>
      <c r="P3378" s="9"/>
      <c r="Q3378" s="9"/>
      <c r="R3378" s="9"/>
      <c r="S3378" s="9"/>
      <c r="T3378" s="9"/>
    </row>
    <row r="3379" ht="15.75" customHeight="1">
      <c r="A3379" s="11">
        <f>IFERROR(__xludf.DUMMYFUNCTION("""COMPUTED_VALUE"""),44471.0)</f>
        <v>44471</v>
      </c>
      <c r="B3379" s="9">
        <f>IFERROR(__xludf.DUMMYFUNCTION("""COMPUTED_VALUE"""),1003774.0)</f>
        <v>1003774</v>
      </c>
      <c r="C3379" s="9">
        <f>IFERROR(__xludf.DUMMYFUNCTION("""COMPUTED_VALUE"""),109273.0)</f>
        <v>109273</v>
      </c>
      <c r="D3379" s="10" t="str">
        <f>IFERROR(__xludf.DUMMYFUNCTION("""COMPUTED_VALUE"""),"Offre Speciale")</f>
        <v>Offre Speciale</v>
      </c>
      <c r="E3379" s="10"/>
      <c r="F3379" s="9">
        <f>IFERROR(__xludf.DUMMYFUNCTION("""COMPUTED_VALUE"""),3.76666666666666)</f>
        <v>3.766666667</v>
      </c>
      <c r="G3379" s="9">
        <f>IFERROR(__xludf.DUMMYFUNCTION("""COMPUTED_VALUE"""),3.39)</f>
        <v>3.39</v>
      </c>
      <c r="H3379" s="9">
        <f>IFERROR(__xludf.DUMMYFUNCTION("""COMPUTED_VALUE"""),1.0)</f>
        <v>1</v>
      </c>
      <c r="I3379" s="9"/>
      <c r="J3379" s="9"/>
      <c r="K3379" s="9"/>
      <c r="L3379" s="9"/>
      <c r="M3379" s="9"/>
      <c r="N3379" s="9"/>
      <c r="O3379" s="9"/>
      <c r="P3379" s="9"/>
      <c r="Q3379" s="9"/>
      <c r="R3379" s="9"/>
      <c r="S3379" s="9"/>
      <c r="T3379" s="9"/>
    </row>
    <row r="3380" ht="15.75" customHeight="1">
      <c r="A3380" s="11">
        <f>IFERROR(__xludf.DUMMYFUNCTION("""COMPUTED_VALUE"""),44471.0)</f>
        <v>44471</v>
      </c>
      <c r="B3380" s="9">
        <f>IFERROR(__xludf.DUMMYFUNCTION("""COMPUTED_VALUE"""),1003774.0)</f>
        <v>1003774</v>
      </c>
      <c r="C3380" s="9">
        <f>IFERROR(__xludf.DUMMYFUNCTION("""COMPUTED_VALUE"""),121971.0)</f>
        <v>121971</v>
      </c>
      <c r="D3380" s="9"/>
      <c r="E3380" s="9"/>
      <c r="F3380" s="9">
        <f>IFERROR(__xludf.DUMMYFUNCTION("""COMPUTED_VALUE"""),4.3)</f>
        <v>4.3</v>
      </c>
      <c r="G3380" s="9">
        <f>IFERROR(__xludf.DUMMYFUNCTION("""COMPUTED_VALUE"""),4.3)</f>
        <v>4.3</v>
      </c>
      <c r="H3380" s="9">
        <f>IFERROR(__xludf.DUMMYFUNCTION("""COMPUTED_VALUE"""),1.0)</f>
        <v>1</v>
      </c>
      <c r="I3380" s="9"/>
      <c r="J3380" s="9"/>
      <c r="K3380" s="9"/>
      <c r="L3380" s="9"/>
      <c r="M3380" s="9"/>
      <c r="N3380" s="9"/>
      <c r="O3380" s="9"/>
      <c r="P3380" s="9"/>
      <c r="Q3380" s="9"/>
      <c r="R3380" s="9"/>
      <c r="S3380" s="9"/>
      <c r="T3380" s="9"/>
    </row>
    <row r="3381" ht="15.75" customHeight="1">
      <c r="A3381" s="11">
        <f>IFERROR(__xludf.DUMMYFUNCTION("""COMPUTED_VALUE"""),44471.0)</f>
        <v>44471</v>
      </c>
      <c r="B3381" s="9">
        <f>IFERROR(__xludf.DUMMYFUNCTION("""COMPUTED_VALUE"""),1003774.0)</f>
        <v>1003774</v>
      </c>
      <c r="C3381" s="9">
        <f>IFERROR(__xludf.DUMMYFUNCTION("""COMPUTED_VALUE"""),80697.0)</f>
        <v>80697</v>
      </c>
      <c r="D3381" s="9"/>
      <c r="E3381" s="9"/>
      <c r="F3381" s="9">
        <f>IFERROR(__xludf.DUMMYFUNCTION("""COMPUTED_VALUE"""),8.22)</f>
        <v>8.22</v>
      </c>
      <c r="G3381" s="9">
        <f>IFERROR(__xludf.DUMMYFUNCTION("""COMPUTED_VALUE"""),8.22)</f>
        <v>8.22</v>
      </c>
      <c r="H3381" s="9">
        <f>IFERROR(__xludf.DUMMYFUNCTION("""COMPUTED_VALUE"""),1.0)</f>
        <v>1</v>
      </c>
      <c r="I3381" s="9"/>
      <c r="J3381" s="9"/>
      <c r="K3381" s="9"/>
      <c r="L3381" s="9"/>
      <c r="M3381" s="9"/>
      <c r="N3381" s="9"/>
      <c r="O3381" s="9"/>
      <c r="P3381" s="9"/>
      <c r="Q3381" s="9"/>
      <c r="R3381" s="9"/>
      <c r="S3381" s="9"/>
      <c r="T3381" s="9"/>
    </row>
    <row r="3382" ht="15.75" customHeight="1">
      <c r="A3382" s="11">
        <f>IFERROR(__xludf.DUMMYFUNCTION("""COMPUTED_VALUE"""),44471.0)</f>
        <v>44471</v>
      </c>
      <c r="B3382" s="9">
        <f>IFERROR(__xludf.DUMMYFUNCTION("""COMPUTED_VALUE"""),1003774.0)</f>
        <v>1003774</v>
      </c>
      <c r="C3382" s="9">
        <f>IFERROR(__xludf.DUMMYFUNCTION("""COMPUTED_VALUE"""),122251.0)</f>
        <v>122251</v>
      </c>
      <c r="D3382" s="9"/>
      <c r="E3382" s="9"/>
      <c r="F3382" s="9">
        <f>IFERROR(__xludf.DUMMYFUNCTION("""COMPUTED_VALUE"""),7.37)</f>
        <v>7.37</v>
      </c>
      <c r="G3382" s="9">
        <f>IFERROR(__xludf.DUMMYFUNCTION("""COMPUTED_VALUE"""),7.37)</f>
        <v>7.37</v>
      </c>
      <c r="H3382" s="9">
        <f>IFERROR(__xludf.DUMMYFUNCTION("""COMPUTED_VALUE"""),1.0)</f>
        <v>1</v>
      </c>
      <c r="I3382" s="9"/>
      <c r="J3382" s="9"/>
      <c r="K3382" s="9"/>
      <c r="L3382" s="9"/>
      <c r="M3382" s="9"/>
      <c r="N3382" s="9"/>
      <c r="O3382" s="9"/>
      <c r="P3382" s="9"/>
      <c r="Q3382" s="9"/>
      <c r="R3382" s="9"/>
      <c r="S3382" s="9"/>
      <c r="T3382" s="9"/>
    </row>
    <row r="3383" ht="15.75" customHeight="1">
      <c r="A3383" s="11">
        <f>IFERROR(__xludf.DUMMYFUNCTION("""COMPUTED_VALUE"""),44471.0)</f>
        <v>44471</v>
      </c>
      <c r="B3383" s="9">
        <f>IFERROR(__xludf.DUMMYFUNCTION("""COMPUTED_VALUE"""),1003774.0)</f>
        <v>1003774</v>
      </c>
      <c r="C3383" s="9">
        <f>IFERROR(__xludf.DUMMYFUNCTION("""COMPUTED_VALUE"""),85159.0)</f>
        <v>85159</v>
      </c>
      <c r="D3383" s="9"/>
      <c r="E3383" s="9"/>
      <c r="F3383" s="9">
        <f>IFERROR(__xludf.DUMMYFUNCTION("""COMPUTED_VALUE"""),2.71)</f>
        <v>2.71</v>
      </c>
      <c r="G3383" s="9">
        <f>IFERROR(__xludf.DUMMYFUNCTION("""COMPUTED_VALUE"""),2.71)</f>
        <v>2.71</v>
      </c>
      <c r="H3383" s="9">
        <f>IFERROR(__xludf.DUMMYFUNCTION("""COMPUTED_VALUE"""),1.0)</f>
        <v>1</v>
      </c>
      <c r="I3383" s="9"/>
      <c r="J3383" s="9"/>
      <c r="K3383" s="9"/>
      <c r="L3383" s="9"/>
      <c r="M3383" s="9"/>
      <c r="N3383" s="9"/>
      <c r="O3383" s="9"/>
      <c r="P3383" s="9"/>
      <c r="Q3383" s="9"/>
      <c r="R3383" s="9"/>
      <c r="S3383" s="9"/>
      <c r="T3383" s="9"/>
    </row>
    <row r="3384" ht="15.75" customHeight="1">
      <c r="A3384" s="11">
        <f>IFERROR(__xludf.DUMMYFUNCTION("""COMPUTED_VALUE"""),44471.0)</f>
        <v>44471</v>
      </c>
      <c r="B3384" s="9">
        <f>IFERROR(__xludf.DUMMYFUNCTION("""COMPUTED_VALUE"""),1003774.0)</f>
        <v>1003774</v>
      </c>
      <c r="C3384" s="9">
        <f>IFERROR(__xludf.DUMMYFUNCTION("""COMPUTED_VALUE"""),46672.0)</f>
        <v>46672</v>
      </c>
      <c r="D3384" s="10" t="str">
        <f>IFERROR(__xludf.DUMMYFUNCTION("""COMPUTED_VALUE"""),"Vive le bio")</f>
        <v>Vive le bio</v>
      </c>
      <c r="E3384" s="10"/>
      <c r="F3384" s="9">
        <f>IFERROR(__xludf.DUMMYFUNCTION("""COMPUTED_VALUE"""),2.36666666666666)</f>
        <v>2.366666667</v>
      </c>
      <c r="G3384" s="9">
        <f>IFERROR(__xludf.DUMMYFUNCTION("""COMPUTED_VALUE"""),2.13)</f>
        <v>2.13</v>
      </c>
      <c r="H3384" s="9">
        <f>IFERROR(__xludf.DUMMYFUNCTION("""COMPUTED_VALUE"""),1.0)</f>
        <v>1</v>
      </c>
      <c r="I3384" s="9"/>
      <c r="J3384" s="9"/>
      <c r="K3384" s="9"/>
      <c r="L3384" s="9"/>
      <c r="M3384" s="9"/>
      <c r="N3384" s="9"/>
      <c r="O3384" s="9"/>
      <c r="P3384" s="9"/>
      <c r="Q3384" s="9"/>
      <c r="R3384" s="9"/>
      <c r="S3384" s="9"/>
      <c r="T3384" s="9"/>
    </row>
    <row r="3385" ht="15.75" customHeight="1">
      <c r="A3385" s="11">
        <f>IFERROR(__xludf.DUMMYFUNCTION("""COMPUTED_VALUE"""),44471.0)</f>
        <v>44471</v>
      </c>
      <c r="B3385" s="9">
        <f>IFERROR(__xludf.DUMMYFUNCTION("""COMPUTED_VALUE"""),1003774.0)</f>
        <v>1003774</v>
      </c>
      <c r="C3385" s="9">
        <f>IFERROR(__xludf.DUMMYFUNCTION("""COMPUTED_VALUE"""),109985.0)</f>
        <v>109985</v>
      </c>
      <c r="D3385" s="10" t="str">
        <f>IFERROR(__xludf.DUMMYFUNCTION("""COMPUTED_VALUE"""),"Carryboo soin bebe 2021")</f>
        <v>Carryboo soin bebe 2021</v>
      </c>
      <c r="E3385" s="10"/>
      <c r="F3385" s="9">
        <f>IFERROR(__xludf.DUMMYFUNCTION("""COMPUTED_VALUE"""),4.81333333333333)</f>
        <v>4.813333333</v>
      </c>
      <c r="G3385" s="9">
        <f>IFERROR(__xludf.DUMMYFUNCTION("""COMPUTED_VALUE"""),3.61)</f>
        <v>3.61</v>
      </c>
      <c r="H3385" s="9">
        <f>IFERROR(__xludf.DUMMYFUNCTION("""COMPUTED_VALUE"""),2.0)</f>
        <v>2</v>
      </c>
      <c r="I3385" s="9"/>
      <c r="J3385" s="9"/>
      <c r="K3385" s="9"/>
      <c r="L3385" s="9"/>
      <c r="M3385" s="9"/>
      <c r="N3385" s="9"/>
      <c r="O3385" s="9"/>
      <c r="P3385" s="9"/>
      <c r="Q3385" s="9"/>
      <c r="R3385" s="9"/>
      <c r="S3385" s="9"/>
      <c r="T3385" s="9"/>
    </row>
    <row r="3386" ht="15.75" customHeight="1">
      <c r="A3386" s="11">
        <f>IFERROR(__xludf.DUMMYFUNCTION("""COMPUTED_VALUE"""),44471.0)</f>
        <v>44471</v>
      </c>
      <c r="B3386" s="9">
        <f>IFERROR(__xludf.DUMMYFUNCTION("""COMPUTED_VALUE"""),1003774.0)</f>
        <v>1003774</v>
      </c>
      <c r="C3386" s="9">
        <f>IFERROR(__xludf.DUMMYFUNCTION("""COMPUTED_VALUE"""),109273.0)</f>
        <v>109273</v>
      </c>
      <c r="D3386" s="10" t="str">
        <f>IFERROR(__xludf.DUMMYFUNCTION("""COMPUTED_VALUE"""),"Offre Speciale")</f>
        <v>Offre Speciale</v>
      </c>
      <c r="E3386" s="10"/>
      <c r="F3386" s="9">
        <f>IFERROR(__xludf.DUMMYFUNCTION("""COMPUTED_VALUE"""),7.46666666666666)</f>
        <v>7.466666667</v>
      </c>
      <c r="G3386" s="9">
        <f>IFERROR(__xludf.DUMMYFUNCTION("""COMPUTED_VALUE"""),6.72)</f>
        <v>6.72</v>
      </c>
      <c r="H3386" s="9">
        <f>IFERROR(__xludf.DUMMYFUNCTION("""COMPUTED_VALUE"""),2.0)</f>
        <v>2</v>
      </c>
      <c r="I3386" s="9"/>
      <c r="J3386" s="9"/>
      <c r="K3386" s="9"/>
      <c r="L3386" s="9"/>
      <c r="M3386" s="9"/>
      <c r="N3386" s="9"/>
      <c r="O3386" s="9"/>
      <c r="P3386" s="9"/>
      <c r="Q3386" s="9"/>
      <c r="R3386" s="9"/>
      <c r="S3386" s="9"/>
      <c r="T3386" s="9"/>
    </row>
    <row r="3387" ht="15.75" customHeight="1">
      <c r="A3387" s="11">
        <f>IFERROR(__xludf.DUMMYFUNCTION("""COMPUTED_VALUE"""),44471.0)</f>
        <v>44471</v>
      </c>
      <c r="B3387" s="9">
        <f>IFERROR(__xludf.DUMMYFUNCTION("""COMPUTED_VALUE"""),1003775.0)</f>
        <v>1003775</v>
      </c>
      <c r="C3387" s="9">
        <f>IFERROR(__xludf.DUMMYFUNCTION("""COMPUTED_VALUE"""),86792.0)</f>
        <v>86792</v>
      </c>
      <c r="D3387" s="9"/>
      <c r="E3387" s="9"/>
      <c r="F3387" s="9">
        <f>IFERROR(__xludf.DUMMYFUNCTION("""COMPUTED_VALUE"""),7.9)</f>
        <v>7.9</v>
      </c>
      <c r="G3387" s="9">
        <f>IFERROR(__xludf.DUMMYFUNCTION("""COMPUTED_VALUE"""),7.9)</f>
        <v>7.9</v>
      </c>
      <c r="H3387" s="9">
        <f>IFERROR(__xludf.DUMMYFUNCTION("""COMPUTED_VALUE"""),2.0)</f>
        <v>2</v>
      </c>
      <c r="I3387" s="9"/>
      <c r="J3387" s="9"/>
      <c r="K3387" s="9"/>
      <c r="L3387" s="9"/>
      <c r="M3387" s="9"/>
      <c r="N3387" s="9"/>
      <c r="O3387" s="9"/>
      <c r="P3387" s="9"/>
      <c r="Q3387" s="9"/>
      <c r="R3387" s="9"/>
      <c r="S3387" s="9"/>
      <c r="T3387" s="9"/>
    </row>
    <row r="3388" ht="15.75" customHeight="1">
      <c r="A3388" s="11">
        <f>IFERROR(__xludf.DUMMYFUNCTION("""COMPUTED_VALUE"""),44471.0)</f>
        <v>44471</v>
      </c>
      <c r="B3388" s="9">
        <f>IFERROR(__xludf.DUMMYFUNCTION("""COMPUTED_VALUE"""),1003775.0)</f>
        <v>1003775</v>
      </c>
      <c r="C3388" s="9">
        <f>IFERROR(__xludf.DUMMYFUNCTION("""COMPUTED_VALUE"""),9734.0)</f>
        <v>9734</v>
      </c>
      <c r="D3388" s="9"/>
      <c r="E3388" s="9"/>
      <c r="F3388" s="9">
        <f>IFERROR(__xludf.DUMMYFUNCTION("""COMPUTED_VALUE"""),18.45)</f>
        <v>18.45</v>
      </c>
      <c r="G3388" s="9">
        <f>IFERROR(__xludf.DUMMYFUNCTION("""COMPUTED_VALUE"""),18.45)</f>
        <v>18.45</v>
      </c>
      <c r="H3388" s="9">
        <f>IFERROR(__xludf.DUMMYFUNCTION("""COMPUTED_VALUE"""),6.0)</f>
        <v>6</v>
      </c>
      <c r="I3388" s="9"/>
      <c r="J3388" s="9"/>
      <c r="K3388" s="9"/>
      <c r="L3388" s="9"/>
      <c r="M3388" s="9"/>
      <c r="N3388" s="9"/>
      <c r="O3388" s="9"/>
      <c r="P3388" s="9"/>
      <c r="Q3388" s="9"/>
      <c r="R3388" s="9"/>
      <c r="S3388" s="9"/>
      <c r="T3388" s="9"/>
    </row>
    <row r="3389" ht="15.75" customHeight="1">
      <c r="A3389" s="11">
        <f>IFERROR(__xludf.DUMMYFUNCTION("""COMPUTED_VALUE"""),44471.0)</f>
        <v>44471</v>
      </c>
      <c r="B3389" s="9">
        <f>IFERROR(__xludf.DUMMYFUNCTION("""COMPUTED_VALUE"""),1003776.0)</f>
        <v>1003776</v>
      </c>
      <c r="C3389" s="9">
        <f>IFERROR(__xludf.DUMMYFUNCTION("""COMPUTED_VALUE"""),92330.0)</f>
        <v>92330</v>
      </c>
      <c r="D3389" s="9"/>
      <c r="E3389" s="9"/>
      <c r="F3389" s="9">
        <f>IFERROR(__xludf.DUMMYFUNCTION("""COMPUTED_VALUE"""),12.08)</f>
        <v>12.08</v>
      </c>
      <c r="G3389" s="9">
        <f>IFERROR(__xludf.DUMMYFUNCTION("""COMPUTED_VALUE"""),12.08)</f>
        <v>12.08</v>
      </c>
      <c r="H3389" s="9">
        <f>IFERROR(__xludf.DUMMYFUNCTION("""COMPUTED_VALUE"""),1.0)</f>
        <v>1</v>
      </c>
      <c r="I3389" s="9"/>
      <c r="J3389" s="9"/>
      <c r="K3389" s="9"/>
      <c r="L3389" s="9"/>
      <c r="M3389" s="9"/>
      <c r="N3389" s="9"/>
      <c r="O3389" s="9"/>
      <c r="P3389" s="9"/>
      <c r="Q3389" s="9"/>
      <c r="R3389" s="9"/>
      <c r="S3389" s="9"/>
      <c r="T3389" s="9"/>
    </row>
    <row r="3390" ht="15.75" customHeight="1">
      <c r="A3390" s="11">
        <f>IFERROR(__xludf.DUMMYFUNCTION("""COMPUTED_VALUE"""),44471.0)</f>
        <v>44471</v>
      </c>
      <c r="B3390" s="9">
        <f>IFERROR(__xludf.DUMMYFUNCTION("""COMPUTED_VALUE"""),1003776.0)</f>
        <v>1003776</v>
      </c>
      <c r="C3390" s="9">
        <f>IFERROR(__xludf.DUMMYFUNCTION("""COMPUTED_VALUE"""),194507.0)</f>
        <v>194507</v>
      </c>
      <c r="D3390" s="9"/>
      <c r="E3390" s="9"/>
      <c r="F3390" s="9">
        <f>IFERROR(__xludf.DUMMYFUNCTION("""COMPUTED_VALUE"""),3.56)</f>
        <v>3.56</v>
      </c>
      <c r="G3390" s="9">
        <f>IFERROR(__xludf.DUMMYFUNCTION("""COMPUTED_VALUE"""),3.56)</f>
        <v>3.56</v>
      </c>
      <c r="H3390" s="9">
        <f>IFERROR(__xludf.DUMMYFUNCTION("""COMPUTED_VALUE"""),1.0)</f>
        <v>1</v>
      </c>
      <c r="I3390" s="9"/>
      <c r="J3390" s="9"/>
      <c r="K3390" s="9"/>
      <c r="L3390" s="9"/>
      <c r="M3390" s="9"/>
      <c r="N3390" s="9"/>
      <c r="O3390" s="9"/>
      <c r="P3390" s="9"/>
      <c r="Q3390" s="9"/>
      <c r="R3390" s="9"/>
      <c r="S3390" s="9"/>
      <c r="T3390" s="9"/>
    </row>
    <row r="3391" ht="15.75" customHeight="1">
      <c r="A3391" s="11">
        <f>IFERROR(__xludf.DUMMYFUNCTION("""COMPUTED_VALUE"""),44471.0)</f>
        <v>44471</v>
      </c>
      <c r="B3391" s="9">
        <f>IFERROR(__xludf.DUMMYFUNCTION("""COMPUTED_VALUE"""),1003776.0)</f>
        <v>1003776</v>
      </c>
      <c r="C3391" s="9">
        <f>IFERROR(__xludf.DUMMYFUNCTION("""COMPUTED_VALUE"""),80433.0)</f>
        <v>80433</v>
      </c>
      <c r="D3391" s="9"/>
      <c r="E3391" s="9"/>
      <c r="F3391" s="9">
        <f>IFERROR(__xludf.DUMMYFUNCTION("""COMPUTED_VALUE"""),11.32)</f>
        <v>11.32</v>
      </c>
      <c r="G3391" s="9">
        <f>IFERROR(__xludf.DUMMYFUNCTION("""COMPUTED_VALUE"""),11.32)</f>
        <v>11.32</v>
      </c>
      <c r="H3391" s="9">
        <f>IFERROR(__xludf.DUMMYFUNCTION("""COMPUTED_VALUE"""),1.0)</f>
        <v>1</v>
      </c>
      <c r="I3391" s="9"/>
      <c r="J3391" s="9"/>
      <c r="K3391" s="9"/>
      <c r="L3391" s="9"/>
      <c r="M3391" s="9"/>
      <c r="N3391" s="9"/>
      <c r="O3391" s="9"/>
      <c r="P3391" s="9"/>
      <c r="Q3391" s="9"/>
      <c r="R3391" s="9"/>
      <c r="S3391" s="9"/>
      <c r="T3391" s="9"/>
    </row>
    <row r="3392" ht="15.75" customHeight="1">
      <c r="A3392" s="11">
        <f>IFERROR(__xludf.DUMMYFUNCTION("""COMPUTED_VALUE"""),44471.0)</f>
        <v>44471</v>
      </c>
      <c r="B3392" s="9">
        <f>IFERROR(__xludf.DUMMYFUNCTION("""COMPUTED_VALUE"""),1003776.0)</f>
        <v>1003776</v>
      </c>
      <c r="C3392" s="9">
        <f>IFERROR(__xludf.DUMMYFUNCTION("""COMPUTED_VALUE"""),80432.0)</f>
        <v>80432</v>
      </c>
      <c r="D3392" s="9"/>
      <c r="E3392" s="9"/>
      <c r="F3392" s="9">
        <f>IFERROR(__xludf.DUMMYFUNCTION("""COMPUTED_VALUE"""),16.73)</f>
        <v>16.73</v>
      </c>
      <c r="G3392" s="9">
        <f>IFERROR(__xludf.DUMMYFUNCTION("""COMPUTED_VALUE"""),16.73)</f>
        <v>16.73</v>
      </c>
      <c r="H3392" s="9">
        <f>IFERROR(__xludf.DUMMYFUNCTION("""COMPUTED_VALUE"""),3.0)</f>
        <v>3</v>
      </c>
      <c r="I3392" s="9"/>
      <c r="J3392" s="9"/>
      <c r="K3392" s="9"/>
      <c r="L3392" s="9"/>
      <c r="M3392" s="9"/>
      <c r="N3392" s="9"/>
      <c r="O3392" s="9"/>
      <c r="P3392" s="9"/>
      <c r="Q3392" s="9"/>
      <c r="R3392" s="9"/>
      <c r="S3392" s="9"/>
      <c r="T3392" s="9"/>
    </row>
    <row r="3393" ht="15.75" customHeight="1">
      <c r="A3393" s="11">
        <f>IFERROR(__xludf.DUMMYFUNCTION("""COMPUTED_VALUE"""),44471.0)</f>
        <v>44471</v>
      </c>
      <c r="B3393" s="9">
        <f>IFERROR(__xludf.DUMMYFUNCTION("""COMPUTED_VALUE"""),1003777.0)</f>
        <v>1003777</v>
      </c>
      <c r="C3393" s="9">
        <f>IFERROR(__xludf.DUMMYFUNCTION("""COMPUTED_VALUE"""),110568.0)</f>
        <v>110568</v>
      </c>
      <c r="D3393" s="9"/>
      <c r="E3393" s="9"/>
      <c r="F3393" s="9">
        <f>IFERROR(__xludf.DUMMYFUNCTION("""COMPUTED_VALUE"""),3.77)</f>
        <v>3.77</v>
      </c>
      <c r="G3393" s="9">
        <f>IFERROR(__xludf.DUMMYFUNCTION("""COMPUTED_VALUE"""),3.77)</f>
        <v>3.77</v>
      </c>
      <c r="H3393" s="9">
        <f>IFERROR(__xludf.DUMMYFUNCTION("""COMPUTED_VALUE"""),2.0)</f>
        <v>2</v>
      </c>
      <c r="I3393" s="9"/>
      <c r="J3393" s="9"/>
      <c r="K3393" s="9"/>
      <c r="L3393" s="9"/>
      <c r="M3393" s="9"/>
      <c r="N3393" s="9"/>
      <c r="O3393" s="9"/>
      <c r="P3393" s="9"/>
      <c r="Q3393" s="9"/>
      <c r="R3393" s="9"/>
      <c r="S3393" s="9"/>
      <c r="T3393" s="9"/>
    </row>
    <row r="3394" ht="15.75" customHeight="1">
      <c r="A3394" s="11">
        <f>IFERROR(__xludf.DUMMYFUNCTION("""COMPUTED_VALUE"""),44471.0)</f>
        <v>44471</v>
      </c>
      <c r="B3394" s="9">
        <f>IFERROR(__xludf.DUMMYFUNCTION("""COMPUTED_VALUE"""),1003779.0)</f>
        <v>1003779</v>
      </c>
      <c r="C3394" s="9">
        <f>IFERROR(__xludf.DUMMYFUNCTION("""COMPUTED_VALUE"""),76602.0)</f>
        <v>76602</v>
      </c>
      <c r="D3394" s="9"/>
      <c r="E3394" s="10" t="str">
        <f>IFERROR(__xludf.DUMMYFUNCTION("""COMPUTED_VALUE"""),"GREENRELAIS")</f>
        <v>GREENRELAIS</v>
      </c>
      <c r="F3394" s="10">
        <f>IFERROR(__xludf.DUMMYFUNCTION("""COMPUTED_VALUE"""),3.66)</f>
        <v>3.66</v>
      </c>
      <c r="G3394" s="9">
        <f>IFERROR(__xludf.DUMMYFUNCTION("""COMPUTED_VALUE"""),3.66)</f>
        <v>3.66</v>
      </c>
      <c r="H3394" s="9">
        <f>IFERROR(__xludf.DUMMYFUNCTION("""COMPUTED_VALUE"""),1.0)</f>
        <v>1</v>
      </c>
      <c r="I3394" s="9"/>
      <c r="J3394" s="9"/>
      <c r="K3394" s="9"/>
      <c r="L3394" s="9"/>
      <c r="M3394" s="9"/>
      <c r="N3394" s="9"/>
      <c r="O3394" s="9"/>
      <c r="P3394" s="9"/>
      <c r="Q3394" s="9"/>
      <c r="R3394" s="9"/>
      <c r="S3394" s="9"/>
      <c r="T3394" s="9"/>
    </row>
    <row r="3395" ht="15.75" customHeight="1">
      <c r="A3395" s="11">
        <f>IFERROR(__xludf.DUMMYFUNCTION("""COMPUTED_VALUE"""),44471.0)</f>
        <v>44471</v>
      </c>
      <c r="B3395" s="9">
        <f>IFERROR(__xludf.DUMMYFUNCTION("""COMPUTED_VALUE"""),1003779.0)</f>
        <v>1003779</v>
      </c>
      <c r="C3395" s="9">
        <f>IFERROR(__xludf.DUMMYFUNCTION("""COMPUTED_VALUE"""),10068.0)</f>
        <v>10068</v>
      </c>
      <c r="D3395" s="9"/>
      <c r="E3395" s="10" t="str">
        <f>IFERROR(__xludf.DUMMYFUNCTION("""COMPUTED_VALUE"""),"GREENRELAIS")</f>
        <v>GREENRELAIS</v>
      </c>
      <c r="F3395" s="10">
        <f>IFERROR(__xludf.DUMMYFUNCTION("""COMPUTED_VALUE"""),2.67)</f>
        <v>2.67</v>
      </c>
      <c r="G3395" s="9">
        <f>IFERROR(__xludf.DUMMYFUNCTION("""COMPUTED_VALUE"""),2.67)</f>
        <v>2.67</v>
      </c>
      <c r="H3395" s="9">
        <f>IFERROR(__xludf.DUMMYFUNCTION("""COMPUTED_VALUE"""),1.0)</f>
        <v>1</v>
      </c>
      <c r="I3395" s="9"/>
      <c r="J3395" s="9"/>
      <c r="K3395" s="9"/>
      <c r="L3395" s="9"/>
      <c r="M3395" s="9"/>
      <c r="N3395" s="9"/>
      <c r="O3395" s="9"/>
      <c r="P3395" s="9"/>
      <c r="Q3395" s="9"/>
      <c r="R3395" s="9"/>
      <c r="S3395" s="9"/>
      <c r="T3395" s="9"/>
    </row>
    <row r="3396" ht="15.75" customHeight="1">
      <c r="A3396" s="11">
        <f>IFERROR(__xludf.DUMMYFUNCTION("""COMPUTED_VALUE"""),44471.0)</f>
        <v>44471</v>
      </c>
      <c r="B3396" s="9">
        <f>IFERROR(__xludf.DUMMYFUNCTION("""COMPUTED_VALUE"""),1003779.0)</f>
        <v>1003779</v>
      </c>
      <c r="C3396" s="9">
        <f>IFERROR(__xludf.DUMMYFUNCTION("""COMPUTED_VALUE"""),69110.0)</f>
        <v>69110</v>
      </c>
      <c r="D3396" s="9"/>
      <c r="E3396" s="10" t="str">
        <f>IFERROR(__xludf.DUMMYFUNCTION("""COMPUTED_VALUE"""),"GREENRELAIS")</f>
        <v>GREENRELAIS</v>
      </c>
      <c r="F3396" s="10">
        <f>IFERROR(__xludf.DUMMYFUNCTION("""COMPUTED_VALUE"""),2.94)</f>
        <v>2.94</v>
      </c>
      <c r="G3396" s="9">
        <f>IFERROR(__xludf.DUMMYFUNCTION("""COMPUTED_VALUE"""),2.94)</f>
        <v>2.94</v>
      </c>
      <c r="H3396" s="9">
        <f>IFERROR(__xludf.DUMMYFUNCTION("""COMPUTED_VALUE"""),1.0)</f>
        <v>1</v>
      </c>
      <c r="I3396" s="9"/>
      <c r="J3396" s="9"/>
      <c r="K3396" s="9"/>
      <c r="L3396" s="9"/>
      <c r="M3396" s="9"/>
      <c r="N3396" s="9"/>
      <c r="O3396" s="9"/>
      <c r="P3396" s="9"/>
      <c r="Q3396" s="9"/>
      <c r="R3396" s="9"/>
      <c r="S3396" s="9"/>
      <c r="T3396" s="9"/>
    </row>
    <row r="3397" ht="15.75" customHeight="1">
      <c r="A3397" s="11">
        <f>IFERROR(__xludf.DUMMYFUNCTION("""COMPUTED_VALUE"""),44471.0)</f>
        <v>44471</v>
      </c>
      <c r="B3397" s="9">
        <f>IFERROR(__xludf.DUMMYFUNCTION("""COMPUTED_VALUE"""),1003779.0)</f>
        <v>1003779</v>
      </c>
      <c r="C3397" s="9">
        <f>IFERROR(__xludf.DUMMYFUNCTION("""COMPUTED_VALUE"""),68939.0)</f>
        <v>68939</v>
      </c>
      <c r="D3397" s="10" t="str">
        <f>IFERROR(__xludf.DUMMYFUNCTION("""COMPUTED_VALUE"""),"Offre speciale")</f>
        <v>Offre speciale</v>
      </c>
      <c r="E3397" s="10" t="str">
        <f>IFERROR(__xludf.DUMMYFUNCTION("""COMPUTED_VALUE"""),"GREENRELAIS")</f>
        <v>GREENRELAIS</v>
      </c>
      <c r="F3397" s="10">
        <f>IFERROR(__xludf.DUMMYFUNCTION("""COMPUTED_VALUE"""),3.12222222222222)</f>
        <v>3.122222222</v>
      </c>
      <c r="G3397" s="9">
        <f>IFERROR(__xludf.DUMMYFUNCTION("""COMPUTED_VALUE"""),2.81)</f>
        <v>2.81</v>
      </c>
      <c r="H3397" s="9">
        <f>IFERROR(__xludf.DUMMYFUNCTION("""COMPUTED_VALUE"""),1.0)</f>
        <v>1</v>
      </c>
      <c r="I3397" s="9"/>
      <c r="J3397" s="9"/>
      <c r="K3397" s="9"/>
      <c r="L3397" s="9"/>
      <c r="M3397" s="9"/>
      <c r="N3397" s="9"/>
      <c r="O3397" s="9"/>
      <c r="P3397" s="9"/>
      <c r="Q3397" s="9"/>
      <c r="R3397" s="9"/>
      <c r="S3397" s="9"/>
      <c r="T3397" s="9"/>
    </row>
    <row r="3398" ht="15.75" customHeight="1">
      <c r="A3398" s="11">
        <f>IFERROR(__xludf.DUMMYFUNCTION("""COMPUTED_VALUE"""),44471.0)</f>
        <v>44471</v>
      </c>
      <c r="B3398" s="9">
        <f>IFERROR(__xludf.DUMMYFUNCTION("""COMPUTED_VALUE"""),1003779.0)</f>
        <v>1003779</v>
      </c>
      <c r="C3398" s="9">
        <f>IFERROR(__xludf.DUMMYFUNCTION("""COMPUTED_VALUE"""),69116.0)</f>
        <v>69116</v>
      </c>
      <c r="D3398" s="9"/>
      <c r="E3398" s="10" t="str">
        <f>IFERROR(__xludf.DUMMYFUNCTION("""COMPUTED_VALUE"""),"GREENRELAIS")</f>
        <v>GREENRELAIS</v>
      </c>
      <c r="F3398" s="10">
        <f>IFERROR(__xludf.DUMMYFUNCTION("""COMPUTED_VALUE"""),2.46)</f>
        <v>2.46</v>
      </c>
      <c r="G3398" s="9">
        <f>IFERROR(__xludf.DUMMYFUNCTION("""COMPUTED_VALUE"""),2.46)</f>
        <v>2.46</v>
      </c>
      <c r="H3398" s="9">
        <f>IFERROR(__xludf.DUMMYFUNCTION("""COMPUTED_VALUE"""),1.0)</f>
        <v>1</v>
      </c>
      <c r="I3398" s="9"/>
      <c r="J3398" s="9"/>
      <c r="K3398" s="9"/>
      <c r="L3398" s="9"/>
      <c r="M3398" s="9"/>
      <c r="N3398" s="9"/>
      <c r="O3398" s="9"/>
      <c r="P3398" s="9"/>
      <c r="Q3398" s="9"/>
      <c r="R3398" s="9"/>
      <c r="S3398" s="9"/>
      <c r="T3398" s="9"/>
    </row>
    <row r="3399" ht="15.75" customHeight="1">
      <c r="A3399" s="11">
        <f>IFERROR(__xludf.DUMMYFUNCTION("""COMPUTED_VALUE"""),44471.0)</f>
        <v>44471</v>
      </c>
      <c r="B3399" s="9">
        <f>IFERROR(__xludf.DUMMYFUNCTION("""COMPUTED_VALUE"""),1003779.0)</f>
        <v>1003779</v>
      </c>
      <c r="C3399" s="9">
        <f>IFERROR(__xludf.DUMMYFUNCTION("""COMPUTED_VALUE"""),69115.0)</f>
        <v>69115</v>
      </c>
      <c r="D3399" s="9"/>
      <c r="E3399" s="10" t="str">
        <f>IFERROR(__xludf.DUMMYFUNCTION("""COMPUTED_VALUE"""),"GREENRELAIS")</f>
        <v>GREENRELAIS</v>
      </c>
      <c r="F3399" s="10">
        <f>IFERROR(__xludf.DUMMYFUNCTION("""COMPUTED_VALUE"""),2.46)</f>
        <v>2.46</v>
      </c>
      <c r="G3399" s="9">
        <f>IFERROR(__xludf.DUMMYFUNCTION("""COMPUTED_VALUE"""),2.46)</f>
        <v>2.46</v>
      </c>
      <c r="H3399" s="9">
        <f>IFERROR(__xludf.DUMMYFUNCTION("""COMPUTED_VALUE"""),1.0)</f>
        <v>1</v>
      </c>
      <c r="I3399" s="9"/>
      <c r="J3399" s="9"/>
      <c r="K3399" s="9"/>
      <c r="L3399" s="9"/>
      <c r="M3399" s="9"/>
      <c r="N3399" s="9"/>
      <c r="O3399" s="9"/>
      <c r="P3399" s="9"/>
      <c r="Q3399" s="9"/>
      <c r="R3399" s="9"/>
      <c r="S3399" s="9"/>
      <c r="T3399" s="9"/>
    </row>
    <row r="3400" ht="15.75" customHeight="1">
      <c r="A3400" s="11">
        <f>IFERROR(__xludf.DUMMYFUNCTION("""COMPUTED_VALUE"""),44471.0)</f>
        <v>44471</v>
      </c>
      <c r="B3400" s="9">
        <f>IFERROR(__xludf.DUMMYFUNCTION("""COMPUTED_VALUE"""),1003779.0)</f>
        <v>1003779</v>
      </c>
      <c r="C3400" s="9">
        <f>IFERROR(__xludf.DUMMYFUNCTION("""COMPUTED_VALUE"""),69113.0)</f>
        <v>69113</v>
      </c>
      <c r="D3400" s="9"/>
      <c r="E3400" s="10" t="str">
        <f>IFERROR(__xludf.DUMMYFUNCTION("""COMPUTED_VALUE"""),"GREENRELAIS")</f>
        <v>GREENRELAIS</v>
      </c>
      <c r="F3400" s="10">
        <f>IFERROR(__xludf.DUMMYFUNCTION("""COMPUTED_VALUE"""),2.46)</f>
        <v>2.46</v>
      </c>
      <c r="G3400" s="9">
        <f>IFERROR(__xludf.DUMMYFUNCTION("""COMPUTED_VALUE"""),2.46)</f>
        <v>2.46</v>
      </c>
      <c r="H3400" s="9">
        <f>IFERROR(__xludf.DUMMYFUNCTION("""COMPUTED_VALUE"""),1.0)</f>
        <v>1</v>
      </c>
      <c r="I3400" s="9"/>
      <c r="J3400" s="9"/>
      <c r="K3400" s="9"/>
      <c r="L3400" s="9"/>
      <c r="M3400" s="9"/>
      <c r="N3400" s="9"/>
      <c r="O3400" s="9"/>
      <c r="P3400" s="9"/>
      <c r="Q3400" s="9"/>
      <c r="R3400" s="9"/>
      <c r="S3400" s="9"/>
      <c r="T3400" s="9"/>
    </row>
    <row r="3401" ht="15.75" customHeight="1">
      <c r="A3401" s="11">
        <f>IFERROR(__xludf.DUMMYFUNCTION("""COMPUTED_VALUE"""),44471.0)</f>
        <v>44471</v>
      </c>
      <c r="B3401" s="9">
        <f>IFERROR(__xludf.DUMMYFUNCTION("""COMPUTED_VALUE"""),1003779.0)</f>
        <v>1003779</v>
      </c>
      <c r="C3401" s="9">
        <f>IFERROR(__xludf.DUMMYFUNCTION("""COMPUTED_VALUE"""),68938.0)</f>
        <v>68938</v>
      </c>
      <c r="D3401" s="9"/>
      <c r="E3401" s="10" t="str">
        <f>IFERROR(__xludf.DUMMYFUNCTION("""COMPUTED_VALUE"""),"GREENRELAIS")</f>
        <v>GREENRELAIS</v>
      </c>
      <c r="F3401" s="10">
        <f>IFERROR(__xludf.DUMMYFUNCTION("""COMPUTED_VALUE"""),2.46)</f>
        <v>2.46</v>
      </c>
      <c r="G3401" s="9">
        <f>IFERROR(__xludf.DUMMYFUNCTION("""COMPUTED_VALUE"""),2.46)</f>
        <v>2.46</v>
      </c>
      <c r="H3401" s="9">
        <f>IFERROR(__xludf.DUMMYFUNCTION("""COMPUTED_VALUE"""),1.0)</f>
        <v>1</v>
      </c>
      <c r="I3401" s="9"/>
      <c r="J3401" s="9"/>
      <c r="K3401" s="9"/>
      <c r="L3401" s="9"/>
      <c r="M3401" s="9"/>
      <c r="N3401" s="9"/>
      <c r="O3401" s="9"/>
      <c r="P3401" s="9"/>
      <c r="Q3401" s="9"/>
      <c r="R3401" s="9"/>
      <c r="S3401" s="9"/>
      <c r="T3401" s="9"/>
    </row>
    <row r="3402" ht="15.75" customHeight="1">
      <c r="A3402" s="11">
        <f>IFERROR(__xludf.DUMMYFUNCTION("""COMPUTED_VALUE"""),44471.0)</f>
        <v>44471</v>
      </c>
      <c r="B3402" s="9">
        <f>IFERROR(__xludf.DUMMYFUNCTION("""COMPUTED_VALUE"""),1003779.0)</f>
        <v>1003779</v>
      </c>
      <c r="C3402" s="9">
        <f>IFERROR(__xludf.DUMMYFUNCTION("""COMPUTED_VALUE"""),69120.0)</f>
        <v>69120</v>
      </c>
      <c r="D3402" s="9"/>
      <c r="E3402" s="10" t="str">
        <f>IFERROR(__xludf.DUMMYFUNCTION("""COMPUTED_VALUE"""),"GREENRELAIS")</f>
        <v>GREENRELAIS</v>
      </c>
      <c r="F3402" s="10">
        <f>IFERROR(__xludf.DUMMYFUNCTION("""COMPUTED_VALUE"""),2.49)</f>
        <v>2.49</v>
      </c>
      <c r="G3402" s="9">
        <f>IFERROR(__xludf.DUMMYFUNCTION("""COMPUTED_VALUE"""),2.49)</f>
        <v>2.49</v>
      </c>
      <c r="H3402" s="9">
        <f>IFERROR(__xludf.DUMMYFUNCTION("""COMPUTED_VALUE"""),1.0)</f>
        <v>1</v>
      </c>
      <c r="I3402" s="9"/>
      <c r="J3402" s="9"/>
      <c r="K3402" s="9"/>
      <c r="L3402" s="9"/>
      <c r="M3402" s="9"/>
      <c r="N3402" s="9"/>
      <c r="O3402" s="9"/>
      <c r="P3402" s="9"/>
      <c r="Q3402" s="9"/>
      <c r="R3402" s="9"/>
      <c r="S3402" s="9"/>
      <c r="T3402" s="9"/>
    </row>
    <row r="3403" ht="15.75" customHeight="1">
      <c r="A3403" s="11">
        <f>IFERROR(__xludf.DUMMYFUNCTION("""COMPUTED_VALUE"""),44471.0)</f>
        <v>44471</v>
      </c>
      <c r="B3403" s="9">
        <f>IFERROR(__xludf.DUMMYFUNCTION("""COMPUTED_VALUE"""),1003779.0)</f>
        <v>1003779</v>
      </c>
      <c r="C3403" s="9">
        <f>IFERROR(__xludf.DUMMYFUNCTION("""COMPUTED_VALUE"""),69112.0)</f>
        <v>69112</v>
      </c>
      <c r="D3403" s="9"/>
      <c r="E3403" s="10" t="str">
        <f>IFERROR(__xludf.DUMMYFUNCTION("""COMPUTED_VALUE"""),"GREENRELAIS")</f>
        <v>GREENRELAIS</v>
      </c>
      <c r="F3403" s="10">
        <f>IFERROR(__xludf.DUMMYFUNCTION("""COMPUTED_VALUE"""),2.49)</f>
        <v>2.49</v>
      </c>
      <c r="G3403" s="9">
        <f>IFERROR(__xludf.DUMMYFUNCTION("""COMPUTED_VALUE"""),2.49)</f>
        <v>2.49</v>
      </c>
      <c r="H3403" s="9">
        <f>IFERROR(__xludf.DUMMYFUNCTION("""COMPUTED_VALUE"""),1.0)</f>
        <v>1</v>
      </c>
      <c r="I3403" s="9"/>
      <c r="J3403" s="9"/>
      <c r="K3403" s="9"/>
      <c r="L3403" s="9"/>
      <c r="M3403" s="9"/>
      <c r="N3403" s="9"/>
      <c r="O3403" s="9"/>
      <c r="P3403" s="9"/>
      <c r="Q3403" s="9"/>
      <c r="R3403" s="9"/>
      <c r="S3403" s="9"/>
      <c r="T3403" s="9"/>
    </row>
    <row r="3404" ht="15.75" customHeight="1">
      <c r="A3404" s="11">
        <f>IFERROR(__xludf.DUMMYFUNCTION("""COMPUTED_VALUE"""),44471.0)</f>
        <v>44471</v>
      </c>
      <c r="B3404" s="9">
        <f>IFERROR(__xludf.DUMMYFUNCTION("""COMPUTED_VALUE"""),1003779.0)</f>
        <v>1003779</v>
      </c>
      <c r="C3404" s="9">
        <f>IFERROR(__xludf.DUMMYFUNCTION("""COMPUTED_VALUE"""),69117.0)</f>
        <v>69117</v>
      </c>
      <c r="D3404" s="9"/>
      <c r="E3404" s="10" t="str">
        <f>IFERROR(__xludf.DUMMYFUNCTION("""COMPUTED_VALUE"""),"GREENRELAIS")</f>
        <v>GREENRELAIS</v>
      </c>
      <c r="F3404" s="10">
        <f>IFERROR(__xludf.DUMMYFUNCTION("""COMPUTED_VALUE"""),2.49)</f>
        <v>2.49</v>
      </c>
      <c r="G3404" s="9">
        <f>IFERROR(__xludf.DUMMYFUNCTION("""COMPUTED_VALUE"""),2.49)</f>
        <v>2.49</v>
      </c>
      <c r="H3404" s="9">
        <f>IFERROR(__xludf.DUMMYFUNCTION("""COMPUTED_VALUE"""),1.0)</f>
        <v>1</v>
      </c>
      <c r="I3404" s="9"/>
      <c r="J3404" s="9"/>
      <c r="K3404" s="9"/>
      <c r="L3404" s="9"/>
      <c r="M3404" s="9"/>
      <c r="N3404" s="9"/>
      <c r="O3404" s="9"/>
      <c r="P3404" s="9"/>
      <c r="Q3404" s="9"/>
      <c r="R3404" s="9"/>
      <c r="S3404" s="9"/>
      <c r="T3404" s="9"/>
    </row>
    <row r="3405" ht="15.75" customHeight="1">
      <c r="A3405" s="11">
        <f>IFERROR(__xludf.DUMMYFUNCTION("""COMPUTED_VALUE"""),44471.0)</f>
        <v>44471</v>
      </c>
      <c r="B3405" s="9">
        <f>IFERROR(__xludf.DUMMYFUNCTION("""COMPUTED_VALUE"""),1003779.0)</f>
        <v>1003779</v>
      </c>
      <c r="C3405" s="9">
        <f>IFERROR(__xludf.DUMMYFUNCTION("""COMPUTED_VALUE"""),121990.0)</f>
        <v>121990</v>
      </c>
      <c r="D3405" s="9"/>
      <c r="E3405" s="10" t="str">
        <f>IFERROR(__xludf.DUMMYFUNCTION("""COMPUTED_VALUE"""),"GREENRELAIS")</f>
        <v>GREENRELAIS</v>
      </c>
      <c r="F3405" s="10">
        <f>IFERROR(__xludf.DUMMYFUNCTION("""COMPUTED_VALUE"""),2.49)</f>
        <v>2.49</v>
      </c>
      <c r="G3405" s="9">
        <f>IFERROR(__xludf.DUMMYFUNCTION("""COMPUTED_VALUE"""),2.49)</f>
        <v>2.49</v>
      </c>
      <c r="H3405" s="9">
        <f>IFERROR(__xludf.DUMMYFUNCTION("""COMPUTED_VALUE"""),1.0)</f>
        <v>1</v>
      </c>
      <c r="I3405" s="9"/>
      <c r="J3405" s="9"/>
      <c r="K3405" s="9"/>
      <c r="L3405" s="9"/>
      <c r="M3405" s="9"/>
      <c r="N3405" s="9"/>
      <c r="O3405" s="9"/>
      <c r="P3405" s="9"/>
      <c r="Q3405" s="9"/>
      <c r="R3405" s="9"/>
      <c r="S3405" s="9"/>
      <c r="T3405" s="9"/>
    </row>
    <row r="3406" ht="15.75" customHeight="1">
      <c r="A3406" s="11">
        <f>IFERROR(__xludf.DUMMYFUNCTION("""COMPUTED_VALUE"""),44471.0)</f>
        <v>44471</v>
      </c>
      <c r="B3406" s="9">
        <f>IFERROR(__xludf.DUMMYFUNCTION("""COMPUTED_VALUE"""),1003779.0)</f>
        <v>1003779</v>
      </c>
      <c r="C3406" s="9">
        <f>IFERROR(__xludf.DUMMYFUNCTION("""COMPUTED_VALUE"""),121982.0)</f>
        <v>121982</v>
      </c>
      <c r="D3406" s="9"/>
      <c r="E3406" s="10" t="str">
        <f>IFERROR(__xludf.DUMMYFUNCTION("""COMPUTED_VALUE"""),"GREENRELAIS")</f>
        <v>GREENRELAIS</v>
      </c>
      <c r="F3406" s="10">
        <f>IFERROR(__xludf.DUMMYFUNCTION("""COMPUTED_VALUE"""),3.12)</f>
        <v>3.12</v>
      </c>
      <c r="G3406" s="9">
        <f>IFERROR(__xludf.DUMMYFUNCTION("""COMPUTED_VALUE"""),3.12)</f>
        <v>3.12</v>
      </c>
      <c r="H3406" s="9">
        <f>IFERROR(__xludf.DUMMYFUNCTION("""COMPUTED_VALUE"""),1.0)</f>
        <v>1</v>
      </c>
      <c r="I3406" s="9"/>
      <c r="J3406" s="9"/>
      <c r="K3406" s="9"/>
      <c r="L3406" s="9"/>
      <c r="M3406" s="9"/>
      <c r="N3406" s="9"/>
      <c r="O3406" s="9"/>
      <c r="P3406" s="9"/>
      <c r="Q3406" s="9"/>
      <c r="R3406" s="9"/>
      <c r="S3406" s="9"/>
      <c r="T3406" s="9"/>
    </row>
    <row r="3407" ht="15.75" customHeight="1">
      <c r="A3407" s="11">
        <f>IFERROR(__xludf.DUMMYFUNCTION("""COMPUTED_VALUE"""),44471.0)</f>
        <v>44471</v>
      </c>
      <c r="B3407" s="9">
        <f>IFERROR(__xludf.DUMMYFUNCTION("""COMPUTED_VALUE"""),1003779.0)</f>
        <v>1003779</v>
      </c>
      <c r="C3407" s="9">
        <f>IFERROR(__xludf.DUMMYFUNCTION("""COMPUTED_VALUE"""),121988.0)</f>
        <v>121988</v>
      </c>
      <c r="D3407" s="9"/>
      <c r="E3407" s="10" t="str">
        <f>IFERROR(__xludf.DUMMYFUNCTION("""COMPUTED_VALUE"""),"GREENRELAIS")</f>
        <v>GREENRELAIS</v>
      </c>
      <c r="F3407" s="10">
        <f>IFERROR(__xludf.DUMMYFUNCTION("""COMPUTED_VALUE"""),3.12)</f>
        <v>3.12</v>
      </c>
      <c r="G3407" s="9">
        <f>IFERROR(__xludf.DUMMYFUNCTION("""COMPUTED_VALUE"""),3.12)</f>
        <v>3.12</v>
      </c>
      <c r="H3407" s="9">
        <f>IFERROR(__xludf.DUMMYFUNCTION("""COMPUTED_VALUE"""),1.0)</f>
        <v>1</v>
      </c>
      <c r="I3407" s="9"/>
      <c r="J3407" s="9"/>
      <c r="K3407" s="9"/>
      <c r="L3407" s="9"/>
      <c r="M3407" s="9"/>
      <c r="N3407" s="9"/>
      <c r="O3407" s="9"/>
      <c r="P3407" s="9"/>
      <c r="Q3407" s="9"/>
      <c r="R3407" s="9"/>
      <c r="S3407" s="9"/>
      <c r="T3407" s="9"/>
    </row>
    <row r="3408" ht="15.75" customHeight="1">
      <c r="A3408" s="11">
        <f>IFERROR(__xludf.DUMMYFUNCTION("""COMPUTED_VALUE"""),44471.0)</f>
        <v>44471</v>
      </c>
      <c r="B3408" s="9">
        <f>IFERROR(__xludf.DUMMYFUNCTION("""COMPUTED_VALUE"""),1003779.0)</f>
        <v>1003779</v>
      </c>
      <c r="C3408" s="9">
        <f>IFERROR(__xludf.DUMMYFUNCTION("""COMPUTED_VALUE"""),121974.0)</f>
        <v>121974</v>
      </c>
      <c r="D3408" s="9"/>
      <c r="E3408" s="10" t="str">
        <f>IFERROR(__xludf.DUMMYFUNCTION("""COMPUTED_VALUE"""),"GREENRELAIS")</f>
        <v>GREENRELAIS</v>
      </c>
      <c r="F3408" s="10">
        <f>IFERROR(__xludf.DUMMYFUNCTION("""COMPUTED_VALUE"""),3.12)</f>
        <v>3.12</v>
      </c>
      <c r="G3408" s="9">
        <f>IFERROR(__xludf.DUMMYFUNCTION("""COMPUTED_VALUE"""),3.12)</f>
        <v>3.12</v>
      </c>
      <c r="H3408" s="9">
        <f>IFERROR(__xludf.DUMMYFUNCTION("""COMPUTED_VALUE"""),1.0)</f>
        <v>1</v>
      </c>
      <c r="I3408" s="9"/>
      <c r="J3408" s="9"/>
      <c r="K3408" s="9"/>
      <c r="L3408" s="9"/>
      <c r="M3408" s="9"/>
      <c r="N3408" s="9"/>
      <c r="O3408" s="9"/>
      <c r="P3408" s="9"/>
      <c r="Q3408" s="9"/>
      <c r="R3408" s="9"/>
      <c r="S3408" s="9"/>
      <c r="T3408" s="9"/>
    </row>
    <row r="3409" ht="15.75" customHeight="1">
      <c r="A3409" s="11">
        <f>IFERROR(__xludf.DUMMYFUNCTION("""COMPUTED_VALUE"""),44471.0)</f>
        <v>44471</v>
      </c>
      <c r="B3409" s="9">
        <f>IFERROR(__xludf.DUMMYFUNCTION("""COMPUTED_VALUE"""),1003779.0)</f>
        <v>1003779</v>
      </c>
      <c r="C3409" s="9">
        <f>IFERROR(__xludf.DUMMYFUNCTION("""COMPUTED_VALUE"""),69122.0)</f>
        <v>69122</v>
      </c>
      <c r="D3409" s="9"/>
      <c r="E3409" s="10" t="str">
        <f>IFERROR(__xludf.DUMMYFUNCTION("""COMPUTED_VALUE"""),"GREENRELAIS")</f>
        <v>GREENRELAIS</v>
      </c>
      <c r="F3409" s="10">
        <f>IFERROR(__xludf.DUMMYFUNCTION("""COMPUTED_VALUE"""),3.12)</f>
        <v>3.12</v>
      </c>
      <c r="G3409" s="9">
        <f>IFERROR(__xludf.DUMMYFUNCTION("""COMPUTED_VALUE"""),3.12)</f>
        <v>3.12</v>
      </c>
      <c r="H3409" s="9">
        <f>IFERROR(__xludf.DUMMYFUNCTION("""COMPUTED_VALUE"""),1.0)</f>
        <v>1</v>
      </c>
      <c r="I3409" s="9"/>
      <c r="J3409" s="9"/>
      <c r="K3409" s="9"/>
      <c r="L3409" s="9"/>
      <c r="M3409" s="9"/>
      <c r="N3409" s="9"/>
      <c r="O3409" s="9"/>
      <c r="P3409" s="9"/>
      <c r="Q3409" s="9"/>
      <c r="R3409" s="9"/>
      <c r="S3409" s="9"/>
      <c r="T3409" s="9"/>
    </row>
    <row r="3410" ht="15.75" customHeight="1">
      <c r="A3410" s="11">
        <f>IFERROR(__xludf.DUMMYFUNCTION("""COMPUTED_VALUE"""),44471.0)</f>
        <v>44471</v>
      </c>
      <c r="B3410" s="9">
        <f>IFERROR(__xludf.DUMMYFUNCTION("""COMPUTED_VALUE"""),1003779.0)</f>
        <v>1003779</v>
      </c>
      <c r="C3410" s="9">
        <f>IFERROR(__xludf.DUMMYFUNCTION("""COMPUTED_VALUE"""),121979.0)</f>
        <v>121979</v>
      </c>
      <c r="D3410" s="9"/>
      <c r="E3410" s="10" t="str">
        <f>IFERROR(__xludf.DUMMYFUNCTION("""COMPUTED_VALUE"""),"GREENRELAIS")</f>
        <v>GREENRELAIS</v>
      </c>
      <c r="F3410" s="10">
        <f>IFERROR(__xludf.DUMMYFUNCTION("""COMPUTED_VALUE"""),6.25)</f>
        <v>6.25</v>
      </c>
      <c r="G3410" s="9">
        <f>IFERROR(__xludf.DUMMYFUNCTION("""COMPUTED_VALUE"""),6.25)</f>
        <v>6.25</v>
      </c>
      <c r="H3410" s="9">
        <f>IFERROR(__xludf.DUMMYFUNCTION("""COMPUTED_VALUE"""),2.0)</f>
        <v>2</v>
      </c>
      <c r="I3410" s="9"/>
      <c r="J3410" s="9"/>
      <c r="K3410" s="9"/>
      <c r="L3410" s="9"/>
      <c r="M3410" s="9"/>
      <c r="N3410" s="9"/>
      <c r="O3410" s="9"/>
      <c r="P3410" s="9"/>
      <c r="Q3410" s="9"/>
      <c r="R3410" s="9"/>
      <c r="S3410" s="9"/>
      <c r="T3410" s="9"/>
    </row>
    <row r="3411" ht="15.75" customHeight="1">
      <c r="A3411" s="11">
        <f>IFERROR(__xludf.DUMMYFUNCTION("""COMPUTED_VALUE"""),44471.0)</f>
        <v>44471</v>
      </c>
      <c r="B3411" s="9">
        <f>IFERROR(__xludf.DUMMYFUNCTION("""COMPUTED_VALUE"""),1003779.0)</f>
        <v>1003779</v>
      </c>
      <c r="C3411" s="9">
        <f>IFERROR(__xludf.DUMMYFUNCTION("""COMPUTED_VALUE"""),121984.0)</f>
        <v>121984</v>
      </c>
      <c r="D3411" s="9"/>
      <c r="E3411" s="10" t="str">
        <f>IFERROR(__xludf.DUMMYFUNCTION("""COMPUTED_VALUE"""),"GREENRELAIS")</f>
        <v>GREENRELAIS</v>
      </c>
      <c r="F3411" s="10">
        <f>IFERROR(__xludf.DUMMYFUNCTION("""COMPUTED_VALUE"""),4.92)</f>
        <v>4.92</v>
      </c>
      <c r="G3411" s="9">
        <f>IFERROR(__xludf.DUMMYFUNCTION("""COMPUTED_VALUE"""),4.92)</f>
        <v>4.92</v>
      </c>
      <c r="H3411" s="9">
        <f>IFERROR(__xludf.DUMMYFUNCTION("""COMPUTED_VALUE"""),2.0)</f>
        <v>2</v>
      </c>
      <c r="I3411" s="9"/>
      <c r="J3411" s="9"/>
      <c r="K3411" s="9"/>
      <c r="L3411" s="9"/>
      <c r="M3411" s="9"/>
      <c r="N3411" s="9"/>
      <c r="O3411" s="9"/>
      <c r="P3411" s="9"/>
      <c r="Q3411" s="9"/>
      <c r="R3411" s="9"/>
      <c r="S3411" s="9"/>
      <c r="T3411" s="9"/>
    </row>
    <row r="3412" ht="15.75" customHeight="1">
      <c r="A3412" s="11">
        <f>IFERROR(__xludf.DUMMYFUNCTION("""COMPUTED_VALUE"""),44471.0)</f>
        <v>44471</v>
      </c>
      <c r="B3412" s="9">
        <f>IFERROR(__xludf.DUMMYFUNCTION("""COMPUTED_VALUE"""),1003779.0)</f>
        <v>1003779</v>
      </c>
      <c r="C3412" s="9">
        <f>IFERROR(__xludf.DUMMYFUNCTION("""COMPUTED_VALUE"""),69121.0)</f>
        <v>69121</v>
      </c>
      <c r="D3412" s="9"/>
      <c r="E3412" s="10" t="str">
        <f>IFERROR(__xludf.DUMMYFUNCTION("""COMPUTED_VALUE"""),"GREENRELAIS")</f>
        <v>GREENRELAIS</v>
      </c>
      <c r="F3412" s="10">
        <f>IFERROR(__xludf.DUMMYFUNCTION("""COMPUTED_VALUE"""),4.99)</f>
        <v>4.99</v>
      </c>
      <c r="G3412" s="9">
        <f>IFERROR(__xludf.DUMMYFUNCTION("""COMPUTED_VALUE"""),4.99)</f>
        <v>4.99</v>
      </c>
      <c r="H3412" s="9">
        <f>IFERROR(__xludf.DUMMYFUNCTION("""COMPUTED_VALUE"""),2.0)</f>
        <v>2</v>
      </c>
      <c r="I3412" s="9"/>
      <c r="J3412" s="9"/>
      <c r="K3412" s="9"/>
      <c r="L3412" s="9"/>
      <c r="M3412" s="9"/>
      <c r="N3412" s="9"/>
      <c r="O3412" s="9"/>
      <c r="P3412" s="9"/>
      <c r="Q3412" s="9"/>
      <c r="R3412" s="9"/>
      <c r="S3412" s="9"/>
      <c r="T3412" s="9"/>
    </row>
    <row r="3413" ht="15.75" customHeight="1">
      <c r="A3413" s="11">
        <f>IFERROR(__xludf.DUMMYFUNCTION("""COMPUTED_VALUE"""),44471.0)</f>
        <v>44471</v>
      </c>
      <c r="B3413" s="9">
        <f>IFERROR(__xludf.DUMMYFUNCTION("""COMPUTED_VALUE"""),1003780.0)</f>
        <v>1003780</v>
      </c>
      <c r="C3413" s="9">
        <f>IFERROR(__xludf.DUMMYFUNCTION("""COMPUTED_VALUE"""),9482.0)</f>
        <v>9482</v>
      </c>
      <c r="D3413" s="9"/>
      <c r="E3413" s="10" t="str">
        <f>IFERROR(__xludf.DUMMYFUNCTION("""COMPUTED_VALUE"""),"PREMIERE")</f>
        <v>PREMIERE</v>
      </c>
      <c r="F3413" s="10">
        <f>IFERROR(__xludf.DUMMYFUNCTION("""COMPUTED_VALUE"""),2.5)</f>
        <v>2.5</v>
      </c>
      <c r="G3413" s="9">
        <f>IFERROR(__xludf.DUMMYFUNCTION("""COMPUTED_VALUE"""),2.5)</f>
        <v>2.5</v>
      </c>
      <c r="H3413" s="9">
        <f>IFERROR(__xludf.DUMMYFUNCTION("""COMPUTED_VALUE"""),1.0)</f>
        <v>1</v>
      </c>
      <c r="I3413" s="9"/>
      <c r="J3413" s="9"/>
      <c r="K3413" s="9"/>
      <c r="L3413" s="9"/>
      <c r="M3413" s="9"/>
      <c r="N3413" s="9"/>
      <c r="O3413" s="9"/>
      <c r="P3413" s="9"/>
      <c r="Q3413" s="9"/>
      <c r="R3413" s="9"/>
      <c r="S3413" s="9"/>
      <c r="T3413" s="9"/>
    </row>
    <row r="3414" ht="15.75" customHeight="1">
      <c r="A3414" s="11">
        <f>IFERROR(__xludf.DUMMYFUNCTION("""COMPUTED_VALUE"""),44471.0)</f>
        <v>44471</v>
      </c>
      <c r="B3414" s="9">
        <f>IFERROR(__xludf.DUMMYFUNCTION("""COMPUTED_VALUE"""),1003780.0)</f>
        <v>1003780</v>
      </c>
      <c r="C3414" s="9">
        <f>IFERROR(__xludf.DUMMYFUNCTION("""COMPUTED_VALUE"""),9513.0)</f>
        <v>9513</v>
      </c>
      <c r="D3414" s="9"/>
      <c r="E3414" s="10" t="str">
        <f>IFERROR(__xludf.DUMMYFUNCTION("""COMPUTED_VALUE"""),"PREMIERE")</f>
        <v>PREMIERE</v>
      </c>
      <c r="F3414" s="10">
        <f>IFERROR(__xludf.DUMMYFUNCTION("""COMPUTED_VALUE"""),2.76)</f>
        <v>2.76</v>
      </c>
      <c r="G3414" s="9">
        <f>IFERROR(__xludf.DUMMYFUNCTION("""COMPUTED_VALUE"""),2.76)</f>
        <v>2.76</v>
      </c>
      <c r="H3414" s="9">
        <f>IFERROR(__xludf.DUMMYFUNCTION("""COMPUTED_VALUE"""),1.0)</f>
        <v>1</v>
      </c>
      <c r="I3414" s="9"/>
      <c r="J3414" s="9"/>
      <c r="K3414" s="9"/>
      <c r="L3414" s="9"/>
      <c r="M3414" s="9"/>
      <c r="N3414" s="9"/>
      <c r="O3414" s="9"/>
      <c r="P3414" s="9"/>
      <c r="Q3414" s="9"/>
      <c r="R3414" s="9"/>
      <c r="S3414" s="9"/>
      <c r="T3414" s="9"/>
    </row>
    <row r="3415" ht="15.75" customHeight="1">
      <c r="A3415" s="11">
        <f>IFERROR(__xludf.DUMMYFUNCTION("""COMPUTED_VALUE"""),44471.0)</f>
        <v>44471</v>
      </c>
      <c r="B3415" s="9">
        <f>IFERROR(__xludf.DUMMYFUNCTION("""COMPUTED_VALUE"""),1003780.0)</f>
        <v>1003780</v>
      </c>
      <c r="C3415" s="9">
        <f>IFERROR(__xludf.DUMMYFUNCTION("""COMPUTED_VALUE"""),122529.0)</f>
        <v>122529</v>
      </c>
      <c r="D3415" s="9"/>
      <c r="E3415" s="10" t="str">
        <f>IFERROR(__xludf.DUMMYFUNCTION("""COMPUTED_VALUE"""),"PREMIERE")</f>
        <v>PREMIERE</v>
      </c>
      <c r="F3415" s="10">
        <f>IFERROR(__xludf.DUMMYFUNCTION("""COMPUTED_VALUE"""),2.14)</f>
        <v>2.14</v>
      </c>
      <c r="G3415" s="9">
        <f>IFERROR(__xludf.DUMMYFUNCTION("""COMPUTED_VALUE"""),2.14)</f>
        <v>2.14</v>
      </c>
      <c r="H3415" s="9">
        <f>IFERROR(__xludf.DUMMYFUNCTION("""COMPUTED_VALUE"""),1.0)</f>
        <v>1</v>
      </c>
      <c r="I3415" s="9"/>
      <c r="J3415" s="9"/>
      <c r="K3415" s="9"/>
      <c r="L3415" s="9"/>
      <c r="M3415" s="9"/>
      <c r="N3415" s="9"/>
      <c r="O3415" s="9"/>
      <c r="P3415" s="9"/>
      <c r="Q3415" s="9"/>
      <c r="R3415" s="9"/>
      <c r="S3415" s="9"/>
      <c r="T3415" s="9"/>
    </row>
    <row r="3416" ht="15.75" customHeight="1">
      <c r="A3416" s="11">
        <f>IFERROR(__xludf.DUMMYFUNCTION("""COMPUTED_VALUE"""),44471.0)</f>
        <v>44471</v>
      </c>
      <c r="B3416" s="9">
        <f>IFERROR(__xludf.DUMMYFUNCTION("""COMPUTED_VALUE"""),1003780.0)</f>
        <v>1003780</v>
      </c>
      <c r="C3416" s="9">
        <f>IFERROR(__xludf.DUMMYFUNCTION("""COMPUTED_VALUE"""),104454.0)</f>
        <v>104454</v>
      </c>
      <c r="D3416" s="9"/>
      <c r="E3416" s="10" t="str">
        <f>IFERROR(__xludf.DUMMYFUNCTION("""COMPUTED_VALUE"""),"PREMIERE")</f>
        <v>PREMIERE</v>
      </c>
      <c r="F3416" s="10">
        <f>IFERROR(__xludf.DUMMYFUNCTION("""COMPUTED_VALUE"""),2.64)</f>
        <v>2.64</v>
      </c>
      <c r="G3416" s="9">
        <f>IFERROR(__xludf.DUMMYFUNCTION("""COMPUTED_VALUE"""),2.64)</f>
        <v>2.64</v>
      </c>
      <c r="H3416" s="9">
        <f>IFERROR(__xludf.DUMMYFUNCTION("""COMPUTED_VALUE"""),1.0)</f>
        <v>1</v>
      </c>
      <c r="I3416" s="9"/>
      <c r="J3416" s="9"/>
      <c r="K3416" s="9"/>
      <c r="L3416" s="9"/>
      <c r="M3416" s="9"/>
      <c r="N3416" s="9"/>
      <c r="O3416" s="9"/>
      <c r="P3416" s="9"/>
      <c r="Q3416" s="9"/>
      <c r="R3416" s="9"/>
      <c r="S3416" s="9"/>
      <c r="T3416" s="9"/>
    </row>
    <row r="3417" ht="15.75" customHeight="1">
      <c r="A3417" s="11">
        <f>IFERROR(__xludf.DUMMYFUNCTION("""COMPUTED_VALUE"""),44471.0)</f>
        <v>44471</v>
      </c>
      <c r="B3417" s="9">
        <f>IFERROR(__xludf.DUMMYFUNCTION("""COMPUTED_VALUE"""),1003780.0)</f>
        <v>1003780</v>
      </c>
      <c r="C3417" s="9">
        <f>IFERROR(__xludf.DUMMYFUNCTION("""COMPUTED_VALUE"""),73386.0)</f>
        <v>73386</v>
      </c>
      <c r="D3417" s="9"/>
      <c r="E3417" s="10" t="str">
        <f>IFERROR(__xludf.DUMMYFUNCTION("""COMPUTED_VALUE"""),"PREMIERE")</f>
        <v>PREMIERE</v>
      </c>
      <c r="F3417" s="10">
        <f>IFERROR(__xludf.DUMMYFUNCTION("""COMPUTED_VALUE"""),2.52)</f>
        <v>2.52</v>
      </c>
      <c r="G3417" s="9">
        <f>IFERROR(__xludf.DUMMYFUNCTION("""COMPUTED_VALUE"""),2.52)</f>
        <v>2.52</v>
      </c>
      <c r="H3417" s="9">
        <f>IFERROR(__xludf.DUMMYFUNCTION("""COMPUTED_VALUE"""),1.0)</f>
        <v>1</v>
      </c>
      <c r="I3417" s="9"/>
      <c r="J3417" s="9"/>
      <c r="K3417" s="9"/>
      <c r="L3417" s="9"/>
      <c r="M3417" s="9"/>
      <c r="N3417" s="9"/>
      <c r="O3417" s="9"/>
      <c r="P3417" s="9"/>
      <c r="Q3417" s="9"/>
      <c r="R3417" s="9"/>
      <c r="S3417" s="9"/>
      <c r="T3417" s="9"/>
    </row>
    <row r="3418" ht="15.75" customHeight="1">
      <c r="A3418" s="11">
        <f>IFERROR(__xludf.DUMMYFUNCTION("""COMPUTED_VALUE"""),44471.0)</f>
        <v>44471</v>
      </c>
      <c r="B3418" s="9">
        <f>IFERROR(__xludf.DUMMYFUNCTION("""COMPUTED_VALUE"""),1003780.0)</f>
        <v>1003780</v>
      </c>
      <c r="C3418" s="9">
        <f>IFERROR(__xludf.DUMMYFUNCTION("""COMPUTED_VALUE"""),98397.0)</f>
        <v>98397</v>
      </c>
      <c r="D3418" s="10" t="str">
        <f>IFERROR(__xludf.DUMMYFUNCTION("""COMPUTED_VALUE"""),"DLC courtes")</f>
        <v>DLC courtes</v>
      </c>
      <c r="E3418" s="10" t="str">
        <f>IFERROR(__xludf.DUMMYFUNCTION("""COMPUTED_VALUE"""),"PREMIERE")</f>
        <v>PREMIERE</v>
      </c>
      <c r="F3418" s="10">
        <f>IFERROR(__xludf.DUMMYFUNCTION("""COMPUTED_VALUE"""),2.27058823529411)</f>
        <v>2.270588235</v>
      </c>
      <c r="G3418" s="9">
        <f>IFERROR(__xludf.DUMMYFUNCTION("""COMPUTED_VALUE"""),1.93)</f>
        <v>1.93</v>
      </c>
      <c r="H3418" s="9">
        <f>IFERROR(__xludf.DUMMYFUNCTION("""COMPUTED_VALUE"""),1.0)</f>
        <v>1</v>
      </c>
      <c r="I3418" s="9"/>
      <c r="J3418" s="9"/>
      <c r="K3418" s="9"/>
      <c r="L3418" s="9"/>
      <c r="M3418" s="9"/>
      <c r="N3418" s="9"/>
      <c r="O3418" s="9"/>
      <c r="P3418" s="9"/>
      <c r="Q3418" s="9"/>
      <c r="R3418" s="9"/>
      <c r="S3418" s="9"/>
      <c r="T3418" s="9"/>
    </row>
    <row r="3419" ht="15.75" customHeight="1">
      <c r="A3419" s="11">
        <f>IFERROR(__xludf.DUMMYFUNCTION("""COMPUTED_VALUE"""),44471.0)</f>
        <v>44471</v>
      </c>
      <c r="B3419" s="9">
        <f>IFERROR(__xludf.DUMMYFUNCTION("""COMPUTED_VALUE"""),1003780.0)</f>
        <v>1003780</v>
      </c>
      <c r="C3419" s="9">
        <f>IFERROR(__xludf.DUMMYFUNCTION("""COMPUTED_VALUE"""),87849.0)</f>
        <v>87849</v>
      </c>
      <c r="D3419" s="9"/>
      <c r="E3419" s="10" t="str">
        <f>IFERROR(__xludf.DUMMYFUNCTION("""COMPUTED_VALUE"""),"PREMIERE")</f>
        <v>PREMIERE</v>
      </c>
      <c r="F3419" s="10">
        <f>IFERROR(__xludf.DUMMYFUNCTION("""COMPUTED_VALUE"""),3.9)</f>
        <v>3.9</v>
      </c>
      <c r="G3419" s="9">
        <f>IFERROR(__xludf.DUMMYFUNCTION("""COMPUTED_VALUE"""),3.9)</f>
        <v>3.9</v>
      </c>
      <c r="H3419" s="9">
        <f>IFERROR(__xludf.DUMMYFUNCTION("""COMPUTED_VALUE"""),1.0)</f>
        <v>1</v>
      </c>
      <c r="I3419" s="9"/>
      <c r="J3419" s="9"/>
      <c r="K3419" s="9"/>
      <c r="L3419" s="9"/>
      <c r="M3419" s="9"/>
      <c r="N3419" s="9"/>
      <c r="O3419" s="9"/>
      <c r="P3419" s="9"/>
      <c r="Q3419" s="9"/>
      <c r="R3419" s="9"/>
      <c r="S3419" s="9"/>
      <c r="T3419" s="9"/>
    </row>
    <row r="3420" ht="15.75" customHeight="1">
      <c r="A3420" s="11">
        <f>IFERROR(__xludf.DUMMYFUNCTION("""COMPUTED_VALUE"""),44471.0)</f>
        <v>44471</v>
      </c>
      <c r="B3420" s="9">
        <f>IFERROR(__xludf.DUMMYFUNCTION("""COMPUTED_VALUE"""),1003780.0)</f>
        <v>1003780</v>
      </c>
      <c r="C3420" s="9">
        <f>IFERROR(__xludf.DUMMYFUNCTION("""COMPUTED_VALUE"""),119971.0)</f>
        <v>119971</v>
      </c>
      <c r="D3420" s="9"/>
      <c r="E3420" s="10" t="str">
        <f>IFERROR(__xludf.DUMMYFUNCTION("""COMPUTED_VALUE"""),"PREMIERE")</f>
        <v>PREMIERE</v>
      </c>
      <c r="F3420" s="10">
        <f>IFERROR(__xludf.DUMMYFUNCTION("""COMPUTED_VALUE"""),4.82)</f>
        <v>4.82</v>
      </c>
      <c r="G3420" s="9">
        <f>IFERROR(__xludf.DUMMYFUNCTION("""COMPUTED_VALUE"""),4.82)</f>
        <v>4.82</v>
      </c>
      <c r="H3420" s="9">
        <f>IFERROR(__xludf.DUMMYFUNCTION("""COMPUTED_VALUE"""),1.0)</f>
        <v>1</v>
      </c>
      <c r="I3420" s="9"/>
      <c r="J3420" s="9"/>
      <c r="K3420" s="9"/>
      <c r="L3420" s="9"/>
      <c r="M3420" s="9"/>
      <c r="N3420" s="9"/>
      <c r="O3420" s="9"/>
      <c r="P3420" s="9"/>
      <c r="Q3420" s="9"/>
      <c r="R3420" s="9"/>
      <c r="S3420" s="9"/>
      <c r="T3420" s="9"/>
    </row>
    <row r="3421" ht="15.75" customHeight="1">
      <c r="A3421" s="11">
        <f>IFERROR(__xludf.DUMMYFUNCTION("""COMPUTED_VALUE"""),44471.0)</f>
        <v>44471</v>
      </c>
      <c r="B3421" s="9">
        <f>IFERROR(__xludf.DUMMYFUNCTION("""COMPUTED_VALUE"""),1003780.0)</f>
        <v>1003780</v>
      </c>
      <c r="C3421" s="9">
        <f>IFERROR(__xludf.DUMMYFUNCTION("""COMPUTED_VALUE"""),5635.0)</f>
        <v>5635</v>
      </c>
      <c r="D3421" s="9"/>
      <c r="E3421" s="10" t="str">
        <f>IFERROR(__xludf.DUMMYFUNCTION("""COMPUTED_VALUE"""),"PREMIERE")</f>
        <v>PREMIERE</v>
      </c>
      <c r="F3421" s="10">
        <f>IFERROR(__xludf.DUMMYFUNCTION("""COMPUTED_VALUE"""),1.83)</f>
        <v>1.83</v>
      </c>
      <c r="G3421" s="9">
        <f>IFERROR(__xludf.DUMMYFUNCTION("""COMPUTED_VALUE"""),1.83)</f>
        <v>1.83</v>
      </c>
      <c r="H3421" s="9">
        <f>IFERROR(__xludf.DUMMYFUNCTION("""COMPUTED_VALUE"""),1.0)</f>
        <v>1</v>
      </c>
      <c r="I3421" s="9"/>
      <c r="J3421" s="9"/>
      <c r="K3421" s="9"/>
      <c r="L3421" s="9"/>
      <c r="M3421" s="9"/>
      <c r="N3421" s="9"/>
      <c r="O3421" s="9"/>
      <c r="P3421" s="9"/>
      <c r="Q3421" s="9"/>
      <c r="R3421" s="9"/>
      <c r="S3421" s="9"/>
      <c r="T3421" s="9"/>
    </row>
    <row r="3422" ht="15.75" customHeight="1">
      <c r="A3422" s="11">
        <f>IFERROR(__xludf.DUMMYFUNCTION("""COMPUTED_VALUE"""),44471.0)</f>
        <v>44471</v>
      </c>
      <c r="B3422" s="9">
        <f>IFERROR(__xludf.DUMMYFUNCTION("""COMPUTED_VALUE"""),1003780.0)</f>
        <v>1003780</v>
      </c>
      <c r="C3422" s="9">
        <f>IFERROR(__xludf.DUMMYFUNCTION("""COMPUTED_VALUE"""),13342.0)</f>
        <v>13342</v>
      </c>
      <c r="D3422" s="9"/>
      <c r="E3422" s="10" t="str">
        <f>IFERROR(__xludf.DUMMYFUNCTION("""COMPUTED_VALUE"""),"PREMIERE")</f>
        <v>PREMIERE</v>
      </c>
      <c r="F3422" s="10">
        <f>IFERROR(__xludf.DUMMYFUNCTION("""COMPUTED_VALUE"""),2.31)</f>
        <v>2.31</v>
      </c>
      <c r="G3422" s="9">
        <f>IFERROR(__xludf.DUMMYFUNCTION("""COMPUTED_VALUE"""),2.31)</f>
        <v>2.31</v>
      </c>
      <c r="H3422" s="9">
        <f>IFERROR(__xludf.DUMMYFUNCTION("""COMPUTED_VALUE"""),1.0)</f>
        <v>1</v>
      </c>
      <c r="I3422" s="9"/>
      <c r="J3422" s="9"/>
      <c r="K3422" s="9"/>
      <c r="L3422" s="9"/>
      <c r="M3422" s="9"/>
      <c r="N3422" s="9"/>
      <c r="O3422" s="9"/>
      <c r="P3422" s="9"/>
      <c r="Q3422" s="9"/>
      <c r="R3422" s="9"/>
      <c r="S3422" s="9"/>
      <c r="T3422" s="9"/>
    </row>
    <row r="3423" ht="15.75" customHeight="1">
      <c r="A3423" s="11">
        <f>IFERROR(__xludf.DUMMYFUNCTION("""COMPUTED_VALUE"""),44471.0)</f>
        <v>44471</v>
      </c>
      <c r="B3423" s="9">
        <f>IFERROR(__xludf.DUMMYFUNCTION("""COMPUTED_VALUE"""),1003780.0)</f>
        <v>1003780</v>
      </c>
      <c r="C3423" s="9">
        <f>IFERROR(__xludf.DUMMYFUNCTION("""COMPUTED_VALUE"""),45867.0)</f>
        <v>45867</v>
      </c>
      <c r="D3423" s="9"/>
      <c r="E3423" s="10" t="str">
        <f>IFERROR(__xludf.DUMMYFUNCTION("""COMPUTED_VALUE"""),"PREMIERE")</f>
        <v>PREMIERE</v>
      </c>
      <c r="F3423" s="10">
        <f>IFERROR(__xludf.DUMMYFUNCTION("""COMPUTED_VALUE"""),2.7)</f>
        <v>2.7</v>
      </c>
      <c r="G3423" s="9">
        <f>IFERROR(__xludf.DUMMYFUNCTION("""COMPUTED_VALUE"""),2.7)</f>
        <v>2.7</v>
      </c>
      <c r="H3423" s="9">
        <f>IFERROR(__xludf.DUMMYFUNCTION("""COMPUTED_VALUE"""),1.0)</f>
        <v>1</v>
      </c>
      <c r="I3423" s="9"/>
      <c r="J3423" s="9"/>
      <c r="K3423" s="9"/>
      <c r="L3423" s="9"/>
      <c r="M3423" s="9"/>
      <c r="N3423" s="9"/>
      <c r="O3423" s="9"/>
      <c r="P3423" s="9"/>
      <c r="Q3423" s="9"/>
      <c r="R3423" s="9"/>
      <c r="S3423" s="9"/>
      <c r="T3423" s="9"/>
    </row>
    <row r="3424" ht="15.75" customHeight="1">
      <c r="A3424" s="11">
        <f>IFERROR(__xludf.DUMMYFUNCTION("""COMPUTED_VALUE"""),44471.0)</f>
        <v>44471</v>
      </c>
      <c r="B3424" s="9">
        <f>IFERROR(__xludf.DUMMYFUNCTION("""COMPUTED_VALUE"""),1003780.0)</f>
        <v>1003780</v>
      </c>
      <c r="C3424" s="9">
        <f>IFERROR(__xludf.DUMMYFUNCTION("""COMPUTED_VALUE"""),83853.0)</f>
        <v>83853</v>
      </c>
      <c r="D3424" s="10" t="str">
        <f>IFERROR(__xludf.DUMMYFUNCTION("""COMPUTED_VALUE"""),"Vive le bio")</f>
        <v>Vive le bio</v>
      </c>
      <c r="E3424" s="10" t="str">
        <f>IFERROR(__xludf.DUMMYFUNCTION("""COMPUTED_VALUE"""),"PREMIERE")</f>
        <v>PREMIERE</v>
      </c>
      <c r="F3424" s="10">
        <f>IFERROR(__xludf.DUMMYFUNCTION("""COMPUTED_VALUE"""),2.04444444444444)</f>
        <v>2.044444444</v>
      </c>
      <c r="G3424" s="9">
        <f>IFERROR(__xludf.DUMMYFUNCTION("""COMPUTED_VALUE"""),1.84)</f>
        <v>1.84</v>
      </c>
      <c r="H3424" s="9">
        <f>IFERROR(__xludf.DUMMYFUNCTION("""COMPUTED_VALUE"""),1.0)</f>
        <v>1</v>
      </c>
      <c r="I3424" s="9"/>
      <c r="J3424" s="9"/>
      <c r="K3424" s="9"/>
      <c r="L3424" s="9"/>
      <c r="M3424" s="9"/>
      <c r="N3424" s="9"/>
      <c r="O3424" s="9"/>
      <c r="P3424" s="9"/>
      <c r="Q3424" s="9"/>
      <c r="R3424" s="9"/>
      <c r="S3424" s="9"/>
      <c r="T3424" s="9"/>
    </row>
    <row r="3425" ht="15.75" customHeight="1">
      <c r="A3425" s="11">
        <f>IFERROR(__xludf.DUMMYFUNCTION("""COMPUTED_VALUE"""),44471.0)</f>
        <v>44471</v>
      </c>
      <c r="B3425" s="9">
        <f>IFERROR(__xludf.DUMMYFUNCTION("""COMPUTED_VALUE"""),1003780.0)</f>
        <v>1003780</v>
      </c>
      <c r="C3425" s="9">
        <f>IFERROR(__xludf.DUMMYFUNCTION("""COMPUTED_VALUE"""),86400.0)</f>
        <v>86400</v>
      </c>
      <c r="D3425" s="9"/>
      <c r="E3425" s="10" t="str">
        <f>IFERROR(__xludf.DUMMYFUNCTION("""COMPUTED_VALUE"""),"PREMIERE")</f>
        <v>PREMIERE</v>
      </c>
      <c r="F3425" s="10">
        <f>IFERROR(__xludf.DUMMYFUNCTION("""COMPUTED_VALUE"""),2.09)</f>
        <v>2.09</v>
      </c>
      <c r="G3425" s="9">
        <f>IFERROR(__xludf.DUMMYFUNCTION("""COMPUTED_VALUE"""),2.09)</f>
        <v>2.09</v>
      </c>
      <c r="H3425" s="9">
        <f>IFERROR(__xludf.DUMMYFUNCTION("""COMPUTED_VALUE"""),1.0)</f>
        <v>1</v>
      </c>
      <c r="I3425" s="9"/>
      <c r="J3425" s="9"/>
      <c r="K3425" s="9"/>
      <c r="L3425" s="9"/>
      <c r="M3425" s="9"/>
      <c r="N3425" s="9"/>
      <c r="O3425" s="9"/>
      <c r="P3425" s="9"/>
      <c r="Q3425" s="9"/>
      <c r="R3425" s="9"/>
      <c r="S3425" s="9"/>
      <c r="T3425" s="9"/>
    </row>
    <row r="3426" ht="15.75" customHeight="1">
      <c r="A3426" s="11">
        <f>IFERROR(__xludf.DUMMYFUNCTION("""COMPUTED_VALUE"""),44471.0)</f>
        <v>44471</v>
      </c>
      <c r="B3426" s="9">
        <f>IFERROR(__xludf.DUMMYFUNCTION("""COMPUTED_VALUE"""),1003780.0)</f>
        <v>1003780</v>
      </c>
      <c r="C3426" s="9">
        <f>IFERROR(__xludf.DUMMYFUNCTION("""COMPUTED_VALUE"""),9554.0)</f>
        <v>9554</v>
      </c>
      <c r="D3426" s="9"/>
      <c r="E3426" s="10" t="str">
        <f>IFERROR(__xludf.DUMMYFUNCTION("""COMPUTED_VALUE"""),"PREMIERE")</f>
        <v>PREMIERE</v>
      </c>
      <c r="F3426" s="10">
        <f>IFERROR(__xludf.DUMMYFUNCTION("""COMPUTED_VALUE"""),3.85)</f>
        <v>3.85</v>
      </c>
      <c r="G3426" s="9">
        <f>IFERROR(__xludf.DUMMYFUNCTION("""COMPUTED_VALUE"""),3.85)</f>
        <v>3.85</v>
      </c>
      <c r="H3426" s="9">
        <f>IFERROR(__xludf.DUMMYFUNCTION("""COMPUTED_VALUE"""),1.0)</f>
        <v>1</v>
      </c>
      <c r="I3426" s="9"/>
      <c r="J3426" s="9"/>
      <c r="K3426" s="9"/>
      <c r="L3426" s="9"/>
      <c r="M3426" s="9"/>
      <c r="N3426" s="9"/>
      <c r="O3426" s="9"/>
      <c r="P3426" s="9"/>
      <c r="Q3426" s="9"/>
      <c r="R3426" s="9"/>
      <c r="S3426" s="9"/>
      <c r="T3426" s="9"/>
    </row>
    <row r="3427" ht="15.75" customHeight="1">
      <c r="A3427" s="11">
        <f>IFERROR(__xludf.DUMMYFUNCTION("""COMPUTED_VALUE"""),44471.0)</f>
        <v>44471</v>
      </c>
      <c r="B3427" s="9">
        <f>IFERROR(__xludf.DUMMYFUNCTION("""COMPUTED_VALUE"""),1003780.0)</f>
        <v>1003780</v>
      </c>
      <c r="C3427" s="9">
        <f>IFERROR(__xludf.DUMMYFUNCTION("""COMPUTED_VALUE"""),87381.0)</f>
        <v>87381</v>
      </c>
      <c r="D3427" s="9"/>
      <c r="E3427" s="10" t="str">
        <f>IFERROR(__xludf.DUMMYFUNCTION("""COMPUTED_VALUE"""),"PREMIERE")</f>
        <v>PREMIERE</v>
      </c>
      <c r="F3427" s="10">
        <f>IFERROR(__xludf.DUMMYFUNCTION("""COMPUTED_VALUE"""),2.23)</f>
        <v>2.23</v>
      </c>
      <c r="G3427" s="9">
        <f>IFERROR(__xludf.DUMMYFUNCTION("""COMPUTED_VALUE"""),2.23)</f>
        <v>2.23</v>
      </c>
      <c r="H3427" s="9">
        <f>IFERROR(__xludf.DUMMYFUNCTION("""COMPUTED_VALUE"""),1.0)</f>
        <v>1</v>
      </c>
      <c r="I3427" s="9"/>
      <c r="J3427" s="9"/>
      <c r="K3427" s="9"/>
      <c r="L3427" s="9"/>
      <c r="M3427" s="9"/>
      <c r="N3427" s="9"/>
      <c r="O3427" s="9"/>
      <c r="P3427" s="9"/>
      <c r="Q3427" s="9"/>
      <c r="R3427" s="9"/>
      <c r="S3427" s="9"/>
      <c r="T3427" s="9"/>
    </row>
    <row r="3428" ht="15.75" customHeight="1">
      <c r="A3428" s="11">
        <f>IFERROR(__xludf.DUMMYFUNCTION("""COMPUTED_VALUE"""),44471.0)</f>
        <v>44471</v>
      </c>
      <c r="B3428" s="9">
        <f>IFERROR(__xludf.DUMMYFUNCTION("""COMPUTED_VALUE"""),1003780.0)</f>
        <v>1003780</v>
      </c>
      <c r="C3428" s="9">
        <f>IFERROR(__xludf.DUMMYFUNCTION("""COMPUTED_VALUE"""),9551.0)</f>
        <v>9551</v>
      </c>
      <c r="D3428" s="9"/>
      <c r="E3428" s="10" t="str">
        <f>IFERROR(__xludf.DUMMYFUNCTION("""COMPUTED_VALUE"""),"PREMIERE")</f>
        <v>PREMIERE</v>
      </c>
      <c r="F3428" s="10">
        <f>IFERROR(__xludf.DUMMYFUNCTION("""COMPUTED_VALUE"""),2.11)</f>
        <v>2.11</v>
      </c>
      <c r="G3428" s="9">
        <f>IFERROR(__xludf.DUMMYFUNCTION("""COMPUTED_VALUE"""),2.11)</f>
        <v>2.11</v>
      </c>
      <c r="H3428" s="9">
        <f>IFERROR(__xludf.DUMMYFUNCTION("""COMPUTED_VALUE"""),1.0)</f>
        <v>1</v>
      </c>
      <c r="I3428" s="9"/>
      <c r="J3428" s="9"/>
      <c r="K3428" s="9"/>
      <c r="L3428" s="9"/>
      <c r="M3428" s="9"/>
      <c r="N3428" s="9"/>
      <c r="O3428" s="9"/>
      <c r="P3428" s="9"/>
      <c r="Q3428" s="9"/>
      <c r="R3428" s="9"/>
      <c r="S3428" s="9"/>
      <c r="T3428" s="9"/>
    </row>
    <row r="3429" ht="15.75" customHeight="1">
      <c r="A3429" s="11">
        <f>IFERROR(__xludf.DUMMYFUNCTION("""COMPUTED_VALUE"""),44471.0)</f>
        <v>44471</v>
      </c>
      <c r="B3429" s="9">
        <f>IFERROR(__xludf.DUMMYFUNCTION("""COMPUTED_VALUE"""),1003780.0)</f>
        <v>1003780</v>
      </c>
      <c r="C3429" s="9">
        <f>IFERROR(__xludf.DUMMYFUNCTION("""COMPUTED_VALUE"""),122530.0)</f>
        <v>122530</v>
      </c>
      <c r="D3429" s="9"/>
      <c r="E3429" s="10" t="str">
        <f>IFERROR(__xludf.DUMMYFUNCTION("""COMPUTED_VALUE"""),"PREMIERE")</f>
        <v>PREMIERE</v>
      </c>
      <c r="F3429" s="10">
        <f>IFERROR(__xludf.DUMMYFUNCTION("""COMPUTED_VALUE"""),4.17)</f>
        <v>4.17</v>
      </c>
      <c r="G3429" s="9">
        <f>IFERROR(__xludf.DUMMYFUNCTION("""COMPUTED_VALUE"""),4.17)</f>
        <v>4.17</v>
      </c>
      <c r="H3429" s="9">
        <f>IFERROR(__xludf.DUMMYFUNCTION("""COMPUTED_VALUE"""),2.0)</f>
        <v>2</v>
      </c>
      <c r="I3429" s="9"/>
      <c r="J3429" s="9"/>
      <c r="K3429" s="9"/>
      <c r="L3429" s="9"/>
      <c r="M3429" s="9"/>
      <c r="N3429" s="9"/>
      <c r="O3429" s="9"/>
      <c r="P3429" s="9"/>
      <c r="Q3429" s="9"/>
      <c r="R3429" s="9"/>
      <c r="S3429" s="9"/>
      <c r="T3429" s="9"/>
    </row>
    <row r="3430" ht="15.75" customHeight="1">
      <c r="A3430" s="11">
        <f>IFERROR(__xludf.DUMMYFUNCTION("""COMPUTED_VALUE"""),44471.0)</f>
        <v>44471</v>
      </c>
      <c r="B3430" s="9">
        <f>IFERROR(__xludf.DUMMYFUNCTION("""COMPUTED_VALUE"""),1003780.0)</f>
        <v>1003780</v>
      </c>
      <c r="C3430" s="9">
        <f>IFERROR(__xludf.DUMMYFUNCTION("""COMPUTED_VALUE"""),10654.0)</f>
        <v>10654</v>
      </c>
      <c r="D3430" s="9"/>
      <c r="E3430" s="10" t="str">
        <f>IFERROR(__xludf.DUMMYFUNCTION("""COMPUTED_VALUE"""),"PREMIERE")</f>
        <v>PREMIERE</v>
      </c>
      <c r="F3430" s="10">
        <f>IFERROR(__xludf.DUMMYFUNCTION("""COMPUTED_VALUE"""),4.16)</f>
        <v>4.16</v>
      </c>
      <c r="G3430" s="9">
        <f>IFERROR(__xludf.DUMMYFUNCTION("""COMPUTED_VALUE"""),4.16)</f>
        <v>4.16</v>
      </c>
      <c r="H3430" s="9">
        <f>IFERROR(__xludf.DUMMYFUNCTION("""COMPUTED_VALUE"""),3.0)</f>
        <v>3</v>
      </c>
      <c r="I3430" s="9"/>
      <c r="J3430" s="9"/>
      <c r="K3430" s="9"/>
      <c r="L3430" s="9"/>
      <c r="M3430" s="9"/>
      <c r="N3430" s="9"/>
      <c r="O3430" s="9"/>
      <c r="P3430" s="9"/>
      <c r="Q3430" s="9"/>
      <c r="R3430" s="9"/>
      <c r="S3430" s="9"/>
      <c r="T3430" s="9"/>
    </row>
    <row r="3431" ht="15.75" customHeight="1">
      <c r="A3431" s="11">
        <f>IFERROR(__xludf.DUMMYFUNCTION("""COMPUTED_VALUE"""),44471.0)</f>
        <v>44471</v>
      </c>
      <c r="B3431" s="9">
        <f>IFERROR(__xludf.DUMMYFUNCTION("""COMPUTED_VALUE"""),1003781.0)</f>
        <v>1003781</v>
      </c>
      <c r="C3431" s="9">
        <f>IFERROR(__xludf.DUMMYFUNCTION("""COMPUTED_VALUE"""),79695.0)</f>
        <v>79695</v>
      </c>
      <c r="D3431" s="9"/>
      <c r="E3431" s="9"/>
      <c r="F3431" s="9">
        <f>IFERROR(__xludf.DUMMYFUNCTION("""COMPUTED_VALUE"""),17.94)</f>
        <v>17.94</v>
      </c>
      <c r="G3431" s="9">
        <f>IFERROR(__xludf.DUMMYFUNCTION("""COMPUTED_VALUE"""),17.94)</f>
        <v>17.94</v>
      </c>
      <c r="H3431" s="9">
        <f>IFERROR(__xludf.DUMMYFUNCTION("""COMPUTED_VALUE"""),1.0)</f>
        <v>1</v>
      </c>
      <c r="I3431" s="9"/>
      <c r="J3431" s="9"/>
      <c r="K3431" s="9"/>
      <c r="L3431" s="9"/>
      <c r="M3431" s="9"/>
      <c r="N3431" s="9"/>
      <c r="O3431" s="9"/>
      <c r="P3431" s="9"/>
      <c r="Q3431" s="9"/>
      <c r="R3431" s="9"/>
      <c r="S3431" s="9"/>
      <c r="T3431" s="9"/>
    </row>
    <row r="3432" ht="15.75" customHeight="1">
      <c r="A3432" s="11">
        <f>IFERROR(__xludf.DUMMYFUNCTION("""COMPUTED_VALUE"""),44471.0)</f>
        <v>44471</v>
      </c>
      <c r="B3432" s="9">
        <f>IFERROR(__xludf.DUMMYFUNCTION("""COMPUTED_VALUE"""),1003782.0)</f>
        <v>1003782</v>
      </c>
      <c r="C3432" s="9">
        <f>IFERROR(__xludf.DUMMYFUNCTION("""COMPUTED_VALUE"""),42695.0)</f>
        <v>42695</v>
      </c>
      <c r="D3432" s="9"/>
      <c r="E3432" s="9"/>
      <c r="F3432" s="9">
        <f>IFERROR(__xludf.DUMMYFUNCTION("""COMPUTED_VALUE"""),12.59)</f>
        <v>12.59</v>
      </c>
      <c r="G3432" s="9">
        <f>IFERROR(__xludf.DUMMYFUNCTION("""COMPUTED_VALUE"""),12.59)</f>
        <v>12.59</v>
      </c>
      <c r="H3432" s="9">
        <f>IFERROR(__xludf.DUMMYFUNCTION("""COMPUTED_VALUE"""),5.0)</f>
        <v>5</v>
      </c>
      <c r="I3432" s="9"/>
      <c r="J3432" s="9"/>
      <c r="K3432" s="9"/>
      <c r="L3432" s="9"/>
      <c r="M3432" s="9"/>
      <c r="N3432" s="9"/>
      <c r="O3432" s="9"/>
      <c r="P3432" s="9"/>
      <c r="Q3432" s="9"/>
      <c r="R3432" s="9"/>
      <c r="S3432" s="9"/>
      <c r="T3432" s="9"/>
    </row>
    <row r="3433" ht="15.75" customHeight="1">
      <c r="A3433" s="11">
        <f>IFERROR(__xludf.DUMMYFUNCTION("""COMPUTED_VALUE"""),44471.0)</f>
        <v>44471</v>
      </c>
      <c r="B3433" s="9">
        <f>IFERROR(__xludf.DUMMYFUNCTION("""COMPUTED_VALUE"""),1003782.0)</f>
        <v>1003782</v>
      </c>
      <c r="C3433" s="9">
        <f>IFERROR(__xludf.DUMMYFUNCTION("""COMPUTED_VALUE"""),69323.0)</f>
        <v>69323</v>
      </c>
      <c r="D3433" s="9"/>
      <c r="E3433" s="9"/>
      <c r="F3433" s="9">
        <f>IFERROR(__xludf.DUMMYFUNCTION("""COMPUTED_VALUE"""),17.18)</f>
        <v>17.18</v>
      </c>
      <c r="G3433" s="9">
        <f>IFERROR(__xludf.DUMMYFUNCTION("""COMPUTED_VALUE"""),17.18)</f>
        <v>17.18</v>
      </c>
      <c r="H3433" s="9">
        <f>IFERROR(__xludf.DUMMYFUNCTION("""COMPUTED_VALUE"""),5.0)</f>
        <v>5</v>
      </c>
      <c r="I3433" s="9"/>
      <c r="J3433" s="9"/>
      <c r="K3433" s="9"/>
      <c r="L3433" s="9"/>
      <c r="M3433" s="9"/>
      <c r="N3433" s="9"/>
      <c r="O3433" s="9"/>
      <c r="P3433" s="9"/>
      <c r="Q3433" s="9"/>
      <c r="R3433" s="9"/>
      <c r="S3433" s="9"/>
      <c r="T3433" s="9"/>
    </row>
    <row r="3434" ht="15.75" customHeight="1">
      <c r="A3434" s="11">
        <f>IFERROR(__xludf.DUMMYFUNCTION("""COMPUTED_VALUE"""),44471.0)</f>
        <v>44471</v>
      </c>
      <c r="B3434" s="9">
        <f>IFERROR(__xludf.DUMMYFUNCTION("""COMPUTED_VALUE"""),1003782.0)</f>
        <v>1003782</v>
      </c>
      <c r="C3434" s="9">
        <f>IFERROR(__xludf.DUMMYFUNCTION("""COMPUTED_VALUE"""),104322.0)</f>
        <v>104322</v>
      </c>
      <c r="D3434" s="9"/>
      <c r="E3434" s="9"/>
      <c r="F3434" s="9">
        <f>IFERROR(__xludf.DUMMYFUNCTION("""COMPUTED_VALUE"""),16.67)</f>
        <v>16.67</v>
      </c>
      <c r="G3434" s="9">
        <f>IFERROR(__xludf.DUMMYFUNCTION("""COMPUTED_VALUE"""),16.67)</f>
        <v>16.67</v>
      </c>
      <c r="H3434" s="9">
        <f>IFERROR(__xludf.DUMMYFUNCTION("""COMPUTED_VALUE"""),5.0)</f>
        <v>5</v>
      </c>
      <c r="I3434" s="9"/>
      <c r="J3434" s="9"/>
      <c r="K3434" s="9"/>
      <c r="L3434" s="9"/>
      <c r="M3434" s="9"/>
      <c r="N3434" s="9"/>
      <c r="O3434" s="9"/>
      <c r="P3434" s="9"/>
      <c r="Q3434" s="9"/>
      <c r="R3434" s="9"/>
      <c r="S3434" s="9"/>
      <c r="T3434" s="9"/>
    </row>
    <row r="3435" ht="15.75" customHeight="1">
      <c r="A3435" s="11">
        <f>IFERROR(__xludf.DUMMYFUNCTION("""COMPUTED_VALUE"""),44471.0)</f>
        <v>44471</v>
      </c>
      <c r="B3435" s="9">
        <f>IFERROR(__xludf.DUMMYFUNCTION("""COMPUTED_VALUE"""),1003782.0)</f>
        <v>1003782</v>
      </c>
      <c r="C3435" s="9">
        <f>IFERROR(__xludf.DUMMYFUNCTION("""COMPUTED_VALUE"""),8696.0)</f>
        <v>8696</v>
      </c>
      <c r="D3435" s="9"/>
      <c r="E3435" s="9"/>
      <c r="F3435" s="9">
        <f>IFERROR(__xludf.DUMMYFUNCTION("""COMPUTED_VALUE"""),23.73)</f>
        <v>23.73</v>
      </c>
      <c r="G3435" s="9">
        <f>IFERROR(__xludf.DUMMYFUNCTION("""COMPUTED_VALUE"""),23.73)</f>
        <v>23.73</v>
      </c>
      <c r="H3435" s="9">
        <f>IFERROR(__xludf.DUMMYFUNCTION("""COMPUTED_VALUE"""),6.0)</f>
        <v>6</v>
      </c>
      <c r="I3435" s="9"/>
      <c r="J3435" s="9"/>
      <c r="K3435" s="9"/>
      <c r="L3435" s="9"/>
      <c r="M3435" s="9"/>
      <c r="N3435" s="9"/>
      <c r="O3435" s="9"/>
      <c r="P3435" s="9"/>
      <c r="Q3435" s="9"/>
      <c r="R3435" s="9"/>
      <c r="S3435" s="9"/>
      <c r="T3435" s="9"/>
    </row>
    <row r="3436" ht="15.75" customHeight="1">
      <c r="A3436" s="11">
        <f>IFERROR(__xludf.DUMMYFUNCTION("""COMPUTED_VALUE"""),44471.0)</f>
        <v>44471</v>
      </c>
      <c r="B3436" s="9">
        <f>IFERROR(__xludf.DUMMYFUNCTION("""COMPUTED_VALUE"""),1003782.0)</f>
        <v>1003782</v>
      </c>
      <c r="C3436" s="9">
        <f>IFERROR(__xludf.DUMMYFUNCTION("""COMPUTED_VALUE"""),8698.0)</f>
        <v>8698</v>
      </c>
      <c r="D3436" s="10" t="str">
        <f>IFERROR(__xludf.DUMMYFUNCTION("""COMPUTED_VALUE"""),"Offre speciale")</f>
        <v>Offre speciale</v>
      </c>
      <c r="E3436" s="10"/>
      <c r="F3436" s="9">
        <f>IFERROR(__xludf.DUMMYFUNCTION("""COMPUTED_VALUE"""),18.7058823529411)</f>
        <v>18.70588235</v>
      </c>
      <c r="G3436" s="9">
        <f>IFERROR(__xludf.DUMMYFUNCTION("""COMPUTED_VALUE"""),15.9)</f>
        <v>15.9</v>
      </c>
      <c r="H3436" s="9">
        <f>IFERROR(__xludf.DUMMYFUNCTION("""COMPUTED_VALUE"""),6.0)</f>
        <v>6</v>
      </c>
      <c r="I3436" s="9"/>
      <c r="J3436" s="9"/>
      <c r="K3436" s="9"/>
      <c r="L3436" s="9"/>
      <c r="M3436" s="9"/>
      <c r="N3436" s="9"/>
      <c r="O3436" s="9"/>
      <c r="P3436" s="9"/>
      <c r="Q3436" s="9"/>
      <c r="R3436" s="9"/>
      <c r="S3436" s="9"/>
      <c r="T3436" s="9"/>
    </row>
    <row r="3437" ht="15.75" customHeight="1">
      <c r="A3437" s="11">
        <f>IFERROR(__xludf.DUMMYFUNCTION("""COMPUTED_VALUE"""),44471.0)</f>
        <v>44471</v>
      </c>
      <c r="B3437" s="9">
        <f>IFERROR(__xludf.DUMMYFUNCTION("""COMPUTED_VALUE"""),1003783.0)</f>
        <v>1003783</v>
      </c>
      <c r="C3437" s="9">
        <f>IFERROR(__xludf.DUMMYFUNCTION("""COMPUTED_VALUE"""),118979.0)</f>
        <v>118979</v>
      </c>
      <c r="D3437" s="9"/>
      <c r="E3437" s="9"/>
      <c r="F3437" s="9">
        <f>IFERROR(__xludf.DUMMYFUNCTION("""COMPUTED_VALUE"""),6.3)</f>
        <v>6.3</v>
      </c>
      <c r="G3437" s="9">
        <f>IFERROR(__xludf.DUMMYFUNCTION("""COMPUTED_VALUE"""),6.3)</f>
        <v>6.3</v>
      </c>
      <c r="H3437" s="9">
        <f>IFERROR(__xludf.DUMMYFUNCTION("""COMPUTED_VALUE"""),1.0)</f>
        <v>1</v>
      </c>
      <c r="I3437" s="9"/>
      <c r="J3437" s="9"/>
      <c r="K3437" s="9"/>
      <c r="L3437" s="9"/>
      <c r="M3437" s="9"/>
      <c r="N3437" s="9"/>
      <c r="O3437" s="9"/>
      <c r="P3437" s="9"/>
      <c r="Q3437" s="9"/>
      <c r="R3437" s="9"/>
      <c r="S3437" s="9"/>
      <c r="T3437" s="9"/>
    </row>
    <row r="3438" ht="15.75" customHeight="1">
      <c r="A3438" s="11">
        <f>IFERROR(__xludf.DUMMYFUNCTION("""COMPUTED_VALUE"""),44471.0)</f>
        <v>44471</v>
      </c>
      <c r="B3438" s="9">
        <f>IFERROR(__xludf.DUMMYFUNCTION("""COMPUTED_VALUE"""),1003783.0)</f>
        <v>1003783</v>
      </c>
      <c r="C3438" s="9">
        <f>IFERROR(__xludf.DUMMYFUNCTION("""COMPUTED_VALUE"""),122026.0)</f>
        <v>122026</v>
      </c>
      <c r="D3438" s="10" t="str">
        <f>IFERROR(__xludf.DUMMYFUNCTION("""COMPUTED_VALUE"""),"Love &amp; Green Couches et Culottes sept 2021")</f>
        <v>Love &amp; Green Couches et Culottes sept 2021</v>
      </c>
      <c r="E3438" s="10"/>
      <c r="F3438" s="9">
        <f>IFERROR(__xludf.DUMMYFUNCTION("""COMPUTED_VALUE"""),20.0428571428571)</f>
        <v>20.04285714</v>
      </c>
      <c r="G3438" s="9">
        <f>IFERROR(__xludf.DUMMYFUNCTION("""COMPUTED_VALUE"""),14.03)</f>
        <v>14.03</v>
      </c>
      <c r="H3438" s="9">
        <f>IFERROR(__xludf.DUMMYFUNCTION("""COMPUTED_VALUE"""),2.0)</f>
        <v>2</v>
      </c>
      <c r="I3438" s="9"/>
      <c r="J3438" s="9"/>
      <c r="K3438" s="9"/>
      <c r="L3438" s="9"/>
      <c r="M3438" s="9"/>
      <c r="N3438" s="9"/>
      <c r="O3438" s="9"/>
      <c r="P3438" s="9"/>
      <c r="Q3438" s="9"/>
      <c r="R3438" s="9"/>
      <c r="S3438" s="9"/>
      <c r="T3438" s="9"/>
    </row>
    <row r="3439" ht="15.75" customHeight="1">
      <c r="A3439" s="11">
        <f>IFERROR(__xludf.DUMMYFUNCTION("""COMPUTED_VALUE"""),44471.0)</f>
        <v>44471</v>
      </c>
      <c r="B3439" s="9">
        <f>IFERROR(__xludf.DUMMYFUNCTION("""COMPUTED_VALUE"""),1003783.0)</f>
        <v>1003783</v>
      </c>
      <c r="C3439" s="9">
        <f>IFERROR(__xludf.DUMMYFUNCTION("""COMPUTED_VALUE"""),71729.0)</f>
        <v>71729</v>
      </c>
      <c r="D3439" s="9"/>
      <c r="E3439" s="9"/>
      <c r="F3439" s="9">
        <f>IFERROR(__xludf.DUMMYFUNCTION("""COMPUTED_VALUE"""),6.37)</f>
        <v>6.37</v>
      </c>
      <c r="G3439" s="9">
        <f>IFERROR(__xludf.DUMMYFUNCTION("""COMPUTED_VALUE"""),6.37)</f>
        <v>6.37</v>
      </c>
      <c r="H3439" s="9">
        <f>IFERROR(__xludf.DUMMYFUNCTION("""COMPUTED_VALUE"""),3.0)</f>
        <v>3</v>
      </c>
      <c r="I3439" s="9"/>
      <c r="J3439" s="9"/>
      <c r="K3439" s="9"/>
      <c r="L3439" s="9"/>
      <c r="M3439" s="9"/>
      <c r="N3439" s="9"/>
      <c r="O3439" s="9"/>
      <c r="P3439" s="9"/>
      <c r="Q3439" s="9"/>
      <c r="R3439" s="9"/>
      <c r="S3439" s="9"/>
      <c r="T3439" s="9"/>
    </row>
    <row r="3440" ht="15.75" customHeight="1">
      <c r="A3440" s="11">
        <f>IFERROR(__xludf.DUMMYFUNCTION("""COMPUTED_VALUE"""),44471.0)</f>
        <v>44471</v>
      </c>
      <c r="B3440" s="9">
        <f>IFERROR(__xludf.DUMMYFUNCTION("""COMPUTED_VALUE"""),1003784.0)</f>
        <v>1003784</v>
      </c>
      <c r="C3440" s="9">
        <f>IFERROR(__xludf.DUMMYFUNCTION("""COMPUTED_VALUE"""),120865.0)</f>
        <v>120865</v>
      </c>
      <c r="D3440" s="9"/>
      <c r="E3440" s="9"/>
      <c r="F3440" s="9">
        <f>IFERROR(__xludf.DUMMYFUNCTION("""COMPUTED_VALUE"""),4.06)</f>
        <v>4.06</v>
      </c>
      <c r="G3440" s="9">
        <f>IFERROR(__xludf.DUMMYFUNCTION("""COMPUTED_VALUE"""),4.06)</f>
        <v>4.06</v>
      </c>
      <c r="H3440" s="9">
        <f>IFERROR(__xludf.DUMMYFUNCTION("""COMPUTED_VALUE"""),1.0)</f>
        <v>1</v>
      </c>
      <c r="I3440" s="9"/>
      <c r="J3440" s="9"/>
      <c r="K3440" s="9"/>
      <c r="L3440" s="9"/>
      <c r="M3440" s="9"/>
      <c r="N3440" s="9"/>
      <c r="O3440" s="9"/>
      <c r="P3440" s="9"/>
      <c r="Q3440" s="9"/>
      <c r="R3440" s="9"/>
      <c r="S3440" s="9"/>
      <c r="T3440" s="9"/>
    </row>
    <row r="3441" ht="15.75" customHeight="1">
      <c r="A3441" s="11">
        <f>IFERROR(__xludf.DUMMYFUNCTION("""COMPUTED_VALUE"""),44471.0)</f>
        <v>44471</v>
      </c>
      <c r="B3441" s="9">
        <f>IFERROR(__xludf.DUMMYFUNCTION("""COMPUTED_VALUE"""),1003784.0)</f>
        <v>1003784</v>
      </c>
      <c r="C3441" s="9">
        <f>IFERROR(__xludf.DUMMYFUNCTION("""COMPUTED_VALUE"""),118887.0)</f>
        <v>118887</v>
      </c>
      <c r="D3441" s="10" t="str">
        <f>IFERROR(__xludf.DUMMYFUNCTION("""COMPUTED_VALUE"""),"Vive le bio")</f>
        <v>Vive le bio</v>
      </c>
      <c r="E3441" s="10"/>
      <c r="F3441" s="9">
        <f>IFERROR(__xludf.DUMMYFUNCTION("""COMPUTED_VALUE"""),3.85555555555555)</f>
        <v>3.855555556</v>
      </c>
      <c r="G3441" s="9">
        <f>IFERROR(__xludf.DUMMYFUNCTION("""COMPUTED_VALUE"""),3.47)</f>
        <v>3.47</v>
      </c>
      <c r="H3441" s="9">
        <f>IFERROR(__xludf.DUMMYFUNCTION("""COMPUTED_VALUE"""),1.0)</f>
        <v>1</v>
      </c>
      <c r="I3441" s="9"/>
      <c r="J3441" s="9"/>
      <c r="K3441" s="9"/>
      <c r="L3441" s="9"/>
      <c r="M3441" s="9"/>
      <c r="N3441" s="9"/>
      <c r="O3441" s="9"/>
      <c r="P3441" s="9"/>
      <c r="Q3441" s="9"/>
      <c r="R3441" s="9"/>
      <c r="S3441" s="9"/>
      <c r="T3441" s="9"/>
    </row>
    <row r="3442" ht="15.75" customHeight="1">
      <c r="A3442" s="11">
        <f>IFERROR(__xludf.DUMMYFUNCTION("""COMPUTED_VALUE"""),44471.0)</f>
        <v>44471</v>
      </c>
      <c r="B3442" s="9">
        <f>IFERROR(__xludf.DUMMYFUNCTION("""COMPUTED_VALUE"""),1003784.0)</f>
        <v>1003784</v>
      </c>
      <c r="C3442" s="9">
        <f>IFERROR(__xludf.DUMMYFUNCTION("""COMPUTED_VALUE"""),9560.0)</f>
        <v>9560</v>
      </c>
      <c r="D3442" s="9"/>
      <c r="E3442" s="9"/>
      <c r="F3442" s="9">
        <f>IFERROR(__xludf.DUMMYFUNCTION("""COMPUTED_VALUE"""),3.11)</f>
        <v>3.11</v>
      </c>
      <c r="G3442" s="9">
        <f>IFERROR(__xludf.DUMMYFUNCTION("""COMPUTED_VALUE"""),3.11)</f>
        <v>3.11</v>
      </c>
      <c r="H3442" s="9">
        <f>IFERROR(__xludf.DUMMYFUNCTION("""COMPUTED_VALUE"""),1.0)</f>
        <v>1</v>
      </c>
      <c r="I3442" s="9"/>
      <c r="J3442" s="9"/>
      <c r="K3442" s="9"/>
      <c r="L3442" s="9"/>
      <c r="M3442" s="9"/>
      <c r="N3442" s="9"/>
      <c r="O3442" s="9"/>
      <c r="P3442" s="9"/>
      <c r="Q3442" s="9"/>
      <c r="R3442" s="9"/>
      <c r="S3442" s="9"/>
      <c r="T3442" s="9"/>
    </row>
    <row r="3443" ht="15.75" customHeight="1">
      <c r="A3443" s="11">
        <f>IFERROR(__xludf.DUMMYFUNCTION("""COMPUTED_VALUE"""),44471.0)</f>
        <v>44471</v>
      </c>
      <c r="B3443" s="9">
        <f>IFERROR(__xludf.DUMMYFUNCTION("""COMPUTED_VALUE"""),1003784.0)</f>
        <v>1003784</v>
      </c>
      <c r="C3443" s="9">
        <f>IFERROR(__xludf.DUMMYFUNCTION("""COMPUTED_VALUE"""),122269.0)</f>
        <v>122269</v>
      </c>
      <c r="D3443" s="10" t="str">
        <f>IFERROR(__xludf.DUMMYFUNCTION("""COMPUTED_VALUE"""),"Vive le bio")</f>
        <v>Vive le bio</v>
      </c>
      <c r="E3443" s="10"/>
      <c r="F3443" s="9">
        <f>IFERROR(__xludf.DUMMYFUNCTION("""COMPUTED_VALUE"""),7.54444444444444)</f>
        <v>7.544444444</v>
      </c>
      <c r="G3443" s="9">
        <f>IFERROR(__xludf.DUMMYFUNCTION("""COMPUTED_VALUE"""),6.79)</f>
        <v>6.79</v>
      </c>
      <c r="H3443" s="9">
        <f>IFERROR(__xludf.DUMMYFUNCTION("""COMPUTED_VALUE"""),2.0)</f>
        <v>2</v>
      </c>
      <c r="I3443" s="9"/>
      <c r="J3443" s="9"/>
      <c r="K3443" s="9"/>
      <c r="L3443" s="9"/>
      <c r="M3443" s="9"/>
      <c r="N3443" s="9"/>
      <c r="O3443" s="9"/>
      <c r="P3443" s="9"/>
      <c r="Q3443" s="9"/>
      <c r="R3443" s="9"/>
      <c r="S3443" s="9"/>
      <c r="T3443" s="9"/>
    </row>
    <row r="3444" ht="15.75" customHeight="1">
      <c r="A3444" s="11">
        <f>IFERROR(__xludf.DUMMYFUNCTION("""COMPUTED_VALUE"""),44471.0)</f>
        <v>44471</v>
      </c>
      <c r="B3444" s="9">
        <f>IFERROR(__xludf.DUMMYFUNCTION("""COMPUTED_VALUE"""),1003784.0)</f>
        <v>1003784</v>
      </c>
      <c r="C3444" s="9">
        <f>IFERROR(__xludf.DUMMYFUNCTION("""COMPUTED_VALUE"""),122268.0)</f>
        <v>122268</v>
      </c>
      <c r="D3444" s="10" t="str">
        <f>IFERROR(__xludf.DUMMYFUNCTION("""COMPUTED_VALUE"""),"Vive le bio")</f>
        <v>Vive le bio</v>
      </c>
      <c r="E3444" s="10"/>
      <c r="F3444" s="9">
        <f>IFERROR(__xludf.DUMMYFUNCTION("""COMPUTED_VALUE"""),11.3111111111111)</f>
        <v>11.31111111</v>
      </c>
      <c r="G3444" s="9">
        <f>IFERROR(__xludf.DUMMYFUNCTION("""COMPUTED_VALUE"""),10.18)</f>
        <v>10.18</v>
      </c>
      <c r="H3444" s="9">
        <f>IFERROR(__xludf.DUMMYFUNCTION("""COMPUTED_VALUE"""),3.0)</f>
        <v>3</v>
      </c>
      <c r="I3444" s="9"/>
      <c r="J3444" s="9"/>
      <c r="K3444" s="9"/>
      <c r="L3444" s="9"/>
      <c r="M3444" s="9"/>
      <c r="N3444" s="9"/>
      <c r="O3444" s="9"/>
      <c r="P3444" s="9"/>
      <c r="Q3444" s="9"/>
      <c r="R3444" s="9"/>
      <c r="S3444" s="9"/>
      <c r="T3444" s="9"/>
    </row>
    <row r="3445" ht="15.75" customHeight="1">
      <c r="A3445" s="11">
        <f>IFERROR(__xludf.DUMMYFUNCTION("""COMPUTED_VALUE"""),44471.0)</f>
        <v>44471</v>
      </c>
      <c r="B3445" s="9">
        <f>IFERROR(__xludf.DUMMYFUNCTION("""COMPUTED_VALUE"""),1003784.0)</f>
        <v>1003784</v>
      </c>
      <c r="C3445" s="9">
        <f>IFERROR(__xludf.DUMMYFUNCTION("""COMPUTED_VALUE"""),111706.0)</f>
        <v>111706</v>
      </c>
      <c r="D3445" s="9"/>
      <c r="E3445" s="9"/>
      <c r="F3445" s="9">
        <f>IFERROR(__xludf.DUMMYFUNCTION("""COMPUTED_VALUE"""),23.02)</f>
        <v>23.02</v>
      </c>
      <c r="G3445" s="9">
        <f>IFERROR(__xludf.DUMMYFUNCTION("""COMPUTED_VALUE"""),23.02)</f>
        <v>23.02</v>
      </c>
      <c r="H3445" s="9">
        <f>IFERROR(__xludf.DUMMYFUNCTION("""COMPUTED_VALUE"""),6.0)</f>
        <v>6</v>
      </c>
      <c r="I3445" s="9"/>
      <c r="J3445" s="9"/>
      <c r="K3445" s="9"/>
      <c r="L3445" s="9"/>
      <c r="M3445" s="9"/>
      <c r="N3445" s="9"/>
      <c r="O3445" s="9"/>
      <c r="P3445" s="9"/>
      <c r="Q3445" s="9"/>
      <c r="R3445" s="9"/>
      <c r="S3445" s="9"/>
      <c r="T3445" s="9"/>
    </row>
    <row r="3446" ht="15.75" customHeight="1">
      <c r="A3446" s="11">
        <f>IFERROR(__xludf.DUMMYFUNCTION("""COMPUTED_VALUE"""),44471.0)</f>
        <v>44471</v>
      </c>
      <c r="B3446" s="9">
        <f>IFERROR(__xludf.DUMMYFUNCTION("""COMPUTED_VALUE"""),1003784.0)</f>
        <v>1003784</v>
      </c>
      <c r="C3446" s="9">
        <f>IFERROR(__xludf.DUMMYFUNCTION("""COMPUTED_VALUE"""),72822.0)</f>
        <v>72822</v>
      </c>
      <c r="D3446" s="9"/>
      <c r="E3446" s="9"/>
      <c r="F3446" s="9">
        <f>IFERROR(__xludf.DUMMYFUNCTION("""COMPUTED_VALUE"""),38.63)</f>
        <v>38.63</v>
      </c>
      <c r="G3446" s="9">
        <f>IFERROR(__xludf.DUMMYFUNCTION("""COMPUTED_VALUE"""),38.63)</f>
        <v>38.63</v>
      </c>
      <c r="H3446" s="9">
        <f>IFERROR(__xludf.DUMMYFUNCTION("""COMPUTED_VALUE"""),12.0)</f>
        <v>12</v>
      </c>
      <c r="I3446" s="9"/>
      <c r="J3446" s="9"/>
      <c r="K3446" s="9"/>
      <c r="L3446" s="9"/>
      <c r="M3446" s="9"/>
      <c r="N3446" s="9"/>
      <c r="O3446" s="9"/>
      <c r="P3446" s="9"/>
      <c r="Q3446" s="9"/>
      <c r="R3446" s="9"/>
      <c r="S3446" s="9"/>
      <c r="T3446" s="9"/>
    </row>
    <row r="3447" ht="15.75" customHeight="1">
      <c r="A3447" s="11">
        <f>IFERROR(__xludf.DUMMYFUNCTION("""COMPUTED_VALUE"""),44471.0)</f>
        <v>44471</v>
      </c>
      <c r="B3447" s="9">
        <f>IFERROR(__xludf.DUMMYFUNCTION("""COMPUTED_VALUE"""),1003785.0)</f>
        <v>1003785</v>
      </c>
      <c r="C3447" s="9">
        <f>IFERROR(__xludf.DUMMYFUNCTION("""COMPUTED_VALUE"""),86619.0)</f>
        <v>86619</v>
      </c>
      <c r="D3447" s="9"/>
      <c r="E3447" s="9"/>
      <c r="F3447" s="9">
        <f>IFERROR(__xludf.DUMMYFUNCTION("""COMPUTED_VALUE"""),7.82)</f>
        <v>7.82</v>
      </c>
      <c r="G3447" s="9">
        <f>IFERROR(__xludf.DUMMYFUNCTION("""COMPUTED_VALUE"""),7.82)</f>
        <v>7.82</v>
      </c>
      <c r="H3447" s="9">
        <f>IFERROR(__xludf.DUMMYFUNCTION("""COMPUTED_VALUE"""),1.0)</f>
        <v>1</v>
      </c>
      <c r="I3447" s="9"/>
      <c r="J3447" s="9"/>
      <c r="K3447" s="9"/>
      <c r="L3447" s="9"/>
      <c r="M3447" s="9"/>
      <c r="N3447" s="9"/>
      <c r="O3447" s="9"/>
      <c r="P3447" s="9"/>
      <c r="Q3447" s="9"/>
      <c r="R3447" s="9"/>
      <c r="S3447" s="9"/>
      <c r="T3447" s="9"/>
    </row>
    <row r="3448" ht="15.75" customHeight="1">
      <c r="A3448" s="11">
        <f>IFERROR(__xludf.DUMMYFUNCTION("""COMPUTED_VALUE"""),44471.0)</f>
        <v>44471</v>
      </c>
      <c r="B3448" s="9">
        <f>IFERROR(__xludf.DUMMYFUNCTION("""COMPUTED_VALUE"""),1003785.0)</f>
        <v>1003785</v>
      </c>
      <c r="C3448" s="9">
        <f>IFERROR(__xludf.DUMMYFUNCTION("""COMPUTED_VALUE"""),119728.0)</f>
        <v>119728</v>
      </c>
      <c r="D3448" s="9"/>
      <c r="E3448" s="9"/>
      <c r="F3448" s="9">
        <f>IFERROR(__xludf.DUMMYFUNCTION("""COMPUTED_VALUE"""),12.74)</f>
        <v>12.74</v>
      </c>
      <c r="G3448" s="9">
        <f>IFERROR(__xludf.DUMMYFUNCTION("""COMPUTED_VALUE"""),12.74)</f>
        <v>12.74</v>
      </c>
      <c r="H3448" s="9">
        <f>IFERROR(__xludf.DUMMYFUNCTION("""COMPUTED_VALUE"""),1.0)</f>
        <v>1</v>
      </c>
      <c r="I3448" s="9"/>
      <c r="J3448" s="9"/>
      <c r="K3448" s="9"/>
      <c r="L3448" s="9"/>
      <c r="M3448" s="9"/>
      <c r="N3448" s="9"/>
      <c r="O3448" s="9"/>
      <c r="P3448" s="9"/>
      <c r="Q3448" s="9"/>
      <c r="R3448" s="9"/>
      <c r="S3448" s="9"/>
      <c r="T3448" s="9"/>
    </row>
    <row r="3449" ht="15.75" customHeight="1">
      <c r="A3449" s="11">
        <f>IFERROR(__xludf.DUMMYFUNCTION("""COMPUTED_VALUE"""),44471.0)</f>
        <v>44471</v>
      </c>
      <c r="B3449" s="9">
        <f>IFERROR(__xludf.DUMMYFUNCTION("""COMPUTED_VALUE"""),1003785.0)</f>
        <v>1003785</v>
      </c>
      <c r="C3449" s="9">
        <f>IFERROR(__xludf.DUMMYFUNCTION("""COMPUTED_VALUE"""),3586.0)</f>
        <v>3586</v>
      </c>
      <c r="D3449" s="9"/>
      <c r="E3449" s="9"/>
      <c r="F3449" s="9">
        <f>IFERROR(__xludf.DUMMYFUNCTION("""COMPUTED_VALUE"""),11.13)</f>
        <v>11.13</v>
      </c>
      <c r="G3449" s="9">
        <f>IFERROR(__xludf.DUMMYFUNCTION("""COMPUTED_VALUE"""),11.13)</f>
        <v>11.13</v>
      </c>
      <c r="H3449" s="9">
        <f>IFERROR(__xludf.DUMMYFUNCTION("""COMPUTED_VALUE"""),1.0)</f>
        <v>1</v>
      </c>
      <c r="I3449" s="9"/>
      <c r="J3449" s="9"/>
      <c r="K3449" s="9"/>
      <c r="L3449" s="9"/>
      <c r="M3449" s="9"/>
      <c r="N3449" s="9"/>
      <c r="O3449" s="9"/>
      <c r="P3449" s="9"/>
      <c r="Q3449" s="9"/>
      <c r="R3449" s="9"/>
      <c r="S3449" s="9"/>
      <c r="T3449" s="9"/>
    </row>
    <row r="3450" ht="15.75" customHeight="1">
      <c r="A3450" s="11">
        <f>IFERROR(__xludf.DUMMYFUNCTION("""COMPUTED_VALUE"""),44471.0)</f>
        <v>44471</v>
      </c>
      <c r="B3450" s="9">
        <f>IFERROR(__xludf.DUMMYFUNCTION("""COMPUTED_VALUE"""),1003786.0)</f>
        <v>1003786</v>
      </c>
      <c r="C3450" s="9">
        <f>IFERROR(__xludf.DUMMYFUNCTION("""COMPUTED_VALUE"""),11489.0)</f>
        <v>11489</v>
      </c>
      <c r="D3450" s="9"/>
      <c r="E3450" s="10" t="str">
        <f>IFERROR(__xludf.DUMMYFUNCTION("""COMPUTED_VALUE"""),"GREENRELAIS")</f>
        <v>GREENRELAIS</v>
      </c>
      <c r="F3450" s="10">
        <f>IFERROR(__xludf.DUMMYFUNCTION("""COMPUTED_VALUE"""),10.57)</f>
        <v>10.57</v>
      </c>
      <c r="G3450" s="9">
        <f>IFERROR(__xludf.DUMMYFUNCTION("""COMPUTED_VALUE"""),10.57)</f>
        <v>10.57</v>
      </c>
      <c r="H3450" s="9">
        <f>IFERROR(__xludf.DUMMYFUNCTION("""COMPUTED_VALUE"""),3.0)</f>
        <v>3</v>
      </c>
      <c r="I3450" s="9"/>
      <c r="J3450" s="9"/>
      <c r="K3450" s="9"/>
      <c r="L3450" s="9"/>
      <c r="M3450" s="9"/>
      <c r="N3450" s="9"/>
      <c r="O3450" s="9"/>
      <c r="P3450" s="9"/>
      <c r="Q3450" s="9"/>
      <c r="R3450" s="9"/>
      <c r="S3450" s="9"/>
      <c r="T3450" s="9"/>
    </row>
    <row r="3451" ht="15.75" customHeight="1">
      <c r="A3451" s="11">
        <f>IFERROR(__xludf.DUMMYFUNCTION("""COMPUTED_VALUE"""),44471.0)</f>
        <v>44471</v>
      </c>
      <c r="B3451" s="9">
        <f>IFERROR(__xludf.DUMMYFUNCTION("""COMPUTED_VALUE"""),1003786.0)</f>
        <v>1003786</v>
      </c>
      <c r="C3451" s="9">
        <f>IFERROR(__xludf.DUMMYFUNCTION("""COMPUTED_VALUE"""),7669.0)</f>
        <v>7669</v>
      </c>
      <c r="D3451" s="10" t="str">
        <f>IFERROR(__xludf.DUMMYFUNCTION("""COMPUTED_VALUE"""),"Offre Speciale")</f>
        <v>Offre Speciale</v>
      </c>
      <c r="E3451" s="10" t="str">
        <f>IFERROR(__xludf.DUMMYFUNCTION("""COMPUTED_VALUE"""),"GREENRELAIS")</f>
        <v>GREENRELAIS</v>
      </c>
      <c r="F3451" s="10">
        <f>IFERROR(__xludf.DUMMYFUNCTION("""COMPUTED_VALUE"""),72.7888888888888)</f>
        <v>72.78888889</v>
      </c>
      <c r="G3451" s="9">
        <f>IFERROR(__xludf.DUMMYFUNCTION("""COMPUTED_VALUE"""),65.51)</f>
        <v>65.51</v>
      </c>
      <c r="H3451" s="9">
        <f>IFERROR(__xludf.DUMMYFUNCTION("""COMPUTED_VALUE"""),8.0)</f>
        <v>8</v>
      </c>
      <c r="I3451" s="9"/>
      <c r="J3451" s="9"/>
      <c r="K3451" s="9"/>
      <c r="L3451" s="9"/>
      <c r="M3451" s="9"/>
      <c r="N3451" s="9"/>
      <c r="O3451" s="9"/>
      <c r="P3451" s="9"/>
      <c r="Q3451" s="9"/>
      <c r="R3451" s="9"/>
      <c r="S3451" s="9"/>
      <c r="T3451" s="9"/>
    </row>
    <row r="3452" ht="15.75" customHeight="1">
      <c r="A3452" s="11">
        <f>IFERROR(__xludf.DUMMYFUNCTION("""COMPUTED_VALUE"""),44471.0)</f>
        <v>44471</v>
      </c>
      <c r="B3452" s="9">
        <f>IFERROR(__xludf.DUMMYFUNCTION("""COMPUTED_VALUE"""),1003787.0)</f>
        <v>1003787</v>
      </c>
      <c r="C3452" s="9">
        <f>IFERROR(__xludf.DUMMYFUNCTION("""COMPUTED_VALUE"""),87372.0)</f>
        <v>87372</v>
      </c>
      <c r="D3452" s="9"/>
      <c r="E3452" s="9"/>
      <c r="F3452" s="9">
        <f>IFERROR(__xludf.DUMMYFUNCTION("""COMPUTED_VALUE"""),5.06)</f>
        <v>5.06</v>
      </c>
      <c r="G3452" s="9">
        <f>IFERROR(__xludf.DUMMYFUNCTION("""COMPUTED_VALUE"""),5.06)</f>
        <v>5.06</v>
      </c>
      <c r="H3452" s="9">
        <f>IFERROR(__xludf.DUMMYFUNCTION("""COMPUTED_VALUE"""),1.0)</f>
        <v>1</v>
      </c>
      <c r="I3452" s="9"/>
      <c r="J3452" s="9"/>
      <c r="K3452" s="9"/>
      <c r="L3452" s="9"/>
      <c r="M3452" s="9"/>
      <c r="N3452" s="9"/>
      <c r="O3452" s="9"/>
      <c r="P3452" s="9"/>
      <c r="Q3452" s="9"/>
      <c r="R3452" s="9"/>
      <c r="S3452" s="9"/>
      <c r="T3452" s="9"/>
    </row>
    <row r="3453" ht="15.75" customHeight="1">
      <c r="A3453" s="11">
        <f>IFERROR(__xludf.DUMMYFUNCTION("""COMPUTED_VALUE"""),44471.0)</f>
        <v>44471</v>
      </c>
      <c r="B3453" s="9">
        <f>IFERROR(__xludf.DUMMYFUNCTION("""COMPUTED_VALUE"""),1003787.0)</f>
        <v>1003787</v>
      </c>
      <c r="C3453" s="9">
        <f>IFERROR(__xludf.DUMMYFUNCTION("""COMPUTED_VALUE"""),117045.0)</f>
        <v>117045</v>
      </c>
      <c r="D3453" s="9"/>
      <c r="E3453" s="9"/>
      <c r="F3453" s="9">
        <f>IFERROR(__xludf.DUMMYFUNCTION("""COMPUTED_VALUE"""),5.48)</f>
        <v>5.48</v>
      </c>
      <c r="G3453" s="9">
        <f>IFERROR(__xludf.DUMMYFUNCTION("""COMPUTED_VALUE"""),5.48)</f>
        <v>5.48</v>
      </c>
      <c r="H3453" s="9">
        <f>IFERROR(__xludf.DUMMYFUNCTION("""COMPUTED_VALUE"""),1.0)</f>
        <v>1</v>
      </c>
      <c r="I3453" s="9"/>
      <c r="J3453" s="9"/>
      <c r="K3453" s="9"/>
      <c r="L3453" s="9"/>
      <c r="M3453" s="9"/>
      <c r="N3453" s="9"/>
      <c r="O3453" s="9"/>
      <c r="P3453" s="9"/>
      <c r="Q3453" s="9"/>
      <c r="R3453" s="9"/>
      <c r="S3453" s="9"/>
      <c r="T3453" s="9"/>
    </row>
    <row r="3454" ht="15.75" customHeight="1">
      <c r="A3454" s="11">
        <f>IFERROR(__xludf.DUMMYFUNCTION("""COMPUTED_VALUE"""),44471.0)</f>
        <v>44471</v>
      </c>
      <c r="B3454" s="9">
        <f>IFERROR(__xludf.DUMMYFUNCTION("""COMPUTED_VALUE"""),1003787.0)</f>
        <v>1003787</v>
      </c>
      <c r="C3454" s="9">
        <f>IFERROR(__xludf.DUMMYFUNCTION("""COMPUTED_VALUE"""),117040.0)</f>
        <v>117040</v>
      </c>
      <c r="D3454" s="9"/>
      <c r="E3454" s="9"/>
      <c r="F3454" s="9">
        <f>IFERROR(__xludf.DUMMYFUNCTION("""COMPUTED_VALUE"""),5.48)</f>
        <v>5.48</v>
      </c>
      <c r="G3454" s="9">
        <f>IFERROR(__xludf.DUMMYFUNCTION("""COMPUTED_VALUE"""),5.48)</f>
        <v>5.48</v>
      </c>
      <c r="H3454" s="9">
        <f>IFERROR(__xludf.DUMMYFUNCTION("""COMPUTED_VALUE"""),1.0)</f>
        <v>1</v>
      </c>
      <c r="I3454" s="9"/>
      <c r="J3454" s="9"/>
      <c r="K3454" s="9"/>
      <c r="L3454" s="9"/>
      <c r="M3454" s="9"/>
      <c r="N3454" s="9"/>
      <c r="O3454" s="9"/>
      <c r="P3454" s="9"/>
      <c r="Q3454" s="9"/>
      <c r="R3454" s="9"/>
      <c r="S3454" s="9"/>
      <c r="T3454" s="9"/>
    </row>
    <row r="3455" ht="15.75" customHeight="1">
      <c r="A3455" s="11">
        <f>IFERROR(__xludf.DUMMYFUNCTION("""COMPUTED_VALUE"""),44471.0)</f>
        <v>44471</v>
      </c>
      <c r="B3455" s="9">
        <f>IFERROR(__xludf.DUMMYFUNCTION("""COMPUTED_VALUE"""),1003787.0)</f>
        <v>1003787</v>
      </c>
      <c r="C3455" s="9">
        <f>IFERROR(__xludf.DUMMYFUNCTION("""COMPUTED_VALUE"""),117044.0)</f>
        <v>117044</v>
      </c>
      <c r="D3455" s="9"/>
      <c r="E3455" s="9"/>
      <c r="F3455" s="9">
        <f>IFERROR(__xludf.DUMMYFUNCTION("""COMPUTED_VALUE"""),5.48)</f>
        <v>5.48</v>
      </c>
      <c r="G3455" s="9">
        <f>IFERROR(__xludf.DUMMYFUNCTION("""COMPUTED_VALUE"""),5.48)</f>
        <v>5.48</v>
      </c>
      <c r="H3455" s="9">
        <f>IFERROR(__xludf.DUMMYFUNCTION("""COMPUTED_VALUE"""),1.0)</f>
        <v>1</v>
      </c>
      <c r="I3455" s="9"/>
      <c r="J3455" s="9"/>
      <c r="K3455" s="9"/>
      <c r="L3455" s="9"/>
      <c r="M3455" s="9"/>
      <c r="N3455" s="9"/>
      <c r="O3455" s="9"/>
      <c r="P3455" s="9"/>
      <c r="Q3455" s="9"/>
      <c r="R3455" s="9"/>
      <c r="S3455" s="9"/>
      <c r="T3455" s="9"/>
    </row>
    <row r="3456" ht="15.75" customHeight="1">
      <c r="A3456" s="11">
        <f>IFERROR(__xludf.DUMMYFUNCTION("""COMPUTED_VALUE"""),44471.0)</f>
        <v>44471</v>
      </c>
      <c r="B3456" s="9">
        <f>IFERROR(__xludf.DUMMYFUNCTION("""COMPUTED_VALUE"""),1003787.0)</f>
        <v>1003787</v>
      </c>
      <c r="C3456" s="9">
        <f>IFERROR(__xludf.DUMMYFUNCTION("""COMPUTED_VALUE"""),83773.0)</f>
        <v>83773</v>
      </c>
      <c r="D3456" s="9"/>
      <c r="E3456" s="9"/>
      <c r="F3456" s="9">
        <f>IFERROR(__xludf.DUMMYFUNCTION("""COMPUTED_VALUE"""),3.27)</f>
        <v>3.27</v>
      </c>
      <c r="G3456" s="9">
        <f>IFERROR(__xludf.DUMMYFUNCTION("""COMPUTED_VALUE"""),3.27)</f>
        <v>3.27</v>
      </c>
      <c r="H3456" s="9">
        <f>IFERROR(__xludf.DUMMYFUNCTION("""COMPUTED_VALUE"""),2.0)</f>
        <v>2</v>
      </c>
      <c r="I3456" s="9"/>
      <c r="J3456" s="9"/>
      <c r="K3456" s="9"/>
      <c r="L3456" s="9"/>
      <c r="M3456" s="9"/>
      <c r="N3456" s="9"/>
      <c r="O3456" s="9"/>
      <c r="P3456" s="9"/>
      <c r="Q3456" s="9"/>
      <c r="R3456" s="9"/>
      <c r="S3456" s="9"/>
      <c r="T3456" s="9"/>
    </row>
    <row r="3457" ht="15.75" customHeight="1">
      <c r="A3457" s="11">
        <f>IFERROR(__xludf.DUMMYFUNCTION("""COMPUTED_VALUE"""),44471.0)</f>
        <v>44471</v>
      </c>
      <c r="B3457" s="9">
        <f>IFERROR(__xludf.DUMMYFUNCTION("""COMPUTED_VALUE"""),1003787.0)</f>
        <v>1003787</v>
      </c>
      <c r="C3457" s="9">
        <f>IFERROR(__xludf.DUMMYFUNCTION("""COMPUTED_VALUE"""),80124.0)</f>
        <v>80124</v>
      </c>
      <c r="D3457" s="10" t="str">
        <f>IFERROR(__xludf.DUMMYFUNCTION("""COMPUTED_VALUE"""),"Vive le bio")</f>
        <v>Vive le bio</v>
      </c>
      <c r="E3457" s="10"/>
      <c r="F3457" s="9">
        <f>IFERROR(__xludf.DUMMYFUNCTION("""COMPUTED_VALUE"""),7.05555555555555)</f>
        <v>7.055555556</v>
      </c>
      <c r="G3457" s="9">
        <f>IFERROR(__xludf.DUMMYFUNCTION("""COMPUTED_VALUE"""),6.35)</f>
        <v>6.35</v>
      </c>
      <c r="H3457" s="9">
        <f>IFERROR(__xludf.DUMMYFUNCTION("""COMPUTED_VALUE"""),2.0)</f>
        <v>2</v>
      </c>
      <c r="I3457" s="9"/>
      <c r="J3457" s="9"/>
      <c r="K3457" s="9"/>
      <c r="L3457" s="9"/>
      <c r="M3457" s="9"/>
      <c r="N3457" s="9"/>
      <c r="O3457" s="9"/>
      <c r="P3457" s="9"/>
      <c r="Q3457" s="9"/>
      <c r="R3457" s="9"/>
      <c r="S3457" s="9"/>
      <c r="T3457" s="9"/>
    </row>
    <row r="3458" ht="15.75" customHeight="1">
      <c r="A3458" s="11">
        <f>IFERROR(__xludf.DUMMYFUNCTION("""COMPUTED_VALUE"""),44471.0)</f>
        <v>44471</v>
      </c>
      <c r="B3458" s="9">
        <f>IFERROR(__xludf.DUMMYFUNCTION("""COMPUTED_VALUE"""),1003788.0)</f>
        <v>1003788</v>
      </c>
      <c r="C3458" s="9">
        <f>IFERROR(__xludf.DUMMYFUNCTION("""COMPUTED_VALUE"""),17630.0)</f>
        <v>17630</v>
      </c>
      <c r="D3458" s="9"/>
      <c r="E3458" s="9"/>
      <c r="F3458" s="9">
        <f>IFERROR(__xludf.DUMMYFUNCTION("""COMPUTED_VALUE"""),12.33)</f>
        <v>12.33</v>
      </c>
      <c r="G3458" s="9">
        <f>IFERROR(__xludf.DUMMYFUNCTION("""COMPUTED_VALUE"""),12.33)</f>
        <v>12.33</v>
      </c>
      <c r="H3458" s="9">
        <f>IFERROR(__xludf.DUMMYFUNCTION("""COMPUTED_VALUE"""),1.0)</f>
        <v>1</v>
      </c>
      <c r="I3458" s="9"/>
      <c r="J3458" s="9"/>
      <c r="K3458" s="9"/>
      <c r="L3458" s="9"/>
      <c r="M3458" s="9"/>
      <c r="N3458" s="9"/>
      <c r="O3458" s="9"/>
      <c r="P3458" s="9"/>
      <c r="Q3458" s="9"/>
      <c r="R3458" s="9"/>
      <c r="S3458" s="9"/>
      <c r="T3458" s="9"/>
    </row>
    <row r="3459" ht="15.75" customHeight="1">
      <c r="A3459" s="11">
        <f>IFERROR(__xludf.DUMMYFUNCTION("""COMPUTED_VALUE"""),44471.0)</f>
        <v>44471</v>
      </c>
      <c r="B3459" s="9">
        <f>IFERROR(__xludf.DUMMYFUNCTION("""COMPUTED_VALUE"""),1003788.0)</f>
        <v>1003788</v>
      </c>
      <c r="C3459" s="9">
        <f>IFERROR(__xludf.DUMMYFUNCTION("""COMPUTED_VALUE"""),78924.0)</f>
        <v>78924</v>
      </c>
      <c r="D3459" s="9"/>
      <c r="E3459" s="9"/>
      <c r="F3459" s="9">
        <f>IFERROR(__xludf.DUMMYFUNCTION("""COMPUTED_VALUE"""),12.43)</f>
        <v>12.43</v>
      </c>
      <c r="G3459" s="9">
        <f>IFERROR(__xludf.DUMMYFUNCTION("""COMPUTED_VALUE"""),12.43)</f>
        <v>12.43</v>
      </c>
      <c r="H3459" s="9">
        <f>IFERROR(__xludf.DUMMYFUNCTION("""COMPUTED_VALUE"""),1.0)</f>
        <v>1</v>
      </c>
      <c r="I3459" s="9"/>
      <c r="J3459" s="9"/>
      <c r="K3459" s="9"/>
      <c r="L3459" s="9"/>
      <c r="M3459" s="9"/>
      <c r="N3459" s="9"/>
      <c r="O3459" s="9"/>
      <c r="P3459" s="9"/>
      <c r="Q3459" s="9"/>
      <c r="R3459" s="9"/>
      <c r="S3459" s="9"/>
      <c r="T3459" s="9"/>
    </row>
    <row r="3460" ht="15.75" customHeight="1">
      <c r="A3460" s="11">
        <f>IFERROR(__xludf.DUMMYFUNCTION("""COMPUTED_VALUE"""),44471.0)</f>
        <v>44471</v>
      </c>
      <c r="B3460" s="9">
        <f>IFERROR(__xludf.DUMMYFUNCTION("""COMPUTED_VALUE"""),1003788.0)</f>
        <v>1003788</v>
      </c>
      <c r="C3460" s="9">
        <f>IFERROR(__xludf.DUMMYFUNCTION("""COMPUTED_VALUE"""),144000.0)</f>
        <v>144000</v>
      </c>
      <c r="D3460" s="9"/>
      <c r="E3460" s="9"/>
      <c r="F3460" s="9">
        <f>IFERROR(__xludf.DUMMYFUNCTION("""COMPUTED_VALUE"""),40.36)</f>
        <v>40.36</v>
      </c>
      <c r="G3460" s="9">
        <f>IFERROR(__xludf.DUMMYFUNCTION("""COMPUTED_VALUE"""),40.36)</f>
        <v>40.36</v>
      </c>
      <c r="H3460" s="9">
        <f>IFERROR(__xludf.DUMMYFUNCTION("""COMPUTED_VALUE"""),1.0)</f>
        <v>1</v>
      </c>
      <c r="I3460" s="9"/>
      <c r="J3460" s="9"/>
      <c r="K3460" s="9"/>
      <c r="L3460" s="9"/>
      <c r="M3460" s="9"/>
      <c r="N3460" s="9"/>
      <c r="O3460" s="9"/>
      <c r="P3460" s="9"/>
      <c r="Q3460" s="9"/>
      <c r="R3460" s="9"/>
      <c r="S3460" s="9"/>
      <c r="T3460" s="9"/>
    </row>
    <row r="3461" ht="15.75" customHeight="1">
      <c r="A3461" s="11">
        <f>IFERROR(__xludf.DUMMYFUNCTION("""COMPUTED_VALUE"""),44471.0)</f>
        <v>44471</v>
      </c>
      <c r="B3461" s="9">
        <f>IFERROR(__xludf.DUMMYFUNCTION("""COMPUTED_VALUE"""),1003789.0)</f>
        <v>1003789</v>
      </c>
      <c r="C3461" s="9">
        <f>IFERROR(__xludf.DUMMYFUNCTION("""COMPUTED_VALUE"""),121318.0)</f>
        <v>121318</v>
      </c>
      <c r="D3461" s="9"/>
      <c r="E3461" s="9"/>
      <c r="F3461" s="9">
        <f>IFERROR(__xludf.DUMMYFUNCTION("""COMPUTED_VALUE"""),4.35)</f>
        <v>4.35</v>
      </c>
      <c r="G3461" s="9">
        <f>IFERROR(__xludf.DUMMYFUNCTION("""COMPUTED_VALUE"""),4.35)</f>
        <v>4.35</v>
      </c>
      <c r="H3461" s="9">
        <f>IFERROR(__xludf.DUMMYFUNCTION("""COMPUTED_VALUE"""),1.0)</f>
        <v>1</v>
      </c>
      <c r="I3461" s="9"/>
      <c r="J3461" s="9"/>
      <c r="K3461" s="9"/>
      <c r="L3461" s="9"/>
      <c r="M3461" s="9"/>
      <c r="N3461" s="9"/>
      <c r="O3461" s="9"/>
      <c r="P3461" s="9"/>
      <c r="Q3461" s="9"/>
      <c r="R3461" s="9"/>
      <c r="S3461" s="9"/>
      <c r="T3461" s="9"/>
    </row>
    <row r="3462" ht="15.75" customHeight="1">
      <c r="A3462" s="11">
        <f>IFERROR(__xludf.DUMMYFUNCTION("""COMPUTED_VALUE"""),44471.0)</f>
        <v>44471</v>
      </c>
      <c r="B3462" s="9">
        <f>IFERROR(__xludf.DUMMYFUNCTION("""COMPUTED_VALUE"""),1003789.0)</f>
        <v>1003789</v>
      </c>
      <c r="C3462" s="9">
        <f>IFERROR(__xludf.DUMMYFUNCTION("""COMPUTED_VALUE"""),122217.0)</f>
        <v>122217</v>
      </c>
      <c r="D3462" s="9"/>
      <c r="E3462" s="9"/>
      <c r="F3462" s="9">
        <f>IFERROR(__xludf.DUMMYFUNCTION("""COMPUTED_VALUE"""),2.94)</f>
        <v>2.94</v>
      </c>
      <c r="G3462" s="9">
        <f>IFERROR(__xludf.DUMMYFUNCTION("""COMPUTED_VALUE"""),2.94)</f>
        <v>2.94</v>
      </c>
      <c r="H3462" s="9">
        <f>IFERROR(__xludf.DUMMYFUNCTION("""COMPUTED_VALUE"""),1.0)</f>
        <v>1</v>
      </c>
      <c r="I3462" s="9"/>
      <c r="J3462" s="9"/>
      <c r="K3462" s="9"/>
      <c r="L3462" s="9"/>
      <c r="M3462" s="9"/>
      <c r="N3462" s="9"/>
      <c r="O3462" s="9"/>
      <c r="P3462" s="9"/>
      <c r="Q3462" s="9"/>
      <c r="R3462" s="9"/>
      <c r="S3462" s="9"/>
      <c r="T3462" s="9"/>
    </row>
    <row r="3463" ht="15.75" customHeight="1">
      <c r="A3463" s="11">
        <f>IFERROR(__xludf.DUMMYFUNCTION("""COMPUTED_VALUE"""),44471.0)</f>
        <v>44471</v>
      </c>
      <c r="B3463" s="9">
        <f>IFERROR(__xludf.DUMMYFUNCTION("""COMPUTED_VALUE"""),1003789.0)</f>
        <v>1003789</v>
      </c>
      <c r="C3463" s="9">
        <f>IFERROR(__xludf.DUMMYFUNCTION("""COMPUTED_VALUE"""),122216.0)</f>
        <v>122216</v>
      </c>
      <c r="D3463" s="9"/>
      <c r="E3463" s="9"/>
      <c r="F3463" s="9">
        <f>IFERROR(__xludf.DUMMYFUNCTION("""COMPUTED_VALUE"""),2.94)</f>
        <v>2.94</v>
      </c>
      <c r="G3463" s="9">
        <f>IFERROR(__xludf.DUMMYFUNCTION("""COMPUTED_VALUE"""),2.94)</f>
        <v>2.94</v>
      </c>
      <c r="H3463" s="9">
        <f>IFERROR(__xludf.DUMMYFUNCTION("""COMPUTED_VALUE"""),1.0)</f>
        <v>1</v>
      </c>
      <c r="I3463" s="9"/>
      <c r="J3463" s="9"/>
      <c r="K3463" s="9"/>
      <c r="L3463" s="9"/>
      <c r="M3463" s="9"/>
      <c r="N3463" s="9"/>
      <c r="O3463" s="9"/>
      <c r="P3463" s="9"/>
      <c r="Q3463" s="9"/>
      <c r="R3463" s="9"/>
      <c r="S3463" s="9"/>
      <c r="T3463" s="9"/>
    </row>
    <row r="3464" ht="15.75" customHeight="1">
      <c r="A3464" s="11">
        <f>IFERROR(__xludf.DUMMYFUNCTION("""COMPUTED_VALUE"""),44471.0)</f>
        <v>44471</v>
      </c>
      <c r="B3464" s="9">
        <f>IFERROR(__xludf.DUMMYFUNCTION("""COMPUTED_VALUE"""),1003789.0)</f>
        <v>1003789</v>
      </c>
      <c r="C3464" s="9">
        <f>IFERROR(__xludf.DUMMYFUNCTION("""COMPUTED_VALUE"""),119120.0)</f>
        <v>119120</v>
      </c>
      <c r="D3464" s="9"/>
      <c r="E3464" s="9"/>
      <c r="F3464" s="9">
        <f>IFERROR(__xludf.DUMMYFUNCTION("""COMPUTED_VALUE"""),5.13)</f>
        <v>5.13</v>
      </c>
      <c r="G3464" s="9">
        <f>IFERROR(__xludf.DUMMYFUNCTION("""COMPUTED_VALUE"""),5.13)</f>
        <v>5.13</v>
      </c>
      <c r="H3464" s="9">
        <f>IFERROR(__xludf.DUMMYFUNCTION("""COMPUTED_VALUE"""),1.0)</f>
        <v>1</v>
      </c>
      <c r="I3464" s="9"/>
      <c r="J3464" s="9"/>
      <c r="K3464" s="9"/>
      <c r="L3464" s="9"/>
      <c r="M3464" s="9"/>
      <c r="N3464" s="9"/>
      <c r="O3464" s="9"/>
      <c r="P3464" s="9"/>
      <c r="Q3464" s="9"/>
      <c r="R3464" s="9"/>
      <c r="S3464" s="9"/>
      <c r="T3464" s="9"/>
    </row>
    <row r="3465" ht="15.75" customHeight="1">
      <c r="A3465" s="11">
        <f>IFERROR(__xludf.DUMMYFUNCTION("""COMPUTED_VALUE"""),44471.0)</f>
        <v>44471</v>
      </c>
      <c r="B3465" s="9">
        <f>IFERROR(__xludf.DUMMYFUNCTION("""COMPUTED_VALUE"""),1003789.0)</f>
        <v>1003789</v>
      </c>
      <c r="C3465" s="9">
        <f>IFERROR(__xludf.DUMMYFUNCTION("""COMPUTED_VALUE"""),119119.0)</f>
        <v>119119</v>
      </c>
      <c r="D3465" s="9"/>
      <c r="E3465" s="9"/>
      <c r="F3465" s="9">
        <f>IFERROR(__xludf.DUMMYFUNCTION("""COMPUTED_VALUE"""),5.13)</f>
        <v>5.13</v>
      </c>
      <c r="G3465" s="9">
        <f>IFERROR(__xludf.DUMMYFUNCTION("""COMPUTED_VALUE"""),5.13)</f>
        <v>5.13</v>
      </c>
      <c r="H3465" s="9">
        <f>IFERROR(__xludf.DUMMYFUNCTION("""COMPUTED_VALUE"""),1.0)</f>
        <v>1</v>
      </c>
      <c r="I3465" s="9"/>
      <c r="J3465" s="9"/>
      <c r="K3465" s="9"/>
      <c r="L3465" s="9"/>
      <c r="M3465" s="9"/>
      <c r="N3465" s="9"/>
      <c r="O3465" s="9"/>
      <c r="P3465" s="9"/>
      <c r="Q3465" s="9"/>
      <c r="R3465" s="9"/>
      <c r="S3465" s="9"/>
      <c r="T3465" s="9"/>
    </row>
    <row r="3466" ht="15.75" customHeight="1">
      <c r="A3466" s="11">
        <f>IFERROR(__xludf.DUMMYFUNCTION("""COMPUTED_VALUE"""),44471.0)</f>
        <v>44471</v>
      </c>
      <c r="B3466" s="9">
        <f>IFERROR(__xludf.DUMMYFUNCTION("""COMPUTED_VALUE"""),1003789.0)</f>
        <v>1003789</v>
      </c>
      <c r="C3466" s="9">
        <f>IFERROR(__xludf.DUMMYFUNCTION("""COMPUTED_VALUE"""),43944.0)</f>
        <v>43944</v>
      </c>
      <c r="D3466" s="9"/>
      <c r="E3466" s="9"/>
      <c r="F3466" s="9">
        <f>IFERROR(__xludf.DUMMYFUNCTION("""COMPUTED_VALUE"""),49.12)</f>
        <v>49.12</v>
      </c>
      <c r="G3466" s="9">
        <f>IFERROR(__xludf.DUMMYFUNCTION("""COMPUTED_VALUE"""),49.12)</f>
        <v>49.12</v>
      </c>
      <c r="H3466" s="9">
        <f>IFERROR(__xludf.DUMMYFUNCTION("""COMPUTED_VALUE"""),3.0)</f>
        <v>3</v>
      </c>
      <c r="I3466" s="9"/>
      <c r="J3466" s="9"/>
      <c r="K3466" s="9"/>
      <c r="L3466" s="9"/>
      <c r="M3466" s="9"/>
      <c r="N3466" s="9"/>
      <c r="O3466" s="9"/>
      <c r="P3466" s="9"/>
      <c r="Q3466" s="9"/>
      <c r="R3466" s="9"/>
      <c r="S3466" s="9"/>
      <c r="T3466" s="9"/>
    </row>
    <row r="3467" ht="15.75" customHeight="1">
      <c r="A3467" s="11">
        <f>IFERROR(__xludf.DUMMYFUNCTION("""COMPUTED_VALUE"""),44471.0)</f>
        <v>44471</v>
      </c>
      <c r="B3467" s="9">
        <f>IFERROR(__xludf.DUMMYFUNCTION("""COMPUTED_VALUE"""),1003790.0)</f>
        <v>1003790</v>
      </c>
      <c r="C3467" s="9">
        <f>IFERROR(__xludf.DUMMYFUNCTION("""COMPUTED_VALUE"""),3590.0)</f>
        <v>3590</v>
      </c>
      <c r="D3467" s="9"/>
      <c r="E3467" s="10" t="str">
        <f>IFERROR(__xludf.DUMMYFUNCTION("""COMPUTED_VALUE"""),"PREMIERE")</f>
        <v>PREMIERE</v>
      </c>
      <c r="F3467" s="10">
        <f>IFERROR(__xludf.DUMMYFUNCTION("""COMPUTED_VALUE"""),31.54)</f>
        <v>31.54</v>
      </c>
      <c r="G3467" s="9">
        <f>IFERROR(__xludf.DUMMYFUNCTION("""COMPUTED_VALUE"""),31.54)</f>
        <v>31.54</v>
      </c>
      <c r="H3467" s="9">
        <f>IFERROR(__xludf.DUMMYFUNCTION("""COMPUTED_VALUE"""),2.0)</f>
        <v>2</v>
      </c>
      <c r="I3467" s="9"/>
      <c r="J3467" s="9"/>
      <c r="K3467" s="9"/>
      <c r="L3467" s="9"/>
      <c r="M3467" s="9"/>
      <c r="N3467" s="9"/>
      <c r="O3467" s="9"/>
      <c r="P3467" s="9"/>
      <c r="Q3467" s="9"/>
      <c r="R3467" s="9"/>
      <c r="S3467" s="9"/>
      <c r="T3467" s="9"/>
    </row>
    <row r="3468" ht="15.75" customHeight="1">
      <c r="A3468" s="11">
        <f>IFERROR(__xludf.DUMMYFUNCTION("""COMPUTED_VALUE"""),44471.0)</f>
        <v>44471</v>
      </c>
      <c r="B3468" s="9">
        <f>IFERROR(__xludf.DUMMYFUNCTION("""COMPUTED_VALUE"""),1003790.0)</f>
        <v>1003790</v>
      </c>
      <c r="C3468" s="9">
        <f>IFERROR(__xludf.DUMMYFUNCTION("""COMPUTED_VALUE"""),5869.0)</f>
        <v>5869</v>
      </c>
      <c r="D3468" s="9"/>
      <c r="E3468" s="10" t="str">
        <f>IFERROR(__xludf.DUMMYFUNCTION("""COMPUTED_VALUE"""),"PREMIERE")</f>
        <v>PREMIERE</v>
      </c>
      <c r="F3468" s="10">
        <f>IFERROR(__xludf.DUMMYFUNCTION("""COMPUTED_VALUE"""),5.7)</f>
        <v>5.7</v>
      </c>
      <c r="G3468" s="9">
        <f>IFERROR(__xludf.DUMMYFUNCTION("""COMPUTED_VALUE"""),5.7)</f>
        <v>5.7</v>
      </c>
      <c r="H3468" s="9">
        <f>IFERROR(__xludf.DUMMYFUNCTION("""COMPUTED_VALUE"""),2.0)</f>
        <v>2</v>
      </c>
      <c r="I3468" s="9"/>
      <c r="J3468" s="9"/>
      <c r="K3468" s="9"/>
      <c r="L3468" s="9"/>
      <c r="M3468" s="9"/>
      <c r="N3468" s="9"/>
      <c r="O3468" s="9"/>
      <c r="P3468" s="9"/>
      <c r="Q3468" s="9"/>
      <c r="R3468" s="9"/>
      <c r="S3468" s="9"/>
      <c r="T3468" s="9"/>
    </row>
    <row r="3469" ht="15.75" customHeight="1">
      <c r="A3469" s="11">
        <f>IFERROR(__xludf.DUMMYFUNCTION("""COMPUTED_VALUE"""),44471.0)</f>
        <v>44471</v>
      </c>
      <c r="B3469" s="9">
        <f>IFERROR(__xludf.DUMMYFUNCTION("""COMPUTED_VALUE"""),1003790.0)</f>
        <v>1003790</v>
      </c>
      <c r="C3469" s="9">
        <f>IFERROR(__xludf.DUMMYFUNCTION("""COMPUTED_VALUE"""),99270.0)</f>
        <v>99270</v>
      </c>
      <c r="D3469" s="9"/>
      <c r="E3469" s="10" t="str">
        <f>IFERROR(__xludf.DUMMYFUNCTION("""COMPUTED_VALUE"""),"PREMIERE")</f>
        <v>PREMIERE</v>
      </c>
      <c r="F3469" s="10">
        <f>IFERROR(__xludf.DUMMYFUNCTION("""COMPUTED_VALUE"""),17.33)</f>
        <v>17.33</v>
      </c>
      <c r="G3469" s="9">
        <f>IFERROR(__xludf.DUMMYFUNCTION("""COMPUTED_VALUE"""),17.33)</f>
        <v>17.33</v>
      </c>
      <c r="H3469" s="9">
        <f>IFERROR(__xludf.DUMMYFUNCTION("""COMPUTED_VALUE"""),3.0)</f>
        <v>3</v>
      </c>
      <c r="I3469" s="9"/>
      <c r="J3469" s="9"/>
      <c r="K3469" s="9"/>
      <c r="L3469" s="9"/>
      <c r="M3469" s="9"/>
      <c r="N3469" s="9"/>
      <c r="O3469" s="9"/>
      <c r="P3469" s="9"/>
      <c r="Q3469" s="9"/>
      <c r="R3469" s="9"/>
      <c r="S3469" s="9"/>
      <c r="T3469" s="9"/>
    </row>
    <row r="3470" ht="15.75" customHeight="1">
      <c r="A3470" s="11">
        <f>IFERROR(__xludf.DUMMYFUNCTION("""COMPUTED_VALUE"""),44471.0)</f>
        <v>44471</v>
      </c>
      <c r="B3470" s="9">
        <f>IFERROR(__xludf.DUMMYFUNCTION("""COMPUTED_VALUE"""),1003790.0)</f>
        <v>1003790</v>
      </c>
      <c r="C3470" s="9">
        <f>IFERROR(__xludf.DUMMYFUNCTION("""COMPUTED_VALUE"""),73442.0)</f>
        <v>73442</v>
      </c>
      <c r="D3470" s="9"/>
      <c r="E3470" s="10" t="str">
        <f>IFERROR(__xludf.DUMMYFUNCTION("""COMPUTED_VALUE"""),"PREMIERE")</f>
        <v>PREMIERE</v>
      </c>
      <c r="F3470" s="10">
        <f>IFERROR(__xludf.DUMMYFUNCTION("""COMPUTED_VALUE"""),8.06)</f>
        <v>8.06</v>
      </c>
      <c r="G3470" s="9">
        <f>IFERROR(__xludf.DUMMYFUNCTION("""COMPUTED_VALUE"""),8.06)</f>
        <v>8.06</v>
      </c>
      <c r="H3470" s="9">
        <f>IFERROR(__xludf.DUMMYFUNCTION("""COMPUTED_VALUE"""),3.0)</f>
        <v>3</v>
      </c>
      <c r="I3470" s="9"/>
      <c r="J3470" s="9"/>
      <c r="K3470" s="9"/>
      <c r="L3470" s="9"/>
      <c r="M3470" s="9"/>
      <c r="N3470" s="9"/>
      <c r="O3470" s="9"/>
      <c r="P3470" s="9"/>
      <c r="Q3470" s="9"/>
      <c r="R3470" s="9"/>
      <c r="S3470" s="9"/>
      <c r="T3470" s="9"/>
    </row>
    <row r="3471" ht="15.75" customHeight="1">
      <c r="A3471" s="11">
        <f>IFERROR(__xludf.DUMMYFUNCTION("""COMPUTED_VALUE"""),44471.0)</f>
        <v>44471</v>
      </c>
      <c r="B3471" s="9">
        <f>IFERROR(__xludf.DUMMYFUNCTION("""COMPUTED_VALUE"""),1003790.0)</f>
        <v>1003790</v>
      </c>
      <c r="C3471" s="9">
        <f>IFERROR(__xludf.DUMMYFUNCTION("""COMPUTED_VALUE"""),41225.0)</f>
        <v>41225</v>
      </c>
      <c r="D3471" s="10" t="str">
        <f>IFERROR(__xludf.DUMMYFUNCTION("""COMPUTED_VALUE"""),"Offre Speciale")</f>
        <v>Offre Speciale</v>
      </c>
      <c r="E3471" s="10" t="str">
        <f>IFERROR(__xludf.DUMMYFUNCTION("""COMPUTED_VALUE"""),"PREMIERE")</f>
        <v>PREMIERE</v>
      </c>
      <c r="F3471" s="10">
        <f>IFERROR(__xludf.DUMMYFUNCTION("""COMPUTED_VALUE"""),48.4090909090909)</f>
        <v>48.40909091</v>
      </c>
      <c r="G3471" s="9">
        <f>IFERROR(__xludf.DUMMYFUNCTION("""COMPUTED_VALUE"""),42.6)</f>
        <v>42.6</v>
      </c>
      <c r="H3471" s="9">
        <f>IFERROR(__xludf.DUMMYFUNCTION("""COMPUTED_VALUE"""),3.0)</f>
        <v>3</v>
      </c>
      <c r="I3471" s="9"/>
      <c r="J3471" s="9"/>
      <c r="K3471" s="9"/>
      <c r="L3471" s="9"/>
      <c r="M3471" s="9"/>
      <c r="N3471" s="9"/>
      <c r="O3471" s="9"/>
      <c r="P3471" s="9"/>
      <c r="Q3471" s="9"/>
      <c r="R3471" s="9"/>
      <c r="S3471" s="9"/>
      <c r="T3471" s="9"/>
    </row>
    <row r="3472" ht="15.75" customHeight="1">
      <c r="A3472" s="11">
        <f>IFERROR(__xludf.DUMMYFUNCTION("""COMPUTED_VALUE"""),44471.0)</f>
        <v>44471</v>
      </c>
      <c r="B3472" s="9">
        <f>IFERROR(__xludf.DUMMYFUNCTION("""COMPUTED_VALUE"""),1003790.0)</f>
        <v>1003790</v>
      </c>
      <c r="C3472" s="9">
        <f>IFERROR(__xludf.DUMMYFUNCTION("""COMPUTED_VALUE"""),81880.0)</f>
        <v>81880</v>
      </c>
      <c r="D3472" s="10" t="str">
        <f>IFERROR(__xludf.DUMMYFUNCTION("""COMPUTED_VALUE"""),"Offre Speciale")</f>
        <v>Offre Speciale</v>
      </c>
      <c r="E3472" s="10" t="str">
        <f>IFERROR(__xludf.DUMMYFUNCTION("""COMPUTED_VALUE"""),"PREMIERE")</f>
        <v>PREMIERE</v>
      </c>
      <c r="F3472" s="10">
        <f>IFERROR(__xludf.DUMMYFUNCTION("""COMPUTED_VALUE"""),90.8444444444444)</f>
        <v>90.84444444</v>
      </c>
      <c r="G3472" s="9">
        <f>IFERROR(__xludf.DUMMYFUNCTION("""COMPUTED_VALUE"""),81.76)</f>
        <v>81.76</v>
      </c>
      <c r="H3472" s="9">
        <f>IFERROR(__xludf.DUMMYFUNCTION("""COMPUTED_VALUE"""),4.0)</f>
        <v>4</v>
      </c>
      <c r="I3472" s="9"/>
      <c r="J3472" s="9"/>
      <c r="K3472" s="9"/>
      <c r="L3472" s="9"/>
      <c r="M3472" s="9"/>
      <c r="N3472" s="9"/>
      <c r="O3472" s="9"/>
      <c r="P3472" s="9"/>
      <c r="Q3472" s="9"/>
      <c r="R3472" s="9"/>
      <c r="S3472" s="9"/>
      <c r="T3472" s="9"/>
    </row>
    <row r="3473" ht="15.75" customHeight="1">
      <c r="A3473" s="11">
        <f>IFERROR(__xludf.DUMMYFUNCTION("""COMPUTED_VALUE"""),44471.0)</f>
        <v>44471</v>
      </c>
      <c r="B3473" s="9">
        <f>IFERROR(__xludf.DUMMYFUNCTION("""COMPUTED_VALUE"""),1003790.0)</f>
        <v>1003790</v>
      </c>
      <c r="C3473" s="9">
        <f>IFERROR(__xludf.DUMMYFUNCTION("""COMPUTED_VALUE"""),111716.0)</f>
        <v>111716</v>
      </c>
      <c r="D3473" s="9"/>
      <c r="E3473" s="10" t="str">
        <f>IFERROR(__xludf.DUMMYFUNCTION("""COMPUTED_VALUE"""),"PREMIERE")</f>
        <v>PREMIERE</v>
      </c>
      <c r="F3473" s="10">
        <f>IFERROR(__xludf.DUMMYFUNCTION("""COMPUTED_VALUE"""),9.64)</f>
        <v>9.64</v>
      </c>
      <c r="G3473" s="9">
        <f>IFERROR(__xludf.DUMMYFUNCTION("""COMPUTED_VALUE"""),9.64)</f>
        <v>9.64</v>
      </c>
      <c r="H3473" s="9">
        <f>IFERROR(__xludf.DUMMYFUNCTION("""COMPUTED_VALUE"""),8.0)</f>
        <v>8</v>
      </c>
      <c r="I3473" s="9"/>
      <c r="J3473" s="9"/>
      <c r="K3473" s="9"/>
      <c r="L3473" s="9"/>
      <c r="M3473" s="9"/>
      <c r="N3473" s="9"/>
      <c r="O3473" s="9"/>
      <c r="P3473" s="9"/>
      <c r="Q3473" s="9"/>
      <c r="R3473" s="9"/>
      <c r="S3473" s="9"/>
      <c r="T3473" s="9"/>
    </row>
    <row r="3474" ht="15.75" customHeight="1">
      <c r="A3474" s="11">
        <f>IFERROR(__xludf.DUMMYFUNCTION("""COMPUTED_VALUE"""),44471.0)</f>
        <v>44471</v>
      </c>
      <c r="B3474" s="9">
        <f>IFERROR(__xludf.DUMMYFUNCTION("""COMPUTED_VALUE"""),1003791.0)</f>
        <v>1003791</v>
      </c>
      <c r="C3474" s="9">
        <f>IFERROR(__xludf.DUMMYFUNCTION("""COMPUTED_VALUE"""),82453.0)</f>
        <v>82453</v>
      </c>
      <c r="D3474" s="9"/>
      <c r="E3474" s="9"/>
      <c r="F3474" s="9">
        <f>IFERROR(__xludf.DUMMYFUNCTION("""COMPUTED_VALUE"""),2.5)</f>
        <v>2.5</v>
      </c>
      <c r="G3474" s="9">
        <f>IFERROR(__xludf.DUMMYFUNCTION("""COMPUTED_VALUE"""),2.5)</f>
        <v>2.5</v>
      </c>
      <c r="H3474" s="9">
        <f>IFERROR(__xludf.DUMMYFUNCTION("""COMPUTED_VALUE"""),1.0)</f>
        <v>1</v>
      </c>
      <c r="I3474" s="9"/>
      <c r="J3474" s="9"/>
      <c r="K3474" s="9"/>
      <c r="L3474" s="9"/>
      <c r="M3474" s="9"/>
      <c r="N3474" s="9"/>
      <c r="O3474" s="9"/>
      <c r="P3474" s="9"/>
      <c r="Q3474" s="9"/>
      <c r="R3474" s="9"/>
      <c r="S3474" s="9"/>
      <c r="T3474" s="9"/>
    </row>
    <row r="3475" ht="15.75" customHeight="1">
      <c r="A3475" s="11">
        <f>IFERROR(__xludf.DUMMYFUNCTION("""COMPUTED_VALUE"""),44471.0)</f>
        <v>44471</v>
      </c>
      <c r="B3475" s="9">
        <f>IFERROR(__xludf.DUMMYFUNCTION("""COMPUTED_VALUE"""),1003791.0)</f>
        <v>1003791</v>
      </c>
      <c r="C3475" s="9">
        <f>IFERROR(__xludf.DUMMYFUNCTION("""COMPUTED_VALUE"""),118542.0)</f>
        <v>118542</v>
      </c>
      <c r="D3475" s="9"/>
      <c r="E3475" s="9"/>
      <c r="F3475" s="9">
        <f>IFERROR(__xludf.DUMMYFUNCTION("""COMPUTED_VALUE"""),2.42)</f>
        <v>2.42</v>
      </c>
      <c r="G3475" s="9">
        <f>IFERROR(__xludf.DUMMYFUNCTION("""COMPUTED_VALUE"""),2.42)</f>
        <v>2.42</v>
      </c>
      <c r="H3475" s="9">
        <f>IFERROR(__xludf.DUMMYFUNCTION("""COMPUTED_VALUE"""),1.0)</f>
        <v>1</v>
      </c>
      <c r="I3475" s="9"/>
      <c r="J3475" s="9"/>
      <c r="K3475" s="9"/>
      <c r="L3475" s="9"/>
      <c r="M3475" s="9"/>
      <c r="N3475" s="9"/>
      <c r="O3475" s="9"/>
      <c r="P3475" s="9"/>
      <c r="Q3475" s="9"/>
      <c r="R3475" s="9"/>
      <c r="S3475" s="9"/>
      <c r="T3475" s="9"/>
    </row>
    <row r="3476" ht="15.75" customHeight="1">
      <c r="A3476" s="11">
        <f>IFERROR(__xludf.DUMMYFUNCTION("""COMPUTED_VALUE"""),44471.0)</f>
        <v>44471</v>
      </c>
      <c r="B3476" s="9">
        <f>IFERROR(__xludf.DUMMYFUNCTION("""COMPUTED_VALUE"""),1003791.0)</f>
        <v>1003791</v>
      </c>
      <c r="C3476" s="9">
        <f>IFERROR(__xludf.DUMMYFUNCTION("""COMPUTED_VALUE"""),21603.0)</f>
        <v>21603</v>
      </c>
      <c r="D3476" s="10" t="str">
        <f>IFERROR(__xludf.DUMMYFUNCTION("""COMPUTED_VALUE"""),"Vive le bio")</f>
        <v>Vive le bio</v>
      </c>
      <c r="E3476" s="10"/>
      <c r="F3476" s="9">
        <f>IFERROR(__xludf.DUMMYFUNCTION("""COMPUTED_VALUE"""),5.01111111111111)</f>
        <v>5.011111111</v>
      </c>
      <c r="G3476" s="9">
        <f>IFERROR(__xludf.DUMMYFUNCTION("""COMPUTED_VALUE"""),4.51)</f>
        <v>4.51</v>
      </c>
      <c r="H3476" s="9">
        <f>IFERROR(__xludf.DUMMYFUNCTION("""COMPUTED_VALUE"""),1.0)</f>
        <v>1</v>
      </c>
      <c r="I3476" s="9"/>
      <c r="J3476" s="9"/>
      <c r="K3476" s="9"/>
      <c r="L3476" s="9"/>
      <c r="M3476" s="9"/>
      <c r="N3476" s="9"/>
      <c r="O3476" s="9"/>
      <c r="P3476" s="9"/>
      <c r="Q3476" s="9"/>
      <c r="R3476" s="9"/>
      <c r="S3476" s="9"/>
      <c r="T3476" s="9"/>
    </row>
    <row r="3477" ht="15.75" customHeight="1">
      <c r="A3477" s="11">
        <f>IFERROR(__xludf.DUMMYFUNCTION("""COMPUTED_VALUE"""),44471.0)</f>
        <v>44471</v>
      </c>
      <c r="B3477" s="9">
        <f>IFERROR(__xludf.DUMMYFUNCTION("""COMPUTED_VALUE"""),1003791.0)</f>
        <v>1003791</v>
      </c>
      <c r="C3477" s="9">
        <f>IFERROR(__xludf.DUMMYFUNCTION("""COMPUTED_VALUE"""),21612.0)</f>
        <v>21612</v>
      </c>
      <c r="D3477" s="10" t="str">
        <f>IFERROR(__xludf.DUMMYFUNCTION("""COMPUTED_VALUE"""),"Vive le bio")</f>
        <v>Vive le bio</v>
      </c>
      <c r="E3477" s="10"/>
      <c r="F3477" s="9">
        <f>IFERROR(__xludf.DUMMYFUNCTION("""COMPUTED_VALUE"""),5.01111111111111)</f>
        <v>5.011111111</v>
      </c>
      <c r="G3477" s="9">
        <f>IFERROR(__xludf.DUMMYFUNCTION("""COMPUTED_VALUE"""),4.51)</f>
        <v>4.51</v>
      </c>
      <c r="H3477" s="9">
        <f>IFERROR(__xludf.DUMMYFUNCTION("""COMPUTED_VALUE"""),1.0)</f>
        <v>1</v>
      </c>
      <c r="I3477" s="9"/>
      <c r="J3477" s="9"/>
      <c r="K3477" s="9"/>
      <c r="L3477" s="9"/>
      <c r="M3477" s="9"/>
      <c r="N3477" s="9"/>
      <c r="O3477" s="9"/>
      <c r="P3477" s="9"/>
      <c r="Q3477" s="9"/>
      <c r="R3477" s="9"/>
      <c r="S3477" s="9"/>
      <c r="T3477" s="9"/>
    </row>
    <row r="3478" ht="15.75" customHeight="1">
      <c r="A3478" s="11">
        <f>IFERROR(__xludf.DUMMYFUNCTION("""COMPUTED_VALUE"""),44471.0)</f>
        <v>44471</v>
      </c>
      <c r="B3478" s="9">
        <f>IFERROR(__xludf.DUMMYFUNCTION("""COMPUTED_VALUE"""),1003791.0)</f>
        <v>1003791</v>
      </c>
      <c r="C3478" s="9">
        <f>IFERROR(__xludf.DUMMYFUNCTION("""COMPUTED_VALUE"""),110689.0)</f>
        <v>110689</v>
      </c>
      <c r="D3478" s="9"/>
      <c r="E3478" s="9"/>
      <c r="F3478" s="9">
        <f>IFERROR(__xludf.DUMMYFUNCTION("""COMPUTED_VALUE"""),1.86)</f>
        <v>1.86</v>
      </c>
      <c r="G3478" s="9">
        <f>IFERROR(__xludf.DUMMYFUNCTION("""COMPUTED_VALUE"""),1.86)</f>
        <v>1.86</v>
      </c>
      <c r="H3478" s="9">
        <f>IFERROR(__xludf.DUMMYFUNCTION("""COMPUTED_VALUE"""),1.0)</f>
        <v>1</v>
      </c>
      <c r="I3478" s="9"/>
      <c r="J3478" s="9"/>
      <c r="K3478" s="9"/>
      <c r="L3478" s="9"/>
      <c r="M3478" s="9"/>
      <c r="N3478" s="9"/>
      <c r="O3478" s="9"/>
      <c r="P3478" s="9"/>
      <c r="Q3478" s="9"/>
      <c r="R3478" s="9"/>
      <c r="S3478" s="9"/>
      <c r="T3478" s="9"/>
    </row>
    <row r="3479" ht="15.75" customHeight="1">
      <c r="A3479" s="11">
        <f>IFERROR(__xludf.DUMMYFUNCTION("""COMPUTED_VALUE"""),44471.0)</f>
        <v>44471</v>
      </c>
      <c r="B3479" s="9">
        <f>IFERROR(__xludf.DUMMYFUNCTION("""COMPUTED_VALUE"""),1003791.0)</f>
        <v>1003791</v>
      </c>
      <c r="C3479" s="9">
        <f>IFERROR(__xludf.DUMMYFUNCTION("""COMPUTED_VALUE"""),115754.0)</f>
        <v>115754</v>
      </c>
      <c r="D3479" s="10" t="str">
        <f>IFERROR(__xludf.DUMMYFUNCTION("""COMPUTED_VALUE"""),"Vive le bio")</f>
        <v>Vive le bio</v>
      </c>
      <c r="E3479" s="10"/>
      <c r="F3479" s="9">
        <f>IFERROR(__xludf.DUMMYFUNCTION("""COMPUTED_VALUE"""),1.15555555555555)</f>
        <v>1.155555556</v>
      </c>
      <c r="G3479" s="9">
        <f>IFERROR(__xludf.DUMMYFUNCTION("""COMPUTED_VALUE"""),1.04)</f>
        <v>1.04</v>
      </c>
      <c r="H3479" s="9">
        <f>IFERROR(__xludf.DUMMYFUNCTION("""COMPUTED_VALUE"""),1.0)</f>
        <v>1</v>
      </c>
      <c r="I3479" s="9"/>
      <c r="J3479" s="9"/>
      <c r="K3479" s="9"/>
      <c r="L3479" s="9"/>
      <c r="M3479" s="9"/>
      <c r="N3479" s="9"/>
      <c r="O3479" s="9"/>
      <c r="P3479" s="9"/>
      <c r="Q3479" s="9"/>
      <c r="R3479" s="9"/>
      <c r="S3479" s="9"/>
      <c r="T3479" s="9"/>
    </row>
    <row r="3480" ht="15.75" customHeight="1">
      <c r="A3480" s="11">
        <f>IFERROR(__xludf.DUMMYFUNCTION("""COMPUTED_VALUE"""),44471.0)</f>
        <v>44471</v>
      </c>
      <c r="B3480" s="9">
        <f>IFERROR(__xludf.DUMMYFUNCTION("""COMPUTED_VALUE"""),1003791.0)</f>
        <v>1003791</v>
      </c>
      <c r="C3480" s="9">
        <f>IFERROR(__xludf.DUMMYFUNCTION("""COMPUTED_VALUE"""),99351.0)</f>
        <v>99351</v>
      </c>
      <c r="D3480" s="9"/>
      <c r="E3480" s="9"/>
      <c r="F3480" s="9">
        <f>IFERROR(__xludf.DUMMYFUNCTION("""COMPUTED_VALUE"""),1.24)</f>
        <v>1.24</v>
      </c>
      <c r="G3480" s="9">
        <f>IFERROR(__xludf.DUMMYFUNCTION("""COMPUTED_VALUE"""),1.24)</f>
        <v>1.24</v>
      </c>
      <c r="H3480" s="9">
        <f>IFERROR(__xludf.DUMMYFUNCTION("""COMPUTED_VALUE"""),1.0)</f>
        <v>1</v>
      </c>
      <c r="I3480" s="9"/>
      <c r="J3480" s="9"/>
      <c r="K3480" s="9"/>
      <c r="L3480" s="9"/>
      <c r="M3480" s="9"/>
      <c r="N3480" s="9"/>
      <c r="O3480" s="9"/>
      <c r="P3480" s="9"/>
      <c r="Q3480" s="9"/>
      <c r="R3480" s="9"/>
      <c r="S3480" s="9"/>
      <c r="T3480" s="9"/>
    </row>
    <row r="3481" ht="15.75" customHeight="1">
      <c r="A3481" s="11">
        <f>IFERROR(__xludf.DUMMYFUNCTION("""COMPUTED_VALUE"""),44471.0)</f>
        <v>44471</v>
      </c>
      <c r="B3481" s="9">
        <f>IFERROR(__xludf.DUMMYFUNCTION("""COMPUTED_VALUE"""),1003791.0)</f>
        <v>1003791</v>
      </c>
      <c r="C3481" s="9">
        <f>IFERROR(__xludf.DUMMYFUNCTION("""COMPUTED_VALUE"""),115757.0)</f>
        <v>115757</v>
      </c>
      <c r="D3481" s="10" t="str">
        <f>IFERROR(__xludf.DUMMYFUNCTION("""COMPUTED_VALUE"""),"Vive le bio")</f>
        <v>Vive le bio</v>
      </c>
      <c r="E3481" s="10"/>
      <c r="F3481" s="9">
        <f>IFERROR(__xludf.DUMMYFUNCTION("""COMPUTED_VALUE"""),2.61111111111111)</f>
        <v>2.611111111</v>
      </c>
      <c r="G3481" s="9">
        <f>IFERROR(__xludf.DUMMYFUNCTION("""COMPUTED_VALUE"""),2.35)</f>
        <v>2.35</v>
      </c>
      <c r="H3481" s="9">
        <f>IFERROR(__xludf.DUMMYFUNCTION("""COMPUTED_VALUE"""),2.0)</f>
        <v>2</v>
      </c>
      <c r="I3481" s="9"/>
      <c r="J3481" s="9"/>
      <c r="K3481" s="9"/>
      <c r="L3481" s="9"/>
      <c r="M3481" s="9"/>
      <c r="N3481" s="9"/>
      <c r="O3481" s="9"/>
      <c r="P3481" s="9"/>
      <c r="Q3481" s="9"/>
      <c r="R3481" s="9"/>
      <c r="S3481" s="9"/>
      <c r="T3481" s="9"/>
    </row>
    <row r="3482" ht="15.75" customHeight="1">
      <c r="A3482" s="11">
        <f>IFERROR(__xludf.DUMMYFUNCTION("""COMPUTED_VALUE"""),44471.0)</f>
        <v>44471</v>
      </c>
      <c r="B3482" s="9">
        <f>IFERROR(__xludf.DUMMYFUNCTION("""COMPUTED_VALUE"""),1003791.0)</f>
        <v>1003791</v>
      </c>
      <c r="C3482" s="9">
        <f>IFERROR(__xludf.DUMMYFUNCTION("""COMPUTED_VALUE"""),7264.0)</f>
        <v>7264</v>
      </c>
      <c r="D3482" s="9"/>
      <c r="E3482" s="9"/>
      <c r="F3482" s="9">
        <f>IFERROR(__xludf.DUMMYFUNCTION("""COMPUTED_VALUE"""),7.09)</f>
        <v>7.09</v>
      </c>
      <c r="G3482" s="9">
        <f>IFERROR(__xludf.DUMMYFUNCTION("""COMPUTED_VALUE"""),7.09)</f>
        <v>7.09</v>
      </c>
      <c r="H3482" s="9">
        <f>IFERROR(__xludf.DUMMYFUNCTION("""COMPUTED_VALUE"""),3.0)</f>
        <v>3</v>
      </c>
      <c r="I3482" s="9"/>
      <c r="J3482" s="9"/>
      <c r="K3482" s="9"/>
      <c r="L3482" s="9"/>
      <c r="M3482" s="9"/>
      <c r="N3482" s="9"/>
      <c r="O3482" s="9"/>
      <c r="P3482" s="9"/>
      <c r="Q3482" s="9"/>
      <c r="R3482" s="9"/>
      <c r="S3482" s="9"/>
      <c r="T3482" s="9"/>
    </row>
    <row r="3483" ht="15.75" customHeight="1">
      <c r="A3483" s="11">
        <f>IFERROR(__xludf.DUMMYFUNCTION("""COMPUTED_VALUE"""),44471.0)</f>
        <v>44471</v>
      </c>
      <c r="B3483" s="9">
        <f>IFERROR(__xludf.DUMMYFUNCTION("""COMPUTED_VALUE"""),1003791.0)</f>
        <v>1003791</v>
      </c>
      <c r="C3483" s="9">
        <f>IFERROR(__xludf.DUMMYFUNCTION("""COMPUTED_VALUE"""),7263.0)</f>
        <v>7263</v>
      </c>
      <c r="D3483" s="9"/>
      <c r="E3483" s="9"/>
      <c r="F3483" s="9">
        <f>IFERROR(__xludf.DUMMYFUNCTION("""COMPUTED_VALUE"""),6.6)</f>
        <v>6.6</v>
      </c>
      <c r="G3483" s="9">
        <f>IFERROR(__xludf.DUMMYFUNCTION("""COMPUTED_VALUE"""),6.6)</f>
        <v>6.6</v>
      </c>
      <c r="H3483" s="9">
        <f>IFERROR(__xludf.DUMMYFUNCTION("""COMPUTED_VALUE"""),3.0)</f>
        <v>3</v>
      </c>
      <c r="I3483" s="9"/>
      <c r="J3483" s="9"/>
      <c r="K3483" s="9"/>
      <c r="L3483" s="9"/>
      <c r="M3483" s="9"/>
      <c r="N3483" s="9"/>
      <c r="O3483" s="9"/>
      <c r="P3483" s="9"/>
      <c r="Q3483" s="9"/>
      <c r="R3483" s="9"/>
      <c r="S3483" s="9"/>
      <c r="T3483" s="9"/>
    </row>
    <row r="3484" ht="15.75" customHeight="1">
      <c r="A3484" s="11">
        <f>IFERROR(__xludf.DUMMYFUNCTION("""COMPUTED_VALUE"""),44471.0)</f>
        <v>44471</v>
      </c>
      <c r="B3484" s="9">
        <f>IFERROR(__xludf.DUMMYFUNCTION("""COMPUTED_VALUE"""),1003791.0)</f>
        <v>1003791</v>
      </c>
      <c r="C3484" s="9">
        <f>IFERROR(__xludf.DUMMYFUNCTION("""COMPUTED_VALUE"""),115750.0)</f>
        <v>115750</v>
      </c>
      <c r="D3484" s="9"/>
      <c r="E3484" s="9"/>
      <c r="F3484" s="9">
        <f>IFERROR(__xludf.DUMMYFUNCTION("""COMPUTED_VALUE"""),2.72)</f>
        <v>2.72</v>
      </c>
      <c r="G3484" s="9">
        <f>IFERROR(__xludf.DUMMYFUNCTION("""COMPUTED_VALUE"""),2.72)</f>
        <v>2.72</v>
      </c>
      <c r="H3484" s="9">
        <f>IFERROR(__xludf.DUMMYFUNCTION("""COMPUTED_VALUE"""),3.0)</f>
        <v>3</v>
      </c>
      <c r="I3484" s="9"/>
      <c r="J3484" s="9"/>
      <c r="K3484" s="9"/>
      <c r="L3484" s="9"/>
      <c r="M3484" s="9"/>
      <c r="N3484" s="9"/>
      <c r="O3484" s="9"/>
      <c r="P3484" s="9"/>
      <c r="Q3484" s="9"/>
      <c r="R3484" s="9"/>
      <c r="S3484" s="9"/>
      <c r="T3484" s="9"/>
    </row>
    <row r="3485" ht="15.75" customHeight="1">
      <c r="A3485" s="11">
        <f>IFERROR(__xludf.DUMMYFUNCTION("""COMPUTED_VALUE"""),44471.0)</f>
        <v>44471</v>
      </c>
      <c r="B3485" s="9">
        <f>IFERROR(__xludf.DUMMYFUNCTION("""COMPUTED_VALUE"""),1003791.0)</f>
        <v>1003791</v>
      </c>
      <c r="C3485" s="9">
        <f>IFERROR(__xludf.DUMMYFUNCTION("""COMPUTED_VALUE"""),103595.0)</f>
        <v>103595</v>
      </c>
      <c r="D3485" s="10" t="str">
        <f>IFERROR(__xludf.DUMMYFUNCTION("""COMPUTED_VALUE"""),"Love &amp; Green Couches et Culottes sept 2021")</f>
        <v>Love &amp; Green Couches et Culottes sept 2021</v>
      </c>
      <c r="E3485" s="10"/>
      <c r="F3485" s="9">
        <f>IFERROR(__xludf.DUMMYFUNCTION("""COMPUTED_VALUE"""),62.0285714285714)</f>
        <v>62.02857143</v>
      </c>
      <c r="G3485" s="9">
        <f>IFERROR(__xludf.DUMMYFUNCTION("""COMPUTED_VALUE"""),43.42)</f>
        <v>43.42</v>
      </c>
      <c r="H3485" s="9">
        <f>IFERROR(__xludf.DUMMYFUNCTION("""COMPUTED_VALUE"""),4.0)</f>
        <v>4</v>
      </c>
      <c r="I3485" s="9"/>
      <c r="J3485" s="9"/>
      <c r="K3485" s="9"/>
      <c r="L3485" s="9"/>
      <c r="M3485" s="9"/>
      <c r="N3485" s="9"/>
      <c r="O3485" s="9"/>
      <c r="P3485" s="9"/>
      <c r="Q3485" s="9"/>
      <c r="R3485" s="9"/>
      <c r="S3485" s="9"/>
      <c r="T3485" s="9"/>
    </row>
    <row r="3486" ht="15.75" customHeight="1">
      <c r="A3486" s="11">
        <f>IFERROR(__xludf.DUMMYFUNCTION("""COMPUTED_VALUE"""),44471.0)</f>
        <v>44471</v>
      </c>
      <c r="B3486" s="9">
        <f>IFERROR(__xludf.DUMMYFUNCTION("""COMPUTED_VALUE"""),1003791.0)</f>
        <v>1003791</v>
      </c>
      <c r="C3486" s="9">
        <f>IFERROR(__xludf.DUMMYFUNCTION("""COMPUTED_VALUE"""),103592.0)</f>
        <v>103592</v>
      </c>
      <c r="D3486" s="10" t="str">
        <f>IFERROR(__xludf.DUMMYFUNCTION("""COMPUTED_VALUE"""),"Love &amp; Green Couches et Culottes sept 2021")</f>
        <v>Love &amp; Green Couches et Culottes sept 2021</v>
      </c>
      <c r="E3486" s="10"/>
      <c r="F3486" s="9">
        <f>IFERROR(__xludf.DUMMYFUNCTION("""COMPUTED_VALUE"""),62.0285714285714)</f>
        <v>62.02857143</v>
      </c>
      <c r="G3486" s="9">
        <f>IFERROR(__xludf.DUMMYFUNCTION("""COMPUTED_VALUE"""),43.42)</f>
        <v>43.42</v>
      </c>
      <c r="H3486" s="9">
        <f>IFERROR(__xludf.DUMMYFUNCTION("""COMPUTED_VALUE"""),4.0)</f>
        <v>4</v>
      </c>
      <c r="I3486" s="9"/>
      <c r="J3486" s="9"/>
      <c r="K3486" s="9"/>
      <c r="L3486" s="9"/>
      <c r="M3486" s="9"/>
      <c r="N3486" s="9"/>
      <c r="O3486" s="9"/>
      <c r="P3486" s="9"/>
      <c r="Q3486" s="9"/>
      <c r="R3486" s="9"/>
      <c r="S3486" s="9"/>
      <c r="T3486" s="9"/>
    </row>
    <row r="3487" ht="15.75" customHeight="1">
      <c r="A3487" s="11">
        <f>IFERROR(__xludf.DUMMYFUNCTION("""COMPUTED_VALUE"""),44471.0)</f>
        <v>44471</v>
      </c>
      <c r="B3487" s="9">
        <f>IFERROR(__xludf.DUMMYFUNCTION("""COMPUTED_VALUE"""),1003791.0)</f>
        <v>1003791</v>
      </c>
      <c r="C3487" s="9">
        <f>IFERROR(__xludf.DUMMYFUNCTION("""COMPUTED_VALUE"""),120797.0)</f>
        <v>120797</v>
      </c>
      <c r="D3487" s="9"/>
      <c r="E3487" s="9"/>
      <c r="F3487" s="9">
        <f>IFERROR(__xludf.DUMMYFUNCTION("""COMPUTED_VALUE"""),3.3)</f>
        <v>3.3</v>
      </c>
      <c r="G3487" s="9">
        <f>IFERROR(__xludf.DUMMYFUNCTION("""COMPUTED_VALUE"""),3.3)</f>
        <v>3.3</v>
      </c>
      <c r="H3487" s="9">
        <f>IFERROR(__xludf.DUMMYFUNCTION("""COMPUTED_VALUE"""),4.0)</f>
        <v>4</v>
      </c>
      <c r="I3487" s="9"/>
      <c r="J3487" s="9"/>
      <c r="K3487" s="9"/>
      <c r="L3487" s="9"/>
      <c r="M3487" s="9"/>
      <c r="N3487" s="9"/>
      <c r="O3487" s="9"/>
      <c r="P3487" s="9"/>
      <c r="Q3487" s="9"/>
      <c r="R3487" s="9"/>
      <c r="S3487" s="9"/>
      <c r="T3487" s="9"/>
    </row>
    <row r="3488" ht="15.75" customHeight="1">
      <c r="A3488" s="11">
        <f>IFERROR(__xludf.DUMMYFUNCTION("""COMPUTED_VALUE"""),44471.0)</f>
        <v>44471</v>
      </c>
      <c r="B3488" s="9">
        <f>IFERROR(__xludf.DUMMYFUNCTION("""COMPUTED_VALUE"""),1003791.0)</f>
        <v>1003791</v>
      </c>
      <c r="C3488" s="9">
        <f>IFERROR(__xludf.DUMMYFUNCTION("""COMPUTED_VALUE"""),121475.0)</f>
        <v>121475</v>
      </c>
      <c r="D3488" s="9"/>
      <c r="E3488" s="9"/>
      <c r="F3488" s="9">
        <f>IFERROR(__xludf.DUMMYFUNCTION("""COMPUTED_VALUE"""),3.3)</f>
        <v>3.3</v>
      </c>
      <c r="G3488" s="9">
        <f>IFERROR(__xludf.DUMMYFUNCTION("""COMPUTED_VALUE"""),3.3)</f>
        <v>3.3</v>
      </c>
      <c r="H3488" s="9">
        <f>IFERROR(__xludf.DUMMYFUNCTION("""COMPUTED_VALUE"""),4.0)</f>
        <v>4</v>
      </c>
      <c r="I3488" s="9"/>
      <c r="J3488" s="9"/>
      <c r="K3488" s="9"/>
      <c r="L3488" s="9"/>
      <c r="M3488" s="9"/>
      <c r="N3488" s="9"/>
      <c r="O3488" s="9"/>
      <c r="P3488" s="9"/>
      <c r="Q3488" s="9"/>
      <c r="R3488" s="9"/>
      <c r="S3488" s="9"/>
      <c r="T3488" s="9"/>
    </row>
    <row r="3489" ht="15.75" customHeight="1">
      <c r="A3489" s="11">
        <f>IFERROR(__xludf.DUMMYFUNCTION("""COMPUTED_VALUE"""),44471.0)</f>
        <v>44471</v>
      </c>
      <c r="B3489" s="9">
        <f>IFERROR(__xludf.DUMMYFUNCTION("""COMPUTED_VALUE"""),1003791.0)</f>
        <v>1003791</v>
      </c>
      <c r="C3489" s="9">
        <f>IFERROR(__xludf.DUMMYFUNCTION("""COMPUTED_VALUE"""),115755.0)</f>
        <v>115755</v>
      </c>
      <c r="D3489" s="9"/>
      <c r="E3489" s="9"/>
      <c r="F3489" s="9">
        <f>IFERROR(__xludf.DUMMYFUNCTION("""COMPUTED_VALUE"""),3.84)</f>
        <v>3.84</v>
      </c>
      <c r="G3489" s="9">
        <f>IFERROR(__xludf.DUMMYFUNCTION("""COMPUTED_VALUE"""),3.84)</f>
        <v>3.84</v>
      </c>
      <c r="H3489" s="9">
        <f>IFERROR(__xludf.DUMMYFUNCTION("""COMPUTED_VALUE"""),4.0)</f>
        <v>4</v>
      </c>
      <c r="I3489" s="9"/>
      <c r="J3489" s="9"/>
      <c r="K3489" s="9"/>
      <c r="L3489" s="9"/>
      <c r="M3489" s="9"/>
      <c r="N3489" s="9"/>
      <c r="O3489" s="9"/>
      <c r="P3489" s="9"/>
      <c r="Q3489" s="9"/>
      <c r="R3489" s="9"/>
      <c r="S3489" s="9"/>
      <c r="T3489" s="9"/>
    </row>
    <row r="3490" ht="15.75" customHeight="1">
      <c r="A3490" s="11">
        <f>IFERROR(__xludf.DUMMYFUNCTION("""COMPUTED_VALUE"""),44471.0)</f>
        <v>44471</v>
      </c>
      <c r="B3490" s="9">
        <f>IFERROR(__xludf.DUMMYFUNCTION("""COMPUTED_VALUE"""),1003791.0)</f>
        <v>1003791</v>
      </c>
      <c r="C3490" s="9">
        <f>IFERROR(__xludf.DUMMYFUNCTION("""COMPUTED_VALUE"""),115761.0)</f>
        <v>115761</v>
      </c>
      <c r="D3490" s="9"/>
      <c r="E3490" s="9"/>
      <c r="F3490" s="9">
        <f>IFERROR(__xludf.DUMMYFUNCTION("""COMPUTED_VALUE"""),5.22)</f>
        <v>5.22</v>
      </c>
      <c r="G3490" s="9">
        <f>IFERROR(__xludf.DUMMYFUNCTION("""COMPUTED_VALUE"""),5.22)</f>
        <v>5.22</v>
      </c>
      <c r="H3490" s="9">
        <f>IFERROR(__xludf.DUMMYFUNCTION("""COMPUTED_VALUE"""),4.0)</f>
        <v>4</v>
      </c>
      <c r="I3490" s="9"/>
      <c r="J3490" s="9"/>
      <c r="K3490" s="9"/>
      <c r="L3490" s="9"/>
      <c r="M3490" s="9"/>
      <c r="N3490" s="9"/>
      <c r="O3490" s="9"/>
      <c r="P3490" s="9"/>
      <c r="Q3490" s="9"/>
      <c r="R3490" s="9"/>
      <c r="S3490" s="9"/>
      <c r="T3490" s="9"/>
    </row>
    <row r="3491" ht="15.75" customHeight="1">
      <c r="A3491" s="11">
        <f>IFERROR(__xludf.DUMMYFUNCTION("""COMPUTED_VALUE"""),44471.0)</f>
        <v>44471</v>
      </c>
      <c r="B3491" s="9">
        <f>IFERROR(__xludf.DUMMYFUNCTION("""COMPUTED_VALUE"""),1003791.0)</f>
        <v>1003791</v>
      </c>
      <c r="C3491" s="9">
        <f>IFERROR(__xludf.DUMMYFUNCTION("""COMPUTED_VALUE"""),118889.0)</f>
        <v>118889</v>
      </c>
      <c r="D3491" s="9"/>
      <c r="E3491" s="9"/>
      <c r="F3491" s="9">
        <f>IFERROR(__xludf.DUMMYFUNCTION("""COMPUTED_VALUE"""),9.71)</f>
        <v>9.71</v>
      </c>
      <c r="G3491" s="9">
        <f>IFERROR(__xludf.DUMMYFUNCTION("""COMPUTED_VALUE"""),9.71)</f>
        <v>9.71</v>
      </c>
      <c r="H3491" s="9">
        <f>IFERROR(__xludf.DUMMYFUNCTION("""COMPUTED_VALUE"""),4.0)</f>
        <v>4</v>
      </c>
      <c r="I3491" s="9"/>
      <c r="J3491" s="9"/>
      <c r="K3491" s="9"/>
      <c r="L3491" s="9"/>
      <c r="M3491" s="9"/>
      <c r="N3491" s="9"/>
      <c r="O3491" s="9"/>
      <c r="P3491" s="9"/>
      <c r="Q3491" s="9"/>
      <c r="R3491" s="9"/>
      <c r="S3491" s="9"/>
      <c r="T3491" s="9"/>
    </row>
    <row r="3492" ht="15.75" customHeight="1">
      <c r="A3492" s="11">
        <f>IFERROR(__xludf.DUMMYFUNCTION("""COMPUTED_VALUE"""),44471.0)</f>
        <v>44471</v>
      </c>
      <c r="B3492" s="9">
        <f>IFERROR(__xludf.DUMMYFUNCTION("""COMPUTED_VALUE"""),1003792.0)</f>
        <v>1003792</v>
      </c>
      <c r="C3492" s="9">
        <f>IFERROR(__xludf.DUMMYFUNCTION("""COMPUTED_VALUE"""),9519.0)</f>
        <v>9519</v>
      </c>
      <c r="D3492" s="9"/>
      <c r="E3492" s="9"/>
      <c r="F3492" s="9">
        <f>IFERROR(__xludf.DUMMYFUNCTION("""COMPUTED_VALUE"""),43.91)</f>
        <v>43.91</v>
      </c>
      <c r="G3492" s="9">
        <f>IFERROR(__xludf.DUMMYFUNCTION("""COMPUTED_VALUE"""),43.91)</f>
        <v>43.91</v>
      </c>
      <c r="H3492" s="9">
        <f>IFERROR(__xludf.DUMMYFUNCTION("""COMPUTED_VALUE"""),3.0)</f>
        <v>3</v>
      </c>
      <c r="I3492" s="9"/>
      <c r="J3492" s="9"/>
      <c r="K3492" s="9"/>
      <c r="L3492" s="9"/>
      <c r="M3492" s="9"/>
      <c r="N3492" s="9"/>
      <c r="O3492" s="9"/>
      <c r="P3492" s="9"/>
      <c r="Q3492" s="9"/>
      <c r="R3492" s="9"/>
      <c r="S3492" s="9"/>
      <c r="T3492" s="9"/>
    </row>
    <row r="3493" ht="15.75" customHeight="1">
      <c r="A3493" s="11">
        <f>IFERROR(__xludf.DUMMYFUNCTION("""COMPUTED_VALUE"""),44471.0)</f>
        <v>44471</v>
      </c>
      <c r="B3493" s="9">
        <f>IFERROR(__xludf.DUMMYFUNCTION("""COMPUTED_VALUE"""),1003792.0)</f>
        <v>1003792</v>
      </c>
      <c r="C3493" s="9">
        <f>IFERROR(__xludf.DUMMYFUNCTION("""COMPUTED_VALUE"""),13348.0)</f>
        <v>13348</v>
      </c>
      <c r="D3493" s="9"/>
      <c r="E3493" s="9"/>
      <c r="F3493" s="9">
        <f>IFERROR(__xludf.DUMMYFUNCTION("""COMPUTED_VALUE"""),7.75)</f>
        <v>7.75</v>
      </c>
      <c r="G3493" s="9">
        <f>IFERROR(__xludf.DUMMYFUNCTION("""COMPUTED_VALUE"""),7.75)</f>
        <v>7.75</v>
      </c>
      <c r="H3493" s="9">
        <f>IFERROR(__xludf.DUMMYFUNCTION("""COMPUTED_VALUE"""),4.0)</f>
        <v>4</v>
      </c>
      <c r="I3493" s="9"/>
      <c r="J3493" s="9"/>
      <c r="K3493" s="9"/>
      <c r="L3493" s="9"/>
      <c r="M3493" s="9"/>
      <c r="N3493" s="9"/>
      <c r="O3493" s="9"/>
      <c r="P3493" s="9"/>
      <c r="Q3493" s="9"/>
      <c r="R3493" s="9"/>
      <c r="S3493" s="9"/>
      <c r="T3493" s="9"/>
    </row>
    <row r="3494" ht="15.75" customHeight="1">
      <c r="A3494" s="11">
        <f>IFERROR(__xludf.DUMMYFUNCTION("""COMPUTED_VALUE"""),44471.0)</f>
        <v>44471</v>
      </c>
      <c r="B3494" s="9">
        <f>IFERROR(__xludf.DUMMYFUNCTION("""COMPUTED_VALUE"""),1003792.0)</f>
        <v>1003792</v>
      </c>
      <c r="C3494" s="9">
        <f>IFERROR(__xludf.DUMMYFUNCTION("""COMPUTED_VALUE"""),118156.0)</f>
        <v>118156</v>
      </c>
      <c r="D3494" s="9"/>
      <c r="E3494" s="9"/>
      <c r="F3494" s="9">
        <f>IFERROR(__xludf.DUMMYFUNCTION("""COMPUTED_VALUE"""),9.47)</f>
        <v>9.47</v>
      </c>
      <c r="G3494" s="9">
        <f>IFERROR(__xludf.DUMMYFUNCTION("""COMPUTED_VALUE"""),9.47)</f>
        <v>9.47</v>
      </c>
      <c r="H3494" s="9">
        <f>IFERROR(__xludf.DUMMYFUNCTION("""COMPUTED_VALUE"""),4.0)</f>
        <v>4</v>
      </c>
      <c r="I3494" s="9"/>
      <c r="J3494" s="9"/>
      <c r="K3494" s="9"/>
      <c r="L3494" s="9"/>
      <c r="M3494" s="9"/>
      <c r="N3494" s="9"/>
      <c r="O3494" s="9"/>
      <c r="P3494" s="9"/>
      <c r="Q3494" s="9"/>
      <c r="R3494" s="9"/>
      <c r="S3494" s="9"/>
      <c r="T3494" s="9"/>
    </row>
    <row r="3495" ht="15.75" customHeight="1">
      <c r="A3495" s="11">
        <f>IFERROR(__xludf.DUMMYFUNCTION("""COMPUTED_VALUE"""),44471.0)</f>
        <v>44471</v>
      </c>
      <c r="B3495" s="9">
        <f>IFERROR(__xludf.DUMMYFUNCTION("""COMPUTED_VALUE"""),1003792.0)</f>
        <v>1003792</v>
      </c>
      <c r="C3495" s="9">
        <f>IFERROR(__xludf.DUMMYFUNCTION("""COMPUTED_VALUE"""),10048.0)</f>
        <v>10048</v>
      </c>
      <c r="D3495" s="9"/>
      <c r="E3495" s="9"/>
      <c r="F3495" s="9">
        <f>IFERROR(__xludf.DUMMYFUNCTION("""COMPUTED_VALUE"""),26.29)</f>
        <v>26.29</v>
      </c>
      <c r="G3495" s="9">
        <f>IFERROR(__xludf.DUMMYFUNCTION("""COMPUTED_VALUE"""),26.29)</f>
        <v>26.29</v>
      </c>
      <c r="H3495" s="9">
        <f>IFERROR(__xludf.DUMMYFUNCTION("""COMPUTED_VALUE"""),5.0)</f>
        <v>5</v>
      </c>
      <c r="I3495" s="9"/>
      <c r="J3495" s="9"/>
      <c r="K3495" s="9"/>
      <c r="L3495" s="9"/>
      <c r="M3495" s="9"/>
      <c r="N3495" s="9"/>
      <c r="O3495" s="9"/>
      <c r="P3495" s="9"/>
      <c r="Q3495" s="9"/>
      <c r="R3495" s="9"/>
      <c r="S3495" s="9"/>
      <c r="T3495" s="9"/>
    </row>
    <row r="3496" ht="15.75" customHeight="1">
      <c r="A3496" s="11">
        <f>IFERROR(__xludf.DUMMYFUNCTION("""COMPUTED_VALUE"""),44471.0)</f>
        <v>44471</v>
      </c>
      <c r="B3496" s="9">
        <f>IFERROR(__xludf.DUMMYFUNCTION("""COMPUTED_VALUE"""),1003792.0)</f>
        <v>1003792</v>
      </c>
      <c r="C3496" s="9">
        <f>IFERROR(__xludf.DUMMYFUNCTION("""COMPUTED_VALUE"""),118262.0)</f>
        <v>118262</v>
      </c>
      <c r="D3496" s="9"/>
      <c r="E3496" s="9"/>
      <c r="F3496" s="9">
        <f>IFERROR(__xludf.DUMMYFUNCTION("""COMPUTED_VALUE"""),36.59)</f>
        <v>36.59</v>
      </c>
      <c r="G3496" s="9">
        <f>IFERROR(__xludf.DUMMYFUNCTION("""COMPUTED_VALUE"""),36.59)</f>
        <v>36.59</v>
      </c>
      <c r="H3496" s="9">
        <f>IFERROR(__xludf.DUMMYFUNCTION("""COMPUTED_VALUE"""),6.0)</f>
        <v>6</v>
      </c>
      <c r="I3496" s="9"/>
      <c r="J3496" s="9"/>
      <c r="K3496" s="9"/>
      <c r="L3496" s="9"/>
      <c r="M3496" s="9"/>
      <c r="N3496" s="9"/>
      <c r="O3496" s="9"/>
      <c r="P3496" s="9"/>
      <c r="Q3496" s="9"/>
      <c r="R3496" s="9"/>
      <c r="S3496" s="9"/>
      <c r="T3496" s="9"/>
    </row>
    <row r="3497" ht="15.75" customHeight="1">
      <c r="A3497" s="11">
        <f>IFERROR(__xludf.DUMMYFUNCTION("""COMPUTED_VALUE"""),44471.0)</f>
        <v>44471</v>
      </c>
      <c r="B3497" s="9">
        <f>IFERROR(__xludf.DUMMYFUNCTION("""COMPUTED_VALUE"""),1003792.0)</f>
        <v>1003792</v>
      </c>
      <c r="C3497" s="9">
        <f>IFERROR(__xludf.DUMMYFUNCTION("""COMPUTED_VALUE"""),16645.0)</f>
        <v>16645</v>
      </c>
      <c r="D3497" s="9"/>
      <c r="E3497" s="9"/>
      <c r="F3497" s="9">
        <f>IFERROR(__xludf.DUMMYFUNCTION("""COMPUTED_VALUE"""),56.11)</f>
        <v>56.11</v>
      </c>
      <c r="G3497" s="9">
        <f>IFERROR(__xludf.DUMMYFUNCTION("""COMPUTED_VALUE"""),56.11)</f>
        <v>56.11</v>
      </c>
      <c r="H3497" s="9">
        <f>IFERROR(__xludf.DUMMYFUNCTION("""COMPUTED_VALUE"""),24.0)</f>
        <v>24</v>
      </c>
      <c r="I3497" s="9"/>
      <c r="J3497" s="9"/>
      <c r="K3497" s="9"/>
      <c r="L3497" s="9"/>
      <c r="M3497" s="9"/>
      <c r="N3497" s="9"/>
      <c r="O3497" s="9"/>
      <c r="P3497" s="9"/>
      <c r="Q3497" s="9"/>
      <c r="R3497" s="9"/>
      <c r="S3497" s="9"/>
      <c r="T3497" s="9"/>
    </row>
    <row r="3498" ht="15.75" customHeight="1">
      <c r="A3498" s="11">
        <f>IFERROR(__xludf.DUMMYFUNCTION("""COMPUTED_VALUE"""),44471.0)</f>
        <v>44471</v>
      </c>
      <c r="B3498" s="9">
        <f>IFERROR(__xludf.DUMMYFUNCTION("""COMPUTED_VALUE"""),1003793.0)</f>
        <v>1003793</v>
      </c>
      <c r="C3498" s="9">
        <f>IFERROR(__xludf.DUMMYFUNCTION("""COMPUTED_VALUE"""),78506.0)</f>
        <v>78506</v>
      </c>
      <c r="D3498" s="10" t="str">
        <f>IFERROR(__xludf.DUMMYFUNCTION("""COMPUTED_VALUE"""),"Offre speciale")</f>
        <v>Offre speciale</v>
      </c>
      <c r="E3498" s="10" t="str">
        <f>IFERROR(__xludf.DUMMYFUNCTION("""COMPUTED_VALUE"""),"WEEZCLUB")</f>
        <v>WEEZCLUB</v>
      </c>
      <c r="F3498" s="10">
        <f>IFERROR(__xludf.DUMMYFUNCTION("""COMPUTED_VALUE"""),18.3870967741935)</f>
        <v>18.38709677</v>
      </c>
      <c r="G3498" s="9">
        <f>IFERROR(__xludf.DUMMYFUNCTION("""COMPUTED_VALUE"""),17.1)</f>
        <v>17.1</v>
      </c>
      <c r="H3498" s="9">
        <f>IFERROR(__xludf.DUMMYFUNCTION("""COMPUTED_VALUE"""),2.0)</f>
        <v>2</v>
      </c>
      <c r="I3498" s="9"/>
      <c r="J3498" s="9"/>
      <c r="K3498" s="9"/>
      <c r="L3498" s="9"/>
      <c r="M3498" s="9"/>
      <c r="N3498" s="9"/>
      <c r="O3498" s="9"/>
      <c r="P3498" s="9"/>
      <c r="Q3498" s="9"/>
      <c r="R3498" s="9"/>
      <c r="S3498" s="9"/>
      <c r="T3498" s="9"/>
    </row>
    <row r="3499" ht="15.75" customHeight="1">
      <c r="A3499" s="11">
        <f>IFERROR(__xludf.DUMMYFUNCTION("""COMPUTED_VALUE"""),44471.0)</f>
        <v>44471</v>
      </c>
      <c r="B3499" s="9">
        <f>IFERROR(__xludf.DUMMYFUNCTION("""COMPUTED_VALUE"""),1003793.0)</f>
        <v>1003793</v>
      </c>
      <c r="C3499" s="9">
        <f>IFERROR(__xludf.DUMMYFUNCTION("""COMPUTED_VALUE"""),89981.0)</f>
        <v>89981</v>
      </c>
      <c r="D3499" s="10" t="str">
        <f>IFERROR(__xludf.DUMMYFUNCTION("""COMPUTED_VALUE"""),"Offre speciale")</f>
        <v>Offre speciale</v>
      </c>
      <c r="E3499" s="10" t="str">
        <f>IFERROR(__xludf.DUMMYFUNCTION("""COMPUTED_VALUE"""),"WEEZCLUB")</f>
        <v>WEEZCLUB</v>
      </c>
      <c r="F3499" s="10">
        <f>IFERROR(__xludf.DUMMYFUNCTION("""COMPUTED_VALUE"""),25.7058823529411)</f>
        <v>25.70588235</v>
      </c>
      <c r="G3499" s="9">
        <f>IFERROR(__xludf.DUMMYFUNCTION("""COMPUTED_VALUE"""),21.85)</f>
        <v>21.85</v>
      </c>
      <c r="H3499" s="9">
        <f>IFERROR(__xludf.DUMMYFUNCTION("""COMPUTED_VALUE"""),4.0)</f>
        <v>4</v>
      </c>
      <c r="I3499" s="9"/>
      <c r="J3499" s="9"/>
      <c r="K3499" s="9"/>
      <c r="L3499" s="9"/>
      <c r="M3499" s="9"/>
      <c r="N3499" s="9"/>
      <c r="O3499" s="9"/>
      <c r="P3499" s="9"/>
      <c r="Q3499" s="9"/>
      <c r="R3499" s="9"/>
      <c r="S3499" s="9"/>
      <c r="T3499" s="9"/>
    </row>
    <row r="3500" ht="15.75" customHeight="1">
      <c r="A3500" s="11">
        <f>IFERROR(__xludf.DUMMYFUNCTION("""COMPUTED_VALUE"""),44471.0)</f>
        <v>44471</v>
      </c>
      <c r="B3500" s="9">
        <f>IFERROR(__xludf.DUMMYFUNCTION("""COMPUTED_VALUE"""),1003793.0)</f>
        <v>1003793</v>
      </c>
      <c r="C3500" s="9">
        <f>IFERROR(__xludf.DUMMYFUNCTION("""COMPUTED_VALUE"""),113960.0)</f>
        <v>113960</v>
      </c>
      <c r="D3500" s="9"/>
      <c r="E3500" s="10" t="str">
        <f>IFERROR(__xludf.DUMMYFUNCTION("""COMPUTED_VALUE"""),"WEEZCLUB")</f>
        <v>WEEZCLUB</v>
      </c>
      <c r="F3500" s="10">
        <f>IFERROR(__xludf.DUMMYFUNCTION("""COMPUTED_VALUE"""),10.64)</f>
        <v>10.64</v>
      </c>
      <c r="G3500" s="9">
        <f>IFERROR(__xludf.DUMMYFUNCTION("""COMPUTED_VALUE"""),10.64)</f>
        <v>10.64</v>
      </c>
      <c r="H3500" s="9">
        <f>IFERROR(__xludf.DUMMYFUNCTION("""COMPUTED_VALUE"""),5.0)</f>
        <v>5</v>
      </c>
      <c r="I3500" s="9"/>
      <c r="J3500" s="9"/>
      <c r="K3500" s="9"/>
      <c r="L3500" s="9"/>
      <c r="M3500" s="9"/>
      <c r="N3500" s="9"/>
      <c r="O3500" s="9"/>
      <c r="P3500" s="9"/>
      <c r="Q3500" s="9"/>
      <c r="R3500" s="9"/>
      <c r="S3500" s="9"/>
      <c r="T3500" s="9"/>
    </row>
    <row r="3501" ht="15.75" customHeight="1">
      <c r="A3501" s="11">
        <f>IFERROR(__xludf.DUMMYFUNCTION("""COMPUTED_VALUE"""),44471.0)</f>
        <v>44471</v>
      </c>
      <c r="B3501" s="9">
        <f>IFERROR(__xludf.DUMMYFUNCTION("""COMPUTED_VALUE"""),1003793.0)</f>
        <v>1003793</v>
      </c>
      <c r="C3501" s="9">
        <f>IFERROR(__xludf.DUMMYFUNCTION("""COMPUTED_VALUE"""),8697.0)</f>
        <v>8697</v>
      </c>
      <c r="D3501" s="10" t="str">
        <f>IFERROR(__xludf.DUMMYFUNCTION("""COMPUTED_VALUE"""),"Offre speciale")</f>
        <v>Offre speciale</v>
      </c>
      <c r="E3501" s="10" t="str">
        <f>IFERROR(__xludf.DUMMYFUNCTION("""COMPUTED_VALUE"""),"WEEZCLUB")</f>
        <v>WEEZCLUB</v>
      </c>
      <c r="F3501" s="10">
        <f>IFERROR(__xludf.DUMMYFUNCTION("""COMPUTED_VALUE"""),13.2117647058823)</f>
        <v>13.21176471</v>
      </c>
      <c r="G3501" s="9">
        <f>IFERROR(__xludf.DUMMYFUNCTION("""COMPUTED_VALUE"""),11.23)</f>
        <v>11.23</v>
      </c>
      <c r="H3501" s="9">
        <f>IFERROR(__xludf.DUMMYFUNCTION("""COMPUTED_VALUE"""),6.0)</f>
        <v>6</v>
      </c>
      <c r="I3501" s="9"/>
      <c r="J3501" s="9"/>
      <c r="K3501" s="9"/>
      <c r="L3501" s="9"/>
      <c r="M3501" s="9"/>
      <c r="N3501" s="9"/>
      <c r="O3501" s="9"/>
      <c r="P3501" s="9"/>
      <c r="Q3501" s="9"/>
      <c r="R3501" s="9"/>
      <c r="S3501" s="9"/>
      <c r="T3501" s="9"/>
    </row>
    <row r="3502" ht="15.75" customHeight="1">
      <c r="A3502" s="11">
        <f>IFERROR(__xludf.DUMMYFUNCTION("""COMPUTED_VALUE"""),44471.0)</f>
        <v>44471</v>
      </c>
      <c r="B3502" s="9">
        <f>IFERROR(__xludf.DUMMYFUNCTION("""COMPUTED_VALUE"""),1003793.0)</f>
        <v>1003793</v>
      </c>
      <c r="C3502" s="9">
        <f>IFERROR(__xludf.DUMMYFUNCTION("""COMPUTED_VALUE"""),106109.0)</f>
        <v>106109</v>
      </c>
      <c r="D3502" s="10" t="str">
        <f>IFERROR(__xludf.DUMMYFUNCTION("""COMPUTED_VALUE"""),"Vive le bio")</f>
        <v>Vive le bio</v>
      </c>
      <c r="E3502" s="10" t="str">
        <f>IFERROR(__xludf.DUMMYFUNCTION("""COMPUTED_VALUE"""),"WEEZCLUB")</f>
        <v>WEEZCLUB</v>
      </c>
      <c r="F3502" s="10">
        <f>IFERROR(__xludf.DUMMYFUNCTION("""COMPUTED_VALUE"""),86.7555555555555)</f>
        <v>86.75555556</v>
      </c>
      <c r="G3502" s="9">
        <f>IFERROR(__xludf.DUMMYFUNCTION("""COMPUTED_VALUE"""),78.08)</f>
        <v>78.08</v>
      </c>
      <c r="H3502" s="9">
        <f>IFERROR(__xludf.DUMMYFUNCTION("""COMPUTED_VALUE"""),8.0)</f>
        <v>8</v>
      </c>
      <c r="I3502" s="9"/>
      <c r="J3502" s="9"/>
      <c r="K3502" s="9"/>
      <c r="L3502" s="9"/>
      <c r="M3502" s="9"/>
      <c r="N3502" s="9"/>
      <c r="O3502" s="9"/>
      <c r="P3502" s="9"/>
      <c r="Q3502" s="9"/>
      <c r="R3502" s="9"/>
      <c r="S3502" s="9"/>
      <c r="T3502" s="9"/>
    </row>
    <row r="3503" ht="15.75" customHeight="1">
      <c r="A3503" s="11">
        <f>IFERROR(__xludf.DUMMYFUNCTION("""COMPUTED_VALUE"""),44471.0)</f>
        <v>44471</v>
      </c>
      <c r="B3503" s="9">
        <f>IFERROR(__xludf.DUMMYFUNCTION("""COMPUTED_VALUE"""),1003793.0)</f>
        <v>1003793</v>
      </c>
      <c r="C3503" s="9">
        <f>IFERROR(__xludf.DUMMYFUNCTION("""COMPUTED_VALUE"""),77293.0)</f>
        <v>77293</v>
      </c>
      <c r="D3503" s="10" t="str">
        <f>IFERROR(__xludf.DUMMYFUNCTION("""COMPUTED_VALUE"""),"Offre speciale")</f>
        <v>Offre speciale</v>
      </c>
      <c r="E3503" s="10" t="str">
        <f>IFERROR(__xludf.DUMMYFUNCTION("""COMPUTED_VALUE"""),"WEEZCLUB")</f>
        <v>WEEZCLUB</v>
      </c>
      <c r="F3503" s="10">
        <f>IFERROR(__xludf.DUMMYFUNCTION("""COMPUTED_VALUE"""),36.2117647058823)</f>
        <v>36.21176471</v>
      </c>
      <c r="G3503" s="9">
        <f>IFERROR(__xludf.DUMMYFUNCTION("""COMPUTED_VALUE"""),30.78)</f>
        <v>30.78</v>
      </c>
      <c r="H3503" s="9">
        <f>IFERROR(__xludf.DUMMYFUNCTION("""COMPUTED_VALUE"""),10.0)</f>
        <v>10</v>
      </c>
      <c r="I3503" s="9"/>
      <c r="J3503" s="9"/>
      <c r="K3503" s="9"/>
      <c r="L3503" s="9"/>
      <c r="M3503" s="9"/>
      <c r="N3503" s="9"/>
      <c r="O3503" s="9"/>
      <c r="P3503" s="9"/>
      <c r="Q3503" s="9"/>
      <c r="R3503" s="9"/>
      <c r="S3503" s="9"/>
      <c r="T3503" s="9"/>
    </row>
    <row r="3504" ht="15.75" customHeight="1">
      <c r="A3504" s="11">
        <f>IFERROR(__xludf.DUMMYFUNCTION("""COMPUTED_VALUE"""),44471.0)</f>
        <v>44471</v>
      </c>
      <c r="B3504" s="9">
        <f>IFERROR(__xludf.DUMMYFUNCTION("""COMPUTED_VALUE"""),1003793.0)</f>
        <v>1003793</v>
      </c>
      <c r="C3504" s="9">
        <f>IFERROR(__xludf.DUMMYFUNCTION("""COMPUTED_VALUE"""),77295.0)</f>
        <v>77295</v>
      </c>
      <c r="D3504" s="10" t="str">
        <f>IFERROR(__xludf.DUMMYFUNCTION("""COMPUTED_VALUE"""),"Vive le bio")</f>
        <v>Vive le bio</v>
      </c>
      <c r="E3504" s="10" t="str">
        <f>IFERROR(__xludf.DUMMYFUNCTION("""COMPUTED_VALUE"""),"WEEZCLUB")</f>
        <v>WEEZCLUB</v>
      </c>
      <c r="F3504" s="10">
        <f>IFERROR(__xludf.DUMMYFUNCTION("""COMPUTED_VALUE"""),39.0666666666666)</f>
        <v>39.06666667</v>
      </c>
      <c r="G3504" s="9">
        <f>IFERROR(__xludf.DUMMYFUNCTION("""COMPUTED_VALUE"""),35.16)</f>
        <v>35.16</v>
      </c>
      <c r="H3504" s="9">
        <f>IFERROR(__xludf.DUMMYFUNCTION("""COMPUTED_VALUE"""),10.0)</f>
        <v>10</v>
      </c>
      <c r="I3504" s="9"/>
      <c r="J3504" s="9"/>
      <c r="K3504" s="9"/>
      <c r="L3504" s="9"/>
      <c r="M3504" s="9"/>
      <c r="N3504" s="9"/>
      <c r="O3504" s="9"/>
      <c r="P3504" s="9"/>
      <c r="Q3504" s="9"/>
      <c r="R3504" s="9"/>
      <c r="S3504" s="9"/>
      <c r="T3504" s="9"/>
    </row>
    <row r="3505" ht="15.75" customHeight="1">
      <c r="A3505" s="11">
        <f>IFERROR(__xludf.DUMMYFUNCTION("""COMPUTED_VALUE"""),44471.0)</f>
        <v>44471</v>
      </c>
      <c r="B3505" s="9">
        <f>IFERROR(__xludf.DUMMYFUNCTION("""COMPUTED_VALUE"""),1003793.0)</f>
        <v>1003793</v>
      </c>
      <c r="C3505" s="9">
        <f>IFERROR(__xludf.DUMMYFUNCTION("""COMPUTED_VALUE"""),78516.0)</f>
        <v>78516</v>
      </c>
      <c r="D3505" s="10" t="str">
        <f>IFERROR(__xludf.DUMMYFUNCTION("""COMPUTED_VALUE"""),"DLC courtes")</f>
        <v>DLC courtes</v>
      </c>
      <c r="E3505" s="10" t="str">
        <f>IFERROR(__xludf.DUMMYFUNCTION("""COMPUTED_VALUE"""),"WEEZCLUB")</f>
        <v>WEEZCLUB</v>
      </c>
      <c r="F3505" s="10">
        <f>IFERROR(__xludf.DUMMYFUNCTION("""COMPUTED_VALUE"""),33.8428571428571)</f>
        <v>33.84285714</v>
      </c>
      <c r="G3505" s="9">
        <f>IFERROR(__xludf.DUMMYFUNCTION("""COMPUTED_VALUE"""),23.69)</f>
        <v>23.69</v>
      </c>
      <c r="H3505" s="9">
        <f>IFERROR(__xludf.DUMMYFUNCTION("""COMPUTED_VALUE"""),10.0)</f>
        <v>10</v>
      </c>
      <c r="I3505" s="9"/>
      <c r="J3505" s="9"/>
      <c r="K3505" s="9"/>
      <c r="L3505" s="9"/>
      <c r="M3505" s="9"/>
      <c r="N3505" s="9"/>
      <c r="O3505" s="9"/>
      <c r="P3505" s="9"/>
      <c r="Q3505" s="9"/>
      <c r="R3505" s="9"/>
      <c r="S3505" s="9"/>
      <c r="T3505" s="9"/>
    </row>
    <row r="3506" ht="15.75" customHeight="1">
      <c r="A3506" s="11">
        <f>IFERROR(__xludf.DUMMYFUNCTION("""COMPUTED_VALUE"""),44471.0)</f>
        <v>44471</v>
      </c>
      <c r="B3506" s="9">
        <f>IFERROR(__xludf.DUMMYFUNCTION("""COMPUTED_VALUE"""),1003793.0)</f>
        <v>1003793</v>
      </c>
      <c r="C3506" s="9">
        <f>IFERROR(__xludf.DUMMYFUNCTION("""COMPUTED_VALUE"""),75156.0)</f>
        <v>75156</v>
      </c>
      <c r="D3506" s="10" t="str">
        <f>IFERROR(__xludf.DUMMYFUNCTION("""COMPUTED_VALUE"""),"Offre speciale")</f>
        <v>Offre speciale</v>
      </c>
      <c r="E3506" s="10" t="str">
        <f>IFERROR(__xludf.DUMMYFUNCTION("""COMPUTED_VALUE"""),"WEEZCLUB")</f>
        <v>WEEZCLUB</v>
      </c>
      <c r="F3506" s="10">
        <f>IFERROR(__xludf.DUMMYFUNCTION("""COMPUTED_VALUE"""),24.1749999999999)</f>
        <v>24.175</v>
      </c>
      <c r="G3506" s="9">
        <f>IFERROR(__xludf.DUMMYFUNCTION("""COMPUTED_VALUE"""),19.34)</f>
        <v>19.34</v>
      </c>
      <c r="H3506" s="9">
        <f>IFERROR(__xludf.DUMMYFUNCTION("""COMPUTED_VALUE"""),10.0)</f>
        <v>10</v>
      </c>
      <c r="I3506" s="9"/>
      <c r="J3506" s="9"/>
      <c r="K3506" s="9"/>
      <c r="L3506" s="9"/>
      <c r="M3506" s="9"/>
      <c r="N3506" s="9"/>
      <c r="O3506" s="9"/>
      <c r="P3506" s="9"/>
      <c r="Q3506" s="9"/>
      <c r="R3506" s="9"/>
      <c r="S3506" s="9"/>
      <c r="T3506" s="9"/>
    </row>
    <row r="3507" ht="15.75" customHeight="1">
      <c r="A3507" s="11">
        <f>IFERROR(__xludf.DUMMYFUNCTION("""COMPUTED_VALUE"""),44471.0)</f>
        <v>44471</v>
      </c>
      <c r="B3507" s="9">
        <f>IFERROR(__xludf.DUMMYFUNCTION("""COMPUTED_VALUE"""),1003794.0)</f>
        <v>1003794</v>
      </c>
      <c r="C3507" s="9">
        <f>IFERROR(__xludf.DUMMYFUNCTION("""COMPUTED_VALUE"""),188853.0)</f>
        <v>188853</v>
      </c>
      <c r="D3507" s="9"/>
      <c r="E3507" s="9"/>
      <c r="F3507" s="9">
        <f>IFERROR(__xludf.DUMMYFUNCTION("""COMPUTED_VALUE"""),12.04)</f>
        <v>12.04</v>
      </c>
      <c r="G3507" s="9">
        <f>IFERROR(__xludf.DUMMYFUNCTION("""COMPUTED_VALUE"""),12.04)</f>
        <v>12.04</v>
      </c>
      <c r="H3507" s="9">
        <f>IFERROR(__xludf.DUMMYFUNCTION("""COMPUTED_VALUE"""),1.0)</f>
        <v>1</v>
      </c>
      <c r="I3507" s="9"/>
      <c r="J3507" s="9"/>
      <c r="K3507" s="9"/>
      <c r="L3507" s="9"/>
      <c r="M3507" s="9"/>
      <c r="N3507" s="9"/>
      <c r="O3507" s="9"/>
      <c r="P3507" s="9"/>
      <c r="Q3507" s="9"/>
      <c r="R3507" s="9"/>
      <c r="S3507" s="9"/>
      <c r="T3507" s="9"/>
    </row>
    <row r="3508" ht="15.75" customHeight="1">
      <c r="A3508" s="11">
        <f>IFERROR(__xludf.DUMMYFUNCTION("""COMPUTED_VALUE"""),44471.0)</f>
        <v>44471</v>
      </c>
      <c r="B3508" s="9">
        <f>IFERROR(__xludf.DUMMYFUNCTION("""COMPUTED_VALUE"""),1003794.0)</f>
        <v>1003794</v>
      </c>
      <c r="C3508" s="9">
        <f>IFERROR(__xludf.DUMMYFUNCTION("""COMPUTED_VALUE"""),117169.0)</f>
        <v>117169</v>
      </c>
      <c r="D3508" s="9"/>
      <c r="E3508" s="9"/>
      <c r="F3508" s="9">
        <f>IFERROR(__xludf.DUMMYFUNCTION("""COMPUTED_VALUE"""),8.89)</f>
        <v>8.89</v>
      </c>
      <c r="G3508" s="9">
        <f>IFERROR(__xludf.DUMMYFUNCTION("""COMPUTED_VALUE"""),8.89)</f>
        <v>8.89</v>
      </c>
      <c r="H3508" s="9">
        <f>IFERROR(__xludf.DUMMYFUNCTION("""COMPUTED_VALUE"""),1.0)</f>
        <v>1</v>
      </c>
      <c r="I3508" s="9"/>
      <c r="J3508" s="9"/>
      <c r="K3508" s="9"/>
      <c r="L3508" s="9"/>
      <c r="M3508" s="9"/>
      <c r="N3508" s="9"/>
      <c r="O3508" s="9"/>
      <c r="P3508" s="9"/>
      <c r="Q3508" s="9"/>
      <c r="R3508" s="9"/>
      <c r="S3508" s="9"/>
      <c r="T3508" s="9"/>
    </row>
    <row r="3509" ht="15.75" customHeight="1">
      <c r="A3509" s="11">
        <f>IFERROR(__xludf.DUMMYFUNCTION("""COMPUTED_VALUE"""),44471.0)</f>
        <v>44471</v>
      </c>
      <c r="B3509" s="9">
        <f>IFERROR(__xludf.DUMMYFUNCTION("""COMPUTED_VALUE"""),1003794.0)</f>
        <v>1003794</v>
      </c>
      <c r="C3509" s="9">
        <f>IFERROR(__xludf.DUMMYFUNCTION("""COMPUTED_VALUE"""),92045.0)</f>
        <v>92045</v>
      </c>
      <c r="D3509" s="9"/>
      <c r="E3509" s="9"/>
      <c r="F3509" s="9">
        <f>IFERROR(__xludf.DUMMYFUNCTION("""COMPUTED_VALUE"""),2.54)</f>
        <v>2.54</v>
      </c>
      <c r="G3509" s="9">
        <f>IFERROR(__xludf.DUMMYFUNCTION("""COMPUTED_VALUE"""),2.54)</f>
        <v>2.54</v>
      </c>
      <c r="H3509" s="9">
        <f>IFERROR(__xludf.DUMMYFUNCTION("""COMPUTED_VALUE"""),1.0)</f>
        <v>1</v>
      </c>
      <c r="I3509" s="9"/>
      <c r="J3509" s="9"/>
      <c r="K3509" s="9"/>
      <c r="L3509" s="9"/>
      <c r="M3509" s="9"/>
      <c r="N3509" s="9"/>
      <c r="O3509" s="9"/>
      <c r="P3509" s="9"/>
      <c r="Q3509" s="9"/>
      <c r="R3509" s="9"/>
      <c r="S3509" s="9"/>
      <c r="T3509" s="9"/>
    </row>
    <row r="3510" ht="15.75" customHeight="1">
      <c r="A3510" s="11">
        <f>IFERROR(__xludf.DUMMYFUNCTION("""COMPUTED_VALUE"""),44471.0)</f>
        <v>44471</v>
      </c>
      <c r="B3510" s="9">
        <f>IFERROR(__xludf.DUMMYFUNCTION("""COMPUTED_VALUE"""),1003794.0)</f>
        <v>1003794</v>
      </c>
      <c r="C3510" s="9">
        <f>IFERROR(__xludf.DUMMYFUNCTION("""COMPUTED_VALUE"""),118569.0)</f>
        <v>118569</v>
      </c>
      <c r="D3510" s="9"/>
      <c r="E3510" s="9"/>
      <c r="F3510" s="9">
        <f>IFERROR(__xludf.DUMMYFUNCTION("""COMPUTED_VALUE"""),6.87)</f>
        <v>6.87</v>
      </c>
      <c r="G3510" s="9">
        <f>IFERROR(__xludf.DUMMYFUNCTION("""COMPUTED_VALUE"""),6.87)</f>
        <v>6.87</v>
      </c>
      <c r="H3510" s="9">
        <f>IFERROR(__xludf.DUMMYFUNCTION("""COMPUTED_VALUE"""),1.0)</f>
        <v>1</v>
      </c>
      <c r="I3510" s="9"/>
      <c r="J3510" s="9"/>
      <c r="K3510" s="9"/>
      <c r="L3510" s="9"/>
      <c r="M3510" s="9"/>
      <c r="N3510" s="9"/>
      <c r="O3510" s="9"/>
      <c r="P3510" s="9"/>
      <c r="Q3510" s="9"/>
      <c r="R3510" s="9"/>
      <c r="S3510" s="9"/>
      <c r="T3510" s="9"/>
    </row>
    <row r="3511" ht="15.75" customHeight="1">
      <c r="A3511" s="11">
        <f>IFERROR(__xludf.DUMMYFUNCTION("""COMPUTED_VALUE"""),44471.0)</f>
        <v>44471</v>
      </c>
      <c r="B3511" s="9">
        <f>IFERROR(__xludf.DUMMYFUNCTION("""COMPUTED_VALUE"""),1003794.0)</f>
        <v>1003794</v>
      </c>
      <c r="C3511" s="9">
        <f>IFERROR(__xludf.DUMMYFUNCTION("""COMPUTED_VALUE"""),1986.0)</f>
        <v>1986</v>
      </c>
      <c r="D3511" s="9"/>
      <c r="E3511" s="9"/>
      <c r="F3511" s="9">
        <f>IFERROR(__xludf.DUMMYFUNCTION("""COMPUTED_VALUE"""),7.63)</f>
        <v>7.63</v>
      </c>
      <c r="G3511" s="9">
        <f>IFERROR(__xludf.DUMMYFUNCTION("""COMPUTED_VALUE"""),7.63)</f>
        <v>7.63</v>
      </c>
      <c r="H3511" s="9">
        <f>IFERROR(__xludf.DUMMYFUNCTION("""COMPUTED_VALUE"""),1.0)</f>
        <v>1</v>
      </c>
      <c r="I3511" s="9"/>
      <c r="J3511" s="9"/>
      <c r="K3511" s="9"/>
      <c r="L3511" s="9"/>
      <c r="M3511" s="9"/>
      <c r="N3511" s="9"/>
      <c r="O3511" s="9"/>
      <c r="P3511" s="9"/>
      <c r="Q3511" s="9"/>
      <c r="R3511" s="9"/>
      <c r="S3511" s="9"/>
      <c r="T3511" s="9"/>
    </row>
    <row r="3512" ht="15.75" customHeight="1">
      <c r="A3512" s="11">
        <f>IFERROR(__xludf.DUMMYFUNCTION("""COMPUTED_VALUE"""),44471.0)</f>
        <v>44471</v>
      </c>
      <c r="B3512" s="9">
        <f>IFERROR(__xludf.DUMMYFUNCTION("""COMPUTED_VALUE"""),1003794.0)</f>
        <v>1003794</v>
      </c>
      <c r="C3512" s="9">
        <f>IFERROR(__xludf.DUMMYFUNCTION("""COMPUTED_VALUE"""),103638.0)</f>
        <v>103638</v>
      </c>
      <c r="D3512" s="9"/>
      <c r="E3512" s="9"/>
      <c r="F3512" s="9">
        <f>IFERROR(__xludf.DUMMYFUNCTION("""COMPUTED_VALUE"""),10.56)</f>
        <v>10.56</v>
      </c>
      <c r="G3512" s="9">
        <f>IFERROR(__xludf.DUMMYFUNCTION("""COMPUTED_VALUE"""),10.56)</f>
        <v>10.56</v>
      </c>
      <c r="H3512" s="9">
        <f>IFERROR(__xludf.DUMMYFUNCTION("""COMPUTED_VALUE"""),2.0)</f>
        <v>2</v>
      </c>
      <c r="I3512" s="9"/>
      <c r="J3512" s="9"/>
      <c r="K3512" s="9"/>
      <c r="L3512" s="9"/>
      <c r="M3512" s="9"/>
      <c r="N3512" s="9"/>
      <c r="O3512" s="9"/>
      <c r="P3512" s="9"/>
      <c r="Q3512" s="9"/>
      <c r="R3512" s="9"/>
      <c r="S3512" s="9"/>
      <c r="T3512" s="9"/>
    </row>
    <row r="3513" ht="15.75" customHeight="1">
      <c r="A3513" s="11">
        <f>IFERROR(__xludf.DUMMYFUNCTION("""COMPUTED_VALUE"""),44471.0)</f>
        <v>44471</v>
      </c>
      <c r="B3513" s="9">
        <f>IFERROR(__xludf.DUMMYFUNCTION("""COMPUTED_VALUE"""),1003794.0)</f>
        <v>1003794</v>
      </c>
      <c r="C3513" s="9">
        <f>IFERROR(__xludf.DUMMYFUNCTION("""COMPUTED_VALUE"""),103592.0)</f>
        <v>103592</v>
      </c>
      <c r="D3513" s="10" t="str">
        <f>IFERROR(__xludf.DUMMYFUNCTION("""COMPUTED_VALUE"""),"Love &amp; Green Couches et Culottes sept 2021")</f>
        <v>Love &amp; Green Couches et Culottes sept 2021</v>
      </c>
      <c r="E3513" s="10"/>
      <c r="F3513" s="9">
        <f>IFERROR(__xludf.DUMMYFUNCTION("""COMPUTED_VALUE"""),31.3285714285714)</f>
        <v>31.32857143</v>
      </c>
      <c r="G3513" s="9">
        <f>IFERROR(__xludf.DUMMYFUNCTION("""COMPUTED_VALUE"""),21.93)</f>
        <v>21.93</v>
      </c>
      <c r="H3513" s="9">
        <f>IFERROR(__xludf.DUMMYFUNCTION("""COMPUTED_VALUE"""),2.0)</f>
        <v>2</v>
      </c>
      <c r="I3513" s="9"/>
      <c r="J3513" s="9"/>
      <c r="K3513" s="9"/>
      <c r="L3513" s="9"/>
      <c r="M3513" s="9"/>
      <c r="N3513" s="9"/>
      <c r="O3513" s="9"/>
      <c r="P3513" s="9"/>
      <c r="Q3513" s="9"/>
      <c r="R3513" s="9"/>
      <c r="S3513" s="9"/>
      <c r="T3513" s="9"/>
    </row>
    <row r="3514" ht="15.75" customHeight="1">
      <c r="A3514" s="11">
        <f>IFERROR(__xludf.DUMMYFUNCTION("""COMPUTED_VALUE"""),44471.0)</f>
        <v>44471</v>
      </c>
      <c r="B3514" s="9">
        <f>IFERROR(__xludf.DUMMYFUNCTION("""COMPUTED_VALUE"""),1003794.0)</f>
        <v>1003794</v>
      </c>
      <c r="C3514" s="9">
        <f>IFERROR(__xludf.DUMMYFUNCTION("""COMPUTED_VALUE"""),19297.0)</f>
        <v>19297</v>
      </c>
      <c r="D3514" s="9"/>
      <c r="E3514" s="9"/>
      <c r="F3514" s="9">
        <f>IFERROR(__xludf.DUMMYFUNCTION("""COMPUTED_VALUE"""),15.76)</f>
        <v>15.76</v>
      </c>
      <c r="G3514" s="9">
        <f>IFERROR(__xludf.DUMMYFUNCTION("""COMPUTED_VALUE"""),15.76)</f>
        <v>15.76</v>
      </c>
      <c r="H3514" s="9">
        <f>IFERROR(__xludf.DUMMYFUNCTION("""COMPUTED_VALUE"""),3.0)</f>
        <v>3</v>
      </c>
      <c r="I3514" s="9"/>
      <c r="J3514" s="9"/>
      <c r="K3514" s="9"/>
      <c r="L3514" s="9"/>
      <c r="M3514" s="9"/>
      <c r="N3514" s="9"/>
      <c r="O3514" s="9"/>
      <c r="P3514" s="9"/>
      <c r="Q3514" s="9"/>
      <c r="R3514" s="9"/>
      <c r="S3514" s="9"/>
      <c r="T3514" s="9"/>
    </row>
    <row r="3515" ht="15.75" customHeight="1">
      <c r="A3515" s="11">
        <f>IFERROR(__xludf.DUMMYFUNCTION("""COMPUTED_VALUE"""),44471.0)</f>
        <v>44471</v>
      </c>
      <c r="B3515" s="9">
        <f>IFERROR(__xludf.DUMMYFUNCTION("""COMPUTED_VALUE"""),1003795.0)</f>
        <v>1003795</v>
      </c>
      <c r="C3515" s="9">
        <f>IFERROR(__xludf.DUMMYFUNCTION("""COMPUTED_VALUE"""),101043.0)</f>
        <v>101043</v>
      </c>
      <c r="D3515" s="9"/>
      <c r="E3515" s="10" t="str">
        <f>IFERROR(__xludf.DUMMYFUNCTION("""COMPUTED_VALUE"""),"HAPPEEZ")</f>
        <v>HAPPEEZ</v>
      </c>
      <c r="F3515" s="10">
        <f>IFERROR(__xludf.DUMMYFUNCTION("""COMPUTED_VALUE"""),8.27)</f>
        <v>8.27</v>
      </c>
      <c r="G3515" s="9">
        <f>IFERROR(__xludf.DUMMYFUNCTION("""COMPUTED_VALUE"""),8.27)</f>
        <v>8.27</v>
      </c>
      <c r="H3515" s="9">
        <f>IFERROR(__xludf.DUMMYFUNCTION("""COMPUTED_VALUE"""),1.0)</f>
        <v>1</v>
      </c>
      <c r="I3515" s="9"/>
      <c r="J3515" s="9"/>
      <c r="K3515" s="9"/>
      <c r="L3515" s="9"/>
      <c r="M3515" s="9"/>
      <c r="N3515" s="9"/>
      <c r="O3515" s="9"/>
      <c r="P3515" s="9"/>
      <c r="Q3515" s="9"/>
      <c r="R3515" s="9"/>
      <c r="S3515" s="9"/>
      <c r="T3515" s="9"/>
    </row>
    <row r="3516" ht="15.75" customHeight="1">
      <c r="A3516" s="11">
        <f>IFERROR(__xludf.DUMMYFUNCTION("""COMPUTED_VALUE"""),44471.0)</f>
        <v>44471</v>
      </c>
      <c r="B3516" s="9">
        <f>IFERROR(__xludf.DUMMYFUNCTION("""COMPUTED_VALUE"""),1003795.0)</f>
        <v>1003795</v>
      </c>
      <c r="C3516" s="9">
        <f>IFERROR(__xludf.DUMMYFUNCTION("""COMPUTED_VALUE"""),84673.0)</f>
        <v>84673</v>
      </c>
      <c r="D3516" s="9"/>
      <c r="E3516" s="10" t="str">
        <f>IFERROR(__xludf.DUMMYFUNCTION("""COMPUTED_VALUE"""),"HAPPEEZ")</f>
        <v>HAPPEEZ</v>
      </c>
      <c r="F3516" s="10">
        <f>IFERROR(__xludf.DUMMYFUNCTION("""COMPUTED_VALUE"""),2.9)</f>
        <v>2.9</v>
      </c>
      <c r="G3516" s="9">
        <f>IFERROR(__xludf.DUMMYFUNCTION("""COMPUTED_VALUE"""),2.9)</f>
        <v>2.9</v>
      </c>
      <c r="H3516" s="9">
        <f>IFERROR(__xludf.DUMMYFUNCTION("""COMPUTED_VALUE"""),1.0)</f>
        <v>1</v>
      </c>
      <c r="I3516" s="9"/>
      <c r="J3516" s="9"/>
      <c r="K3516" s="9"/>
      <c r="L3516" s="9"/>
      <c r="M3516" s="9"/>
      <c r="N3516" s="9"/>
      <c r="O3516" s="9"/>
      <c r="P3516" s="9"/>
      <c r="Q3516" s="9"/>
      <c r="R3516" s="9"/>
      <c r="S3516" s="9"/>
      <c r="T3516" s="9"/>
    </row>
    <row r="3517" ht="15.75" customHeight="1">
      <c r="A3517" s="11">
        <f>IFERROR(__xludf.DUMMYFUNCTION("""COMPUTED_VALUE"""),44471.0)</f>
        <v>44471</v>
      </c>
      <c r="B3517" s="9">
        <f>IFERROR(__xludf.DUMMYFUNCTION("""COMPUTED_VALUE"""),1003795.0)</f>
        <v>1003795</v>
      </c>
      <c r="C3517" s="9">
        <f>IFERROR(__xludf.DUMMYFUNCTION("""COMPUTED_VALUE"""),120519.0)</f>
        <v>120519</v>
      </c>
      <c r="D3517" s="9"/>
      <c r="E3517" s="10" t="str">
        <f>IFERROR(__xludf.DUMMYFUNCTION("""COMPUTED_VALUE"""),"HAPPEEZ")</f>
        <v>HAPPEEZ</v>
      </c>
      <c r="F3517" s="10">
        <f>IFERROR(__xludf.DUMMYFUNCTION("""COMPUTED_VALUE"""),7.06)</f>
        <v>7.06</v>
      </c>
      <c r="G3517" s="9">
        <f>IFERROR(__xludf.DUMMYFUNCTION("""COMPUTED_VALUE"""),7.06)</f>
        <v>7.06</v>
      </c>
      <c r="H3517" s="9">
        <f>IFERROR(__xludf.DUMMYFUNCTION("""COMPUTED_VALUE"""),1.0)</f>
        <v>1</v>
      </c>
      <c r="I3517" s="9"/>
      <c r="J3517" s="9"/>
      <c r="K3517" s="9"/>
      <c r="L3517" s="9"/>
      <c r="M3517" s="9"/>
      <c r="N3517" s="9"/>
      <c r="O3517" s="9"/>
      <c r="P3517" s="9"/>
      <c r="Q3517" s="9"/>
      <c r="R3517" s="9"/>
      <c r="S3517" s="9"/>
      <c r="T3517" s="9"/>
    </row>
    <row r="3518" ht="15.75" customHeight="1">
      <c r="A3518" s="11">
        <f>IFERROR(__xludf.DUMMYFUNCTION("""COMPUTED_VALUE"""),44471.0)</f>
        <v>44471</v>
      </c>
      <c r="B3518" s="9">
        <f>IFERROR(__xludf.DUMMYFUNCTION("""COMPUTED_VALUE"""),1003795.0)</f>
        <v>1003795</v>
      </c>
      <c r="C3518" s="9">
        <f>IFERROR(__xludf.DUMMYFUNCTION("""COMPUTED_VALUE"""),116831.0)</f>
        <v>116831</v>
      </c>
      <c r="D3518" s="9"/>
      <c r="E3518" s="10" t="str">
        <f>IFERROR(__xludf.DUMMYFUNCTION("""COMPUTED_VALUE"""),"HAPPEEZ")</f>
        <v>HAPPEEZ</v>
      </c>
      <c r="F3518" s="10">
        <f>IFERROR(__xludf.DUMMYFUNCTION("""COMPUTED_VALUE"""),125.86)</f>
        <v>125.86</v>
      </c>
      <c r="G3518" s="9">
        <f>IFERROR(__xludf.DUMMYFUNCTION("""COMPUTED_VALUE"""),125.86)</f>
        <v>125.86</v>
      </c>
      <c r="H3518" s="9">
        <f>IFERROR(__xludf.DUMMYFUNCTION("""COMPUTED_VALUE"""),12.0)</f>
        <v>12</v>
      </c>
      <c r="I3518" s="9"/>
      <c r="J3518" s="9"/>
      <c r="K3518" s="9"/>
      <c r="L3518" s="9"/>
      <c r="M3518" s="9"/>
      <c r="N3518" s="9"/>
      <c r="O3518" s="9"/>
      <c r="P3518" s="9"/>
      <c r="Q3518" s="9"/>
      <c r="R3518" s="9"/>
      <c r="S3518" s="9"/>
      <c r="T3518" s="9"/>
    </row>
    <row r="3519" ht="15.75" customHeight="1">
      <c r="A3519" s="11">
        <f>IFERROR(__xludf.DUMMYFUNCTION("""COMPUTED_VALUE"""),44471.0)</f>
        <v>44471</v>
      </c>
      <c r="B3519" s="9">
        <f>IFERROR(__xludf.DUMMYFUNCTION("""COMPUTED_VALUE"""),1003796.0)</f>
        <v>1003796</v>
      </c>
      <c r="C3519" s="9">
        <f>IFERROR(__xludf.DUMMYFUNCTION("""COMPUTED_VALUE"""),100914.0)</f>
        <v>100914</v>
      </c>
      <c r="D3519" s="9"/>
      <c r="E3519" s="9"/>
      <c r="F3519" s="9">
        <f>IFERROR(__xludf.DUMMYFUNCTION("""COMPUTED_VALUE"""),2.75)</f>
        <v>2.75</v>
      </c>
      <c r="G3519" s="9">
        <f>IFERROR(__xludf.DUMMYFUNCTION("""COMPUTED_VALUE"""),2.75)</f>
        <v>2.75</v>
      </c>
      <c r="H3519" s="9">
        <f>IFERROR(__xludf.DUMMYFUNCTION("""COMPUTED_VALUE"""),1.0)</f>
        <v>1</v>
      </c>
      <c r="I3519" s="9"/>
      <c r="J3519" s="9"/>
      <c r="K3519" s="9"/>
      <c r="L3519" s="9"/>
      <c r="M3519" s="9"/>
      <c r="N3519" s="9"/>
      <c r="O3519" s="9"/>
      <c r="P3519" s="9"/>
      <c r="Q3519" s="9"/>
      <c r="R3519" s="9"/>
      <c r="S3519" s="9"/>
      <c r="T3519" s="9"/>
    </row>
    <row r="3520" ht="15.75" customHeight="1">
      <c r="A3520" s="11">
        <f>IFERROR(__xludf.DUMMYFUNCTION("""COMPUTED_VALUE"""),44471.0)</f>
        <v>44471</v>
      </c>
      <c r="B3520" s="9">
        <f>IFERROR(__xludf.DUMMYFUNCTION("""COMPUTED_VALUE"""),1003796.0)</f>
        <v>1003796</v>
      </c>
      <c r="C3520" s="9">
        <f>IFERROR(__xludf.DUMMYFUNCTION("""COMPUTED_VALUE"""),99040.0)</f>
        <v>99040</v>
      </c>
      <c r="D3520" s="9"/>
      <c r="E3520" s="9"/>
      <c r="F3520" s="9">
        <f>IFERROR(__xludf.DUMMYFUNCTION("""COMPUTED_VALUE"""),3.5)</f>
        <v>3.5</v>
      </c>
      <c r="G3520" s="9">
        <f>IFERROR(__xludf.DUMMYFUNCTION("""COMPUTED_VALUE"""),3.5)</f>
        <v>3.5</v>
      </c>
      <c r="H3520" s="9">
        <f>IFERROR(__xludf.DUMMYFUNCTION("""COMPUTED_VALUE"""),1.0)</f>
        <v>1</v>
      </c>
      <c r="I3520" s="9"/>
      <c r="J3520" s="9"/>
      <c r="K3520" s="9"/>
      <c r="L3520" s="9"/>
      <c r="M3520" s="9"/>
      <c r="N3520" s="9"/>
      <c r="O3520" s="9"/>
      <c r="P3520" s="9"/>
      <c r="Q3520" s="9"/>
      <c r="R3520" s="9"/>
      <c r="S3520" s="9"/>
      <c r="T3520" s="9"/>
    </row>
    <row r="3521" ht="15.75" customHeight="1">
      <c r="A3521" s="11">
        <f>IFERROR(__xludf.DUMMYFUNCTION("""COMPUTED_VALUE"""),44471.0)</f>
        <v>44471</v>
      </c>
      <c r="B3521" s="9">
        <f>IFERROR(__xludf.DUMMYFUNCTION("""COMPUTED_VALUE"""),1003796.0)</f>
        <v>1003796</v>
      </c>
      <c r="C3521" s="9">
        <f>IFERROR(__xludf.DUMMYFUNCTION("""COMPUTED_VALUE"""),111149.0)</f>
        <v>111149</v>
      </c>
      <c r="D3521" s="9"/>
      <c r="E3521" s="9"/>
      <c r="F3521" s="9">
        <f>IFERROR(__xludf.DUMMYFUNCTION("""COMPUTED_VALUE"""),4.03)</f>
        <v>4.03</v>
      </c>
      <c r="G3521" s="9">
        <f>IFERROR(__xludf.DUMMYFUNCTION("""COMPUTED_VALUE"""),4.03)</f>
        <v>4.03</v>
      </c>
      <c r="H3521" s="9">
        <f>IFERROR(__xludf.DUMMYFUNCTION("""COMPUTED_VALUE"""),1.0)</f>
        <v>1</v>
      </c>
      <c r="I3521" s="9"/>
      <c r="J3521" s="9"/>
      <c r="K3521" s="9"/>
      <c r="L3521" s="9"/>
      <c r="M3521" s="9"/>
      <c r="N3521" s="9"/>
      <c r="O3521" s="9"/>
      <c r="P3521" s="9"/>
      <c r="Q3521" s="9"/>
      <c r="R3521" s="9"/>
      <c r="S3521" s="9"/>
      <c r="T3521" s="9"/>
    </row>
    <row r="3522" ht="15.75" customHeight="1">
      <c r="A3522" s="11">
        <f>IFERROR(__xludf.DUMMYFUNCTION("""COMPUTED_VALUE"""),44471.0)</f>
        <v>44471</v>
      </c>
      <c r="B3522" s="9">
        <f>IFERROR(__xludf.DUMMYFUNCTION("""COMPUTED_VALUE"""),1003796.0)</f>
        <v>1003796</v>
      </c>
      <c r="C3522" s="9">
        <f>IFERROR(__xludf.DUMMYFUNCTION("""COMPUTED_VALUE"""),99036.0)</f>
        <v>99036</v>
      </c>
      <c r="D3522" s="9"/>
      <c r="E3522" s="9"/>
      <c r="F3522" s="9">
        <f>IFERROR(__xludf.DUMMYFUNCTION("""COMPUTED_VALUE"""),2.43)</f>
        <v>2.43</v>
      </c>
      <c r="G3522" s="9">
        <f>IFERROR(__xludf.DUMMYFUNCTION("""COMPUTED_VALUE"""),2.43)</f>
        <v>2.43</v>
      </c>
      <c r="H3522" s="9">
        <f>IFERROR(__xludf.DUMMYFUNCTION("""COMPUTED_VALUE"""),1.0)</f>
        <v>1</v>
      </c>
      <c r="I3522" s="9"/>
      <c r="J3522" s="9"/>
      <c r="K3522" s="9"/>
      <c r="L3522" s="9"/>
      <c r="M3522" s="9"/>
      <c r="N3522" s="9"/>
      <c r="O3522" s="9"/>
      <c r="P3522" s="9"/>
      <c r="Q3522" s="9"/>
      <c r="R3522" s="9"/>
      <c r="S3522" s="9"/>
      <c r="T3522" s="9"/>
    </row>
    <row r="3523" ht="15.75" customHeight="1">
      <c r="A3523" s="11">
        <f>IFERROR(__xludf.DUMMYFUNCTION("""COMPUTED_VALUE"""),44471.0)</f>
        <v>44471</v>
      </c>
      <c r="B3523" s="9">
        <f>IFERROR(__xludf.DUMMYFUNCTION("""COMPUTED_VALUE"""),1003796.0)</f>
        <v>1003796</v>
      </c>
      <c r="C3523" s="9">
        <f>IFERROR(__xludf.DUMMYFUNCTION("""COMPUTED_VALUE"""),112099.0)</f>
        <v>112099</v>
      </c>
      <c r="D3523" s="9"/>
      <c r="E3523" s="9"/>
      <c r="F3523" s="9">
        <f>IFERROR(__xludf.DUMMYFUNCTION("""COMPUTED_VALUE"""),3.93)</f>
        <v>3.93</v>
      </c>
      <c r="G3523" s="9">
        <f>IFERROR(__xludf.DUMMYFUNCTION("""COMPUTED_VALUE"""),3.93)</f>
        <v>3.93</v>
      </c>
      <c r="H3523" s="9">
        <f>IFERROR(__xludf.DUMMYFUNCTION("""COMPUTED_VALUE"""),1.0)</f>
        <v>1</v>
      </c>
      <c r="I3523" s="9"/>
      <c r="J3523" s="9"/>
      <c r="K3523" s="9"/>
      <c r="L3523" s="9"/>
      <c r="M3523" s="9"/>
      <c r="N3523" s="9"/>
      <c r="O3523" s="9"/>
      <c r="P3523" s="9"/>
      <c r="Q3523" s="9"/>
      <c r="R3523" s="9"/>
      <c r="S3523" s="9"/>
      <c r="T3523" s="9"/>
    </row>
    <row r="3524" ht="15.75" customHeight="1">
      <c r="A3524" s="11">
        <f>IFERROR(__xludf.DUMMYFUNCTION("""COMPUTED_VALUE"""),44471.0)</f>
        <v>44471</v>
      </c>
      <c r="B3524" s="9">
        <f>IFERROR(__xludf.DUMMYFUNCTION("""COMPUTED_VALUE"""),1003796.0)</f>
        <v>1003796</v>
      </c>
      <c r="C3524" s="9">
        <f>IFERROR(__xludf.DUMMYFUNCTION("""COMPUTED_VALUE"""),117618.0)</f>
        <v>117618</v>
      </c>
      <c r="D3524" s="10" t="str">
        <f>IFERROR(__xludf.DUMMYFUNCTION("""COMPUTED_VALUE"""),"Vive le bio")</f>
        <v>Vive le bio</v>
      </c>
      <c r="E3524" s="10"/>
      <c r="F3524" s="9">
        <f>IFERROR(__xludf.DUMMYFUNCTION("""COMPUTED_VALUE"""),3.83157894736842)</f>
        <v>3.831578947</v>
      </c>
      <c r="G3524" s="9">
        <f>IFERROR(__xludf.DUMMYFUNCTION("""COMPUTED_VALUE"""),3.64)</f>
        <v>3.64</v>
      </c>
      <c r="H3524" s="9">
        <f>IFERROR(__xludf.DUMMYFUNCTION("""COMPUTED_VALUE"""),1.0)</f>
        <v>1</v>
      </c>
      <c r="I3524" s="9"/>
      <c r="J3524" s="9"/>
      <c r="K3524" s="9"/>
      <c r="L3524" s="9"/>
      <c r="M3524" s="9"/>
      <c r="N3524" s="9"/>
      <c r="O3524" s="9"/>
      <c r="P3524" s="9"/>
      <c r="Q3524" s="9"/>
      <c r="R3524" s="9"/>
      <c r="S3524" s="9"/>
      <c r="T3524" s="9"/>
    </row>
    <row r="3525" ht="15.75" customHeight="1">
      <c r="A3525" s="11">
        <f>IFERROR(__xludf.DUMMYFUNCTION("""COMPUTED_VALUE"""),44471.0)</f>
        <v>44471</v>
      </c>
      <c r="B3525" s="9">
        <f>IFERROR(__xludf.DUMMYFUNCTION("""COMPUTED_VALUE"""),1003796.0)</f>
        <v>1003796</v>
      </c>
      <c r="C3525" s="9">
        <f>IFERROR(__xludf.DUMMYFUNCTION("""COMPUTED_VALUE"""),46896.0)</f>
        <v>46896</v>
      </c>
      <c r="D3525" s="9"/>
      <c r="E3525" s="9"/>
      <c r="F3525" s="9">
        <f>IFERROR(__xludf.DUMMYFUNCTION("""COMPUTED_VALUE"""),4.87)</f>
        <v>4.87</v>
      </c>
      <c r="G3525" s="9">
        <f>IFERROR(__xludf.DUMMYFUNCTION("""COMPUTED_VALUE"""),4.87)</f>
        <v>4.87</v>
      </c>
      <c r="H3525" s="9">
        <f>IFERROR(__xludf.DUMMYFUNCTION("""COMPUTED_VALUE"""),1.0)</f>
        <v>1</v>
      </c>
      <c r="I3525" s="9"/>
      <c r="J3525" s="9"/>
      <c r="K3525" s="9"/>
      <c r="L3525" s="9"/>
      <c r="M3525" s="9"/>
      <c r="N3525" s="9"/>
      <c r="O3525" s="9"/>
      <c r="P3525" s="9"/>
      <c r="Q3525" s="9"/>
      <c r="R3525" s="9"/>
      <c r="S3525" s="9"/>
      <c r="T3525" s="9"/>
    </row>
    <row r="3526" ht="15.75" customHeight="1">
      <c r="A3526" s="11">
        <f>IFERROR(__xludf.DUMMYFUNCTION("""COMPUTED_VALUE"""),44471.0)</f>
        <v>44471</v>
      </c>
      <c r="B3526" s="9">
        <f>IFERROR(__xludf.DUMMYFUNCTION("""COMPUTED_VALUE"""),1003796.0)</f>
        <v>1003796</v>
      </c>
      <c r="C3526" s="9">
        <f>IFERROR(__xludf.DUMMYFUNCTION("""COMPUTED_VALUE"""),41029.0)</f>
        <v>41029</v>
      </c>
      <c r="D3526" s="10" t="str">
        <f>IFERROR(__xludf.DUMMYFUNCTION("""COMPUTED_VALUE"""),"Vive le bio")</f>
        <v>Vive le bio</v>
      </c>
      <c r="E3526" s="10"/>
      <c r="F3526" s="9">
        <f>IFERROR(__xludf.DUMMYFUNCTION("""COMPUTED_VALUE"""),2.68421052631578)</f>
        <v>2.684210526</v>
      </c>
      <c r="G3526" s="9">
        <f>IFERROR(__xludf.DUMMYFUNCTION("""COMPUTED_VALUE"""),2.55)</f>
        <v>2.55</v>
      </c>
      <c r="H3526" s="9">
        <f>IFERROR(__xludf.DUMMYFUNCTION("""COMPUTED_VALUE"""),1.0)</f>
        <v>1</v>
      </c>
      <c r="I3526" s="9"/>
      <c r="J3526" s="9"/>
      <c r="K3526" s="9"/>
      <c r="L3526" s="9"/>
      <c r="M3526" s="9"/>
      <c r="N3526" s="9"/>
      <c r="O3526" s="9"/>
      <c r="P3526" s="9"/>
      <c r="Q3526" s="9"/>
      <c r="R3526" s="9"/>
      <c r="S3526" s="9"/>
      <c r="T3526" s="9"/>
    </row>
    <row r="3527" ht="15.75" customHeight="1">
      <c r="A3527" s="11">
        <f>IFERROR(__xludf.DUMMYFUNCTION("""COMPUTED_VALUE"""),44471.0)</f>
        <v>44471</v>
      </c>
      <c r="B3527" s="9">
        <f>IFERROR(__xludf.DUMMYFUNCTION("""COMPUTED_VALUE"""),1003796.0)</f>
        <v>1003796</v>
      </c>
      <c r="C3527" s="9">
        <f>IFERROR(__xludf.DUMMYFUNCTION("""COMPUTED_VALUE"""),133913.0)</f>
        <v>133913</v>
      </c>
      <c r="D3527" s="9"/>
      <c r="E3527" s="9"/>
      <c r="F3527" s="9">
        <f>IFERROR(__xludf.DUMMYFUNCTION("""COMPUTED_VALUE"""),3.09)</f>
        <v>3.09</v>
      </c>
      <c r="G3527" s="9">
        <f>IFERROR(__xludf.DUMMYFUNCTION("""COMPUTED_VALUE"""),3.09)</f>
        <v>3.09</v>
      </c>
      <c r="H3527" s="9">
        <f>IFERROR(__xludf.DUMMYFUNCTION("""COMPUTED_VALUE"""),1.0)</f>
        <v>1</v>
      </c>
      <c r="I3527" s="9"/>
      <c r="J3527" s="9"/>
      <c r="K3527" s="9"/>
      <c r="L3527" s="9"/>
      <c r="M3527" s="9"/>
      <c r="N3527" s="9"/>
      <c r="O3527" s="9"/>
      <c r="P3527" s="9"/>
      <c r="Q3527" s="9"/>
      <c r="R3527" s="9"/>
      <c r="S3527" s="9"/>
      <c r="T3527" s="9"/>
    </row>
    <row r="3528" ht="15.75" customHeight="1">
      <c r="A3528" s="11">
        <f>IFERROR(__xludf.DUMMYFUNCTION("""COMPUTED_VALUE"""),44471.0)</f>
        <v>44471</v>
      </c>
      <c r="B3528" s="9">
        <f>IFERROR(__xludf.DUMMYFUNCTION("""COMPUTED_VALUE"""),1003796.0)</f>
        <v>1003796</v>
      </c>
      <c r="C3528" s="9">
        <f>IFERROR(__xludf.DUMMYFUNCTION("""COMPUTED_VALUE"""),109289.0)</f>
        <v>109289</v>
      </c>
      <c r="D3528" s="9"/>
      <c r="E3528" s="9"/>
      <c r="F3528" s="9">
        <f>IFERROR(__xludf.DUMMYFUNCTION("""COMPUTED_VALUE"""),20.26)</f>
        <v>20.26</v>
      </c>
      <c r="G3528" s="9">
        <f>IFERROR(__xludf.DUMMYFUNCTION("""COMPUTED_VALUE"""),20.26)</f>
        <v>20.26</v>
      </c>
      <c r="H3528" s="9">
        <f>IFERROR(__xludf.DUMMYFUNCTION("""COMPUTED_VALUE"""),1.0)</f>
        <v>1</v>
      </c>
      <c r="I3528" s="9"/>
      <c r="J3528" s="9"/>
      <c r="K3528" s="9"/>
      <c r="L3528" s="9"/>
      <c r="M3528" s="9"/>
      <c r="N3528" s="9"/>
      <c r="O3528" s="9"/>
      <c r="P3528" s="9"/>
      <c r="Q3528" s="9"/>
      <c r="R3528" s="9"/>
      <c r="S3528" s="9"/>
      <c r="T3528" s="9"/>
    </row>
    <row r="3529" ht="15.75" customHeight="1">
      <c r="A3529" s="11">
        <f>IFERROR(__xludf.DUMMYFUNCTION("""COMPUTED_VALUE"""),44471.0)</f>
        <v>44471</v>
      </c>
      <c r="B3529" s="9">
        <f>IFERROR(__xludf.DUMMYFUNCTION("""COMPUTED_VALUE"""),1003796.0)</f>
        <v>1003796</v>
      </c>
      <c r="C3529" s="9">
        <f>IFERROR(__xludf.DUMMYFUNCTION("""COMPUTED_VALUE"""),9649.0)</f>
        <v>9649</v>
      </c>
      <c r="D3529" s="9"/>
      <c r="E3529" s="9"/>
      <c r="F3529" s="9">
        <f>IFERROR(__xludf.DUMMYFUNCTION("""COMPUTED_VALUE"""),2.97)</f>
        <v>2.97</v>
      </c>
      <c r="G3529" s="9">
        <f>IFERROR(__xludf.DUMMYFUNCTION("""COMPUTED_VALUE"""),2.97)</f>
        <v>2.97</v>
      </c>
      <c r="H3529" s="9">
        <f>IFERROR(__xludf.DUMMYFUNCTION("""COMPUTED_VALUE"""),1.0)</f>
        <v>1</v>
      </c>
      <c r="I3529" s="9"/>
      <c r="J3529" s="9"/>
      <c r="K3529" s="9"/>
      <c r="L3529" s="9"/>
      <c r="M3529" s="9"/>
      <c r="N3529" s="9"/>
      <c r="O3529" s="9"/>
      <c r="P3529" s="9"/>
      <c r="Q3529" s="9"/>
      <c r="R3529" s="9"/>
      <c r="S3529" s="9"/>
      <c r="T3529" s="9"/>
    </row>
    <row r="3530" ht="15.75" customHeight="1">
      <c r="A3530" s="11">
        <f>IFERROR(__xludf.DUMMYFUNCTION("""COMPUTED_VALUE"""),44471.0)</f>
        <v>44471</v>
      </c>
      <c r="B3530" s="9">
        <f>IFERROR(__xludf.DUMMYFUNCTION("""COMPUTED_VALUE"""),1003796.0)</f>
        <v>1003796</v>
      </c>
      <c r="C3530" s="9">
        <f>IFERROR(__xludf.DUMMYFUNCTION("""COMPUTED_VALUE"""),4388.0)</f>
        <v>4388</v>
      </c>
      <c r="D3530" s="10" t="str">
        <f>IFERROR(__xludf.DUMMYFUNCTION("""COMPUTED_VALUE"""),"Hipp 2021")</f>
        <v>Hipp 2021</v>
      </c>
      <c r="E3530" s="10"/>
      <c r="F3530" s="9">
        <f>IFERROR(__xludf.DUMMYFUNCTION("""COMPUTED_VALUE"""),2.35294117647058)</f>
        <v>2.352941176</v>
      </c>
      <c r="G3530" s="9">
        <f>IFERROR(__xludf.DUMMYFUNCTION("""COMPUTED_VALUE"""),2.0)</f>
        <v>2</v>
      </c>
      <c r="H3530" s="9">
        <f>IFERROR(__xludf.DUMMYFUNCTION("""COMPUTED_VALUE"""),1.0)</f>
        <v>1</v>
      </c>
      <c r="I3530" s="9"/>
      <c r="J3530" s="9"/>
      <c r="K3530" s="9"/>
      <c r="L3530" s="9"/>
      <c r="M3530" s="9"/>
      <c r="N3530" s="9"/>
      <c r="O3530" s="9"/>
      <c r="P3530" s="9"/>
      <c r="Q3530" s="9"/>
      <c r="R3530" s="9"/>
      <c r="S3530" s="9"/>
      <c r="T3530" s="9"/>
    </row>
    <row r="3531" ht="15.75" customHeight="1">
      <c r="A3531" s="11">
        <f>IFERROR(__xludf.DUMMYFUNCTION("""COMPUTED_VALUE"""),44471.0)</f>
        <v>44471</v>
      </c>
      <c r="B3531" s="9">
        <f>IFERROR(__xludf.DUMMYFUNCTION("""COMPUTED_VALUE"""),1003796.0)</f>
        <v>1003796</v>
      </c>
      <c r="C3531" s="9">
        <f>IFERROR(__xludf.DUMMYFUNCTION("""COMPUTED_VALUE"""),9657.0)</f>
        <v>9657</v>
      </c>
      <c r="D3531" s="9"/>
      <c r="E3531" s="9"/>
      <c r="F3531" s="9">
        <f>IFERROR(__xludf.DUMMYFUNCTION("""COMPUTED_VALUE"""),2.49)</f>
        <v>2.49</v>
      </c>
      <c r="G3531" s="9">
        <f>IFERROR(__xludf.DUMMYFUNCTION("""COMPUTED_VALUE"""),2.49)</f>
        <v>2.49</v>
      </c>
      <c r="H3531" s="9">
        <f>IFERROR(__xludf.DUMMYFUNCTION("""COMPUTED_VALUE"""),1.0)</f>
        <v>1</v>
      </c>
      <c r="I3531" s="9"/>
      <c r="J3531" s="9"/>
      <c r="K3531" s="9"/>
      <c r="L3531" s="9"/>
      <c r="M3531" s="9"/>
      <c r="N3531" s="9"/>
      <c r="O3531" s="9"/>
      <c r="P3531" s="9"/>
      <c r="Q3531" s="9"/>
      <c r="R3531" s="9"/>
      <c r="S3531" s="9"/>
      <c r="T3531" s="9"/>
    </row>
    <row r="3532" ht="15.75" customHeight="1">
      <c r="A3532" s="11">
        <f>IFERROR(__xludf.DUMMYFUNCTION("""COMPUTED_VALUE"""),44471.0)</f>
        <v>44471</v>
      </c>
      <c r="B3532" s="9">
        <f>IFERROR(__xludf.DUMMYFUNCTION("""COMPUTED_VALUE"""),1003796.0)</f>
        <v>1003796</v>
      </c>
      <c r="C3532" s="9">
        <f>IFERROR(__xludf.DUMMYFUNCTION("""COMPUTED_VALUE"""),119106.0)</f>
        <v>119106</v>
      </c>
      <c r="D3532" s="9"/>
      <c r="E3532" s="9"/>
      <c r="F3532" s="9">
        <f>IFERROR(__xludf.DUMMYFUNCTION("""COMPUTED_VALUE"""),2.74)</f>
        <v>2.74</v>
      </c>
      <c r="G3532" s="9">
        <f>IFERROR(__xludf.DUMMYFUNCTION("""COMPUTED_VALUE"""),2.74)</f>
        <v>2.74</v>
      </c>
      <c r="H3532" s="9">
        <f>IFERROR(__xludf.DUMMYFUNCTION("""COMPUTED_VALUE"""),1.0)</f>
        <v>1</v>
      </c>
      <c r="I3532" s="9"/>
      <c r="J3532" s="9"/>
      <c r="K3532" s="9"/>
      <c r="L3532" s="9"/>
      <c r="M3532" s="9"/>
      <c r="N3532" s="9"/>
      <c r="O3532" s="9"/>
      <c r="P3532" s="9"/>
      <c r="Q3532" s="9"/>
      <c r="R3532" s="9"/>
      <c r="S3532" s="9"/>
      <c r="T3532" s="9"/>
    </row>
    <row r="3533" ht="15.75" customHeight="1">
      <c r="A3533" s="11">
        <f>IFERROR(__xludf.DUMMYFUNCTION("""COMPUTED_VALUE"""),44471.0)</f>
        <v>44471</v>
      </c>
      <c r="B3533" s="9">
        <f>IFERROR(__xludf.DUMMYFUNCTION("""COMPUTED_VALUE"""),1003796.0)</f>
        <v>1003796</v>
      </c>
      <c r="C3533" s="9">
        <f>IFERROR(__xludf.DUMMYFUNCTION("""COMPUTED_VALUE"""),44758.0)</f>
        <v>44758</v>
      </c>
      <c r="D3533" s="9"/>
      <c r="E3533" s="9"/>
      <c r="F3533" s="9">
        <f>IFERROR(__xludf.DUMMYFUNCTION("""COMPUTED_VALUE"""),17.4)</f>
        <v>17.4</v>
      </c>
      <c r="G3533" s="9">
        <f>IFERROR(__xludf.DUMMYFUNCTION("""COMPUTED_VALUE"""),17.4)</f>
        <v>17.4</v>
      </c>
      <c r="H3533" s="9">
        <f>IFERROR(__xludf.DUMMYFUNCTION("""COMPUTED_VALUE"""),2.0)</f>
        <v>2</v>
      </c>
      <c r="I3533" s="9"/>
      <c r="J3533" s="9"/>
      <c r="K3533" s="9"/>
      <c r="L3533" s="9"/>
      <c r="M3533" s="9"/>
      <c r="N3533" s="9"/>
      <c r="O3533" s="9"/>
      <c r="P3533" s="9"/>
      <c r="Q3533" s="9"/>
      <c r="R3533" s="9"/>
      <c r="S3533" s="9"/>
      <c r="T3533" s="9"/>
    </row>
    <row r="3534" ht="15.75" customHeight="1">
      <c r="A3534" s="11">
        <f>IFERROR(__xludf.DUMMYFUNCTION("""COMPUTED_VALUE"""),44471.0)</f>
        <v>44471</v>
      </c>
      <c r="B3534" s="9">
        <f>IFERROR(__xludf.DUMMYFUNCTION("""COMPUTED_VALUE"""),1003797.0)</f>
        <v>1003797</v>
      </c>
      <c r="C3534" s="9">
        <f>IFERROR(__xludf.DUMMYFUNCTION("""COMPUTED_VALUE"""),9716.0)</f>
        <v>9716</v>
      </c>
      <c r="D3534" s="9"/>
      <c r="E3534" s="10" t="str">
        <f>IFERROR(__xludf.DUMMYFUNCTION("""COMPUTED_VALUE"""),"GREENRELAIS")</f>
        <v>GREENRELAIS</v>
      </c>
      <c r="F3534" s="10">
        <f>IFERROR(__xludf.DUMMYFUNCTION("""COMPUTED_VALUE"""),18.51)</f>
        <v>18.51</v>
      </c>
      <c r="G3534" s="9">
        <f>IFERROR(__xludf.DUMMYFUNCTION("""COMPUTED_VALUE"""),18.51)</f>
        <v>18.51</v>
      </c>
      <c r="H3534" s="9">
        <f>IFERROR(__xludf.DUMMYFUNCTION("""COMPUTED_VALUE"""),3.0)</f>
        <v>3</v>
      </c>
      <c r="I3534" s="9"/>
      <c r="J3534" s="9"/>
      <c r="K3534" s="9"/>
      <c r="L3534" s="9"/>
      <c r="M3534" s="9"/>
      <c r="N3534" s="9"/>
      <c r="O3534" s="9"/>
      <c r="P3534" s="9"/>
      <c r="Q3534" s="9"/>
      <c r="R3534" s="9"/>
      <c r="S3534" s="9"/>
      <c r="T3534" s="9"/>
    </row>
    <row r="3535" ht="15.75" customHeight="1">
      <c r="A3535" s="11">
        <f>IFERROR(__xludf.DUMMYFUNCTION("""COMPUTED_VALUE"""),44471.0)</f>
        <v>44471</v>
      </c>
      <c r="B3535" s="9">
        <f>IFERROR(__xludf.DUMMYFUNCTION("""COMPUTED_VALUE"""),1003797.0)</f>
        <v>1003797</v>
      </c>
      <c r="C3535" s="9">
        <f>IFERROR(__xludf.DUMMYFUNCTION("""COMPUTED_VALUE"""),110863.0)</f>
        <v>110863</v>
      </c>
      <c r="D3535" s="9"/>
      <c r="E3535" s="10" t="str">
        <f>IFERROR(__xludf.DUMMYFUNCTION("""COMPUTED_VALUE"""),"GREENRELAIS")</f>
        <v>GREENRELAIS</v>
      </c>
      <c r="F3535" s="10">
        <f>IFERROR(__xludf.DUMMYFUNCTION("""COMPUTED_VALUE"""),12.25)</f>
        <v>12.25</v>
      </c>
      <c r="G3535" s="9">
        <f>IFERROR(__xludf.DUMMYFUNCTION("""COMPUTED_VALUE"""),12.25)</f>
        <v>12.25</v>
      </c>
      <c r="H3535" s="9">
        <f>IFERROR(__xludf.DUMMYFUNCTION("""COMPUTED_VALUE"""),4.0)</f>
        <v>4</v>
      </c>
      <c r="I3535" s="9"/>
      <c r="J3535" s="9"/>
      <c r="K3535" s="9"/>
      <c r="L3535" s="9"/>
      <c r="M3535" s="9"/>
      <c r="N3535" s="9"/>
      <c r="O3535" s="9"/>
      <c r="P3535" s="9"/>
      <c r="Q3535" s="9"/>
      <c r="R3535" s="9"/>
      <c r="S3535" s="9"/>
      <c r="T3535" s="9"/>
    </row>
    <row r="3536" ht="15.75" customHeight="1">
      <c r="A3536" s="11">
        <f>IFERROR(__xludf.DUMMYFUNCTION("""COMPUTED_VALUE"""),44471.0)</f>
        <v>44471</v>
      </c>
      <c r="B3536" s="9">
        <f>IFERROR(__xludf.DUMMYFUNCTION("""COMPUTED_VALUE"""),1003797.0)</f>
        <v>1003797</v>
      </c>
      <c r="C3536" s="9">
        <f>IFERROR(__xludf.DUMMYFUNCTION("""COMPUTED_VALUE"""),72155.0)</f>
        <v>72155</v>
      </c>
      <c r="D3536" s="10" t="str">
        <f>IFERROR(__xludf.DUMMYFUNCTION("""COMPUTED_VALUE"""),"Offre speciale")</f>
        <v>Offre speciale</v>
      </c>
      <c r="E3536" s="10" t="str">
        <f>IFERROR(__xludf.DUMMYFUNCTION("""COMPUTED_VALUE"""),"GREENRELAIS")</f>
        <v>GREENRELAIS</v>
      </c>
      <c r="F3536" s="10">
        <f>IFERROR(__xludf.DUMMYFUNCTION("""COMPUTED_VALUE"""),102.164705882352)</f>
        <v>102.1647059</v>
      </c>
      <c r="G3536" s="9">
        <f>IFERROR(__xludf.DUMMYFUNCTION("""COMPUTED_VALUE"""),86.84)</f>
        <v>86.84</v>
      </c>
      <c r="H3536" s="9">
        <f>IFERROR(__xludf.DUMMYFUNCTION("""COMPUTED_VALUE"""),6.0)</f>
        <v>6</v>
      </c>
      <c r="I3536" s="9"/>
      <c r="J3536" s="9"/>
      <c r="K3536" s="9"/>
      <c r="L3536" s="9"/>
      <c r="M3536" s="9"/>
      <c r="N3536" s="9"/>
      <c r="O3536" s="9"/>
      <c r="P3536" s="9"/>
      <c r="Q3536" s="9"/>
      <c r="R3536" s="9"/>
      <c r="S3536" s="9"/>
      <c r="T3536" s="9"/>
    </row>
    <row r="3537" ht="15.75" customHeight="1">
      <c r="A3537" s="11">
        <f>IFERROR(__xludf.DUMMYFUNCTION("""COMPUTED_VALUE"""),44471.0)</f>
        <v>44471</v>
      </c>
      <c r="B3537" s="9">
        <f>IFERROR(__xludf.DUMMYFUNCTION("""COMPUTED_VALUE"""),1003798.0)</f>
        <v>1003798</v>
      </c>
      <c r="C3537" s="9">
        <f>IFERROR(__xludf.DUMMYFUNCTION("""COMPUTED_VALUE"""),7264.0)</f>
        <v>7264</v>
      </c>
      <c r="D3537" s="9"/>
      <c r="E3537" s="10" t="str">
        <f>IFERROR(__xludf.DUMMYFUNCTION("""COMPUTED_VALUE"""),"GREENRELAIS")</f>
        <v>GREENRELAIS</v>
      </c>
      <c r="F3537" s="10">
        <f>IFERROR(__xludf.DUMMYFUNCTION("""COMPUTED_VALUE"""),2.39)</f>
        <v>2.39</v>
      </c>
      <c r="G3537" s="9">
        <f>IFERROR(__xludf.DUMMYFUNCTION("""COMPUTED_VALUE"""),2.39)</f>
        <v>2.39</v>
      </c>
      <c r="H3537" s="9">
        <f>IFERROR(__xludf.DUMMYFUNCTION("""COMPUTED_VALUE"""),1.0)</f>
        <v>1</v>
      </c>
      <c r="I3537" s="9"/>
      <c r="J3537" s="9"/>
      <c r="K3537" s="9"/>
      <c r="L3537" s="9"/>
      <c r="M3537" s="9"/>
      <c r="N3537" s="9"/>
      <c r="O3537" s="9"/>
      <c r="P3537" s="9"/>
      <c r="Q3537" s="9"/>
      <c r="R3537" s="9"/>
      <c r="S3537" s="9"/>
      <c r="T3537" s="9"/>
    </row>
    <row r="3538" ht="15.75" customHeight="1">
      <c r="A3538" s="11">
        <f>IFERROR(__xludf.DUMMYFUNCTION("""COMPUTED_VALUE"""),44471.0)</f>
        <v>44471</v>
      </c>
      <c r="B3538" s="9">
        <f>IFERROR(__xludf.DUMMYFUNCTION("""COMPUTED_VALUE"""),1003798.0)</f>
        <v>1003798</v>
      </c>
      <c r="C3538" s="9">
        <f>IFERROR(__xludf.DUMMYFUNCTION("""COMPUTED_VALUE"""),8690.0)</f>
        <v>8690</v>
      </c>
      <c r="D3538" s="9"/>
      <c r="E3538" s="10" t="str">
        <f>IFERROR(__xludf.DUMMYFUNCTION("""COMPUTED_VALUE"""),"GREENRELAIS")</f>
        <v>GREENRELAIS</v>
      </c>
      <c r="F3538" s="10">
        <f>IFERROR(__xludf.DUMMYFUNCTION("""COMPUTED_VALUE"""),10.87)</f>
        <v>10.87</v>
      </c>
      <c r="G3538" s="9">
        <f>IFERROR(__xludf.DUMMYFUNCTION("""COMPUTED_VALUE"""),10.87)</f>
        <v>10.87</v>
      </c>
      <c r="H3538" s="9">
        <f>IFERROR(__xludf.DUMMYFUNCTION("""COMPUTED_VALUE"""),1.0)</f>
        <v>1</v>
      </c>
      <c r="I3538" s="9"/>
      <c r="J3538" s="9"/>
      <c r="K3538" s="9"/>
      <c r="L3538" s="9"/>
      <c r="M3538" s="9"/>
      <c r="N3538" s="9"/>
      <c r="O3538" s="9"/>
      <c r="P3538" s="9"/>
      <c r="Q3538" s="9"/>
      <c r="R3538" s="9"/>
      <c r="S3538" s="9"/>
      <c r="T3538" s="9"/>
    </row>
    <row r="3539" ht="15.75" customHeight="1">
      <c r="A3539" s="11">
        <f>IFERROR(__xludf.DUMMYFUNCTION("""COMPUTED_VALUE"""),44471.0)</f>
        <v>44471</v>
      </c>
      <c r="B3539" s="9">
        <f>IFERROR(__xludf.DUMMYFUNCTION("""COMPUTED_VALUE"""),1003798.0)</f>
        <v>1003798</v>
      </c>
      <c r="C3539" s="9">
        <f>IFERROR(__xludf.DUMMYFUNCTION("""COMPUTED_VALUE"""),116297.0)</f>
        <v>116297</v>
      </c>
      <c r="D3539" s="9"/>
      <c r="E3539" s="10" t="str">
        <f>IFERROR(__xludf.DUMMYFUNCTION("""COMPUTED_VALUE"""),"GREENRELAIS")</f>
        <v>GREENRELAIS</v>
      </c>
      <c r="F3539" s="10">
        <f>IFERROR(__xludf.DUMMYFUNCTION("""COMPUTED_VALUE"""),3.19)</f>
        <v>3.19</v>
      </c>
      <c r="G3539" s="9">
        <f>IFERROR(__xludf.DUMMYFUNCTION("""COMPUTED_VALUE"""),3.19)</f>
        <v>3.19</v>
      </c>
      <c r="H3539" s="9">
        <f>IFERROR(__xludf.DUMMYFUNCTION("""COMPUTED_VALUE"""),1.0)</f>
        <v>1</v>
      </c>
      <c r="I3539" s="9"/>
      <c r="J3539" s="9"/>
      <c r="K3539" s="9"/>
      <c r="L3539" s="9"/>
      <c r="M3539" s="9"/>
      <c r="N3539" s="9"/>
      <c r="O3539" s="9"/>
      <c r="P3539" s="9"/>
      <c r="Q3539" s="9"/>
      <c r="R3539" s="9"/>
      <c r="S3539" s="9"/>
      <c r="T3539" s="9"/>
    </row>
    <row r="3540" ht="15.75" customHeight="1">
      <c r="A3540" s="11">
        <f>IFERROR(__xludf.DUMMYFUNCTION("""COMPUTED_VALUE"""),44471.0)</f>
        <v>44471</v>
      </c>
      <c r="B3540" s="9">
        <f>IFERROR(__xludf.DUMMYFUNCTION("""COMPUTED_VALUE"""),1003798.0)</f>
        <v>1003798</v>
      </c>
      <c r="C3540" s="9">
        <f>IFERROR(__xludf.DUMMYFUNCTION("""COMPUTED_VALUE"""),116295.0)</f>
        <v>116295</v>
      </c>
      <c r="D3540" s="9"/>
      <c r="E3540" s="10" t="str">
        <f>IFERROR(__xludf.DUMMYFUNCTION("""COMPUTED_VALUE"""),"GREENRELAIS")</f>
        <v>GREENRELAIS</v>
      </c>
      <c r="F3540" s="10">
        <f>IFERROR(__xludf.DUMMYFUNCTION("""COMPUTED_VALUE"""),3.19)</f>
        <v>3.19</v>
      </c>
      <c r="G3540" s="9">
        <f>IFERROR(__xludf.DUMMYFUNCTION("""COMPUTED_VALUE"""),3.19)</f>
        <v>3.19</v>
      </c>
      <c r="H3540" s="9">
        <f>IFERROR(__xludf.DUMMYFUNCTION("""COMPUTED_VALUE"""),1.0)</f>
        <v>1</v>
      </c>
      <c r="I3540" s="9"/>
      <c r="J3540" s="9"/>
      <c r="K3540" s="9"/>
      <c r="L3540" s="9"/>
      <c r="M3540" s="9"/>
      <c r="N3540" s="9"/>
      <c r="O3540" s="9"/>
      <c r="P3540" s="9"/>
      <c r="Q3540" s="9"/>
      <c r="R3540" s="9"/>
      <c r="S3540" s="9"/>
      <c r="T3540" s="9"/>
    </row>
    <row r="3541" ht="15.75" customHeight="1">
      <c r="A3541" s="11">
        <f>IFERROR(__xludf.DUMMYFUNCTION("""COMPUTED_VALUE"""),44471.0)</f>
        <v>44471</v>
      </c>
      <c r="B3541" s="9">
        <f>IFERROR(__xludf.DUMMYFUNCTION("""COMPUTED_VALUE"""),1003798.0)</f>
        <v>1003798</v>
      </c>
      <c r="C3541" s="9">
        <f>IFERROR(__xludf.DUMMYFUNCTION("""COMPUTED_VALUE"""),8688.0)</f>
        <v>8688</v>
      </c>
      <c r="D3541" s="9"/>
      <c r="E3541" s="10" t="str">
        <f>IFERROR(__xludf.DUMMYFUNCTION("""COMPUTED_VALUE"""),"GREENRELAIS")</f>
        <v>GREENRELAIS</v>
      </c>
      <c r="F3541" s="10">
        <f>IFERROR(__xludf.DUMMYFUNCTION("""COMPUTED_VALUE"""),11.28)</f>
        <v>11.28</v>
      </c>
      <c r="G3541" s="9">
        <f>IFERROR(__xludf.DUMMYFUNCTION("""COMPUTED_VALUE"""),11.28)</f>
        <v>11.28</v>
      </c>
      <c r="H3541" s="9">
        <f>IFERROR(__xludf.DUMMYFUNCTION("""COMPUTED_VALUE"""),1.0)</f>
        <v>1</v>
      </c>
      <c r="I3541" s="9"/>
      <c r="J3541" s="9"/>
      <c r="K3541" s="9"/>
      <c r="L3541" s="9"/>
      <c r="M3541" s="9"/>
      <c r="N3541" s="9"/>
      <c r="O3541" s="9"/>
      <c r="P3541" s="9"/>
      <c r="Q3541" s="9"/>
      <c r="R3541" s="9"/>
      <c r="S3541" s="9"/>
      <c r="T3541" s="9"/>
    </row>
    <row r="3542" ht="15.75" customHeight="1">
      <c r="A3542" s="11">
        <f>IFERROR(__xludf.DUMMYFUNCTION("""COMPUTED_VALUE"""),44471.0)</f>
        <v>44471</v>
      </c>
      <c r="B3542" s="9">
        <f>IFERROR(__xludf.DUMMYFUNCTION("""COMPUTED_VALUE"""),1003798.0)</f>
        <v>1003798</v>
      </c>
      <c r="C3542" s="9">
        <f>IFERROR(__xludf.DUMMYFUNCTION("""COMPUTED_VALUE"""),47325.0)</f>
        <v>47325</v>
      </c>
      <c r="D3542" s="9"/>
      <c r="E3542" s="10" t="str">
        <f>IFERROR(__xludf.DUMMYFUNCTION("""COMPUTED_VALUE"""),"GREENRELAIS")</f>
        <v>GREENRELAIS</v>
      </c>
      <c r="F3542" s="10">
        <f>IFERROR(__xludf.DUMMYFUNCTION("""COMPUTED_VALUE"""),5.17)</f>
        <v>5.17</v>
      </c>
      <c r="G3542" s="9">
        <f>IFERROR(__xludf.DUMMYFUNCTION("""COMPUTED_VALUE"""),5.17)</f>
        <v>5.17</v>
      </c>
      <c r="H3542" s="9">
        <f>IFERROR(__xludf.DUMMYFUNCTION("""COMPUTED_VALUE"""),1.0)</f>
        <v>1</v>
      </c>
      <c r="I3542" s="9"/>
      <c r="J3542" s="9"/>
      <c r="K3542" s="9"/>
      <c r="L3542" s="9"/>
      <c r="M3542" s="9"/>
      <c r="N3542" s="9"/>
      <c r="O3542" s="9"/>
      <c r="P3542" s="9"/>
      <c r="Q3542" s="9"/>
      <c r="R3542" s="9"/>
      <c r="S3542" s="9"/>
      <c r="T3542" s="9"/>
    </row>
    <row r="3543" ht="15.75" customHeight="1">
      <c r="A3543" s="11">
        <f>IFERROR(__xludf.DUMMYFUNCTION("""COMPUTED_VALUE"""),44471.0)</f>
        <v>44471</v>
      </c>
      <c r="B3543" s="9">
        <f>IFERROR(__xludf.DUMMYFUNCTION("""COMPUTED_VALUE"""),1003798.0)</f>
        <v>1003798</v>
      </c>
      <c r="C3543" s="9">
        <f>IFERROR(__xludf.DUMMYFUNCTION("""COMPUTED_VALUE"""),110000.0)</f>
        <v>110000</v>
      </c>
      <c r="D3543" s="9"/>
      <c r="E3543" s="10" t="str">
        <f>IFERROR(__xludf.DUMMYFUNCTION("""COMPUTED_VALUE"""),"GREENRELAIS")</f>
        <v>GREENRELAIS</v>
      </c>
      <c r="F3543" s="10">
        <f>IFERROR(__xludf.DUMMYFUNCTION("""COMPUTED_VALUE"""),2.72)</f>
        <v>2.72</v>
      </c>
      <c r="G3543" s="9">
        <f>IFERROR(__xludf.DUMMYFUNCTION("""COMPUTED_VALUE"""),2.72)</f>
        <v>2.72</v>
      </c>
      <c r="H3543" s="9">
        <f>IFERROR(__xludf.DUMMYFUNCTION("""COMPUTED_VALUE"""),1.0)</f>
        <v>1</v>
      </c>
      <c r="I3543" s="9"/>
      <c r="J3543" s="9"/>
      <c r="K3543" s="9"/>
      <c r="L3543" s="9"/>
      <c r="M3543" s="9"/>
      <c r="N3543" s="9"/>
      <c r="O3543" s="9"/>
      <c r="P3543" s="9"/>
      <c r="Q3543" s="9"/>
      <c r="R3543" s="9"/>
      <c r="S3543" s="9"/>
      <c r="T3543" s="9"/>
    </row>
    <row r="3544" ht="15.75" customHeight="1">
      <c r="A3544" s="11">
        <f>IFERROR(__xludf.DUMMYFUNCTION("""COMPUTED_VALUE"""),44471.0)</f>
        <v>44471</v>
      </c>
      <c r="B3544" s="9">
        <f>IFERROR(__xludf.DUMMYFUNCTION("""COMPUTED_VALUE"""),1003798.0)</f>
        <v>1003798</v>
      </c>
      <c r="C3544" s="9">
        <f>IFERROR(__xludf.DUMMYFUNCTION("""COMPUTED_VALUE"""),100035.0)</f>
        <v>100035</v>
      </c>
      <c r="D3544" s="9"/>
      <c r="E3544" s="10" t="str">
        <f>IFERROR(__xludf.DUMMYFUNCTION("""COMPUTED_VALUE"""),"GREENRELAIS")</f>
        <v>GREENRELAIS</v>
      </c>
      <c r="F3544" s="10">
        <f>IFERROR(__xludf.DUMMYFUNCTION("""COMPUTED_VALUE"""),11.15)</f>
        <v>11.15</v>
      </c>
      <c r="G3544" s="9">
        <f>IFERROR(__xludf.DUMMYFUNCTION("""COMPUTED_VALUE"""),11.15)</f>
        <v>11.15</v>
      </c>
      <c r="H3544" s="9">
        <f>IFERROR(__xludf.DUMMYFUNCTION("""COMPUTED_VALUE"""),1.0)</f>
        <v>1</v>
      </c>
      <c r="I3544" s="9"/>
      <c r="J3544" s="9"/>
      <c r="K3544" s="9"/>
      <c r="L3544" s="9"/>
      <c r="M3544" s="9"/>
      <c r="N3544" s="9"/>
      <c r="O3544" s="9"/>
      <c r="P3544" s="9"/>
      <c r="Q3544" s="9"/>
      <c r="R3544" s="9"/>
      <c r="S3544" s="9"/>
      <c r="T3544" s="9"/>
    </row>
    <row r="3545" ht="15.75" customHeight="1">
      <c r="A3545" s="11">
        <f>IFERROR(__xludf.DUMMYFUNCTION("""COMPUTED_VALUE"""),44471.0)</f>
        <v>44471</v>
      </c>
      <c r="B3545" s="9">
        <f>IFERROR(__xludf.DUMMYFUNCTION("""COMPUTED_VALUE"""),1003799.0)</f>
        <v>1003799</v>
      </c>
      <c r="C3545" s="9">
        <f>IFERROR(__xludf.DUMMYFUNCTION("""COMPUTED_VALUE"""),113716.0)</f>
        <v>113716</v>
      </c>
      <c r="D3545" s="9"/>
      <c r="E3545" s="9"/>
      <c r="F3545" s="9">
        <f>IFERROR(__xludf.DUMMYFUNCTION("""COMPUTED_VALUE"""),19.16)</f>
        <v>19.16</v>
      </c>
      <c r="G3545" s="9">
        <f>IFERROR(__xludf.DUMMYFUNCTION("""COMPUTED_VALUE"""),19.16)</f>
        <v>19.16</v>
      </c>
      <c r="H3545" s="9">
        <f>IFERROR(__xludf.DUMMYFUNCTION("""COMPUTED_VALUE"""),1.0)</f>
        <v>1</v>
      </c>
      <c r="I3545" s="9"/>
      <c r="J3545" s="9"/>
      <c r="K3545" s="9"/>
      <c r="L3545" s="9"/>
      <c r="M3545" s="9"/>
      <c r="N3545" s="9"/>
      <c r="O3545" s="9"/>
      <c r="P3545" s="9"/>
      <c r="Q3545" s="9"/>
      <c r="R3545" s="9"/>
      <c r="S3545" s="9"/>
      <c r="T3545" s="9"/>
    </row>
    <row r="3546" ht="15.75" customHeight="1">
      <c r="A3546" s="11">
        <f>IFERROR(__xludf.DUMMYFUNCTION("""COMPUTED_VALUE"""),44471.0)</f>
        <v>44471</v>
      </c>
      <c r="B3546" s="9">
        <f>IFERROR(__xludf.DUMMYFUNCTION("""COMPUTED_VALUE"""),1003800.0)</f>
        <v>1003800</v>
      </c>
      <c r="C3546" s="9">
        <f>IFERROR(__xludf.DUMMYFUNCTION("""COMPUTED_VALUE"""),75215.0)</f>
        <v>75215</v>
      </c>
      <c r="D3546" s="9"/>
      <c r="E3546" s="9"/>
      <c r="F3546" s="9">
        <f>IFERROR(__xludf.DUMMYFUNCTION("""COMPUTED_VALUE"""),16.08)</f>
        <v>16.08</v>
      </c>
      <c r="G3546" s="9">
        <f>IFERROR(__xludf.DUMMYFUNCTION("""COMPUTED_VALUE"""),16.08)</f>
        <v>16.08</v>
      </c>
      <c r="H3546" s="9">
        <f>IFERROR(__xludf.DUMMYFUNCTION("""COMPUTED_VALUE"""),1.0)</f>
        <v>1</v>
      </c>
      <c r="I3546" s="9"/>
      <c r="J3546" s="9"/>
      <c r="K3546" s="9"/>
      <c r="L3546" s="9"/>
      <c r="M3546" s="9"/>
      <c r="N3546" s="9"/>
      <c r="O3546" s="9"/>
      <c r="P3546" s="9"/>
      <c r="Q3546" s="9"/>
      <c r="R3546" s="9"/>
      <c r="S3546" s="9"/>
      <c r="T3546" s="9"/>
    </row>
    <row r="3547" ht="15.75" customHeight="1">
      <c r="A3547" s="11">
        <f>IFERROR(__xludf.DUMMYFUNCTION("""COMPUTED_VALUE"""),44471.0)</f>
        <v>44471</v>
      </c>
      <c r="B3547" s="9">
        <f>IFERROR(__xludf.DUMMYFUNCTION("""COMPUTED_VALUE"""),1003800.0)</f>
        <v>1003800</v>
      </c>
      <c r="C3547" s="9">
        <f>IFERROR(__xludf.DUMMYFUNCTION("""COMPUTED_VALUE"""),70585.0)</f>
        <v>70585</v>
      </c>
      <c r="D3547" s="10" t="str">
        <f>IFERROR(__xludf.DUMMYFUNCTION("""COMPUTED_VALUE"""),"dlc courte")</f>
        <v>dlc courte</v>
      </c>
      <c r="E3547" s="10"/>
      <c r="F3547" s="9">
        <f>IFERROR(__xludf.DUMMYFUNCTION("""COMPUTED_VALUE"""),2.56)</f>
        <v>2.56</v>
      </c>
      <c r="G3547" s="9">
        <f>IFERROR(__xludf.DUMMYFUNCTION("""COMPUTED_VALUE"""),1.28)</f>
        <v>1.28</v>
      </c>
      <c r="H3547" s="9">
        <f>IFERROR(__xludf.DUMMYFUNCTION("""COMPUTED_VALUE"""),1.0)</f>
        <v>1</v>
      </c>
      <c r="I3547" s="9"/>
      <c r="J3547" s="9"/>
      <c r="K3547" s="9"/>
      <c r="L3547" s="9"/>
      <c r="M3547" s="9"/>
      <c r="N3547" s="9"/>
      <c r="O3547" s="9"/>
      <c r="P3547" s="9"/>
      <c r="Q3547" s="9"/>
      <c r="R3547" s="9"/>
      <c r="S3547" s="9"/>
      <c r="T3547" s="9"/>
    </row>
    <row r="3548" ht="15.75" customHeight="1">
      <c r="A3548" s="11">
        <f>IFERROR(__xludf.DUMMYFUNCTION("""COMPUTED_VALUE"""),44471.0)</f>
        <v>44471</v>
      </c>
      <c r="B3548" s="9">
        <f>IFERROR(__xludf.DUMMYFUNCTION("""COMPUTED_VALUE"""),1003800.0)</f>
        <v>1003800</v>
      </c>
      <c r="C3548" s="9">
        <f>IFERROR(__xludf.DUMMYFUNCTION("""COMPUTED_VALUE"""),128339.0)</f>
        <v>128339</v>
      </c>
      <c r="D3548" s="10" t="str">
        <f>IFERROR(__xludf.DUMMYFUNCTION("""COMPUTED_VALUE"""),"dlc courte")</f>
        <v>dlc courte</v>
      </c>
      <c r="E3548" s="10"/>
      <c r="F3548" s="9">
        <f>IFERROR(__xludf.DUMMYFUNCTION("""COMPUTED_VALUE"""),4.12)</f>
        <v>4.12</v>
      </c>
      <c r="G3548" s="9">
        <f>IFERROR(__xludf.DUMMYFUNCTION("""COMPUTED_VALUE"""),2.06)</f>
        <v>2.06</v>
      </c>
      <c r="H3548" s="9">
        <f>IFERROR(__xludf.DUMMYFUNCTION("""COMPUTED_VALUE"""),1.0)</f>
        <v>1</v>
      </c>
      <c r="I3548" s="9"/>
      <c r="J3548" s="9"/>
      <c r="K3548" s="9"/>
      <c r="L3548" s="9"/>
      <c r="M3548" s="9"/>
      <c r="N3548" s="9"/>
      <c r="O3548" s="9"/>
      <c r="P3548" s="9"/>
      <c r="Q3548" s="9"/>
      <c r="R3548" s="9"/>
      <c r="S3548" s="9"/>
      <c r="T3548" s="9"/>
    </row>
    <row r="3549" ht="15.75" customHeight="1">
      <c r="A3549" s="11">
        <f>IFERROR(__xludf.DUMMYFUNCTION("""COMPUTED_VALUE"""),44471.0)</f>
        <v>44471</v>
      </c>
      <c r="B3549" s="9">
        <f>IFERROR(__xludf.DUMMYFUNCTION("""COMPUTED_VALUE"""),1003800.0)</f>
        <v>1003800</v>
      </c>
      <c r="C3549" s="9">
        <f>IFERROR(__xludf.DUMMYFUNCTION("""COMPUTED_VALUE"""),120369.0)</f>
        <v>120369</v>
      </c>
      <c r="D3549" s="10" t="str">
        <f>IFERROR(__xludf.DUMMYFUNCTION("""COMPUTED_VALUE"""),"DLUO BU2")</f>
        <v>DLUO BU2</v>
      </c>
      <c r="E3549" s="10"/>
      <c r="F3549" s="9">
        <f>IFERROR(__xludf.DUMMYFUNCTION("""COMPUTED_VALUE"""),18.56)</f>
        <v>18.56</v>
      </c>
      <c r="G3549" s="9">
        <f>IFERROR(__xludf.DUMMYFUNCTION("""COMPUTED_VALUE"""),9.28)</f>
        <v>9.28</v>
      </c>
      <c r="H3549" s="9">
        <f>IFERROR(__xludf.DUMMYFUNCTION("""COMPUTED_VALUE"""),1.0)</f>
        <v>1</v>
      </c>
      <c r="I3549" s="9"/>
      <c r="J3549" s="9"/>
      <c r="K3549" s="9"/>
      <c r="L3549" s="9"/>
      <c r="M3549" s="9"/>
      <c r="N3549" s="9"/>
      <c r="O3549" s="9"/>
      <c r="P3549" s="9"/>
      <c r="Q3549" s="9"/>
      <c r="R3549" s="9"/>
      <c r="S3549" s="9"/>
      <c r="T3549" s="9"/>
    </row>
    <row r="3550" ht="15.75" customHeight="1">
      <c r="A3550" s="11">
        <f>IFERROR(__xludf.DUMMYFUNCTION("""COMPUTED_VALUE"""),44471.0)</f>
        <v>44471</v>
      </c>
      <c r="B3550" s="9">
        <f>IFERROR(__xludf.DUMMYFUNCTION("""COMPUTED_VALUE"""),1003800.0)</f>
        <v>1003800</v>
      </c>
      <c r="C3550" s="9">
        <f>IFERROR(__xludf.DUMMYFUNCTION("""COMPUTED_VALUE"""),82408.0)</f>
        <v>82408</v>
      </c>
      <c r="D3550" s="10" t="str">
        <f>IFERROR(__xludf.DUMMYFUNCTION("""COMPUTED_VALUE"""),"dlc courte")</f>
        <v>dlc courte</v>
      </c>
      <c r="E3550" s="10"/>
      <c r="F3550" s="9">
        <f>IFERROR(__xludf.DUMMYFUNCTION("""COMPUTED_VALUE"""),4.46)</f>
        <v>4.46</v>
      </c>
      <c r="G3550" s="9">
        <f>IFERROR(__xludf.DUMMYFUNCTION("""COMPUTED_VALUE"""),2.23)</f>
        <v>2.23</v>
      </c>
      <c r="H3550" s="9">
        <f>IFERROR(__xludf.DUMMYFUNCTION("""COMPUTED_VALUE"""),1.0)</f>
        <v>1</v>
      </c>
      <c r="I3550" s="9"/>
      <c r="J3550" s="9"/>
      <c r="K3550" s="9"/>
      <c r="L3550" s="9"/>
      <c r="M3550" s="9"/>
      <c r="N3550" s="9"/>
      <c r="O3550" s="9"/>
      <c r="P3550" s="9"/>
      <c r="Q3550" s="9"/>
      <c r="R3550" s="9"/>
      <c r="S3550" s="9"/>
      <c r="T3550" s="9"/>
    </row>
    <row r="3551" ht="15.75" customHeight="1">
      <c r="A3551" s="11">
        <f>IFERROR(__xludf.DUMMYFUNCTION("""COMPUTED_VALUE"""),44471.0)</f>
        <v>44471</v>
      </c>
      <c r="B3551" s="9">
        <f>IFERROR(__xludf.DUMMYFUNCTION("""COMPUTED_VALUE"""),1003800.0)</f>
        <v>1003800</v>
      </c>
      <c r="C3551" s="9">
        <f>IFERROR(__xludf.DUMMYFUNCTION("""COMPUTED_VALUE"""),29587.0)</f>
        <v>29587</v>
      </c>
      <c r="D3551" s="9"/>
      <c r="E3551" s="9"/>
      <c r="F3551" s="9">
        <f>IFERROR(__xludf.DUMMYFUNCTION("""COMPUTED_VALUE"""),6.47)</f>
        <v>6.47</v>
      </c>
      <c r="G3551" s="9">
        <f>IFERROR(__xludf.DUMMYFUNCTION("""COMPUTED_VALUE"""),6.47)</f>
        <v>6.47</v>
      </c>
      <c r="H3551" s="9">
        <f>IFERROR(__xludf.DUMMYFUNCTION("""COMPUTED_VALUE"""),1.0)</f>
        <v>1</v>
      </c>
      <c r="I3551" s="9"/>
      <c r="J3551" s="9"/>
      <c r="K3551" s="9"/>
      <c r="L3551" s="9"/>
      <c r="M3551" s="9"/>
      <c r="N3551" s="9"/>
      <c r="O3551" s="9"/>
      <c r="P3551" s="9"/>
      <c r="Q3551" s="9"/>
      <c r="R3551" s="9"/>
      <c r="S3551" s="9"/>
      <c r="T3551" s="9"/>
    </row>
    <row r="3552" ht="15.75" customHeight="1">
      <c r="A3552" s="11">
        <f>IFERROR(__xludf.DUMMYFUNCTION("""COMPUTED_VALUE"""),44471.0)</f>
        <v>44471</v>
      </c>
      <c r="B3552" s="9">
        <f>IFERROR(__xludf.DUMMYFUNCTION("""COMPUTED_VALUE"""),1003800.0)</f>
        <v>1003800</v>
      </c>
      <c r="C3552" s="9">
        <f>IFERROR(__xludf.DUMMYFUNCTION("""COMPUTED_VALUE"""),124748.0)</f>
        <v>124748</v>
      </c>
      <c r="D3552" s="10" t="str">
        <f>IFERROR(__xludf.DUMMYFUNCTION("""COMPUTED_VALUE"""),"DLC courtes")</f>
        <v>DLC courtes</v>
      </c>
      <c r="E3552" s="10"/>
      <c r="F3552" s="9">
        <f>IFERROR(__xludf.DUMMYFUNCTION("""COMPUTED_VALUE"""),16.54)</f>
        <v>16.54</v>
      </c>
      <c r="G3552" s="9">
        <f>IFERROR(__xludf.DUMMYFUNCTION("""COMPUTED_VALUE"""),8.27)</f>
        <v>8.27</v>
      </c>
      <c r="H3552" s="9">
        <f>IFERROR(__xludf.DUMMYFUNCTION("""COMPUTED_VALUE"""),2.0)</f>
        <v>2</v>
      </c>
      <c r="I3552" s="9"/>
      <c r="J3552" s="9"/>
      <c r="K3552" s="9"/>
      <c r="L3552" s="9"/>
      <c r="M3552" s="9"/>
      <c r="N3552" s="9"/>
      <c r="O3552" s="9"/>
      <c r="P3552" s="9"/>
      <c r="Q3552" s="9"/>
      <c r="R3552" s="9"/>
      <c r="S3552" s="9"/>
      <c r="T3552" s="9"/>
    </row>
    <row r="3553" ht="15.75" customHeight="1">
      <c r="A3553" s="11">
        <f>IFERROR(__xludf.DUMMYFUNCTION("""COMPUTED_VALUE"""),44471.0)</f>
        <v>44471</v>
      </c>
      <c r="B3553" s="9">
        <f>IFERROR(__xludf.DUMMYFUNCTION("""COMPUTED_VALUE"""),1003800.0)</f>
        <v>1003800</v>
      </c>
      <c r="C3553" s="9">
        <f>IFERROR(__xludf.DUMMYFUNCTION("""COMPUTED_VALUE"""),106731.0)</f>
        <v>106731</v>
      </c>
      <c r="D3553" s="10" t="str">
        <f>IFERROR(__xludf.DUMMYFUNCTION("""COMPUTED_VALUE"""),"DLC courtes")</f>
        <v>DLC courtes</v>
      </c>
      <c r="E3553" s="10"/>
      <c r="F3553" s="9">
        <f>IFERROR(__xludf.DUMMYFUNCTION("""COMPUTED_VALUE"""),9.72941176470588)</f>
        <v>9.729411765</v>
      </c>
      <c r="G3553" s="9">
        <f>IFERROR(__xludf.DUMMYFUNCTION("""COMPUTED_VALUE"""),8.27)</f>
        <v>8.27</v>
      </c>
      <c r="H3553" s="9">
        <f>IFERROR(__xludf.DUMMYFUNCTION("""COMPUTED_VALUE"""),3.0)</f>
        <v>3</v>
      </c>
      <c r="I3553" s="9"/>
      <c r="J3553" s="9"/>
      <c r="K3553" s="9"/>
      <c r="L3553" s="9"/>
      <c r="M3553" s="9"/>
      <c r="N3553" s="9"/>
      <c r="O3553" s="9"/>
      <c r="P3553" s="9"/>
      <c r="Q3553" s="9"/>
      <c r="R3553" s="9"/>
      <c r="S3553" s="9"/>
      <c r="T3553" s="9"/>
    </row>
    <row r="3554" ht="15.75" customHeight="1">
      <c r="A3554" s="11">
        <f>IFERROR(__xludf.DUMMYFUNCTION("""COMPUTED_VALUE"""),44471.0)</f>
        <v>44471</v>
      </c>
      <c r="B3554" s="9">
        <f>IFERROR(__xludf.DUMMYFUNCTION("""COMPUTED_VALUE"""),1003800.0)</f>
        <v>1003800</v>
      </c>
      <c r="C3554" s="9">
        <f>IFERROR(__xludf.DUMMYFUNCTION("""COMPUTED_VALUE"""),80299.0)</f>
        <v>80299</v>
      </c>
      <c r="D3554" s="10" t="str">
        <f>IFERROR(__xludf.DUMMYFUNCTION("""COMPUTED_VALUE"""),"DLC courtes")</f>
        <v>DLC courtes</v>
      </c>
      <c r="E3554" s="10"/>
      <c r="F3554" s="9">
        <f>IFERROR(__xludf.DUMMYFUNCTION("""COMPUTED_VALUE"""),20.02)</f>
        <v>20.02</v>
      </c>
      <c r="G3554" s="9">
        <f>IFERROR(__xludf.DUMMYFUNCTION("""COMPUTED_VALUE"""),10.01)</f>
        <v>10.01</v>
      </c>
      <c r="H3554" s="9">
        <f>IFERROR(__xludf.DUMMYFUNCTION("""COMPUTED_VALUE"""),3.0)</f>
        <v>3</v>
      </c>
      <c r="I3554" s="9"/>
      <c r="J3554" s="9"/>
      <c r="K3554" s="9"/>
      <c r="L3554" s="9"/>
      <c r="M3554" s="9"/>
      <c r="N3554" s="9"/>
      <c r="O3554" s="9"/>
      <c r="P3554" s="9"/>
      <c r="Q3554" s="9"/>
      <c r="R3554" s="9"/>
      <c r="S3554" s="9"/>
      <c r="T3554" s="9"/>
    </row>
    <row r="3555" ht="15.75" customHeight="1">
      <c r="A3555" s="11">
        <f>IFERROR(__xludf.DUMMYFUNCTION("""COMPUTED_VALUE"""),44471.0)</f>
        <v>44471</v>
      </c>
      <c r="B3555" s="9">
        <f>IFERROR(__xludf.DUMMYFUNCTION("""COMPUTED_VALUE"""),1003800.0)</f>
        <v>1003800</v>
      </c>
      <c r="C3555" s="9">
        <f>IFERROR(__xludf.DUMMYFUNCTION("""COMPUTED_VALUE"""),111576.0)</f>
        <v>111576</v>
      </c>
      <c r="D3555" s="10" t="str">
        <f>IFERROR(__xludf.DUMMYFUNCTION("""COMPUTED_VALUE"""),"dlc courte")</f>
        <v>dlc courte</v>
      </c>
      <c r="E3555" s="10"/>
      <c r="F3555" s="9">
        <f>IFERROR(__xludf.DUMMYFUNCTION("""COMPUTED_VALUE"""),30.06)</f>
        <v>30.06</v>
      </c>
      <c r="G3555" s="9">
        <f>IFERROR(__xludf.DUMMYFUNCTION("""COMPUTED_VALUE"""),15.03)</f>
        <v>15.03</v>
      </c>
      <c r="H3555" s="9">
        <f>IFERROR(__xludf.DUMMYFUNCTION("""COMPUTED_VALUE"""),3.0)</f>
        <v>3</v>
      </c>
      <c r="I3555" s="9"/>
      <c r="J3555" s="9"/>
      <c r="K3555" s="9"/>
      <c r="L3555" s="9"/>
      <c r="M3555" s="9"/>
      <c r="N3555" s="9"/>
      <c r="O3555" s="9"/>
      <c r="P3555" s="9"/>
      <c r="Q3555" s="9"/>
      <c r="R3555" s="9"/>
      <c r="S3555" s="9"/>
      <c r="T3555" s="9"/>
    </row>
    <row r="3556" ht="15.75" customHeight="1">
      <c r="A3556" s="11">
        <f>IFERROR(__xludf.DUMMYFUNCTION("""COMPUTED_VALUE"""),44471.0)</f>
        <v>44471</v>
      </c>
      <c r="B3556" s="9">
        <f>IFERROR(__xludf.DUMMYFUNCTION("""COMPUTED_VALUE"""),1003800.0)</f>
        <v>1003800</v>
      </c>
      <c r="C3556" s="9">
        <f>IFERROR(__xludf.DUMMYFUNCTION("""COMPUTED_VALUE"""),94055.0)</f>
        <v>94055</v>
      </c>
      <c r="D3556" s="10" t="str">
        <f>IFERROR(__xludf.DUMMYFUNCTION("""COMPUTED_VALUE"""),"dlc courte")</f>
        <v>dlc courte</v>
      </c>
      <c r="E3556" s="10"/>
      <c r="F3556" s="9">
        <f>IFERROR(__xludf.DUMMYFUNCTION("""COMPUTED_VALUE"""),18.34)</f>
        <v>18.34</v>
      </c>
      <c r="G3556" s="9">
        <f>IFERROR(__xludf.DUMMYFUNCTION("""COMPUTED_VALUE"""),9.17)</f>
        <v>9.17</v>
      </c>
      <c r="H3556" s="9">
        <f>IFERROR(__xludf.DUMMYFUNCTION("""COMPUTED_VALUE"""),3.0)</f>
        <v>3</v>
      </c>
      <c r="I3556" s="9"/>
      <c r="J3556" s="9"/>
      <c r="K3556" s="9"/>
      <c r="L3556" s="9"/>
      <c r="M3556" s="9"/>
      <c r="N3556" s="9"/>
      <c r="O3556" s="9"/>
      <c r="P3556" s="9"/>
      <c r="Q3556" s="9"/>
      <c r="R3556" s="9"/>
      <c r="S3556" s="9"/>
      <c r="T3556" s="9"/>
    </row>
    <row r="3557" ht="15.75" customHeight="1">
      <c r="A3557" s="11">
        <f>IFERROR(__xludf.DUMMYFUNCTION("""COMPUTED_VALUE"""),44471.0)</f>
        <v>44471</v>
      </c>
      <c r="B3557" s="9">
        <f>IFERROR(__xludf.DUMMYFUNCTION("""COMPUTED_VALUE"""),1003800.0)</f>
        <v>1003800</v>
      </c>
      <c r="C3557" s="9">
        <f>IFERROR(__xludf.DUMMYFUNCTION("""COMPUTED_VALUE"""),118828.0)</f>
        <v>118828</v>
      </c>
      <c r="D3557" s="10" t="str">
        <f>IFERROR(__xludf.DUMMYFUNCTION("""COMPUTED_VALUE"""),"Offre speciale")</f>
        <v>Offre speciale</v>
      </c>
      <c r="E3557" s="10"/>
      <c r="F3557" s="9">
        <f>IFERROR(__xludf.DUMMYFUNCTION("""COMPUTED_VALUE"""),13.5058823529411)</f>
        <v>13.50588235</v>
      </c>
      <c r="G3557" s="9">
        <f>IFERROR(__xludf.DUMMYFUNCTION("""COMPUTED_VALUE"""),11.48)</f>
        <v>11.48</v>
      </c>
      <c r="H3557" s="9">
        <f>IFERROR(__xludf.DUMMYFUNCTION("""COMPUTED_VALUE"""),4.0)</f>
        <v>4</v>
      </c>
      <c r="I3557" s="9"/>
      <c r="J3557" s="9"/>
      <c r="K3557" s="9"/>
      <c r="L3557" s="9"/>
      <c r="M3557" s="9"/>
      <c r="N3557" s="9"/>
      <c r="O3557" s="9"/>
      <c r="P3557" s="9"/>
      <c r="Q3557" s="9"/>
      <c r="R3557" s="9"/>
      <c r="S3557" s="9"/>
      <c r="T3557" s="9"/>
    </row>
    <row r="3558" ht="15.75" customHeight="1">
      <c r="A3558" s="11">
        <f>IFERROR(__xludf.DUMMYFUNCTION("""COMPUTED_VALUE"""),44471.0)</f>
        <v>44471</v>
      </c>
      <c r="B3558" s="9">
        <f>IFERROR(__xludf.DUMMYFUNCTION("""COMPUTED_VALUE"""),1003801.0)</f>
        <v>1003801</v>
      </c>
      <c r="C3558" s="9">
        <f>IFERROR(__xludf.DUMMYFUNCTION("""COMPUTED_VALUE"""),101946.0)</f>
        <v>101946</v>
      </c>
      <c r="D3558" s="9"/>
      <c r="E3558" s="9"/>
      <c r="F3558" s="9">
        <f>IFERROR(__xludf.DUMMYFUNCTION("""COMPUTED_VALUE"""),34.99)</f>
        <v>34.99</v>
      </c>
      <c r="G3558" s="9">
        <f>IFERROR(__xludf.DUMMYFUNCTION("""COMPUTED_VALUE"""),34.99)</f>
        <v>34.99</v>
      </c>
      <c r="H3558" s="9">
        <f>IFERROR(__xludf.DUMMYFUNCTION("""COMPUTED_VALUE"""),1.0)</f>
        <v>1</v>
      </c>
      <c r="I3558" s="9"/>
      <c r="J3558" s="9"/>
      <c r="K3558" s="9"/>
      <c r="L3558" s="9"/>
      <c r="M3558" s="9"/>
      <c r="N3558" s="9"/>
      <c r="O3558" s="9"/>
      <c r="P3558" s="9"/>
      <c r="Q3558" s="9"/>
      <c r="R3558" s="9"/>
      <c r="S3558" s="9"/>
      <c r="T3558" s="9"/>
    </row>
    <row r="3559" ht="15.75" customHeight="1">
      <c r="A3559" s="11">
        <f>IFERROR(__xludf.DUMMYFUNCTION("""COMPUTED_VALUE"""),44471.0)</f>
        <v>44471</v>
      </c>
      <c r="B3559" s="9">
        <f>IFERROR(__xludf.DUMMYFUNCTION("""COMPUTED_VALUE"""),1003802.0)</f>
        <v>1003802</v>
      </c>
      <c r="C3559" s="9">
        <f>IFERROR(__xludf.DUMMYFUNCTION("""COMPUTED_VALUE"""),86111.0)</f>
        <v>86111</v>
      </c>
      <c r="D3559" s="9"/>
      <c r="E3559" s="10" t="str">
        <f>IFERROR(__xludf.DUMMYFUNCTION("""COMPUTED_VALUE"""),"HAPPEEZ")</f>
        <v>HAPPEEZ</v>
      </c>
      <c r="F3559" s="10">
        <f>IFERROR(__xludf.DUMMYFUNCTION("""COMPUTED_VALUE"""),3.38)</f>
        <v>3.38</v>
      </c>
      <c r="G3559" s="9">
        <f>IFERROR(__xludf.DUMMYFUNCTION("""COMPUTED_VALUE"""),3.38)</f>
        <v>3.38</v>
      </c>
      <c r="H3559" s="9">
        <f>IFERROR(__xludf.DUMMYFUNCTION("""COMPUTED_VALUE"""),1.0)</f>
        <v>1</v>
      </c>
      <c r="I3559" s="9"/>
      <c r="J3559" s="9"/>
      <c r="K3559" s="9"/>
      <c r="L3559" s="9"/>
      <c r="M3559" s="9"/>
      <c r="N3559" s="9"/>
      <c r="O3559" s="9"/>
      <c r="P3559" s="9"/>
      <c r="Q3559" s="9"/>
      <c r="R3559" s="9"/>
      <c r="S3559" s="9"/>
      <c r="T3559" s="9"/>
    </row>
    <row r="3560" ht="15.75" customHeight="1">
      <c r="A3560" s="11">
        <f>IFERROR(__xludf.DUMMYFUNCTION("""COMPUTED_VALUE"""),44471.0)</f>
        <v>44471</v>
      </c>
      <c r="B3560" s="9">
        <f>IFERROR(__xludf.DUMMYFUNCTION("""COMPUTED_VALUE"""),1003802.0)</f>
        <v>1003802</v>
      </c>
      <c r="C3560" s="9">
        <f>IFERROR(__xludf.DUMMYFUNCTION("""COMPUTED_VALUE"""),87072.0)</f>
        <v>87072</v>
      </c>
      <c r="D3560" s="10" t="str">
        <f>IFERROR(__xludf.DUMMYFUNCTION("""COMPUTED_VALUE"""),"Vive le bio")</f>
        <v>Vive le bio</v>
      </c>
      <c r="E3560" s="10" t="str">
        <f>IFERROR(__xludf.DUMMYFUNCTION("""COMPUTED_VALUE"""),"HAPPEEZ")</f>
        <v>HAPPEEZ</v>
      </c>
      <c r="F3560" s="10">
        <f>IFERROR(__xludf.DUMMYFUNCTION("""COMPUTED_VALUE"""),7.34444444444444)</f>
        <v>7.344444444</v>
      </c>
      <c r="G3560" s="9">
        <f>IFERROR(__xludf.DUMMYFUNCTION("""COMPUTED_VALUE"""),6.61)</f>
        <v>6.61</v>
      </c>
      <c r="H3560" s="9">
        <f>IFERROR(__xludf.DUMMYFUNCTION("""COMPUTED_VALUE"""),1.0)</f>
        <v>1</v>
      </c>
      <c r="I3560" s="9"/>
      <c r="J3560" s="9"/>
      <c r="K3560" s="9"/>
      <c r="L3560" s="9"/>
      <c r="M3560" s="9"/>
      <c r="N3560" s="9"/>
      <c r="O3560" s="9"/>
      <c r="P3560" s="9"/>
      <c r="Q3560" s="9"/>
      <c r="R3560" s="9"/>
      <c r="S3560" s="9"/>
      <c r="T3560" s="9"/>
    </row>
    <row r="3561" ht="15.75" customHeight="1">
      <c r="A3561" s="11">
        <f>IFERROR(__xludf.DUMMYFUNCTION("""COMPUTED_VALUE"""),44471.0)</f>
        <v>44471</v>
      </c>
      <c r="B3561" s="9">
        <f>IFERROR(__xludf.DUMMYFUNCTION("""COMPUTED_VALUE"""),1003802.0)</f>
        <v>1003802</v>
      </c>
      <c r="C3561" s="9">
        <f>IFERROR(__xludf.DUMMYFUNCTION("""COMPUTED_VALUE"""),86477.0)</f>
        <v>86477</v>
      </c>
      <c r="D3561" s="9"/>
      <c r="E3561" s="10" t="str">
        <f>IFERROR(__xludf.DUMMYFUNCTION("""COMPUTED_VALUE"""),"HAPPEEZ")</f>
        <v>HAPPEEZ</v>
      </c>
      <c r="F3561" s="10">
        <f>IFERROR(__xludf.DUMMYFUNCTION("""COMPUTED_VALUE"""),2.01)</f>
        <v>2.01</v>
      </c>
      <c r="G3561" s="9">
        <f>IFERROR(__xludf.DUMMYFUNCTION("""COMPUTED_VALUE"""),2.01)</f>
        <v>2.01</v>
      </c>
      <c r="H3561" s="9">
        <f>IFERROR(__xludf.DUMMYFUNCTION("""COMPUTED_VALUE"""),1.0)</f>
        <v>1</v>
      </c>
      <c r="I3561" s="9"/>
      <c r="J3561" s="9"/>
      <c r="K3561" s="9"/>
      <c r="L3561" s="9"/>
      <c r="M3561" s="9"/>
      <c r="N3561" s="9"/>
      <c r="O3561" s="9"/>
      <c r="P3561" s="9"/>
      <c r="Q3561" s="9"/>
      <c r="R3561" s="9"/>
      <c r="S3561" s="9"/>
      <c r="T3561" s="9"/>
    </row>
    <row r="3562" ht="15.75" customHeight="1">
      <c r="A3562" s="11">
        <f>IFERROR(__xludf.DUMMYFUNCTION("""COMPUTED_VALUE"""),44471.0)</f>
        <v>44471</v>
      </c>
      <c r="B3562" s="9">
        <f>IFERROR(__xludf.DUMMYFUNCTION("""COMPUTED_VALUE"""),1003802.0)</f>
        <v>1003802</v>
      </c>
      <c r="C3562" s="9">
        <f>IFERROR(__xludf.DUMMYFUNCTION("""COMPUTED_VALUE"""),70440.0)</f>
        <v>70440</v>
      </c>
      <c r="D3562" s="9"/>
      <c r="E3562" s="10" t="str">
        <f>IFERROR(__xludf.DUMMYFUNCTION("""COMPUTED_VALUE"""),"HAPPEEZ")</f>
        <v>HAPPEEZ</v>
      </c>
      <c r="F3562" s="10">
        <f>IFERROR(__xludf.DUMMYFUNCTION("""COMPUTED_VALUE"""),5.02)</f>
        <v>5.02</v>
      </c>
      <c r="G3562" s="9">
        <f>IFERROR(__xludf.DUMMYFUNCTION("""COMPUTED_VALUE"""),5.02)</f>
        <v>5.02</v>
      </c>
      <c r="H3562" s="9">
        <f>IFERROR(__xludf.DUMMYFUNCTION("""COMPUTED_VALUE"""),1.0)</f>
        <v>1</v>
      </c>
      <c r="I3562" s="9"/>
      <c r="J3562" s="9"/>
      <c r="K3562" s="9"/>
      <c r="L3562" s="9"/>
      <c r="M3562" s="9"/>
      <c r="N3562" s="9"/>
      <c r="O3562" s="9"/>
      <c r="P3562" s="9"/>
      <c r="Q3562" s="9"/>
      <c r="R3562" s="9"/>
      <c r="S3562" s="9"/>
      <c r="T3562" s="9"/>
    </row>
    <row r="3563" ht="15.75" customHeight="1">
      <c r="A3563" s="11">
        <f>IFERROR(__xludf.DUMMYFUNCTION("""COMPUTED_VALUE"""),44471.0)</f>
        <v>44471</v>
      </c>
      <c r="B3563" s="9">
        <f>IFERROR(__xludf.DUMMYFUNCTION("""COMPUTED_VALUE"""),1003802.0)</f>
        <v>1003802</v>
      </c>
      <c r="C3563" s="9">
        <f>IFERROR(__xludf.DUMMYFUNCTION("""COMPUTED_VALUE"""),99039.0)</f>
        <v>99039</v>
      </c>
      <c r="D3563" s="9"/>
      <c r="E3563" s="10" t="str">
        <f>IFERROR(__xludf.DUMMYFUNCTION("""COMPUTED_VALUE"""),"HAPPEEZ")</f>
        <v>HAPPEEZ</v>
      </c>
      <c r="F3563" s="10">
        <f>IFERROR(__xludf.DUMMYFUNCTION("""COMPUTED_VALUE"""),2.89)</f>
        <v>2.89</v>
      </c>
      <c r="G3563" s="9">
        <f>IFERROR(__xludf.DUMMYFUNCTION("""COMPUTED_VALUE"""),2.89)</f>
        <v>2.89</v>
      </c>
      <c r="H3563" s="9">
        <f>IFERROR(__xludf.DUMMYFUNCTION("""COMPUTED_VALUE"""),1.0)</f>
        <v>1</v>
      </c>
      <c r="I3563" s="9"/>
      <c r="J3563" s="9"/>
      <c r="K3563" s="9"/>
      <c r="L3563" s="9"/>
      <c r="M3563" s="9"/>
      <c r="N3563" s="9"/>
      <c r="O3563" s="9"/>
      <c r="P3563" s="9"/>
      <c r="Q3563" s="9"/>
      <c r="R3563" s="9"/>
      <c r="S3563" s="9"/>
      <c r="T3563" s="9"/>
    </row>
    <row r="3564" ht="15.75" customHeight="1">
      <c r="A3564" s="11">
        <f>IFERROR(__xludf.DUMMYFUNCTION("""COMPUTED_VALUE"""),44471.0)</f>
        <v>44471</v>
      </c>
      <c r="B3564" s="9">
        <f>IFERROR(__xludf.DUMMYFUNCTION("""COMPUTED_VALUE"""),1003802.0)</f>
        <v>1003802</v>
      </c>
      <c r="C3564" s="9">
        <f>IFERROR(__xludf.DUMMYFUNCTION("""COMPUTED_VALUE"""),111149.0)</f>
        <v>111149</v>
      </c>
      <c r="D3564" s="9"/>
      <c r="E3564" s="10" t="str">
        <f>IFERROR(__xludf.DUMMYFUNCTION("""COMPUTED_VALUE"""),"HAPPEEZ")</f>
        <v>HAPPEEZ</v>
      </c>
      <c r="F3564" s="10">
        <f>IFERROR(__xludf.DUMMYFUNCTION("""COMPUTED_VALUE"""),4.03)</f>
        <v>4.03</v>
      </c>
      <c r="G3564" s="9">
        <f>IFERROR(__xludf.DUMMYFUNCTION("""COMPUTED_VALUE"""),4.03)</f>
        <v>4.03</v>
      </c>
      <c r="H3564" s="9">
        <f>IFERROR(__xludf.DUMMYFUNCTION("""COMPUTED_VALUE"""),1.0)</f>
        <v>1</v>
      </c>
      <c r="I3564" s="9"/>
      <c r="J3564" s="9"/>
      <c r="K3564" s="9"/>
      <c r="L3564" s="9"/>
      <c r="M3564" s="9"/>
      <c r="N3564" s="9"/>
      <c r="O3564" s="9"/>
      <c r="P3564" s="9"/>
      <c r="Q3564" s="9"/>
      <c r="R3564" s="9"/>
      <c r="S3564" s="9"/>
      <c r="T3564" s="9"/>
    </row>
    <row r="3565" ht="15.75" customHeight="1">
      <c r="A3565" s="11">
        <f>IFERROR(__xludf.DUMMYFUNCTION("""COMPUTED_VALUE"""),44471.0)</f>
        <v>44471</v>
      </c>
      <c r="B3565" s="9">
        <f>IFERROR(__xludf.DUMMYFUNCTION("""COMPUTED_VALUE"""),1003802.0)</f>
        <v>1003802</v>
      </c>
      <c r="C3565" s="9">
        <f>IFERROR(__xludf.DUMMYFUNCTION("""COMPUTED_VALUE"""),88519.0)</f>
        <v>88519</v>
      </c>
      <c r="D3565" s="9"/>
      <c r="E3565" s="10" t="str">
        <f>IFERROR(__xludf.DUMMYFUNCTION("""COMPUTED_VALUE"""),"HAPPEEZ")</f>
        <v>HAPPEEZ</v>
      </c>
      <c r="F3565" s="10">
        <f>IFERROR(__xludf.DUMMYFUNCTION("""COMPUTED_VALUE"""),3.78)</f>
        <v>3.78</v>
      </c>
      <c r="G3565" s="9">
        <f>IFERROR(__xludf.DUMMYFUNCTION("""COMPUTED_VALUE"""),3.78)</f>
        <v>3.78</v>
      </c>
      <c r="H3565" s="9">
        <f>IFERROR(__xludf.DUMMYFUNCTION("""COMPUTED_VALUE"""),1.0)</f>
        <v>1</v>
      </c>
      <c r="I3565" s="9"/>
      <c r="J3565" s="9"/>
      <c r="K3565" s="9"/>
      <c r="L3565" s="9"/>
      <c r="M3565" s="9"/>
      <c r="N3565" s="9"/>
      <c r="O3565" s="9"/>
      <c r="P3565" s="9"/>
      <c r="Q3565" s="9"/>
      <c r="R3565" s="9"/>
      <c r="S3565" s="9"/>
      <c r="T3565" s="9"/>
    </row>
    <row r="3566" ht="15.75" customHeight="1">
      <c r="A3566" s="11">
        <f>IFERROR(__xludf.DUMMYFUNCTION("""COMPUTED_VALUE"""),44471.0)</f>
        <v>44471</v>
      </c>
      <c r="B3566" s="9">
        <f>IFERROR(__xludf.DUMMYFUNCTION("""COMPUTED_VALUE"""),1003802.0)</f>
        <v>1003802</v>
      </c>
      <c r="C3566" s="9">
        <f>IFERROR(__xludf.DUMMYFUNCTION("""COMPUTED_VALUE"""),90007.0)</f>
        <v>90007</v>
      </c>
      <c r="D3566" s="9"/>
      <c r="E3566" s="10" t="str">
        <f>IFERROR(__xludf.DUMMYFUNCTION("""COMPUTED_VALUE"""),"HAPPEEZ")</f>
        <v>HAPPEEZ</v>
      </c>
      <c r="F3566" s="10">
        <f>IFERROR(__xludf.DUMMYFUNCTION("""COMPUTED_VALUE"""),4.07)</f>
        <v>4.07</v>
      </c>
      <c r="G3566" s="9">
        <f>IFERROR(__xludf.DUMMYFUNCTION("""COMPUTED_VALUE"""),4.07)</f>
        <v>4.07</v>
      </c>
      <c r="H3566" s="9">
        <f>IFERROR(__xludf.DUMMYFUNCTION("""COMPUTED_VALUE"""),1.0)</f>
        <v>1</v>
      </c>
      <c r="I3566" s="9"/>
      <c r="J3566" s="9"/>
      <c r="K3566" s="9"/>
      <c r="L3566" s="9"/>
      <c r="M3566" s="9"/>
      <c r="N3566" s="9"/>
      <c r="O3566" s="9"/>
      <c r="P3566" s="9"/>
      <c r="Q3566" s="9"/>
      <c r="R3566" s="9"/>
      <c r="S3566" s="9"/>
      <c r="T3566" s="9"/>
    </row>
    <row r="3567" ht="15.75" customHeight="1">
      <c r="A3567" s="11">
        <f>IFERROR(__xludf.DUMMYFUNCTION("""COMPUTED_VALUE"""),44471.0)</f>
        <v>44471</v>
      </c>
      <c r="B3567" s="9">
        <f>IFERROR(__xludf.DUMMYFUNCTION("""COMPUTED_VALUE"""),1003802.0)</f>
        <v>1003802</v>
      </c>
      <c r="C3567" s="9">
        <f>IFERROR(__xludf.DUMMYFUNCTION("""COMPUTED_VALUE"""),90008.0)</f>
        <v>90008</v>
      </c>
      <c r="D3567" s="9"/>
      <c r="E3567" s="10" t="str">
        <f>IFERROR(__xludf.DUMMYFUNCTION("""COMPUTED_VALUE"""),"HAPPEEZ")</f>
        <v>HAPPEEZ</v>
      </c>
      <c r="F3567" s="10">
        <f>IFERROR(__xludf.DUMMYFUNCTION("""COMPUTED_VALUE"""),4.07)</f>
        <v>4.07</v>
      </c>
      <c r="G3567" s="9">
        <f>IFERROR(__xludf.DUMMYFUNCTION("""COMPUTED_VALUE"""),4.07)</f>
        <v>4.07</v>
      </c>
      <c r="H3567" s="9">
        <f>IFERROR(__xludf.DUMMYFUNCTION("""COMPUTED_VALUE"""),1.0)</f>
        <v>1</v>
      </c>
      <c r="I3567" s="9"/>
      <c r="J3567" s="9"/>
      <c r="K3567" s="9"/>
      <c r="L3567" s="9"/>
      <c r="M3567" s="9"/>
      <c r="N3567" s="9"/>
      <c r="O3567" s="9"/>
      <c r="P3567" s="9"/>
      <c r="Q3567" s="9"/>
      <c r="R3567" s="9"/>
      <c r="S3567" s="9"/>
      <c r="T3567" s="9"/>
    </row>
    <row r="3568" ht="15.75" customHeight="1">
      <c r="A3568" s="11">
        <f>IFERROR(__xludf.DUMMYFUNCTION("""COMPUTED_VALUE"""),44471.0)</f>
        <v>44471</v>
      </c>
      <c r="B3568" s="9">
        <f>IFERROR(__xludf.DUMMYFUNCTION("""COMPUTED_VALUE"""),1003802.0)</f>
        <v>1003802</v>
      </c>
      <c r="C3568" s="9">
        <f>IFERROR(__xludf.DUMMYFUNCTION("""COMPUTED_VALUE"""),5553.0)</f>
        <v>5553</v>
      </c>
      <c r="D3568" s="9"/>
      <c r="E3568" s="10" t="str">
        <f>IFERROR(__xludf.DUMMYFUNCTION("""COMPUTED_VALUE"""),"HAPPEEZ")</f>
        <v>HAPPEEZ</v>
      </c>
      <c r="F3568" s="10">
        <f>IFERROR(__xludf.DUMMYFUNCTION("""COMPUTED_VALUE"""),3.29)</f>
        <v>3.29</v>
      </c>
      <c r="G3568" s="9">
        <f>IFERROR(__xludf.DUMMYFUNCTION("""COMPUTED_VALUE"""),3.29)</f>
        <v>3.29</v>
      </c>
      <c r="H3568" s="9">
        <f>IFERROR(__xludf.DUMMYFUNCTION("""COMPUTED_VALUE"""),1.0)</f>
        <v>1</v>
      </c>
      <c r="I3568" s="9"/>
      <c r="J3568" s="9"/>
      <c r="K3568" s="9"/>
      <c r="L3568" s="9"/>
      <c r="M3568" s="9"/>
      <c r="N3568" s="9"/>
      <c r="O3568" s="9"/>
      <c r="P3568" s="9"/>
      <c r="Q3568" s="9"/>
      <c r="R3568" s="9"/>
      <c r="S3568" s="9"/>
      <c r="T3568" s="9"/>
    </row>
    <row r="3569" ht="15.75" customHeight="1">
      <c r="A3569" s="11">
        <f>IFERROR(__xludf.DUMMYFUNCTION("""COMPUTED_VALUE"""),44471.0)</f>
        <v>44471</v>
      </c>
      <c r="B3569" s="9">
        <f>IFERROR(__xludf.DUMMYFUNCTION("""COMPUTED_VALUE"""),1003802.0)</f>
        <v>1003802</v>
      </c>
      <c r="C3569" s="9">
        <f>IFERROR(__xludf.DUMMYFUNCTION("""COMPUTED_VALUE"""),70442.0)</f>
        <v>70442</v>
      </c>
      <c r="D3569" s="9"/>
      <c r="E3569" s="10" t="str">
        <f>IFERROR(__xludf.DUMMYFUNCTION("""COMPUTED_VALUE"""),"HAPPEEZ")</f>
        <v>HAPPEEZ</v>
      </c>
      <c r="F3569" s="10">
        <f>IFERROR(__xludf.DUMMYFUNCTION("""COMPUTED_VALUE"""),4.09)</f>
        <v>4.09</v>
      </c>
      <c r="G3569" s="9">
        <f>IFERROR(__xludf.DUMMYFUNCTION("""COMPUTED_VALUE"""),4.09)</f>
        <v>4.09</v>
      </c>
      <c r="H3569" s="9">
        <f>IFERROR(__xludf.DUMMYFUNCTION("""COMPUTED_VALUE"""),1.0)</f>
        <v>1</v>
      </c>
      <c r="I3569" s="9"/>
      <c r="J3569" s="9"/>
      <c r="K3569" s="9"/>
      <c r="L3569" s="9"/>
      <c r="M3569" s="9"/>
      <c r="N3569" s="9"/>
      <c r="O3569" s="9"/>
      <c r="P3569" s="9"/>
      <c r="Q3569" s="9"/>
      <c r="R3569" s="9"/>
      <c r="S3569" s="9"/>
      <c r="T3569" s="9"/>
    </row>
    <row r="3570" ht="15.75" customHeight="1">
      <c r="A3570" s="11">
        <f>IFERROR(__xludf.DUMMYFUNCTION("""COMPUTED_VALUE"""),44471.0)</f>
        <v>44471</v>
      </c>
      <c r="B3570" s="9">
        <f>IFERROR(__xludf.DUMMYFUNCTION("""COMPUTED_VALUE"""),1003802.0)</f>
        <v>1003802</v>
      </c>
      <c r="C3570" s="9">
        <f>IFERROR(__xludf.DUMMYFUNCTION("""COMPUTED_VALUE"""),156181.0)</f>
        <v>156181</v>
      </c>
      <c r="D3570" s="9"/>
      <c r="E3570" s="10" t="str">
        <f>IFERROR(__xludf.DUMMYFUNCTION("""COMPUTED_VALUE"""),"HAPPEEZ")</f>
        <v>HAPPEEZ</v>
      </c>
      <c r="F3570" s="10">
        <f>IFERROR(__xludf.DUMMYFUNCTION("""COMPUTED_VALUE"""),4.09)</f>
        <v>4.09</v>
      </c>
      <c r="G3570" s="9">
        <f>IFERROR(__xludf.DUMMYFUNCTION("""COMPUTED_VALUE"""),4.09)</f>
        <v>4.09</v>
      </c>
      <c r="H3570" s="9">
        <f>IFERROR(__xludf.DUMMYFUNCTION("""COMPUTED_VALUE"""),1.0)</f>
        <v>1</v>
      </c>
      <c r="I3570" s="9"/>
      <c r="J3570" s="9"/>
      <c r="K3570" s="9"/>
      <c r="L3570" s="9"/>
      <c r="M3570" s="9"/>
      <c r="N3570" s="9"/>
      <c r="O3570" s="9"/>
      <c r="P3570" s="9"/>
      <c r="Q3570" s="9"/>
      <c r="R3570" s="9"/>
      <c r="S3570" s="9"/>
      <c r="T3570" s="9"/>
    </row>
    <row r="3571" ht="15.75" customHeight="1">
      <c r="A3571" s="11">
        <f>IFERROR(__xludf.DUMMYFUNCTION("""COMPUTED_VALUE"""),44471.0)</f>
        <v>44471</v>
      </c>
      <c r="B3571" s="9">
        <f>IFERROR(__xludf.DUMMYFUNCTION("""COMPUTED_VALUE"""),1003802.0)</f>
        <v>1003802</v>
      </c>
      <c r="C3571" s="9">
        <f>IFERROR(__xludf.DUMMYFUNCTION("""COMPUTED_VALUE"""),118818.0)</f>
        <v>118818</v>
      </c>
      <c r="D3571" s="9"/>
      <c r="E3571" s="10" t="str">
        <f>IFERROR(__xludf.DUMMYFUNCTION("""COMPUTED_VALUE"""),"HAPPEEZ")</f>
        <v>HAPPEEZ</v>
      </c>
      <c r="F3571" s="10">
        <f>IFERROR(__xludf.DUMMYFUNCTION("""COMPUTED_VALUE"""),2.8)</f>
        <v>2.8</v>
      </c>
      <c r="G3571" s="9">
        <f>IFERROR(__xludf.DUMMYFUNCTION("""COMPUTED_VALUE"""),2.8)</f>
        <v>2.8</v>
      </c>
      <c r="H3571" s="9">
        <f>IFERROR(__xludf.DUMMYFUNCTION("""COMPUTED_VALUE"""),1.0)</f>
        <v>1</v>
      </c>
      <c r="I3571" s="9"/>
      <c r="J3571" s="9"/>
      <c r="K3571" s="9"/>
      <c r="L3571" s="9"/>
      <c r="M3571" s="9"/>
      <c r="N3571" s="9"/>
      <c r="O3571" s="9"/>
      <c r="P3571" s="9"/>
      <c r="Q3571" s="9"/>
      <c r="R3571" s="9"/>
      <c r="S3571" s="9"/>
      <c r="T3571" s="9"/>
    </row>
    <row r="3572" ht="15.75" customHeight="1">
      <c r="A3572" s="11">
        <f>IFERROR(__xludf.DUMMYFUNCTION("""COMPUTED_VALUE"""),44471.0)</f>
        <v>44471</v>
      </c>
      <c r="B3572" s="9">
        <f>IFERROR(__xludf.DUMMYFUNCTION("""COMPUTED_VALUE"""),1003802.0)</f>
        <v>1003802</v>
      </c>
      <c r="C3572" s="9">
        <f>IFERROR(__xludf.DUMMYFUNCTION("""COMPUTED_VALUE"""),122771.0)</f>
        <v>122771</v>
      </c>
      <c r="D3572" s="10" t="str">
        <f>IFERROR(__xludf.DUMMYFUNCTION("""COMPUTED_VALUE"""),"Offre speciale")</f>
        <v>Offre speciale</v>
      </c>
      <c r="E3572" s="10" t="str">
        <f>IFERROR(__xludf.DUMMYFUNCTION("""COMPUTED_VALUE"""),"HAPPEEZ")</f>
        <v>HAPPEEZ</v>
      </c>
      <c r="F3572" s="10">
        <f>IFERROR(__xludf.DUMMYFUNCTION("""COMPUTED_VALUE"""),3.81176470588235)</f>
        <v>3.811764706</v>
      </c>
      <c r="G3572" s="9">
        <f>IFERROR(__xludf.DUMMYFUNCTION("""COMPUTED_VALUE"""),3.24)</f>
        <v>3.24</v>
      </c>
      <c r="H3572" s="9">
        <f>IFERROR(__xludf.DUMMYFUNCTION("""COMPUTED_VALUE"""),1.0)</f>
        <v>1</v>
      </c>
      <c r="I3572" s="9"/>
      <c r="J3572" s="9"/>
      <c r="K3572" s="9"/>
      <c r="L3572" s="9"/>
      <c r="M3572" s="9"/>
      <c r="N3572" s="9"/>
      <c r="O3572" s="9"/>
      <c r="P3572" s="9"/>
      <c r="Q3572" s="9"/>
      <c r="R3572" s="9"/>
      <c r="S3572" s="9"/>
      <c r="T3572" s="9"/>
    </row>
    <row r="3573" ht="15.75" customHeight="1">
      <c r="A3573" s="11">
        <f>IFERROR(__xludf.DUMMYFUNCTION("""COMPUTED_VALUE"""),44471.0)</f>
        <v>44471</v>
      </c>
      <c r="B3573" s="9">
        <f>IFERROR(__xludf.DUMMYFUNCTION("""COMPUTED_VALUE"""),1003802.0)</f>
        <v>1003802</v>
      </c>
      <c r="C3573" s="9">
        <f>IFERROR(__xludf.DUMMYFUNCTION("""COMPUTED_VALUE"""),76044.0)</f>
        <v>76044</v>
      </c>
      <c r="D3573" s="10" t="str">
        <f>IFERROR(__xludf.DUMMYFUNCTION("""COMPUTED_VALUE"""),"Vive le bio")</f>
        <v>Vive le bio</v>
      </c>
      <c r="E3573" s="10" t="str">
        <f>IFERROR(__xludf.DUMMYFUNCTION("""COMPUTED_VALUE"""),"HAPPEEZ")</f>
        <v>HAPPEEZ</v>
      </c>
      <c r="F3573" s="10">
        <f>IFERROR(__xludf.DUMMYFUNCTION("""COMPUTED_VALUE"""),4.63333333333333)</f>
        <v>4.633333333</v>
      </c>
      <c r="G3573" s="9">
        <f>IFERROR(__xludf.DUMMYFUNCTION("""COMPUTED_VALUE"""),4.17)</f>
        <v>4.17</v>
      </c>
      <c r="H3573" s="9">
        <f>IFERROR(__xludf.DUMMYFUNCTION("""COMPUTED_VALUE"""),1.0)</f>
        <v>1</v>
      </c>
      <c r="I3573" s="9"/>
      <c r="J3573" s="9"/>
      <c r="K3573" s="9"/>
      <c r="L3573" s="9"/>
      <c r="M3573" s="9"/>
      <c r="N3573" s="9"/>
      <c r="O3573" s="9"/>
      <c r="P3573" s="9"/>
      <c r="Q3573" s="9"/>
      <c r="R3573" s="9"/>
      <c r="S3573" s="9"/>
      <c r="T3573" s="9"/>
    </row>
    <row r="3574" ht="15.75" customHeight="1">
      <c r="A3574" s="11">
        <f>IFERROR(__xludf.DUMMYFUNCTION("""COMPUTED_VALUE"""),44471.0)</f>
        <v>44471</v>
      </c>
      <c r="B3574" s="9">
        <f>IFERROR(__xludf.DUMMYFUNCTION("""COMPUTED_VALUE"""),1003802.0)</f>
        <v>1003802</v>
      </c>
      <c r="C3574" s="9">
        <f>IFERROR(__xludf.DUMMYFUNCTION("""COMPUTED_VALUE"""),116805.0)</f>
        <v>116805</v>
      </c>
      <c r="D3574" s="9"/>
      <c r="E3574" s="10" t="str">
        <f>IFERROR(__xludf.DUMMYFUNCTION("""COMPUTED_VALUE"""),"HAPPEEZ")</f>
        <v>HAPPEEZ</v>
      </c>
      <c r="F3574" s="10">
        <f>IFERROR(__xludf.DUMMYFUNCTION("""COMPUTED_VALUE"""),1.67)</f>
        <v>1.67</v>
      </c>
      <c r="G3574" s="9">
        <f>IFERROR(__xludf.DUMMYFUNCTION("""COMPUTED_VALUE"""),1.67)</f>
        <v>1.67</v>
      </c>
      <c r="H3574" s="9">
        <f>IFERROR(__xludf.DUMMYFUNCTION("""COMPUTED_VALUE"""),1.0)</f>
        <v>1</v>
      </c>
      <c r="I3574" s="9"/>
      <c r="J3574" s="9"/>
      <c r="K3574" s="9"/>
      <c r="L3574" s="9"/>
      <c r="M3574" s="9"/>
      <c r="N3574" s="9"/>
      <c r="O3574" s="9"/>
      <c r="P3574" s="9"/>
      <c r="Q3574" s="9"/>
      <c r="R3574" s="9"/>
      <c r="S3574" s="9"/>
      <c r="T3574" s="9"/>
    </row>
    <row r="3575" ht="15.75" customHeight="1">
      <c r="A3575" s="11">
        <f>IFERROR(__xludf.DUMMYFUNCTION("""COMPUTED_VALUE"""),44471.0)</f>
        <v>44471</v>
      </c>
      <c r="B3575" s="9">
        <f>IFERROR(__xludf.DUMMYFUNCTION("""COMPUTED_VALUE"""),1003802.0)</f>
        <v>1003802</v>
      </c>
      <c r="C3575" s="9">
        <f>IFERROR(__xludf.DUMMYFUNCTION("""COMPUTED_VALUE"""),107334.0)</f>
        <v>107334</v>
      </c>
      <c r="D3575" s="10" t="str">
        <f>IFERROR(__xludf.DUMMYFUNCTION("""COMPUTED_VALUE"""),"Vive le bio")</f>
        <v>Vive le bio</v>
      </c>
      <c r="E3575" s="10" t="str">
        <f>IFERROR(__xludf.DUMMYFUNCTION("""COMPUTED_VALUE"""),"HAPPEEZ")</f>
        <v>HAPPEEZ</v>
      </c>
      <c r="F3575" s="10">
        <f>IFERROR(__xludf.DUMMYFUNCTION("""COMPUTED_VALUE"""),3.38888888888888)</f>
        <v>3.388888889</v>
      </c>
      <c r="G3575" s="9">
        <f>IFERROR(__xludf.DUMMYFUNCTION("""COMPUTED_VALUE"""),3.05)</f>
        <v>3.05</v>
      </c>
      <c r="H3575" s="9">
        <f>IFERROR(__xludf.DUMMYFUNCTION("""COMPUTED_VALUE"""),1.0)</f>
        <v>1</v>
      </c>
      <c r="I3575" s="9"/>
      <c r="J3575" s="9"/>
      <c r="K3575" s="9"/>
      <c r="L3575" s="9"/>
      <c r="M3575" s="9"/>
      <c r="N3575" s="9"/>
      <c r="O3575" s="9"/>
      <c r="P3575" s="9"/>
      <c r="Q3575" s="9"/>
      <c r="R3575" s="9"/>
      <c r="S3575" s="9"/>
      <c r="T3575" s="9"/>
    </row>
    <row r="3576" ht="15.75" customHeight="1">
      <c r="A3576" s="11">
        <f>IFERROR(__xludf.DUMMYFUNCTION("""COMPUTED_VALUE"""),44471.0)</f>
        <v>44471</v>
      </c>
      <c r="B3576" s="9">
        <f>IFERROR(__xludf.DUMMYFUNCTION("""COMPUTED_VALUE"""),1003802.0)</f>
        <v>1003802</v>
      </c>
      <c r="C3576" s="9">
        <f>IFERROR(__xludf.DUMMYFUNCTION("""COMPUTED_VALUE"""),107331.0)</f>
        <v>107331</v>
      </c>
      <c r="D3576" s="9"/>
      <c r="E3576" s="10" t="str">
        <f>IFERROR(__xludf.DUMMYFUNCTION("""COMPUTED_VALUE"""),"HAPPEEZ")</f>
        <v>HAPPEEZ</v>
      </c>
      <c r="F3576" s="10">
        <f>IFERROR(__xludf.DUMMYFUNCTION("""COMPUTED_VALUE"""),2.61)</f>
        <v>2.61</v>
      </c>
      <c r="G3576" s="9">
        <f>IFERROR(__xludf.DUMMYFUNCTION("""COMPUTED_VALUE"""),2.61)</f>
        <v>2.61</v>
      </c>
      <c r="H3576" s="9">
        <f>IFERROR(__xludf.DUMMYFUNCTION("""COMPUTED_VALUE"""),1.0)</f>
        <v>1</v>
      </c>
      <c r="I3576" s="9"/>
      <c r="J3576" s="9"/>
      <c r="K3576" s="9"/>
      <c r="L3576" s="9"/>
      <c r="M3576" s="9"/>
      <c r="N3576" s="9"/>
      <c r="O3576" s="9"/>
      <c r="P3576" s="9"/>
      <c r="Q3576" s="9"/>
      <c r="R3576" s="9"/>
      <c r="S3576" s="9"/>
      <c r="T3576" s="9"/>
    </row>
    <row r="3577" ht="15.75" customHeight="1">
      <c r="A3577" s="11">
        <f>IFERROR(__xludf.DUMMYFUNCTION("""COMPUTED_VALUE"""),44471.0)</f>
        <v>44471</v>
      </c>
      <c r="B3577" s="9">
        <f>IFERROR(__xludf.DUMMYFUNCTION("""COMPUTED_VALUE"""),1003802.0)</f>
        <v>1003802</v>
      </c>
      <c r="C3577" s="9">
        <f>IFERROR(__xludf.DUMMYFUNCTION("""COMPUTED_VALUE"""),45898.0)</f>
        <v>45898</v>
      </c>
      <c r="D3577" s="9"/>
      <c r="E3577" s="10" t="str">
        <f>IFERROR(__xludf.DUMMYFUNCTION("""COMPUTED_VALUE"""),"HAPPEEZ")</f>
        <v>HAPPEEZ</v>
      </c>
      <c r="F3577" s="10">
        <f>IFERROR(__xludf.DUMMYFUNCTION("""COMPUTED_VALUE"""),4.22)</f>
        <v>4.22</v>
      </c>
      <c r="G3577" s="9">
        <f>IFERROR(__xludf.DUMMYFUNCTION("""COMPUTED_VALUE"""),4.22)</f>
        <v>4.22</v>
      </c>
      <c r="H3577" s="9">
        <f>IFERROR(__xludf.DUMMYFUNCTION("""COMPUTED_VALUE"""),1.0)</f>
        <v>1</v>
      </c>
      <c r="I3577" s="9"/>
      <c r="J3577" s="9"/>
      <c r="K3577" s="9"/>
      <c r="L3577" s="9"/>
      <c r="M3577" s="9"/>
      <c r="N3577" s="9"/>
      <c r="O3577" s="9"/>
      <c r="P3577" s="9"/>
      <c r="Q3577" s="9"/>
      <c r="R3577" s="9"/>
      <c r="S3577" s="9"/>
      <c r="T3577" s="9"/>
    </row>
    <row r="3578" ht="15.75" customHeight="1">
      <c r="A3578" s="11">
        <f>IFERROR(__xludf.DUMMYFUNCTION("""COMPUTED_VALUE"""),44471.0)</f>
        <v>44471</v>
      </c>
      <c r="B3578" s="9">
        <f>IFERROR(__xludf.DUMMYFUNCTION("""COMPUTED_VALUE"""),1003802.0)</f>
        <v>1003802</v>
      </c>
      <c r="C3578" s="9">
        <f>IFERROR(__xludf.DUMMYFUNCTION("""COMPUTED_VALUE"""),6026.0)</f>
        <v>6026</v>
      </c>
      <c r="D3578" s="9"/>
      <c r="E3578" s="10" t="str">
        <f>IFERROR(__xludf.DUMMYFUNCTION("""COMPUTED_VALUE"""),"HAPPEEZ")</f>
        <v>HAPPEEZ</v>
      </c>
      <c r="F3578" s="10">
        <f>IFERROR(__xludf.DUMMYFUNCTION("""COMPUTED_VALUE"""),5.47)</f>
        <v>5.47</v>
      </c>
      <c r="G3578" s="9">
        <f>IFERROR(__xludf.DUMMYFUNCTION("""COMPUTED_VALUE"""),5.47)</f>
        <v>5.47</v>
      </c>
      <c r="H3578" s="9">
        <f>IFERROR(__xludf.DUMMYFUNCTION("""COMPUTED_VALUE"""),1.0)</f>
        <v>1</v>
      </c>
      <c r="I3578" s="9"/>
      <c r="J3578" s="9"/>
      <c r="K3578" s="9"/>
      <c r="L3578" s="9"/>
      <c r="M3578" s="9"/>
      <c r="N3578" s="9"/>
      <c r="O3578" s="9"/>
      <c r="P3578" s="9"/>
      <c r="Q3578" s="9"/>
      <c r="R3578" s="9"/>
      <c r="S3578" s="9"/>
      <c r="T3578" s="9"/>
    </row>
    <row r="3579" ht="15.75" customHeight="1">
      <c r="A3579" s="11">
        <f>IFERROR(__xludf.DUMMYFUNCTION("""COMPUTED_VALUE"""),44471.0)</f>
        <v>44471</v>
      </c>
      <c r="B3579" s="9">
        <f>IFERROR(__xludf.DUMMYFUNCTION("""COMPUTED_VALUE"""),1003802.0)</f>
        <v>1003802</v>
      </c>
      <c r="C3579" s="9">
        <f>IFERROR(__xludf.DUMMYFUNCTION("""COMPUTED_VALUE"""),101782.0)</f>
        <v>101782</v>
      </c>
      <c r="D3579" s="9"/>
      <c r="E3579" s="10" t="str">
        <f>IFERROR(__xludf.DUMMYFUNCTION("""COMPUTED_VALUE"""),"HAPPEEZ")</f>
        <v>HAPPEEZ</v>
      </c>
      <c r="F3579" s="10">
        <f>IFERROR(__xludf.DUMMYFUNCTION("""COMPUTED_VALUE"""),3.02)</f>
        <v>3.02</v>
      </c>
      <c r="G3579" s="9">
        <f>IFERROR(__xludf.DUMMYFUNCTION("""COMPUTED_VALUE"""),3.02)</f>
        <v>3.02</v>
      </c>
      <c r="H3579" s="9">
        <f>IFERROR(__xludf.DUMMYFUNCTION("""COMPUTED_VALUE"""),2.0)</f>
        <v>2</v>
      </c>
      <c r="I3579" s="9"/>
      <c r="J3579" s="9"/>
      <c r="K3579" s="9"/>
      <c r="L3579" s="9"/>
      <c r="M3579" s="9"/>
      <c r="N3579" s="9"/>
      <c r="O3579" s="9"/>
      <c r="P3579" s="9"/>
      <c r="Q3579" s="9"/>
      <c r="R3579" s="9"/>
      <c r="S3579" s="9"/>
      <c r="T3579" s="9"/>
    </row>
    <row r="3580" ht="15.75" customHeight="1">
      <c r="A3580" s="11">
        <f>IFERROR(__xludf.DUMMYFUNCTION("""COMPUTED_VALUE"""),44471.0)</f>
        <v>44471</v>
      </c>
      <c r="B3580" s="9">
        <f>IFERROR(__xludf.DUMMYFUNCTION("""COMPUTED_VALUE"""),1003802.0)</f>
        <v>1003802</v>
      </c>
      <c r="C3580" s="9">
        <f>IFERROR(__xludf.DUMMYFUNCTION("""COMPUTED_VALUE"""),118917.0)</f>
        <v>118917</v>
      </c>
      <c r="D3580" s="9"/>
      <c r="E3580" s="10" t="str">
        <f>IFERROR(__xludf.DUMMYFUNCTION("""COMPUTED_VALUE"""),"HAPPEEZ")</f>
        <v>HAPPEEZ</v>
      </c>
      <c r="F3580" s="10">
        <f>IFERROR(__xludf.DUMMYFUNCTION("""COMPUTED_VALUE"""),2.9)</f>
        <v>2.9</v>
      </c>
      <c r="G3580" s="9">
        <f>IFERROR(__xludf.DUMMYFUNCTION("""COMPUTED_VALUE"""),2.9)</f>
        <v>2.9</v>
      </c>
      <c r="H3580" s="9">
        <f>IFERROR(__xludf.DUMMYFUNCTION("""COMPUTED_VALUE"""),2.0)</f>
        <v>2</v>
      </c>
      <c r="I3580" s="9"/>
      <c r="J3580" s="9"/>
      <c r="K3580" s="9"/>
      <c r="L3580" s="9"/>
      <c r="M3580" s="9"/>
      <c r="N3580" s="9"/>
      <c r="O3580" s="9"/>
      <c r="P3580" s="9"/>
      <c r="Q3580" s="9"/>
      <c r="R3580" s="9"/>
      <c r="S3580" s="9"/>
      <c r="T3580" s="9"/>
    </row>
    <row r="3581" ht="15.75" customHeight="1">
      <c r="A3581" s="11">
        <f>IFERROR(__xludf.DUMMYFUNCTION("""COMPUTED_VALUE"""),44471.0)</f>
        <v>44471</v>
      </c>
      <c r="B3581" s="9">
        <f>IFERROR(__xludf.DUMMYFUNCTION("""COMPUTED_VALUE"""),1003802.0)</f>
        <v>1003802</v>
      </c>
      <c r="C3581" s="9">
        <f>IFERROR(__xludf.DUMMYFUNCTION("""COMPUTED_VALUE"""),118260.0)</f>
        <v>118260</v>
      </c>
      <c r="D3581" s="9"/>
      <c r="E3581" s="10" t="str">
        <f>IFERROR(__xludf.DUMMYFUNCTION("""COMPUTED_VALUE"""),"HAPPEEZ")</f>
        <v>HAPPEEZ</v>
      </c>
      <c r="F3581" s="10">
        <f>IFERROR(__xludf.DUMMYFUNCTION("""COMPUTED_VALUE"""),3.17)</f>
        <v>3.17</v>
      </c>
      <c r="G3581" s="9">
        <f>IFERROR(__xludf.DUMMYFUNCTION("""COMPUTED_VALUE"""),3.17)</f>
        <v>3.17</v>
      </c>
      <c r="H3581" s="9">
        <f>IFERROR(__xludf.DUMMYFUNCTION("""COMPUTED_VALUE"""),2.0)</f>
        <v>2</v>
      </c>
      <c r="I3581" s="9"/>
      <c r="J3581" s="9"/>
      <c r="K3581" s="9"/>
      <c r="L3581" s="9"/>
      <c r="M3581" s="9"/>
      <c r="N3581" s="9"/>
      <c r="O3581" s="9"/>
      <c r="P3581" s="9"/>
      <c r="Q3581" s="9"/>
      <c r="R3581" s="9"/>
      <c r="S3581" s="9"/>
      <c r="T3581" s="9"/>
    </row>
    <row r="3582" ht="15.75" customHeight="1">
      <c r="A3582" s="11">
        <f>IFERROR(__xludf.DUMMYFUNCTION("""COMPUTED_VALUE"""),44471.0)</f>
        <v>44471</v>
      </c>
      <c r="B3582" s="9">
        <f>IFERROR(__xludf.DUMMYFUNCTION("""COMPUTED_VALUE"""),1003802.0)</f>
        <v>1003802</v>
      </c>
      <c r="C3582" s="9">
        <f>IFERROR(__xludf.DUMMYFUNCTION("""COMPUTED_VALUE"""),47347.0)</f>
        <v>47347</v>
      </c>
      <c r="D3582" s="10" t="str">
        <f>IFERROR(__xludf.DUMMYFUNCTION("""COMPUTED_VALUE"""),"DLC courtes")</f>
        <v>DLC courtes</v>
      </c>
      <c r="E3582" s="10" t="str">
        <f>IFERROR(__xludf.DUMMYFUNCTION("""COMPUTED_VALUE"""),"HAPPEEZ")</f>
        <v>HAPPEEZ</v>
      </c>
      <c r="F3582" s="10">
        <f>IFERROR(__xludf.DUMMYFUNCTION("""COMPUTED_VALUE"""),4.88235294117647)</f>
        <v>4.882352941</v>
      </c>
      <c r="G3582" s="9">
        <f>IFERROR(__xludf.DUMMYFUNCTION("""COMPUTED_VALUE"""),4.15)</f>
        <v>4.15</v>
      </c>
      <c r="H3582" s="9">
        <f>IFERROR(__xludf.DUMMYFUNCTION("""COMPUTED_VALUE"""),2.0)</f>
        <v>2</v>
      </c>
      <c r="I3582" s="9"/>
      <c r="J3582" s="9"/>
      <c r="K3582" s="9"/>
      <c r="L3582" s="9"/>
      <c r="M3582" s="9"/>
      <c r="N3582" s="9"/>
      <c r="O3582" s="9"/>
      <c r="P3582" s="9"/>
      <c r="Q3582" s="9"/>
      <c r="R3582" s="9"/>
      <c r="S3582" s="9"/>
      <c r="T3582" s="9"/>
    </row>
    <row r="3583" ht="15.75" customHeight="1">
      <c r="A3583" s="11">
        <f>IFERROR(__xludf.DUMMYFUNCTION("""COMPUTED_VALUE"""),44471.0)</f>
        <v>44471</v>
      </c>
      <c r="B3583" s="9">
        <f>IFERROR(__xludf.DUMMYFUNCTION("""COMPUTED_VALUE"""),1003802.0)</f>
        <v>1003802</v>
      </c>
      <c r="C3583" s="9">
        <f>IFERROR(__xludf.DUMMYFUNCTION("""COMPUTED_VALUE"""),107349.0)</f>
        <v>107349</v>
      </c>
      <c r="D3583" s="9"/>
      <c r="E3583" s="10" t="str">
        <f>IFERROR(__xludf.DUMMYFUNCTION("""COMPUTED_VALUE"""),"HAPPEEZ")</f>
        <v>HAPPEEZ</v>
      </c>
      <c r="F3583" s="10">
        <f>IFERROR(__xludf.DUMMYFUNCTION("""COMPUTED_VALUE"""),5.39)</f>
        <v>5.39</v>
      </c>
      <c r="G3583" s="9">
        <f>IFERROR(__xludf.DUMMYFUNCTION("""COMPUTED_VALUE"""),5.39)</f>
        <v>5.39</v>
      </c>
      <c r="H3583" s="9">
        <f>IFERROR(__xludf.DUMMYFUNCTION("""COMPUTED_VALUE"""),2.0)</f>
        <v>2</v>
      </c>
      <c r="I3583" s="9"/>
      <c r="J3583" s="9"/>
      <c r="K3583" s="9"/>
      <c r="L3583" s="9"/>
      <c r="M3583" s="9"/>
      <c r="N3583" s="9"/>
      <c r="O3583" s="9"/>
      <c r="P3583" s="9"/>
      <c r="Q3583" s="9"/>
      <c r="R3583" s="9"/>
      <c r="S3583" s="9"/>
      <c r="T3583" s="9"/>
    </row>
    <row r="3584" ht="15.75" customHeight="1">
      <c r="A3584" s="11">
        <f>IFERROR(__xludf.DUMMYFUNCTION("""COMPUTED_VALUE"""),44471.0)</f>
        <v>44471</v>
      </c>
      <c r="B3584" s="9">
        <f>IFERROR(__xludf.DUMMYFUNCTION("""COMPUTED_VALUE"""),1003802.0)</f>
        <v>1003802</v>
      </c>
      <c r="C3584" s="9">
        <f>IFERROR(__xludf.DUMMYFUNCTION("""COMPUTED_VALUE"""),17143.0)</f>
        <v>17143</v>
      </c>
      <c r="D3584" s="9"/>
      <c r="E3584" s="10" t="str">
        <f>IFERROR(__xludf.DUMMYFUNCTION("""COMPUTED_VALUE"""),"HAPPEEZ")</f>
        <v>HAPPEEZ</v>
      </c>
      <c r="F3584" s="10">
        <f>IFERROR(__xludf.DUMMYFUNCTION("""COMPUTED_VALUE"""),3.72)</f>
        <v>3.72</v>
      </c>
      <c r="G3584" s="9">
        <f>IFERROR(__xludf.DUMMYFUNCTION("""COMPUTED_VALUE"""),3.72)</f>
        <v>3.72</v>
      </c>
      <c r="H3584" s="9">
        <f>IFERROR(__xludf.DUMMYFUNCTION("""COMPUTED_VALUE"""),2.0)</f>
        <v>2</v>
      </c>
      <c r="I3584" s="9"/>
      <c r="J3584" s="9"/>
      <c r="K3584" s="9"/>
      <c r="L3584" s="9"/>
      <c r="M3584" s="9"/>
      <c r="N3584" s="9"/>
      <c r="O3584" s="9"/>
      <c r="P3584" s="9"/>
      <c r="Q3584" s="9"/>
      <c r="R3584" s="9"/>
      <c r="S3584" s="9"/>
      <c r="T3584" s="9"/>
    </row>
    <row r="3585" ht="15.75" customHeight="1">
      <c r="A3585" s="11">
        <f>IFERROR(__xludf.DUMMYFUNCTION("""COMPUTED_VALUE"""),44471.0)</f>
        <v>44471</v>
      </c>
      <c r="B3585" s="9">
        <f>IFERROR(__xludf.DUMMYFUNCTION("""COMPUTED_VALUE"""),1003802.0)</f>
        <v>1003802</v>
      </c>
      <c r="C3585" s="9">
        <f>IFERROR(__xludf.DUMMYFUNCTION("""COMPUTED_VALUE"""),20053.0)</f>
        <v>20053</v>
      </c>
      <c r="D3585" s="9"/>
      <c r="E3585" s="10" t="str">
        <f>IFERROR(__xludf.DUMMYFUNCTION("""COMPUTED_VALUE"""),"HAPPEEZ")</f>
        <v>HAPPEEZ</v>
      </c>
      <c r="F3585" s="10">
        <f>IFERROR(__xludf.DUMMYFUNCTION("""COMPUTED_VALUE"""),5.94)</f>
        <v>5.94</v>
      </c>
      <c r="G3585" s="9">
        <f>IFERROR(__xludf.DUMMYFUNCTION("""COMPUTED_VALUE"""),5.94)</f>
        <v>5.94</v>
      </c>
      <c r="H3585" s="9">
        <f>IFERROR(__xludf.DUMMYFUNCTION("""COMPUTED_VALUE"""),2.0)</f>
        <v>2</v>
      </c>
      <c r="I3585" s="9"/>
      <c r="J3585" s="9"/>
      <c r="K3585" s="9"/>
      <c r="L3585" s="9"/>
      <c r="M3585" s="9"/>
      <c r="N3585" s="9"/>
      <c r="O3585" s="9"/>
      <c r="P3585" s="9"/>
      <c r="Q3585" s="9"/>
      <c r="R3585" s="9"/>
      <c r="S3585" s="9"/>
      <c r="T3585" s="9"/>
    </row>
    <row r="3586" ht="15.75" customHeight="1">
      <c r="A3586" s="11">
        <f>IFERROR(__xludf.DUMMYFUNCTION("""COMPUTED_VALUE"""),44471.0)</f>
        <v>44471</v>
      </c>
      <c r="B3586" s="9">
        <f>IFERROR(__xludf.DUMMYFUNCTION("""COMPUTED_VALUE"""),1003802.0)</f>
        <v>1003802</v>
      </c>
      <c r="C3586" s="9">
        <f>IFERROR(__xludf.DUMMYFUNCTION("""COMPUTED_VALUE"""),83802.0)</f>
        <v>83802</v>
      </c>
      <c r="D3586" s="9"/>
      <c r="E3586" s="10" t="str">
        <f>IFERROR(__xludf.DUMMYFUNCTION("""COMPUTED_VALUE"""),"HAPPEEZ")</f>
        <v>HAPPEEZ</v>
      </c>
      <c r="F3586" s="10">
        <f>IFERROR(__xludf.DUMMYFUNCTION("""COMPUTED_VALUE"""),10.15)</f>
        <v>10.15</v>
      </c>
      <c r="G3586" s="9">
        <f>IFERROR(__xludf.DUMMYFUNCTION("""COMPUTED_VALUE"""),10.15)</f>
        <v>10.15</v>
      </c>
      <c r="H3586" s="9">
        <f>IFERROR(__xludf.DUMMYFUNCTION("""COMPUTED_VALUE"""),2.0)</f>
        <v>2</v>
      </c>
      <c r="I3586" s="9"/>
      <c r="J3586" s="9"/>
      <c r="K3586" s="9"/>
      <c r="L3586" s="9"/>
      <c r="M3586" s="9"/>
      <c r="N3586" s="9"/>
      <c r="O3586" s="9"/>
      <c r="P3586" s="9"/>
      <c r="Q3586" s="9"/>
      <c r="R3586" s="9"/>
      <c r="S3586" s="9"/>
      <c r="T3586" s="9"/>
    </row>
    <row r="3587" ht="15.75" customHeight="1">
      <c r="A3587" s="11">
        <f>IFERROR(__xludf.DUMMYFUNCTION("""COMPUTED_VALUE"""),44471.0)</f>
        <v>44471</v>
      </c>
      <c r="B3587" s="9">
        <f>IFERROR(__xludf.DUMMYFUNCTION("""COMPUTED_VALUE"""),1003802.0)</f>
        <v>1003802</v>
      </c>
      <c r="C3587" s="9">
        <f>IFERROR(__xludf.DUMMYFUNCTION("""COMPUTED_VALUE"""),87418.0)</f>
        <v>87418</v>
      </c>
      <c r="D3587" s="9"/>
      <c r="E3587" s="10" t="str">
        <f>IFERROR(__xludf.DUMMYFUNCTION("""COMPUTED_VALUE"""),"HAPPEEZ")</f>
        <v>HAPPEEZ</v>
      </c>
      <c r="F3587" s="10">
        <f>IFERROR(__xludf.DUMMYFUNCTION("""COMPUTED_VALUE"""),5.72)</f>
        <v>5.72</v>
      </c>
      <c r="G3587" s="9">
        <f>IFERROR(__xludf.DUMMYFUNCTION("""COMPUTED_VALUE"""),5.72)</f>
        <v>5.72</v>
      </c>
      <c r="H3587" s="9">
        <f>IFERROR(__xludf.DUMMYFUNCTION("""COMPUTED_VALUE"""),2.0)</f>
        <v>2</v>
      </c>
      <c r="I3587" s="9"/>
      <c r="J3587" s="9"/>
      <c r="K3587" s="9"/>
      <c r="L3587" s="9"/>
      <c r="M3587" s="9"/>
      <c r="N3587" s="9"/>
      <c r="O3587" s="9"/>
      <c r="P3587" s="9"/>
      <c r="Q3587" s="9"/>
      <c r="R3587" s="9"/>
      <c r="S3587" s="9"/>
      <c r="T3587" s="9"/>
    </row>
    <row r="3588" ht="15.75" customHeight="1">
      <c r="A3588" s="11">
        <f>IFERROR(__xludf.DUMMYFUNCTION("""COMPUTED_VALUE"""),44471.0)</f>
        <v>44471</v>
      </c>
      <c r="B3588" s="9">
        <f>IFERROR(__xludf.DUMMYFUNCTION("""COMPUTED_VALUE"""),1003802.0)</f>
        <v>1003802</v>
      </c>
      <c r="C3588" s="9">
        <f>IFERROR(__xludf.DUMMYFUNCTION("""COMPUTED_VALUE"""),46123.0)</f>
        <v>46123</v>
      </c>
      <c r="D3588" s="9"/>
      <c r="E3588" s="10" t="str">
        <f>IFERROR(__xludf.DUMMYFUNCTION("""COMPUTED_VALUE"""),"HAPPEEZ")</f>
        <v>HAPPEEZ</v>
      </c>
      <c r="F3588" s="10">
        <f>IFERROR(__xludf.DUMMYFUNCTION("""COMPUTED_VALUE"""),10.73)</f>
        <v>10.73</v>
      </c>
      <c r="G3588" s="9">
        <f>IFERROR(__xludf.DUMMYFUNCTION("""COMPUTED_VALUE"""),10.73)</f>
        <v>10.73</v>
      </c>
      <c r="H3588" s="9">
        <f>IFERROR(__xludf.DUMMYFUNCTION("""COMPUTED_VALUE"""),6.0)</f>
        <v>6</v>
      </c>
      <c r="I3588" s="9"/>
      <c r="J3588" s="9"/>
      <c r="K3588" s="9"/>
      <c r="L3588" s="9"/>
      <c r="M3588" s="9"/>
      <c r="N3588" s="9"/>
      <c r="O3588" s="9"/>
      <c r="P3588" s="9"/>
      <c r="Q3588" s="9"/>
      <c r="R3588" s="9"/>
      <c r="S3588" s="9"/>
      <c r="T3588" s="9"/>
    </row>
    <row r="3589" ht="15.75" customHeight="1">
      <c r="A3589" s="11">
        <f>IFERROR(__xludf.DUMMYFUNCTION("""COMPUTED_VALUE"""),44471.0)</f>
        <v>44471</v>
      </c>
      <c r="B3589" s="9">
        <f>IFERROR(__xludf.DUMMYFUNCTION("""COMPUTED_VALUE"""),1003802.0)</f>
        <v>1003802</v>
      </c>
      <c r="C3589" s="9">
        <f>IFERROR(__xludf.DUMMYFUNCTION("""COMPUTED_VALUE"""),46132.0)</f>
        <v>46132</v>
      </c>
      <c r="D3589" s="9"/>
      <c r="E3589" s="10" t="str">
        <f>IFERROR(__xludf.DUMMYFUNCTION("""COMPUTED_VALUE"""),"HAPPEEZ")</f>
        <v>HAPPEEZ</v>
      </c>
      <c r="F3589" s="10">
        <f>IFERROR(__xludf.DUMMYFUNCTION("""COMPUTED_VALUE"""),10.73)</f>
        <v>10.73</v>
      </c>
      <c r="G3589" s="9">
        <f>IFERROR(__xludf.DUMMYFUNCTION("""COMPUTED_VALUE"""),10.73)</f>
        <v>10.73</v>
      </c>
      <c r="H3589" s="9">
        <f>IFERROR(__xludf.DUMMYFUNCTION("""COMPUTED_VALUE"""),6.0)</f>
        <v>6</v>
      </c>
      <c r="I3589" s="9"/>
      <c r="J3589" s="9"/>
      <c r="K3589" s="9"/>
      <c r="L3589" s="9"/>
      <c r="M3589" s="9"/>
      <c r="N3589" s="9"/>
      <c r="O3589" s="9"/>
      <c r="P3589" s="9"/>
      <c r="Q3589" s="9"/>
      <c r="R3589" s="9"/>
      <c r="S3589" s="9"/>
      <c r="T3589" s="9"/>
    </row>
    <row r="3590" ht="15.75" customHeight="1">
      <c r="A3590" s="11">
        <f>IFERROR(__xludf.DUMMYFUNCTION("""COMPUTED_VALUE"""),44471.0)</f>
        <v>44471</v>
      </c>
      <c r="B3590" s="9">
        <f>IFERROR(__xludf.DUMMYFUNCTION("""COMPUTED_VALUE"""),1003803.0)</f>
        <v>1003803</v>
      </c>
      <c r="C3590" s="9">
        <f>IFERROR(__xludf.DUMMYFUNCTION("""COMPUTED_VALUE"""),103073.0)</f>
        <v>103073</v>
      </c>
      <c r="D3590" s="9"/>
      <c r="E3590" s="9"/>
      <c r="F3590" s="9">
        <f>IFERROR(__xludf.DUMMYFUNCTION("""COMPUTED_VALUE"""),2.88)</f>
        <v>2.88</v>
      </c>
      <c r="G3590" s="9">
        <f>IFERROR(__xludf.DUMMYFUNCTION("""COMPUTED_VALUE"""),2.88)</f>
        <v>2.88</v>
      </c>
      <c r="H3590" s="9">
        <f>IFERROR(__xludf.DUMMYFUNCTION("""COMPUTED_VALUE"""),1.0)</f>
        <v>1</v>
      </c>
      <c r="I3590" s="9"/>
      <c r="J3590" s="9"/>
      <c r="K3590" s="9"/>
      <c r="L3590" s="9"/>
      <c r="M3590" s="9"/>
      <c r="N3590" s="9"/>
      <c r="O3590" s="9"/>
      <c r="P3590" s="9"/>
      <c r="Q3590" s="9"/>
      <c r="R3590" s="9"/>
      <c r="S3590" s="9"/>
      <c r="T3590" s="9"/>
    </row>
    <row r="3591" ht="15.75" customHeight="1">
      <c r="A3591" s="11">
        <f>IFERROR(__xludf.DUMMYFUNCTION("""COMPUTED_VALUE"""),44471.0)</f>
        <v>44471</v>
      </c>
      <c r="B3591" s="9">
        <f>IFERROR(__xludf.DUMMYFUNCTION("""COMPUTED_VALUE"""),1003803.0)</f>
        <v>1003803</v>
      </c>
      <c r="C3591" s="9">
        <f>IFERROR(__xludf.DUMMYFUNCTION("""COMPUTED_VALUE"""),19316.0)</f>
        <v>19316</v>
      </c>
      <c r="D3591" s="9"/>
      <c r="E3591" s="9"/>
      <c r="F3591" s="9">
        <f>IFERROR(__xludf.DUMMYFUNCTION("""COMPUTED_VALUE"""),5.02)</f>
        <v>5.02</v>
      </c>
      <c r="G3591" s="9">
        <f>IFERROR(__xludf.DUMMYFUNCTION("""COMPUTED_VALUE"""),5.02)</f>
        <v>5.02</v>
      </c>
      <c r="H3591" s="9">
        <f>IFERROR(__xludf.DUMMYFUNCTION("""COMPUTED_VALUE"""),1.0)</f>
        <v>1</v>
      </c>
      <c r="I3591" s="9"/>
      <c r="J3591" s="9"/>
      <c r="K3591" s="9"/>
      <c r="L3591" s="9"/>
      <c r="M3591" s="9"/>
      <c r="N3591" s="9"/>
      <c r="O3591" s="9"/>
      <c r="P3591" s="9"/>
      <c r="Q3591" s="9"/>
      <c r="R3591" s="9"/>
      <c r="S3591" s="9"/>
      <c r="T3591" s="9"/>
    </row>
    <row r="3592" ht="15.75" customHeight="1">
      <c r="A3592" s="11">
        <f>IFERROR(__xludf.DUMMYFUNCTION("""COMPUTED_VALUE"""),44471.0)</f>
        <v>44471</v>
      </c>
      <c r="B3592" s="9">
        <f>IFERROR(__xludf.DUMMYFUNCTION("""COMPUTED_VALUE"""),1003803.0)</f>
        <v>1003803</v>
      </c>
      <c r="C3592" s="9">
        <f>IFERROR(__xludf.DUMMYFUNCTION("""COMPUTED_VALUE"""),113669.0)</f>
        <v>113669</v>
      </c>
      <c r="D3592" s="10" t="str">
        <f>IFERROR(__xludf.DUMMYFUNCTION("""COMPUTED_VALUE"""),"Offre speciale")</f>
        <v>Offre speciale</v>
      </c>
      <c r="E3592" s="10"/>
      <c r="F3592" s="9">
        <f>IFERROR(__xludf.DUMMYFUNCTION("""COMPUTED_VALUE"""),4.14444444444444)</f>
        <v>4.144444444</v>
      </c>
      <c r="G3592" s="9">
        <f>IFERROR(__xludf.DUMMYFUNCTION("""COMPUTED_VALUE"""),3.73)</f>
        <v>3.73</v>
      </c>
      <c r="H3592" s="9">
        <f>IFERROR(__xludf.DUMMYFUNCTION("""COMPUTED_VALUE"""),1.0)</f>
        <v>1</v>
      </c>
      <c r="I3592" s="9"/>
      <c r="J3592" s="9"/>
      <c r="K3592" s="9"/>
      <c r="L3592" s="9"/>
      <c r="M3592" s="9"/>
      <c r="N3592" s="9"/>
      <c r="O3592" s="9"/>
      <c r="P3592" s="9"/>
      <c r="Q3592" s="9"/>
      <c r="R3592" s="9"/>
      <c r="S3592" s="9"/>
      <c r="T3592" s="9"/>
    </row>
    <row r="3593" ht="15.75" customHeight="1">
      <c r="A3593" s="11">
        <f>IFERROR(__xludf.DUMMYFUNCTION("""COMPUTED_VALUE"""),44471.0)</f>
        <v>44471</v>
      </c>
      <c r="B3593" s="9">
        <f>IFERROR(__xludf.DUMMYFUNCTION("""COMPUTED_VALUE"""),1003803.0)</f>
        <v>1003803</v>
      </c>
      <c r="C3593" s="9">
        <f>IFERROR(__xludf.DUMMYFUNCTION("""COMPUTED_VALUE"""),19345.0)</f>
        <v>19345</v>
      </c>
      <c r="D3593" s="9"/>
      <c r="E3593" s="9"/>
      <c r="F3593" s="9">
        <f>IFERROR(__xludf.DUMMYFUNCTION("""COMPUTED_VALUE"""),2.3)</f>
        <v>2.3</v>
      </c>
      <c r="G3593" s="9">
        <f>IFERROR(__xludf.DUMMYFUNCTION("""COMPUTED_VALUE"""),2.3)</f>
        <v>2.3</v>
      </c>
      <c r="H3593" s="9">
        <f>IFERROR(__xludf.DUMMYFUNCTION("""COMPUTED_VALUE"""),1.0)</f>
        <v>1</v>
      </c>
      <c r="I3593" s="9"/>
      <c r="J3593" s="9"/>
      <c r="K3593" s="9"/>
      <c r="L3593" s="9"/>
      <c r="M3593" s="9"/>
      <c r="N3593" s="9"/>
      <c r="O3593" s="9"/>
      <c r="P3593" s="9"/>
      <c r="Q3593" s="9"/>
      <c r="R3593" s="9"/>
      <c r="S3593" s="9"/>
      <c r="T3593" s="9"/>
    </row>
    <row r="3594" ht="15.75" customHeight="1">
      <c r="A3594" s="11">
        <f>IFERROR(__xludf.DUMMYFUNCTION("""COMPUTED_VALUE"""),44471.0)</f>
        <v>44471</v>
      </c>
      <c r="B3594" s="9">
        <f>IFERROR(__xludf.DUMMYFUNCTION("""COMPUTED_VALUE"""),1003803.0)</f>
        <v>1003803</v>
      </c>
      <c r="C3594" s="9">
        <f>IFERROR(__xludf.DUMMYFUNCTION("""COMPUTED_VALUE"""),118481.0)</f>
        <v>118481</v>
      </c>
      <c r="D3594" s="9"/>
      <c r="E3594" s="9"/>
      <c r="F3594" s="9">
        <f>IFERROR(__xludf.DUMMYFUNCTION("""COMPUTED_VALUE"""),5.85)</f>
        <v>5.85</v>
      </c>
      <c r="G3594" s="9">
        <f>IFERROR(__xludf.DUMMYFUNCTION("""COMPUTED_VALUE"""),5.85)</f>
        <v>5.85</v>
      </c>
      <c r="H3594" s="9">
        <f>IFERROR(__xludf.DUMMYFUNCTION("""COMPUTED_VALUE"""),1.0)</f>
        <v>1</v>
      </c>
      <c r="I3594" s="9"/>
      <c r="J3594" s="9"/>
      <c r="K3594" s="9"/>
      <c r="L3594" s="9"/>
      <c r="M3594" s="9"/>
      <c r="N3594" s="9"/>
      <c r="O3594" s="9"/>
      <c r="P3594" s="9"/>
      <c r="Q3594" s="9"/>
      <c r="R3594" s="9"/>
      <c r="S3594" s="9"/>
      <c r="T3594" s="9"/>
    </row>
    <row r="3595" ht="15.75" customHeight="1">
      <c r="A3595" s="11">
        <f>IFERROR(__xludf.DUMMYFUNCTION("""COMPUTED_VALUE"""),44471.0)</f>
        <v>44471</v>
      </c>
      <c r="B3595" s="9">
        <f>IFERROR(__xludf.DUMMYFUNCTION("""COMPUTED_VALUE"""),1003803.0)</f>
        <v>1003803</v>
      </c>
      <c r="C3595" s="9">
        <f>IFERROR(__xludf.DUMMYFUNCTION("""COMPUTED_VALUE"""),101586.0)</f>
        <v>101586</v>
      </c>
      <c r="D3595" s="9"/>
      <c r="E3595" s="9"/>
      <c r="F3595" s="9">
        <f>IFERROR(__xludf.DUMMYFUNCTION("""COMPUTED_VALUE"""),4.36)</f>
        <v>4.36</v>
      </c>
      <c r="G3595" s="9">
        <f>IFERROR(__xludf.DUMMYFUNCTION("""COMPUTED_VALUE"""),4.36)</f>
        <v>4.36</v>
      </c>
      <c r="H3595" s="9">
        <f>IFERROR(__xludf.DUMMYFUNCTION("""COMPUTED_VALUE"""),1.0)</f>
        <v>1</v>
      </c>
      <c r="I3595" s="9"/>
      <c r="J3595" s="9"/>
      <c r="K3595" s="9"/>
      <c r="L3595" s="9"/>
      <c r="M3595" s="9"/>
      <c r="N3595" s="9"/>
      <c r="O3595" s="9"/>
      <c r="P3595" s="9"/>
      <c r="Q3595" s="9"/>
      <c r="R3595" s="9"/>
      <c r="S3595" s="9"/>
      <c r="T3595" s="9"/>
    </row>
    <row r="3596" ht="15.75" customHeight="1">
      <c r="A3596" s="11">
        <f>IFERROR(__xludf.DUMMYFUNCTION("""COMPUTED_VALUE"""),44471.0)</f>
        <v>44471</v>
      </c>
      <c r="B3596" s="9">
        <f>IFERROR(__xludf.DUMMYFUNCTION("""COMPUTED_VALUE"""),1003803.0)</f>
        <v>1003803</v>
      </c>
      <c r="C3596" s="9">
        <f>IFERROR(__xludf.DUMMYFUNCTION("""COMPUTED_VALUE"""),9706.0)</f>
        <v>9706</v>
      </c>
      <c r="D3596" s="9"/>
      <c r="E3596" s="9"/>
      <c r="F3596" s="9">
        <f>IFERROR(__xludf.DUMMYFUNCTION("""COMPUTED_VALUE"""),8.05)</f>
        <v>8.05</v>
      </c>
      <c r="G3596" s="9">
        <f>IFERROR(__xludf.DUMMYFUNCTION("""COMPUTED_VALUE"""),8.05)</f>
        <v>8.05</v>
      </c>
      <c r="H3596" s="9">
        <f>IFERROR(__xludf.DUMMYFUNCTION("""COMPUTED_VALUE"""),1.0)</f>
        <v>1</v>
      </c>
      <c r="I3596" s="9"/>
      <c r="J3596" s="9"/>
      <c r="K3596" s="9"/>
      <c r="L3596" s="9"/>
      <c r="M3596" s="9"/>
      <c r="N3596" s="9"/>
      <c r="O3596" s="9"/>
      <c r="P3596" s="9"/>
      <c r="Q3596" s="9"/>
      <c r="R3596" s="9"/>
      <c r="S3596" s="9"/>
      <c r="T3596" s="9"/>
    </row>
    <row r="3597" ht="15.75" customHeight="1">
      <c r="A3597" s="11">
        <f>IFERROR(__xludf.DUMMYFUNCTION("""COMPUTED_VALUE"""),44471.0)</f>
        <v>44471</v>
      </c>
      <c r="B3597" s="9">
        <f>IFERROR(__xludf.DUMMYFUNCTION("""COMPUTED_VALUE"""),1003803.0)</f>
        <v>1003803</v>
      </c>
      <c r="C3597" s="9">
        <f>IFERROR(__xludf.DUMMYFUNCTION("""COMPUTED_VALUE"""),90969.0)</f>
        <v>90969</v>
      </c>
      <c r="D3597" s="9"/>
      <c r="E3597" s="9"/>
      <c r="F3597" s="9">
        <f>IFERROR(__xludf.DUMMYFUNCTION("""COMPUTED_VALUE"""),3.33)</f>
        <v>3.33</v>
      </c>
      <c r="G3597" s="9">
        <f>IFERROR(__xludf.DUMMYFUNCTION("""COMPUTED_VALUE"""),3.33)</f>
        <v>3.33</v>
      </c>
      <c r="H3597" s="9">
        <f>IFERROR(__xludf.DUMMYFUNCTION("""COMPUTED_VALUE"""),1.0)</f>
        <v>1</v>
      </c>
      <c r="I3597" s="9"/>
      <c r="J3597" s="9"/>
      <c r="K3597" s="9"/>
      <c r="L3597" s="9"/>
      <c r="M3597" s="9"/>
      <c r="N3597" s="9"/>
      <c r="O3597" s="9"/>
      <c r="P3597" s="9"/>
      <c r="Q3597" s="9"/>
      <c r="R3597" s="9"/>
      <c r="S3597" s="9"/>
      <c r="T3597" s="9"/>
    </row>
    <row r="3598" ht="15.75" customHeight="1">
      <c r="A3598" s="11">
        <f>IFERROR(__xludf.DUMMYFUNCTION("""COMPUTED_VALUE"""),44471.0)</f>
        <v>44471</v>
      </c>
      <c r="B3598" s="9">
        <f>IFERROR(__xludf.DUMMYFUNCTION("""COMPUTED_VALUE"""),1003803.0)</f>
        <v>1003803</v>
      </c>
      <c r="C3598" s="9">
        <f>IFERROR(__xludf.DUMMYFUNCTION("""COMPUTED_VALUE"""),19344.0)</f>
        <v>19344</v>
      </c>
      <c r="D3598" s="9"/>
      <c r="E3598" s="9"/>
      <c r="F3598" s="9">
        <f>IFERROR(__xludf.DUMMYFUNCTION("""COMPUTED_VALUE"""),4.31)</f>
        <v>4.31</v>
      </c>
      <c r="G3598" s="9">
        <f>IFERROR(__xludf.DUMMYFUNCTION("""COMPUTED_VALUE"""),4.31)</f>
        <v>4.31</v>
      </c>
      <c r="H3598" s="9">
        <f>IFERROR(__xludf.DUMMYFUNCTION("""COMPUTED_VALUE"""),2.0)</f>
        <v>2</v>
      </c>
      <c r="I3598" s="9"/>
      <c r="J3598" s="9"/>
      <c r="K3598" s="9"/>
      <c r="L3598" s="9"/>
      <c r="M3598" s="9"/>
      <c r="N3598" s="9"/>
      <c r="O3598" s="9"/>
      <c r="P3598" s="9"/>
      <c r="Q3598" s="9"/>
      <c r="R3598" s="9"/>
      <c r="S3598" s="9"/>
      <c r="T3598" s="9"/>
    </row>
    <row r="3599" ht="15.75" customHeight="1">
      <c r="A3599" s="11">
        <f>IFERROR(__xludf.DUMMYFUNCTION("""COMPUTED_VALUE"""),44471.0)</f>
        <v>44471</v>
      </c>
      <c r="B3599" s="9">
        <f>IFERROR(__xludf.DUMMYFUNCTION("""COMPUTED_VALUE"""),1003803.0)</f>
        <v>1003803</v>
      </c>
      <c r="C3599" s="9">
        <f>IFERROR(__xludf.DUMMYFUNCTION("""COMPUTED_VALUE"""),26130.0)</f>
        <v>26130</v>
      </c>
      <c r="D3599" s="9"/>
      <c r="E3599" s="9"/>
      <c r="F3599" s="9">
        <f>IFERROR(__xludf.DUMMYFUNCTION("""COMPUTED_VALUE"""),4.1)</f>
        <v>4.1</v>
      </c>
      <c r="G3599" s="9">
        <f>IFERROR(__xludf.DUMMYFUNCTION("""COMPUTED_VALUE"""),4.1)</f>
        <v>4.1</v>
      </c>
      <c r="H3599" s="9">
        <f>IFERROR(__xludf.DUMMYFUNCTION("""COMPUTED_VALUE"""),2.0)</f>
        <v>2</v>
      </c>
      <c r="I3599" s="9"/>
      <c r="J3599" s="9"/>
      <c r="K3599" s="9"/>
      <c r="L3599" s="9"/>
      <c r="M3599" s="9"/>
      <c r="N3599" s="9"/>
      <c r="O3599" s="9"/>
      <c r="P3599" s="9"/>
      <c r="Q3599" s="9"/>
      <c r="R3599" s="9"/>
      <c r="S3599" s="9"/>
      <c r="T3599" s="9"/>
    </row>
    <row r="3600" ht="15.75" customHeight="1">
      <c r="A3600" s="11">
        <f>IFERROR(__xludf.DUMMYFUNCTION("""COMPUTED_VALUE"""),44471.0)</f>
        <v>44471</v>
      </c>
      <c r="B3600" s="9">
        <f>IFERROR(__xludf.DUMMYFUNCTION("""COMPUTED_VALUE"""),1003803.0)</f>
        <v>1003803</v>
      </c>
      <c r="C3600" s="9">
        <f>IFERROR(__xludf.DUMMYFUNCTION("""COMPUTED_VALUE"""),90955.0)</f>
        <v>90955</v>
      </c>
      <c r="D3600" s="9"/>
      <c r="E3600" s="9"/>
      <c r="F3600" s="9">
        <f>IFERROR(__xludf.DUMMYFUNCTION("""COMPUTED_VALUE"""),8.17)</f>
        <v>8.17</v>
      </c>
      <c r="G3600" s="9">
        <f>IFERROR(__xludf.DUMMYFUNCTION("""COMPUTED_VALUE"""),8.17)</f>
        <v>8.17</v>
      </c>
      <c r="H3600" s="9">
        <f>IFERROR(__xludf.DUMMYFUNCTION("""COMPUTED_VALUE"""),2.0)</f>
        <v>2</v>
      </c>
      <c r="I3600" s="9"/>
      <c r="J3600" s="9"/>
      <c r="K3600" s="9"/>
      <c r="L3600" s="9"/>
      <c r="M3600" s="9"/>
      <c r="N3600" s="9"/>
      <c r="O3600" s="9"/>
      <c r="P3600" s="9"/>
      <c r="Q3600" s="9"/>
      <c r="R3600" s="9"/>
      <c r="S3600" s="9"/>
      <c r="T3600" s="9"/>
    </row>
    <row r="3601" ht="15.75" customHeight="1">
      <c r="A3601" s="11">
        <f>IFERROR(__xludf.DUMMYFUNCTION("""COMPUTED_VALUE"""),44471.0)</f>
        <v>44471</v>
      </c>
      <c r="B3601" s="9">
        <f>IFERROR(__xludf.DUMMYFUNCTION("""COMPUTED_VALUE"""),1003803.0)</f>
        <v>1003803</v>
      </c>
      <c r="C3601" s="9">
        <f>IFERROR(__xludf.DUMMYFUNCTION("""COMPUTED_VALUE"""),19299.0)</f>
        <v>19299</v>
      </c>
      <c r="D3601" s="9"/>
      <c r="E3601" s="9"/>
      <c r="F3601" s="9">
        <f>IFERROR(__xludf.DUMMYFUNCTION("""COMPUTED_VALUE"""),9.21)</f>
        <v>9.21</v>
      </c>
      <c r="G3601" s="9">
        <f>IFERROR(__xludf.DUMMYFUNCTION("""COMPUTED_VALUE"""),9.21)</f>
        <v>9.21</v>
      </c>
      <c r="H3601" s="9">
        <f>IFERROR(__xludf.DUMMYFUNCTION("""COMPUTED_VALUE"""),2.0)</f>
        <v>2</v>
      </c>
      <c r="I3601" s="9"/>
      <c r="J3601" s="9"/>
      <c r="K3601" s="9"/>
      <c r="L3601" s="9"/>
      <c r="M3601" s="9"/>
      <c r="N3601" s="9"/>
      <c r="O3601" s="9"/>
      <c r="P3601" s="9"/>
      <c r="Q3601" s="9"/>
      <c r="R3601" s="9"/>
      <c r="S3601" s="9"/>
      <c r="T3601" s="9"/>
    </row>
    <row r="3602" ht="15.75" customHeight="1">
      <c r="A3602" s="11">
        <f>IFERROR(__xludf.DUMMYFUNCTION("""COMPUTED_VALUE"""),44471.0)</f>
        <v>44471</v>
      </c>
      <c r="B3602" s="9">
        <f>IFERROR(__xludf.DUMMYFUNCTION("""COMPUTED_VALUE"""),1003804.0)</f>
        <v>1003804</v>
      </c>
      <c r="C3602" s="9">
        <f>IFERROR(__xludf.DUMMYFUNCTION("""COMPUTED_VALUE"""),82453.0)</f>
        <v>82453</v>
      </c>
      <c r="D3602" s="9"/>
      <c r="E3602" s="10" t="str">
        <f>IFERROR(__xludf.DUMMYFUNCTION("""COMPUTED_VALUE"""),"GREENRELAIS")</f>
        <v>GREENRELAIS</v>
      </c>
      <c r="F3602" s="10">
        <f>IFERROR(__xludf.DUMMYFUNCTION("""COMPUTED_VALUE"""),2.5)</f>
        <v>2.5</v>
      </c>
      <c r="G3602" s="9">
        <f>IFERROR(__xludf.DUMMYFUNCTION("""COMPUTED_VALUE"""),2.5)</f>
        <v>2.5</v>
      </c>
      <c r="H3602" s="9">
        <f>IFERROR(__xludf.DUMMYFUNCTION("""COMPUTED_VALUE"""),1.0)</f>
        <v>1</v>
      </c>
      <c r="I3602" s="9"/>
      <c r="J3602" s="9"/>
      <c r="K3602" s="9"/>
      <c r="L3602" s="9"/>
      <c r="M3602" s="9"/>
      <c r="N3602" s="9"/>
      <c r="O3602" s="9"/>
      <c r="P3602" s="9"/>
      <c r="Q3602" s="9"/>
      <c r="R3602" s="9"/>
      <c r="S3602" s="9"/>
      <c r="T3602" s="9"/>
    </row>
    <row r="3603" ht="15.75" customHeight="1">
      <c r="A3603" s="11">
        <f>IFERROR(__xludf.DUMMYFUNCTION("""COMPUTED_VALUE"""),44471.0)</f>
        <v>44471</v>
      </c>
      <c r="B3603" s="9">
        <f>IFERROR(__xludf.DUMMYFUNCTION("""COMPUTED_VALUE"""),1003804.0)</f>
        <v>1003804</v>
      </c>
      <c r="C3603" s="9">
        <f>IFERROR(__xludf.DUMMYFUNCTION("""COMPUTED_VALUE"""),72081.0)</f>
        <v>72081</v>
      </c>
      <c r="D3603" s="9"/>
      <c r="E3603" s="10" t="str">
        <f>IFERROR(__xludf.DUMMYFUNCTION("""COMPUTED_VALUE"""),"GREENRELAIS")</f>
        <v>GREENRELAIS</v>
      </c>
      <c r="F3603" s="10">
        <f>IFERROR(__xludf.DUMMYFUNCTION("""COMPUTED_VALUE"""),6.14)</f>
        <v>6.14</v>
      </c>
      <c r="G3603" s="9">
        <f>IFERROR(__xludf.DUMMYFUNCTION("""COMPUTED_VALUE"""),6.14)</f>
        <v>6.14</v>
      </c>
      <c r="H3603" s="9">
        <f>IFERROR(__xludf.DUMMYFUNCTION("""COMPUTED_VALUE"""),1.0)</f>
        <v>1</v>
      </c>
      <c r="I3603" s="9"/>
      <c r="J3603" s="9"/>
      <c r="K3603" s="9"/>
      <c r="L3603" s="9"/>
      <c r="M3603" s="9"/>
      <c r="N3603" s="9"/>
      <c r="O3603" s="9"/>
      <c r="P3603" s="9"/>
      <c r="Q3603" s="9"/>
      <c r="R3603" s="9"/>
      <c r="S3603" s="9"/>
      <c r="T3603" s="9"/>
    </row>
    <row r="3604" ht="15.75" customHeight="1">
      <c r="A3604" s="11">
        <f>IFERROR(__xludf.DUMMYFUNCTION("""COMPUTED_VALUE"""),44471.0)</f>
        <v>44471</v>
      </c>
      <c r="B3604" s="9">
        <f>IFERROR(__xludf.DUMMYFUNCTION("""COMPUTED_VALUE"""),1003804.0)</f>
        <v>1003804</v>
      </c>
      <c r="C3604" s="9">
        <f>IFERROR(__xludf.DUMMYFUNCTION("""COMPUTED_VALUE"""),77197.0)</f>
        <v>77197</v>
      </c>
      <c r="D3604" s="9"/>
      <c r="E3604" s="10" t="str">
        <f>IFERROR(__xludf.DUMMYFUNCTION("""COMPUTED_VALUE"""),"GREENRELAIS")</f>
        <v>GREENRELAIS</v>
      </c>
      <c r="F3604" s="10">
        <f>IFERROR(__xludf.DUMMYFUNCTION("""COMPUTED_VALUE"""),3.84)</f>
        <v>3.84</v>
      </c>
      <c r="G3604" s="9">
        <f>IFERROR(__xludf.DUMMYFUNCTION("""COMPUTED_VALUE"""),3.84)</f>
        <v>3.84</v>
      </c>
      <c r="H3604" s="9">
        <f>IFERROR(__xludf.DUMMYFUNCTION("""COMPUTED_VALUE"""),1.0)</f>
        <v>1</v>
      </c>
      <c r="I3604" s="9"/>
      <c r="J3604" s="9"/>
      <c r="K3604" s="9"/>
      <c r="L3604" s="9"/>
      <c r="M3604" s="9"/>
      <c r="N3604" s="9"/>
      <c r="O3604" s="9"/>
      <c r="P3604" s="9"/>
      <c r="Q3604" s="9"/>
      <c r="R3604" s="9"/>
      <c r="S3604" s="9"/>
      <c r="T3604" s="9"/>
    </row>
    <row r="3605" ht="15.75" customHeight="1">
      <c r="A3605" s="11">
        <f>IFERROR(__xludf.DUMMYFUNCTION("""COMPUTED_VALUE"""),44471.0)</f>
        <v>44471</v>
      </c>
      <c r="B3605" s="9">
        <f>IFERROR(__xludf.DUMMYFUNCTION("""COMPUTED_VALUE"""),1003804.0)</f>
        <v>1003804</v>
      </c>
      <c r="C3605" s="9">
        <f>IFERROR(__xludf.DUMMYFUNCTION("""COMPUTED_VALUE"""),109488.0)</f>
        <v>109488</v>
      </c>
      <c r="D3605" s="10" t="str">
        <f>IFERROR(__xludf.DUMMYFUNCTION("""COMPUTED_VALUE"""),"Vive le bio")</f>
        <v>Vive le bio</v>
      </c>
      <c r="E3605" s="10" t="str">
        <f>IFERROR(__xludf.DUMMYFUNCTION("""COMPUTED_VALUE"""),"GREENRELAIS")</f>
        <v>GREENRELAIS</v>
      </c>
      <c r="F3605" s="10">
        <f>IFERROR(__xludf.DUMMYFUNCTION("""COMPUTED_VALUE"""),7.85555555555555)</f>
        <v>7.855555556</v>
      </c>
      <c r="G3605" s="9">
        <f>IFERROR(__xludf.DUMMYFUNCTION("""COMPUTED_VALUE"""),7.07)</f>
        <v>7.07</v>
      </c>
      <c r="H3605" s="9">
        <f>IFERROR(__xludf.DUMMYFUNCTION("""COMPUTED_VALUE"""),1.0)</f>
        <v>1</v>
      </c>
      <c r="I3605" s="9"/>
      <c r="J3605" s="9"/>
      <c r="K3605" s="9"/>
      <c r="L3605" s="9"/>
      <c r="M3605" s="9"/>
      <c r="N3605" s="9"/>
      <c r="O3605" s="9"/>
      <c r="P3605" s="9"/>
      <c r="Q3605" s="9"/>
      <c r="R3605" s="9"/>
      <c r="S3605" s="9"/>
      <c r="T3605" s="9"/>
    </row>
    <row r="3606" ht="15.75" customHeight="1">
      <c r="A3606" s="11">
        <f>IFERROR(__xludf.DUMMYFUNCTION("""COMPUTED_VALUE"""),44471.0)</f>
        <v>44471</v>
      </c>
      <c r="B3606" s="9">
        <f>IFERROR(__xludf.DUMMYFUNCTION("""COMPUTED_VALUE"""),1003804.0)</f>
        <v>1003804</v>
      </c>
      <c r="C3606" s="9">
        <f>IFERROR(__xludf.DUMMYFUNCTION("""COMPUTED_VALUE"""),109746.0)</f>
        <v>109746</v>
      </c>
      <c r="D3606" s="10" t="str">
        <f>IFERROR(__xludf.DUMMYFUNCTION("""COMPUTED_VALUE"""),"Hygiene intime")</f>
        <v>Hygiene intime</v>
      </c>
      <c r="E3606" s="10" t="str">
        <f>IFERROR(__xludf.DUMMYFUNCTION("""COMPUTED_VALUE"""),"GREENRELAIS")</f>
        <v>GREENRELAIS</v>
      </c>
      <c r="F3606" s="10">
        <f>IFERROR(__xludf.DUMMYFUNCTION("""COMPUTED_VALUE"""),14.6222222222222)</f>
        <v>14.62222222</v>
      </c>
      <c r="G3606" s="9">
        <f>IFERROR(__xludf.DUMMYFUNCTION("""COMPUTED_VALUE"""),13.16)</f>
        <v>13.16</v>
      </c>
      <c r="H3606" s="9">
        <f>IFERROR(__xludf.DUMMYFUNCTION("""COMPUTED_VALUE"""),1.0)</f>
        <v>1</v>
      </c>
      <c r="I3606" s="9"/>
      <c r="J3606" s="9"/>
      <c r="K3606" s="9"/>
      <c r="L3606" s="9"/>
      <c r="M3606" s="9"/>
      <c r="N3606" s="9"/>
      <c r="O3606" s="9"/>
      <c r="P3606" s="9"/>
      <c r="Q3606" s="9"/>
      <c r="R3606" s="9"/>
      <c r="S3606" s="9"/>
      <c r="T3606" s="9"/>
    </row>
    <row r="3607" ht="15.75" customHeight="1">
      <c r="A3607" s="11">
        <f>IFERROR(__xludf.DUMMYFUNCTION("""COMPUTED_VALUE"""),44471.0)</f>
        <v>44471</v>
      </c>
      <c r="B3607" s="9">
        <f>IFERROR(__xludf.DUMMYFUNCTION("""COMPUTED_VALUE"""),1003804.0)</f>
        <v>1003804</v>
      </c>
      <c r="C3607" s="9">
        <f>IFERROR(__xludf.DUMMYFUNCTION("""COMPUTED_VALUE"""),17664.0)</f>
        <v>17664</v>
      </c>
      <c r="D3607" s="10" t="str">
        <f>IFERROR(__xludf.DUMMYFUNCTION("""COMPUTED_VALUE"""),"Zero Dechet")</f>
        <v>Zero Dechet</v>
      </c>
      <c r="E3607" s="10" t="str">
        <f>IFERROR(__xludf.DUMMYFUNCTION("""COMPUTED_VALUE"""),"GREENRELAIS")</f>
        <v>GREENRELAIS</v>
      </c>
      <c r="F3607" s="10">
        <f>IFERROR(__xludf.DUMMYFUNCTION("""COMPUTED_VALUE"""),25.7647058823529)</f>
        <v>25.76470588</v>
      </c>
      <c r="G3607" s="9">
        <f>IFERROR(__xludf.DUMMYFUNCTION("""COMPUTED_VALUE"""),21.9)</f>
        <v>21.9</v>
      </c>
      <c r="H3607" s="9">
        <f>IFERROR(__xludf.DUMMYFUNCTION("""COMPUTED_VALUE"""),4.0)</f>
        <v>4</v>
      </c>
      <c r="I3607" s="9"/>
      <c r="J3607" s="9"/>
      <c r="K3607" s="9"/>
      <c r="L3607" s="9"/>
      <c r="M3607" s="9"/>
      <c r="N3607" s="9"/>
      <c r="O3607" s="9"/>
      <c r="P3607" s="9"/>
      <c r="Q3607" s="9"/>
      <c r="R3607" s="9"/>
      <c r="S3607" s="9"/>
      <c r="T3607" s="9"/>
    </row>
    <row r="3608" ht="15.75" customHeight="1">
      <c r="A3608" s="11">
        <f>IFERROR(__xludf.DUMMYFUNCTION("""COMPUTED_VALUE"""),44471.0)</f>
        <v>44471</v>
      </c>
      <c r="B3608" s="9">
        <f>IFERROR(__xludf.DUMMYFUNCTION("""COMPUTED_VALUE"""),1003804.0)</f>
        <v>1003804</v>
      </c>
      <c r="C3608" s="9">
        <f>IFERROR(__xludf.DUMMYFUNCTION("""COMPUTED_VALUE"""),100437.0)</f>
        <v>100437</v>
      </c>
      <c r="D3608" s="10" t="str">
        <f>IFERROR(__xludf.DUMMYFUNCTION("""COMPUTED_VALUE"""),"Vive le bio")</f>
        <v>Vive le bio</v>
      </c>
      <c r="E3608" s="10" t="str">
        <f>IFERROR(__xludf.DUMMYFUNCTION("""COMPUTED_VALUE"""),"GREENRELAIS")</f>
        <v>GREENRELAIS</v>
      </c>
      <c r="F3608" s="10">
        <f>IFERROR(__xludf.DUMMYFUNCTION("""COMPUTED_VALUE"""),14.1473684210526)</f>
        <v>14.14736842</v>
      </c>
      <c r="G3608" s="9">
        <f>IFERROR(__xludf.DUMMYFUNCTION("""COMPUTED_VALUE"""),13.44)</f>
        <v>13.44</v>
      </c>
      <c r="H3608" s="9">
        <f>IFERROR(__xludf.DUMMYFUNCTION("""COMPUTED_VALUE"""),10.0)</f>
        <v>10</v>
      </c>
      <c r="I3608" s="9"/>
      <c r="J3608" s="9"/>
      <c r="K3608" s="9"/>
      <c r="L3608" s="9"/>
      <c r="M3608" s="9"/>
      <c r="N3608" s="9"/>
      <c r="O3608" s="9"/>
      <c r="P3608" s="9"/>
      <c r="Q3608" s="9"/>
      <c r="R3608" s="9"/>
      <c r="S3608" s="9"/>
      <c r="T3608" s="9"/>
    </row>
    <row r="3609" ht="15.75" customHeight="1">
      <c r="A3609" s="11">
        <f>IFERROR(__xludf.DUMMYFUNCTION("""COMPUTED_VALUE"""),44471.0)</f>
        <v>44471</v>
      </c>
      <c r="B3609" s="9">
        <f>IFERROR(__xludf.DUMMYFUNCTION("""COMPUTED_VALUE"""),1003805.0)</f>
        <v>1003805</v>
      </c>
      <c r="C3609" s="9">
        <f>IFERROR(__xludf.DUMMYFUNCTION("""COMPUTED_VALUE"""),15423.0)</f>
        <v>15423</v>
      </c>
      <c r="D3609" s="9"/>
      <c r="E3609" s="9"/>
      <c r="F3609" s="9">
        <f>IFERROR(__xludf.DUMMYFUNCTION("""COMPUTED_VALUE"""),19.28)</f>
        <v>19.28</v>
      </c>
      <c r="G3609" s="9">
        <f>IFERROR(__xludf.DUMMYFUNCTION("""COMPUTED_VALUE"""),19.28)</f>
        <v>19.28</v>
      </c>
      <c r="H3609" s="9">
        <f>IFERROR(__xludf.DUMMYFUNCTION("""COMPUTED_VALUE"""),3.0)</f>
        <v>3</v>
      </c>
      <c r="I3609" s="9"/>
      <c r="J3609" s="9"/>
      <c r="K3609" s="9"/>
      <c r="L3609" s="9"/>
      <c r="M3609" s="9"/>
      <c r="N3609" s="9"/>
      <c r="O3609" s="9"/>
      <c r="P3609" s="9"/>
      <c r="Q3609" s="9"/>
      <c r="R3609" s="9"/>
      <c r="S3609" s="9"/>
      <c r="T3609" s="9"/>
    </row>
    <row r="3610" ht="15.75" customHeight="1">
      <c r="A3610" s="11">
        <f>IFERROR(__xludf.DUMMYFUNCTION("""COMPUTED_VALUE"""),44471.0)</f>
        <v>44471</v>
      </c>
      <c r="B3610" s="9">
        <f>IFERROR(__xludf.DUMMYFUNCTION("""COMPUTED_VALUE"""),1003807.0)</f>
        <v>1003807</v>
      </c>
      <c r="C3610" s="9">
        <f>IFERROR(__xludf.DUMMYFUNCTION("""COMPUTED_VALUE"""),103595.0)</f>
        <v>103595</v>
      </c>
      <c r="D3610" s="10" t="str">
        <f>IFERROR(__xludf.DUMMYFUNCTION("""COMPUTED_VALUE"""),"Love &amp; Green Couches et Culottes sept 2021")</f>
        <v>Love &amp; Green Couches et Culottes sept 2021</v>
      </c>
      <c r="E3610" s="10"/>
      <c r="F3610" s="9">
        <f>IFERROR(__xludf.DUMMYFUNCTION("""COMPUTED_VALUE"""),31.3285714285714)</f>
        <v>31.32857143</v>
      </c>
      <c r="G3610" s="9">
        <f>IFERROR(__xludf.DUMMYFUNCTION("""COMPUTED_VALUE"""),21.93)</f>
        <v>21.93</v>
      </c>
      <c r="H3610" s="9">
        <f>IFERROR(__xludf.DUMMYFUNCTION("""COMPUTED_VALUE"""),2.0)</f>
        <v>2</v>
      </c>
      <c r="I3610" s="9"/>
      <c r="J3610" s="9"/>
      <c r="K3610" s="9"/>
      <c r="L3610" s="9"/>
      <c r="M3610" s="9"/>
      <c r="N3610" s="9"/>
      <c r="O3610" s="9"/>
      <c r="P3610" s="9"/>
      <c r="Q3610" s="9"/>
      <c r="R3610" s="9"/>
      <c r="S3610" s="9"/>
      <c r="T3610" s="9"/>
    </row>
    <row r="3611" ht="15.75" customHeight="1">
      <c r="A3611" s="11">
        <f>IFERROR(__xludf.DUMMYFUNCTION("""COMPUTED_VALUE"""),44471.0)</f>
        <v>44471</v>
      </c>
      <c r="B3611" s="9">
        <f>IFERROR(__xludf.DUMMYFUNCTION("""COMPUTED_VALUE"""),1003807.0)</f>
        <v>1003807</v>
      </c>
      <c r="C3611" s="9">
        <f>IFERROR(__xludf.DUMMYFUNCTION("""COMPUTED_VALUE"""),103595.0)</f>
        <v>103595</v>
      </c>
      <c r="D3611" s="10" t="str">
        <f>IFERROR(__xludf.DUMMYFUNCTION("""COMPUTED_VALUE"""),"Love &amp; Green Couches et Culottes sept 2021")</f>
        <v>Love &amp; Green Couches et Culottes sept 2021</v>
      </c>
      <c r="E3611" s="10"/>
      <c r="F3611" s="9">
        <f>IFERROR(__xludf.DUMMYFUNCTION("""COMPUTED_VALUE"""),62.0285714285714)</f>
        <v>62.02857143</v>
      </c>
      <c r="G3611" s="9">
        <f>IFERROR(__xludf.DUMMYFUNCTION("""COMPUTED_VALUE"""),43.42)</f>
        <v>43.42</v>
      </c>
      <c r="H3611" s="9">
        <f>IFERROR(__xludf.DUMMYFUNCTION("""COMPUTED_VALUE"""),4.0)</f>
        <v>4</v>
      </c>
      <c r="I3611" s="9"/>
      <c r="J3611" s="9"/>
      <c r="K3611" s="9"/>
      <c r="L3611" s="9"/>
      <c r="M3611" s="9"/>
      <c r="N3611" s="9"/>
      <c r="O3611" s="9"/>
      <c r="P3611" s="9"/>
      <c r="Q3611" s="9"/>
      <c r="R3611" s="9"/>
      <c r="S3611" s="9"/>
      <c r="T3611" s="9"/>
    </row>
    <row r="3612" ht="15.75" customHeight="1">
      <c r="A3612" s="11">
        <f>IFERROR(__xludf.DUMMYFUNCTION("""COMPUTED_VALUE"""),44471.0)</f>
        <v>44471</v>
      </c>
      <c r="B3612" s="9">
        <f>IFERROR(__xludf.DUMMYFUNCTION("""COMPUTED_VALUE"""),1003808.0)</f>
        <v>1003808</v>
      </c>
      <c r="C3612" s="9">
        <f>IFERROR(__xludf.DUMMYFUNCTION("""COMPUTED_VALUE"""),76363.0)</f>
        <v>76363</v>
      </c>
      <c r="D3612" s="9"/>
      <c r="E3612" s="9"/>
      <c r="F3612" s="9">
        <f>IFERROR(__xludf.DUMMYFUNCTION("""COMPUTED_VALUE"""),2.52)</f>
        <v>2.52</v>
      </c>
      <c r="G3612" s="9">
        <f>IFERROR(__xludf.DUMMYFUNCTION("""COMPUTED_VALUE"""),2.52)</f>
        <v>2.52</v>
      </c>
      <c r="H3612" s="9">
        <f>IFERROR(__xludf.DUMMYFUNCTION("""COMPUTED_VALUE"""),1.0)</f>
        <v>1</v>
      </c>
      <c r="I3612" s="9"/>
      <c r="J3612" s="9"/>
      <c r="K3612" s="9"/>
      <c r="L3612" s="9"/>
      <c r="M3612" s="9"/>
      <c r="N3612" s="9"/>
      <c r="O3612" s="9"/>
      <c r="P3612" s="9"/>
      <c r="Q3612" s="9"/>
      <c r="R3612" s="9"/>
      <c r="S3612" s="9"/>
      <c r="T3612" s="9"/>
    </row>
    <row r="3613" ht="15.75" customHeight="1">
      <c r="A3613" s="11">
        <f>IFERROR(__xludf.DUMMYFUNCTION("""COMPUTED_VALUE"""),44471.0)</f>
        <v>44471</v>
      </c>
      <c r="B3613" s="9">
        <f>IFERROR(__xludf.DUMMYFUNCTION("""COMPUTED_VALUE"""),1003808.0)</f>
        <v>1003808</v>
      </c>
      <c r="C3613" s="9">
        <f>IFERROR(__xludf.DUMMYFUNCTION("""COMPUTED_VALUE"""),76466.0)</f>
        <v>76466</v>
      </c>
      <c r="D3613" s="9"/>
      <c r="E3613" s="9"/>
      <c r="F3613" s="9">
        <f>IFERROR(__xludf.DUMMYFUNCTION("""COMPUTED_VALUE"""),3.77)</f>
        <v>3.77</v>
      </c>
      <c r="G3613" s="9">
        <f>IFERROR(__xludf.DUMMYFUNCTION("""COMPUTED_VALUE"""),3.77)</f>
        <v>3.77</v>
      </c>
      <c r="H3613" s="9">
        <f>IFERROR(__xludf.DUMMYFUNCTION("""COMPUTED_VALUE"""),1.0)</f>
        <v>1</v>
      </c>
      <c r="I3613" s="9"/>
      <c r="J3613" s="9"/>
      <c r="K3613" s="9"/>
      <c r="L3613" s="9"/>
      <c r="M3613" s="9"/>
      <c r="N3613" s="9"/>
      <c r="O3613" s="9"/>
      <c r="P3613" s="9"/>
      <c r="Q3613" s="9"/>
      <c r="R3613" s="9"/>
      <c r="S3613" s="9"/>
      <c r="T3613" s="9"/>
    </row>
    <row r="3614" ht="15.75" customHeight="1">
      <c r="A3614" s="11">
        <f>IFERROR(__xludf.DUMMYFUNCTION("""COMPUTED_VALUE"""),44471.0)</f>
        <v>44471</v>
      </c>
      <c r="B3614" s="9">
        <f>IFERROR(__xludf.DUMMYFUNCTION("""COMPUTED_VALUE"""),1003808.0)</f>
        <v>1003808</v>
      </c>
      <c r="C3614" s="9">
        <f>IFERROR(__xludf.DUMMYFUNCTION("""COMPUTED_VALUE"""),90924.0)</f>
        <v>90924</v>
      </c>
      <c r="D3614" s="9"/>
      <c r="E3614" s="9"/>
      <c r="F3614" s="9">
        <f>IFERROR(__xludf.DUMMYFUNCTION("""COMPUTED_VALUE"""),3.41)</f>
        <v>3.41</v>
      </c>
      <c r="G3614" s="9">
        <f>IFERROR(__xludf.DUMMYFUNCTION("""COMPUTED_VALUE"""),3.41)</f>
        <v>3.41</v>
      </c>
      <c r="H3614" s="9">
        <f>IFERROR(__xludf.DUMMYFUNCTION("""COMPUTED_VALUE"""),1.0)</f>
        <v>1</v>
      </c>
      <c r="I3614" s="9"/>
      <c r="J3614" s="9"/>
      <c r="K3614" s="9"/>
      <c r="L3614" s="9"/>
      <c r="M3614" s="9"/>
      <c r="N3614" s="9"/>
      <c r="O3614" s="9"/>
      <c r="P3614" s="9"/>
      <c r="Q3614" s="9"/>
      <c r="R3614" s="9"/>
      <c r="S3614" s="9"/>
      <c r="T3614" s="9"/>
    </row>
    <row r="3615" ht="15.75" customHeight="1">
      <c r="A3615" s="11">
        <f>IFERROR(__xludf.DUMMYFUNCTION("""COMPUTED_VALUE"""),44471.0)</f>
        <v>44471</v>
      </c>
      <c r="B3615" s="9">
        <f>IFERROR(__xludf.DUMMYFUNCTION("""COMPUTED_VALUE"""),1003808.0)</f>
        <v>1003808</v>
      </c>
      <c r="C3615" s="9">
        <f>IFERROR(__xludf.DUMMYFUNCTION("""COMPUTED_VALUE"""),113096.0)</f>
        <v>113096</v>
      </c>
      <c r="D3615" s="9"/>
      <c r="E3615" s="9"/>
      <c r="F3615" s="9">
        <f>IFERROR(__xludf.DUMMYFUNCTION("""COMPUTED_VALUE"""),3.29)</f>
        <v>3.29</v>
      </c>
      <c r="G3615" s="9">
        <f>IFERROR(__xludf.DUMMYFUNCTION("""COMPUTED_VALUE"""),3.29)</f>
        <v>3.29</v>
      </c>
      <c r="H3615" s="9">
        <f>IFERROR(__xludf.DUMMYFUNCTION("""COMPUTED_VALUE"""),1.0)</f>
        <v>1</v>
      </c>
      <c r="I3615" s="9"/>
      <c r="J3615" s="9"/>
      <c r="K3615" s="9"/>
      <c r="L3615" s="9"/>
      <c r="M3615" s="9"/>
      <c r="N3615" s="9"/>
      <c r="O3615" s="9"/>
      <c r="P3615" s="9"/>
      <c r="Q3615" s="9"/>
      <c r="R3615" s="9"/>
      <c r="S3615" s="9"/>
      <c r="T3615" s="9"/>
    </row>
    <row r="3616" ht="15.75" customHeight="1">
      <c r="A3616" s="11">
        <f>IFERROR(__xludf.DUMMYFUNCTION("""COMPUTED_VALUE"""),44471.0)</f>
        <v>44471</v>
      </c>
      <c r="B3616" s="9">
        <f>IFERROR(__xludf.DUMMYFUNCTION("""COMPUTED_VALUE"""),1003808.0)</f>
        <v>1003808</v>
      </c>
      <c r="C3616" s="9">
        <f>IFERROR(__xludf.DUMMYFUNCTION("""COMPUTED_VALUE"""),18042.0)</f>
        <v>18042</v>
      </c>
      <c r="D3616" s="9"/>
      <c r="E3616" s="9"/>
      <c r="F3616" s="9">
        <f>IFERROR(__xludf.DUMMYFUNCTION("""COMPUTED_VALUE"""),5.08)</f>
        <v>5.08</v>
      </c>
      <c r="G3616" s="9">
        <f>IFERROR(__xludf.DUMMYFUNCTION("""COMPUTED_VALUE"""),5.08)</f>
        <v>5.08</v>
      </c>
      <c r="H3616" s="9">
        <f>IFERROR(__xludf.DUMMYFUNCTION("""COMPUTED_VALUE"""),1.0)</f>
        <v>1</v>
      </c>
      <c r="I3616" s="9"/>
      <c r="J3616" s="9"/>
      <c r="K3616" s="9"/>
      <c r="L3616" s="9"/>
      <c r="M3616" s="9"/>
      <c r="N3616" s="9"/>
      <c r="O3616" s="9"/>
      <c r="P3616" s="9"/>
      <c r="Q3616" s="9"/>
      <c r="R3616" s="9"/>
      <c r="S3616" s="9"/>
      <c r="T3616" s="9"/>
    </row>
    <row r="3617" ht="15.75" customHeight="1">
      <c r="A3617" s="11">
        <f>IFERROR(__xludf.DUMMYFUNCTION("""COMPUTED_VALUE"""),44471.0)</f>
        <v>44471</v>
      </c>
      <c r="B3617" s="9">
        <f>IFERROR(__xludf.DUMMYFUNCTION("""COMPUTED_VALUE"""),1003808.0)</f>
        <v>1003808</v>
      </c>
      <c r="C3617" s="9">
        <f>IFERROR(__xludf.DUMMYFUNCTION("""COMPUTED_VALUE"""),76569.0)</f>
        <v>76569</v>
      </c>
      <c r="D3617" s="10" t="str">
        <f>IFERROR(__xludf.DUMMYFUNCTION("""COMPUTED_VALUE"""),"Vive le bio")</f>
        <v>Vive le bio</v>
      </c>
      <c r="E3617" s="10"/>
      <c r="F3617" s="9">
        <f>IFERROR(__xludf.DUMMYFUNCTION("""COMPUTED_VALUE"""),2.8)</f>
        <v>2.8</v>
      </c>
      <c r="G3617" s="9">
        <f>IFERROR(__xludf.DUMMYFUNCTION("""COMPUTED_VALUE"""),2.52)</f>
        <v>2.52</v>
      </c>
      <c r="H3617" s="9">
        <f>IFERROR(__xludf.DUMMYFUNCTION("""COMPUTED_VALUE"""),1.0)</f>
        <v>1</v>
      </c>
      <c r="I3617" s="9"/>
      <c r="J3617" s="9"/>
      <c r="K3617" s="9"/>
      <c r="L3617" s="9"/>
      <c r="M3617" s="9"/>
      <c r="N3617" s="9"/>
      <c r="O3617" s="9"/>
      <c r="P3617" s="9"/>
      <c r="Q3617" s="9"/>
      <c r="R3617" s="9"/>
      <c r="S3617" s="9"/>
      <c r="T3617" s="9"/>
    </row>
    <row r="3618" ht="15.75" customHeight="1">
      <c r="A3618" s="11">
        <f>IFERROR(__xludf.DUMMYFUNCTION("""COMPUTED_VALUE"""),44471.0)</f>
        <v>44471</v>
      </c>
      <c r="B3618" s="9">
        <f>IFERROR(__xludf.DUMMYFUNCTION("""COMPUTED_VALUE"""),1003808.0)</f>
        <v>1003808</v>
      </c>
      <c r="C3618" s="9">
        <f>IFERROR(__xludf.DUMMYFUNCTION("""COMPUTED_VALUE"""),109185.0)</f>
        <v>109185</v>
      </c>
      <c r="D3618" s="9"/>
      <c r="E3618" s="9"/>
      <c r="F3618" s="9">
        <f>IFERROR(__xludf.DUMMYFUNCTION("""COMPUTED_VALUE"""),9.67)</f>
        <v>9.67</v>
      </c>
      <c r="G3618" s="9">
        <f>IFERROR(__xludf.DUMMYFUNCTION("""COMPUTED_VALUE"""),9.67)</f>
        <v>9.67</v>
      </c>
      <c r="H3618" s="9">
        <f>IFERROR(__xludf.DUMMYFUNCTION("""COMPUTED_VALUE"""),1.0)</f>
        <v>1</v>
      </c>
      <c r="I3618" s="9"/>
      <c r="J3618" s="9"/>
      <c r="K3618" s="9"/>
      <c r="L3618" s="9"/>
      <c r="M3618" s="9"/>
      <c r="N3618" s="9"/>
      <c r="O3618" s="9"/>
      <c r="P3618" s="9"/>
      <c r="Q3618" s="9"/>
      <c r="R3618" s="9"/>
      <c r="S3618" s="9"/>
      <c r="T3618" s="9"/>
    </row>
    <row r="3619" ht="15.75" customHeight="1">
      <c r="A3619" s="11">
        <f>IFERROR(__xludf.DUMMYFUNCTION("""COMPUTED_VALUE"""),44471.0)</f>
        <v>44471</v>
      </c>
      <c r="B3619" s="9">
        <f>IFERROR(__xludf.DUMMYFUNCTION("""COMPUTED_VALUE"""),1003808.0)</f>
        <v>1003808</v>
      </c>
      <c r="C3619" s="9">
        <f>IFERROR(__xludf.DUMMYFUNCTION("""COMPUTED_VALUE"""),48639.0)</f>
        <v>48639</v>
      </c>
      <c r="D3619" s="10" t="str">
        <f>IFERROR(__xludf.DUMMYFUNCTION("""COMPUTED_VALUE"""),"Vive le bio")</f>
        <v>Vive le bio</v>
      </c>
      <c r="E3619" s="10"/>
      <c r="F3619" s="9">
        <f>IFERROR(__xludf.DUMMYFUNCTION("""COMPUTED_VALUE"""),4.07777777777777)</f>
        <v>4.077777778</v>
      </c>
      <c r="G3619" s="9">
        <f>IFERROR(__xludf.DUMMYFUNCTION("""COMPUTED_VALUE"""),3.67)</f>
        <v>3.67</v>
      </c>
      <c r="H3619" s="9">
        <f>IFERROR(__xludf.DUMMYFUNCTION("""COMPUTED_VALUE"""),1.0)</f>
        <v>1</v>
      </c>
      <c r="I3619" s="9"/>
      <c r="J3619" s="9"/>
      <c r="K3619" s="9"/>
      <c r="L3619" s="9"/>
      <c r="M3619" s="9"/>
      <c r="N3619" s="9"/>
      <c r="O3619" s="9"/>
      <c r="P3619" s="9"/>
      <c r="Q3619" s="9"/>
      <c r="R3619" s="9"/>
      <c r="S3619" s="9"/>
      <c r="T3619" s="9"/>
    </row>
    <row r="3620" ht="15.75" customHeight="1">
      <c r="A3620" s="11">
        <f>IFERROR(__xludf.DUMMYFUNCTION("""COMPUTED_VALUE"""),44471.0)</f>
        <v>44471</v>
      </c>
      <c r="B3620" s="9">
        <f>IFERROR(__xludf.DUMMYFUNCTION("""COMPUTED_VALUE"""),1003808.0)</f>
        <v>1003808</v>
      </c>
      <c r="C3620" s="9">
        <f>IFERROR(__xludf.DUMMYFUNCTION("""COMPUTED_VALUE"""),110568.0)</f>
        <v>110568</v>
      </c>
      <c r="D3620" s="9"/>
      <c r="E3620" s="9"/>
      <c r="F3620" s="9">
        <f>IFERROR(__xludf.DUMMYFUNCTION("""COMPUTED_VALUE"""),3.77)</f>
        <v>3.77</v>
      </c>
      <c r="G3620" s="9">
        <f>IFERROR(__xludf.DUMMYFUNCTION("""COMPUTED_VALUE"""),3.77)</f>
        <v>3.77</v>
      </c>
      <c r="H3620" s="9">
        <f>IFERROR(__xludf.DUMMYFUNCTION("""COMPUTED_VALUE"""),2.0)</f>
        <v>2</v>
      </c>
      <c r="I3620" s="9"/>
      <c r="J3620" s="9"/>
      <c r="K3620" s="9"/>
      <c r="L3620" s="9"/>
      <c r="M3620" s="9"/>
      <c r="N3620" s="9"/>
      <c r="O3620" s="9"/>
      <c r="P3620" s="9"/>
      <c r="Q3620" s="9"/>
      <c r="R3620" s="9"/>
      <c r="S3620" s="9"/>
      <c r="T3620" s="9"/>
    </row>
    <row r="3621" ht="15.75" customHeight="1">
      <c r="A3621" s="11">
        <f>IFERROR(__xludf.DUMMYFUNCTION("""COMPUTED_VALUE"""),44471.0)</f>
        <v>44471</v>
      </c>
      <c r="B3621" s="9">
        <f>IFERROR(__xludf.DUMMYFUNCTION("""COMPUTED_VALUE"""),1003808.0)</f>
        <v>1003808</v>
      </c>
      <c r="C3621" s="9">
        <f>IFERROR(__xludf.DUMMYFUNCTION("""COMPUTED_VALUE"""),87428.0)</f>
        <v>87428</v>
      </c>
      <c r="D3621" s="9"/>
      <c r="E3621" s="9"/>
      <c r="F3621" s="9">
        <f>IFERROR(__xludf.DUMMYFUNCTION("""COMPUTED_VALUE"""),5.81)</f>
        <v>5.81</v>
      </c>
      <c r="G3621" s="9">
        <f>IFERROR(__xludf.DUMMYFUNCTION("""COMPUTED_VALUE"""),5.81)</f>
        <v>5.81</v>
      </c>
      <c r="H3621" s="9">
        <f>IFERROR(__xludf.DUMMYFUNCTION("""COMPUTED_VALUE"""),2.0)</f>
        <v>2</v>
      </c>
      <c r="I3621" s="9"/>
      <c r="J3621" s="9"/>
      <c r="K3621" s="9"/>
      <c r="L3621" s="9"/>
      <c r="M3621" s="9"/>
      <c r="N3621" s="9"/>
      <c r="O3621" s="9"/>
      <c r="P3621" s="9"/>
      <c r="Q3621" s="9"/>
      <c r="R3621" s="9"/>
      <c r="S3621" s="9"/>
      <c r="T3621" s="9"/>
    </row>
    <row r="3622" ht="15.75" customHeight="1">
      <c r="A3622" s="11">
        <f>IFERROR(__xludf.DUMMYFUNCTION("""COMPUTED_VALUE"""),44471.0)</f>
        <v>44471</v>
      </c>
      <c r="B3622" s="9">
        <f>IFERROR(__xludf.DUMMYFUNCTION("""COMPUTED_VALUE"""),1003808.0)</f>
        <v>1003808</v>
      </c>
      <c r="C3622" s="9">
        <f>IFERROR(__xludf.DUMMYFUNCTION("""COMPUTED_VALUE"""),81503.0)</f>
        <v>81503</v>
      </c>
      <c r="D3622" s="9"/>
      <c r="E3622" s="9"/>
      <c r="F3622" s="9">
        <f>IFERROR(__xludf.DUMMYFUNCTION("""COMPUTED_VALUE"""),5.57)</f>
        <v>5.57</v>
      </c>
      <c r="G3622" s="9">
        <f>IFERROR(__xludf.DUMMYFUNCTION("""COMPUTED_VALUE"""),5.57)</f>
        <v>5.57</v>
      </c>
      <c r="H3622" s="9">
        <f>IFERROR(__xludf.DUMMYFUNCTION("""COMPUTED_VALUE"""),2.0)</f>
        <v>2</v>
      </c>
      <c r="I3622" s="9"/>
      <c r="J3622" s="9"/>
      <c r="K3622" s="9"/>
      <c r="L3622" s="9"/>
      <c r="M3622" s="9"/>
      <c r="N3622" s="9"/>
      <c r="O3622" s="9"/>
      <c r="P3622" s="9"/>
      <c r="Q3622" s="9"/>
      <c r="R3622" s="9"/>
      <c r="S3622" s="9"/>
      <c r="T3622" s="9"/>
    </row>
    <row r="3623" ht="15.75" customHeight="1">
      <c r="A3623" s="11">
        <f>IFERROR(__xludf.DUMMYFUNCTION("""COMPUTED_VALUE"""),44471.0)</f>
        <v>44471</v>
      </c>
      <c r="B3623" s="9">
        <f>IFERROR(__xludf.DUMMYFUNCTION("""COMPUTED_VALUE"""),1003808.0)</f>
        <v>1003808</v>
      </c>
      <c r="C3623" s="9">
        <f>IFERROR(__xludf.DUMMYFUNCTION("""COMPUTED_VALUE"""),76426.0)</f>
        <v>76426</v>
      </c>
      <c r="D3623" s="9"/>
      <c r="E3623" s="9"/>
      <c r="F3623" s="9">
        <f>IFERROR(__xludf.DUMMYFUNCTION("""COMPUTED_VALUE"""),6.1)</f>
        <v>6.1</v>
      </c>
      <c r="G3623" s="9">
        <f>IFERROR(__xludf.DUMMYFUNCTION("""COMPUTED_VALUE"""),6.1)</f>
        <v>6.1</v>
      </c>
      <c r="H3623" s="9">
        <f>IFERROR(__xludf.DUMMYFUNCTION("""COMPUTED_VALUE"""),2.0)</f>
        <v>2</v>
      </c>
      <c r="I3623" s="9"/>
      <c r="J3623" s="9"/>
      <c r="K3623" s="9"/>
      <c r="L3623" s="9"/>
      <c r="M3623" s="9"/>
      <c r="N3623" s="9"/>
      <c r="O3623" s="9"/>
      <c r="P3623" s="9"/>
      <c r="Q3623" s="9"/>
      <c r="R3623" s="9"/>
      <c r="S3623" s="9"/>
      <c r="T3623" s="9"/>
    </row>
    <row r="3624" ht="15.75" customHeight="1">
      <c r="A3624" s="11">
        <f>IFERROR(__xludf.DUMMYFUNCTION("""COMPUTED_VALUE"""),44471.0)</f>
        <v>44471</v>
      </c>
      <c r="B3624" s="9">
        <f>IFERROR(__xludf.DUMMYFUNCTION("""COMPUTED_VALUE"""),1003808.0)</f>
        <v>1003808</v>
      </c>
      <c r="C3624" s="9">
        <f>IFERROR(__xludf.DUMMYFUNCTION("""COMPUTED_VALUE"""),112082.0)</f>
        <v>112082</v>
      </c>
      <c r="D3624" s="10" t="str">
        <f>IFERROR(__xludf.DUMMYFUNCTION("""COMPUTED_VALUE"""),"Offre speciale")</f>
        <v>Offre speciale</v>
      </c>
      <c r="E3624" s="10"/>
      <c r="F3624" s="9">
        <f>IFERROR(__xludf.DUMMYFUNCTION("""COMPUTED_VALUE"""),1.95555555555555)</f>
        <v>1.955555556</v>
      </c>
      <c r="G3624" s="9">
        <f>IFERROR(__xludf.DUMMYFUNCTION("""COMPUTED_VALUE"""),1.76)</f>
        <v>1.76</v>
      </c>
      <c r="H3624" s="9">
        <f>IFERROR(__xludf.DUMMYFUNCTION("""COMPUTED_VALUE"""),2.0)</f>
        <v>2</v>
      </c>
      <c r="I3624" s="9"/>
      <c r="J3624" s="9"/>
      <c r="K3624" s="9"/>
      <c r="L3624" s="9"/>
      <c r="M3624" s="9"/>
      <c r="N3624" s="9"/>
      <c r="O3624" s="9"/>
      <c r="P3624" s="9"/>
      <c r="Q3624" s="9"/>
      <c r="R3624" s="9"/>
      <c r="S3624" s="9"/>
      <c r="T3624" s="9"/>
    </row>
    <row r="3625" ht="15.75" customHeight="1">
      <c r="A3625" s="11">
        <f>IFERROR(__xludf.DUMMYFUNCTION("""COMPUTED_VALUE"""),44471.0)</f>
        <v>44471</v>
      </c>
      <c r="B3625" s="9">
        <f>IFERROR(__xludf.DUMMYFUNCTION("""COMPUTED_VALUE"""),1003808.0)</f>
        <v>1003808</v>
      </c>
      <c r="C3625" s="9">
        <f>IFERROR(__xludf.DUMMYFUNCTION("""COMPUTED_VALUE"""),110576.0)</f>
        <v>110576</v>
      </c>
      <c r="D3625" s="9"/>
      <c r="E3625" s="9"/>
      <c r="F3625" s="9">
        <f>IFERROR(__xludf.DUMMYFUNCTION("""COMPUTED_VALUE"""),5.7)</f>
        <v>5.7</v>
      </c>
      <c r="G3625" s="9">
        <f>IFERROR(__xludf.DUMMYFUNCTION("""COMPUTED_VALUE"""),5.7)</f>
        <v>5.7</v>
      </c>
      <c r="H3625" s="9">
        <f>IFERROR(__xludf.DUMMYFUNCTION("""COMPUTED_VALUE"""),2.0)</f>
        <v>2</v>
      </c>
      <c r="I3625" s="9"/>
      <c r="J3625" s="9"/>
      <c r="K3625" s="9"/>
      <c r="L3625" s="9"/>
      <c r="M3625" s="9"/>
      <c r="N3625" s="9"/>
      <c r="O3625" s="9"/>
      <c r="P3625" s="9"/>
      <c r="Q3625" s="9"/>
      <c r="R3625" s="9"/>
      <c r="S3625" s="9"/>
      <c r="T3625" s="9"/>
    </row>
    <row r="3626" ht="15.75" customHeight="1">
      <c r="A3626" s="11">
        <f>IFERROR(__xludf.DUMMYFUNCTION("""COMPUTED_VALUE"""),44471.0)</f>
        <v>44471</v>
      </c>
      <c r="B3626" s="9">
        <f>IFERROR(__xludf.DUMMYFUNCTION("""COMPUTED_VALUE"""),1003808.0)</f>
        <v>1003808</v>
      </c>
      <c r="C3626" s="9">
        <f>IFERROR(__xludf.DUMMYFUNCTION("""COMPUTED_VALUE"""),119246.0)</f>
        <v>119246</v>
      </c>
      <c r="D3626" s="9"/>
      <c r="E3626" s="9"/>
      <c r="F3626" s="9">
        <f>IFERROR(__xludf.DUMMYFUNCTION("""COMPUTED_VALUE"""),24.13)</f>
        <v>24.13</v>
      </c>
      <c r="G3626" s="9">
        <f>IFERROR(__xludf.DUMMYFUNCTION("""COMPUTED_VALUE"""),24.13)</f>
        <v>24.13</v>
      </c>
      <c r="H3626" s="9">
        <f>IFERROR(__xludf.DUMMYFUNCTION("""COMPUTED_VALUE"""),2.0)</f>
        <v>2</v>
      </c>
      <c r="I3626" s="9"/>
      <c r="J3626" s="9"/>
      <c r="K3626" s="9"/>
      <c r="L3626" s="9"/>
      <c r="M3626" s="9"/>
      <c r="N3626" s="9"/>
      <c r="O3626" s="9"/>
      <c r="P3626" s="9"/>
      <c r="Q3626" s="9"/>
      <c r="R3626" s="9"/>
      <c r="S3626" s="9"/>
      <c r="T3626" s="9"/>
    </row>
    <row r="3627" ht="15.75" customHeight="1">
      <c r="A3627" s="11">
        <f>IFERROR(__xludf.DUMMYFUNCTION("""COMPUTED_VALUE"""),44471.0)</f>
        <v>44471</v>
      </c>
      <c r="B3627" s="9">
        <f>IFERROR(__xludf.DUMMYFUNCTION("""COMPUTED_VALUE"""),1003808.0)</f>
        <v>1003808</v>
      </c>
      <c r="C3627" s="9">
        <f>IFERROR(__xludf.DUMMYFUNCTION("""COMPUTED_VALUE"""),182274.0)</f>
        <v>182274</v>
      </c>
      <c r="D3627" s="9"/>
      <c r="E3627" s="9"/>
      <c r="F3627" s="9">
        <f>IFERROR(__xludf.DUMMYFUNCTION("""COMPUTED_VALUE"""),8.12)</f>
        <v>8.12</v>
      </c>
      <c r="G3627" s="9">
        <f>IFERROR(__xludf.DUMMYFUNCTION("""COMPUTED_VALUE"""),8.12)</f>
        <v>8.12</v>
      </c>
      <c r="H3627" s="9">
        <f>IFERROR(__xludf.DUMMYFUNCTION("""COMPUTED_VALUE"""),4.0)</f>
        <v>4</v>
      </c>
      <c r="I3627" s="9"/>
      <c r="J3627" s="9"/>
      <c r="K3627" s="9"/>
      <c r="L3627" s="9"/>
      <c r="M3627" s="9"/>
      <c r="N3627" s="9"/>
      <c r="O3627" s="9"/>
      <c r="P3627" s="9"/>
      <c r="Q3627" s="9"/>
      <c r="R3627" s="9"/>
      <c r="S3627" s="9"/>
      <c r="T3627" s="9"/>
    </row>
    <row r="3628" ht="15.75" customHeight="1">
      <c r="A3628" s="11">
        <f>IFERROR(__xludf.DUMMYFUNCTION("""COMPUTED_VALUE"""),44471.0)</f>
        <v>44471</v>
      </c>
      <c r="B3628" s="9">
        <f>IFERROR(__xludf.DUMMYFUNCTION("""COMPUTED_VALUE"""),1003808.0)</f>
        <v>1003808</v>
      </c>
      <c r="C3628" s="9">
        <f>IFERROR(__xludf.DUMMYFUNCTION("""COMPUTED_VALUE"""),8696.0)</f>
        <v>8696</v>
      </c>
      <c r="D3628" s="9"/>
      <c r="E3628" s="9"/>
      <c r="F3628" s="9">
        <f>IFERROR(__xludf.DUMMYFUNCTION("""COMPUTED_VALUE"""),23.73)</f>
        <v>23.73</v>
      </c>
      <c r="G3628" s="9">
        <f>IFERROR(__xludf.DUMMYFUNCTION("""COMPUTED_VALUE"""),23.73)</f>
        <v>23.73</v>
      </c>
      <c r="H3628" s="9">
        <f>IFERROR(__xludf.DUMMYFUNCTION("""COMPUTED_VALUE"""),6.0)</f>
        <v>6</v>
      </c>
      <c r="I3628" s="9"/>
      <c r="J3628" s="9"/>
      <c r="K3628" s="9"/>
      <c r="L3628" s="9"/>
      <c r="M3628" s="9"/>
      <c r="N3628" s="9"/>
      <c r="O3628" s="9"/>
      <c r="P3628" s="9"/>
      <c r="Q3628" s="9"/>
      <c r="R3628" s="9"/>
      <c r="S3628" s="9"/>
      <c r="T3628" s="9"/>
    </row>
    <row r="3629" ht="15.75" customHeight="1">
      <c r="A3629" s="11">
        <f>IFERROR(__xludf.DUMMYFUNCTION("""COMPUTED_VALUE"""),44471.0)</f>
        <v>44471</v>
      </c>
      <c r="B3629" s="9">
        <f>IFERROR(__xludf.DUMMYFUNCTION("""COMPUTED_VALUE"""),1003809.0)</f>
        <v>1003809</v>
      </c>
      <c r="C3629" s="9">
        <f>IFERROR(__xludf.DUMMYFUNCTION("""COMPUTED_VALUE"""),117239.0)</f>
        <v>117239</v>
      </c>
      <c r="D3629" s="9"/>
      <c r="E3629" s="10" t="str">
        <f>IFERROR(__xludf.DUMMYFUNCTION("""COMPUTED_VALUE"""),"PREMIERE")</f>
        <v>PREMIERE</v>
      </c>
      <c r="F3629" s="10">
        <f>IFERROR(__xludf.DUMMYFUNCTION("""COMPUTED_VALUE"""),2.5)</f>
        <v>2.5</v>
      </c>
      <c r="G3629" s="9">
        <f>IFERROR(__xludf.DUMMYFUNCTION("""COMPUTED_VALUE"""),2.5)</f>
        <v>2.5</v>
      </c>
      <c r="H3629" s="9">
        <f>IFERROR(__xludf.DUMMYFUNCTION("""COMPUTED_VALUE"""),1.0)</f>
        <v>1</v>
      </c>
      <c r="I3629" s="9"/>
      <c r="J3629" s="9"/>
      <c r="K3629" s="9"/>
      <c r="L3629" s="9"/>
      <c r="M3629" s="9"/>
      <c r="N3629" s="9"/>
      <c r="O3629" s="9"/>
      <c r="P3629" s="9"/>
      <c r="Q3629" s="9"/>
      <c r="R3629" s="9"/>
      <c r="S3629" s="9"/>
      <c r="T3629" s="9"/>
    </row>
    <row r="3630" ht="15.75" customHeight="1">
      <c r="A3630" s="11">
        <f>IFERROR(__xludf.DUMMYFUNCTION("""COMPUTED_VALUE"""),44471.0)</f>
        <v>44471</v>
      </c>
      <c r="B3630" s="9">
        <f>IFERROR(__xludf.DUMMYFUNCTION("""COMPUTED_VALUE"""),1003809.0)</f>
        <v>1003809</v>
      </c>
      <c r="C3630" s="9">
        <f>IFERROR(__xludf.DUMMYFUNCTION("""COMPUTED_VALUE"""),118594.0)</f>
        <v>118594</v>
      </c>
      <c r="D3630" s="9"/>
      <c r="E3630" s="10" t="str">
        <f>IFERROR(__xludf.DUMMYFUNCTION("""COMPUTED_VALUE"""),"PREMIERE")</f>
        <v>PREMIERE</v>
      </c>
      <c r="F3630" s="10">
        <f>IFERROR(__xludf.DUMMYFUNCTION("""COMPUTED_VALUE"""),2.13)</f>
        <v>2.13</v>
      </c>
      <c r="G3630" s="9">
        <f>IFERROR(__xludf.DUMMYFUNCTION("""COMPUTED_VALUE"""),2.13)</f>
        <v>2.13</v>
      </c>
      <c r="H3630" s="9">
        <f>IFERROR(__xludf.DUMMYFUNCTION("""COMPUTED_VALUE"""),1.0)</f>
        <v>1</v>
      </c>
      <c r="I3630" s="9"/>
      <c r="J3630" s="9"/>
      <c r="K3630" s="9"/>
      <c r="L3630" s="9"/>
      <c r="M3630" s="9"/>
      <c r="N3630" s="9"/>
      <c r="O3630" s="9"/>
      <c r="P3630" s="9"/>
      <c r="Q3630" s="9"/>
      <c r="R3630" s="9"/>
      <c r="S3630" s="9"/>
      <c r="T3630" s="9"/>
    </row>
    <row r="3631" ht="15.75" customHeight="1">
      <c r="A3631" s="11">
        <f>IFERROR(__xludf.DUMMYFUNCTION("""COMPUTED_VALUE"""),44471.0)</f>
        <v>44471</v>
      </c>
      <c r="B3631" s="9">
        <f>IFERROR(__xludf.DUMMYFUNCTION("""COMPUTED_VALUE"""),1003809.0)</f>
        <v>1003809</v>
      </c>
      <c r="C3631" s="9">
        <f>IFERROR(__xludf.DUMMYFUNCTION("""COMPUTED_VALUE"""),107157.0)</f>
        <v>107157</v>
      </c>
      <c r="D3631" s="9"/>
      <c r="E3631" s="10" t="str">
        <f>IFERROR(__xludf.DUMMYFUNCTION("""COMPUTED_VALUE"""),"PREMIERE")</f>
        <v>PREMIERE</v>
      </c>
      <c r="F3631" s="10">
        <f>IFERROR(__xludf.DUMMYFUNCTION("""COMPUTED_VALUE"""),2.51)</f>
        <v>2.51</v>
      </c>
      <c r="G3631" s="9">
        <f>IFERROR(__xludf.DUMMYFUNCTION("""COMPUTED_VALUE"""),2.51)</f>
        <v>2.51</v>
      </c>
      <c r="H3631" s="9">
        <f>IFERROR(__xludf.DUMMYFUNCTION("""COMPUTED_VALUE"""),1.0)</f>
        <v>1</v>
      </c>
      <c r="I3631" s="9"/>
      <c r="J3631" s="9"/>
      <c r="K3631" s="9"/>
      <c r="L3631" s="9"/>
      <c r="M3631" s="9"/>
      <c r="N3631" s="9"/>
      <c r="O3631" s="9"/>
      <c r="P3631" s="9"/>
      <c r="Q3631" s="9"/>
      <c r="R3631" s="9"/>
      <c r="S3631" s="9"/>
      <c r="T3631" s="9"/>
    </row>
    <row r="3632" ht="15.75" customHeight="1">
      <c r="A3632" s="11">
        <f>IFERROR(__xludf.DUMMYFUNCTION("""COMPUTED_VALUE"""),44471.0)</f>
        <v>44471</v>
      </c>
      <c r="B3632" s="9">
        <f>IFERROR(__xludf.DUMMYFUNCTION("""COMPUTED_VALUE"""),1003809.0)</f>
        <v>1003809</v>
      </c>
      <c r="C3632" s="9">
        <f>IFERROR(__xludf.DUMMYFUNCTION("""COMPUTED_VALUE"""),87877.0)</f>
        <v>87877</v>
      </c>
      <c r="D3632" s="9"/>
      <c r="E3632" s="10" t="str">
        <f>IFERROR(__xludf.DUMMYFUNCTION("""COMPUTED_VALUE"""),"PREMIERE")</f>
        <v>PREMIERE</v>
      </c>
      <c r="F3632" s="10">
        <f>IFERROR(__xludf.DUMMYFUNCTION("""COMPUTED_VALUE"""),1.13)</f>
        <v>1.13</v>
      </c>
      <c r="G3632" s="9">
        <f>IFERROR(__xludf.DUMMYFUNCTION("""COMPUTED_VALUE"""),1.13)</f>
        <v>1.13</v>
      </c>
      <c r="H3632" s="9">
        <f>IFERROR(__xludf.DUMMYFUNCTION("""COMPUTED_VALUE"""),1.0)</f>
        <v>1</v>
      </c>
      <c r="I3632" s="9"/>
      <c r="J3632" s="9"/>
      <c r="K3632" s="9"/>
      <c r="L3632" s="9"/>
      <c r="M3632" s="9"/>
      <c r="N3632" s="9"/>
      <c r="O3632" s="9"/>
      <c r="P3632" s="9"/>
      <c r="Q3632" s="9"/>
      <c r="R3632" s="9"/>
      <c r="S3632" s="9"/>
      <c r="T3632" s="9"/>
    </row>
    <row r="3633" ht="15.75" customHeight="1">
      <c r="A3633" s="11">
        <f>IFERROR(__xludf.DUMMYFUNCTION("""COMPUTED_VALUE"""),44471.0)</f>
        <v>44471</v>
      </c>
      <c r="B3633" s="9">
        <f>IFERROR(__xludf.DUMMYFUNCTION("""COMPUTED_VALUE"""),1003809.0)</f>
        <v>1003809</v>
      </c>
      <c r="C3633" s="9">
        <f>IFERROR(__xludf.DUMMYFUNCTION("""COMPUTED_VALUE"""),87440.0)</f>
        <v>87440</v>
      </c>
      <c r="D3633" s="9"/>
      <c r="E3633" s="10" t="str">
        <f>IFERROR(__xludf.DUMMYFUNCTION("""COMPUTED_VALUE"""),"PREMIERE")</f>
        <v>PREMIERE</v>
      </c>
      <c r="F3633" s="10">
        <f>IFERROR(__xludf.DUMMYFUNCTION("""COMPUTED_VALUE"""),1.46)</f>
        <v>1.46</v>
      </c>
      <c r="G3633" s="9">
        <f>IFERROR(__xludf.DUMMYFUNCTION("""COMPUTED_VALUE"""),1.46)</f>
        <v>1.46</v>
      </c>
      <c r="H3633" s="9">
        <f>IFERROR(__xludf.DUMMYFUNCTION("""COMPUTED_VALUE"""),1.0)</f>
        <v>1</v>
      </c>
      <c r="I3633" s="9"/>
      <c r="J3633" s="9"/>
      <c r="K3633" s="9"/>
      <c r="L3633" s="9"/>
      <c r="M3633" s="9"/>
      <c r="N3633" s="9"/>
      <c r="O3633" s="9"/>
      <c r="P3633" s="9"/>
      <c r="Q3633" s="9"/>
      <c r="R3633" s="9"/>
      <c r="S3633" s="9"/>
      <c r="T3633" s="9"/>
    </row>
    <row r="3634" ht="15.75" customHeight="1">
      <c r="A3634" s="11">
        <f>IFERROR(__xludf.DUMMYFUNCTION("""COMPUTED_VALUE"""),44471.0)</f>
        <v>44471</v>
      </c>
      <c r="B3634" s="9">
        <f>IFERROR(__xludf.DUMMYFUNCTION("""COMPUTED_VALUE"""),1003809.0)</f>
        <v>1003809</v>
      </c>
      <c r="C3634" s="9">
        <f>IFERROR(__xludf.DUMMYFUNCTION("""COMPUTED_VALUE"""),9129.0)</f>
        <v>9129</v>
      </c>
      <c r="D3634" s="10" t="str">
        <f>IFERROR(__xludf.DUMMYFUNCTION("""COMPUTED_VALUE"""),"Offre speciale")</f>
        <v>Offre speciale</v>
      </c>
      <c r="E3634" s="10" t="str">
        <f>IFERROR(__xludf.DUMMYFUNCTION("""COMPUTED_VALUE"""),"PREMIERE")</f>
        <v>PREMIERE</v>
      </c>
      <c r="F3634" s="10">
        <f>IFERROR(__xludf.DUMMYFUNCTION("""COMPUTED_VALUE"""),3.08888888888888)</f>
        <v>3.088888889</v>
      </c>
      <c r="G3634" s="9">
        <f>IFERROR(__xludf.DUMMYFUNCTION("""COMPUTED_VALUE"""),2.78)</f>
        <v>2.78</v>
      </c>
      <c r="H3634" s="9">
        <f>IFERROR(__xludf.DUMMYFUNCTION("""COMPUTED_VALUE"""),1.0)</f>
        <v>1</v>
      </c>
      <c r="I3634" s="9"/>
      <c r="J3634" s="9"/>
      <c r="K3634" s="9"/>
      <c r="L3634" s="9"/>
      <c r="M3634" s="9"/>
      <c r="N3634" s="9"/>
      <c r="O3634" s="9"/>
      <c r="P3634" s="9"/>
      <c r="Q3634" s="9"/>
      <c r="R3634" s="9"/>
      <c r="S3634" s="9"/>
      <c r="T3634" s="9"/>
    </row>
    <row r="3635" ht="15.75" customHeight="1">
      <c r="A3635" s="11">
        <f>IFERROR(__xludf.DUMMYFUNCTION("""COMPUTED_VALUE"""),44471.0)</f>
        <v>44471</v>
      </c>
      <c r="B3635" s="9">
        <f>IFERROR(__xludf.DUMMYFUNCTION("""COMPUTED_VALUE"""),1003809.0)</f>
        <v>1003809</v>
      </c>
      <c r="C3635" s="9">
        <f>IFERROR(__xludf.DUMMYFUNCTION("""COMPUTED_VALUE"""),95416.0)</f>
        <v>95416</v>
      </c>
      <c r="D3635" s="9"/>
      <c r="E3635" s="10" t="str">
        <f>IFERROR(__xludf.DUMMYFUNCTION("""COMPUTED_VALUE"""),"PREMIERE")</f>
        <v>PREMIERE</v>
      </c>
      <c r="F3635" s="10">
        <f>IFERROR(__xludf.DUMMYFUNCTION("""COMPUTED_VALUE"""),1.15)</f>
        <v>1.15</v>
      </c>
      <c r="G3635" s="9">
        <f>IFERROR(__xludf.DUMMYFUNCTION("""COMPUTED_VALUE"""),1.15)</f>
        <v>1.15</v>
      </c>
      <c r="H3635" s="9">
        <f>IFERROR(__xludf.DUMMYFUNCTION("""COMPUTED_VALUE"""),1.0)</f>
        <v>1</v>
      </c>
      <c r="I3635" s="9"/>
      <c r="J3635" s="9"/>
      <c r="K3635" s="9"/>
      <c r="L3635" s="9"/>
      <c r="M3635" s="9"/>
      <c r="N3635" s="9"/>
      <c r="O3635" s="9"/>
      <c r="P3635" s="9"/>
      <c r="Q3635" s="9"/>
      <c r="R3635" s="9"/>
      <c r="S3635" s="9"/>
      <c r="T3635" s="9"/>
    </row>
    <row r="3636" ht="15.75" customHeight="1">
      <c r="A3636" s="11">
        <f>IFERROR(__xludf.DUMMYFUNCTION("""COMPUTED_VALUE"""),44471.0)</f>
        <v>44471</v>
      </c>
      <c r="B3636" s="9">
        <f>IFERROR(__xludf.DUMMYFUNCTION("""COMPUTED_VALUE"""),1003809.0)</f>
        <v>1003809</v>
      </c>
      <c r="C3636" s="9">
        <f>IFERROR(__xludf.DUMMYFUNCTION("""COMPUTED_VALUE"""),108833.0)</f>
        <v>108833</v>
      </c>
      <c r="D3636" s="10" t="str">
        <f>IFERROR(__xludf.DUMMYFUNCTION("""COMPUTED_VALUE"""),"Vive le bio")</f>
        <v>Vive le bio</v>
      </c>
      <c r="E3636" s="10" t="str">
        <f>IFERROR(__xludf.DUMMYFUNCTION("""COMPUTED_VALUE"""),"PREMIERE")</f>
        <v>PREMIERE</v>
      </c>
      <c r="F3636" s="10">
        <f>IFERROR(__xludf.DUMMYFUNCTION("""COMPUTED_VALUE"""),12.2)</f>
        <v>12.2</v>
      </c>
      <c r="G3636" s="9">
        <f>IFERROR(__xludf.DUMMYFUNCTION("""COMPUTED_VALUE"""),11.59)</f>
        <v>11.59</v>
      </c>
      <c r="H3636" s="9">
        <f>IFERROR(__xludf.DUMMYFUNCTION("""COMPUTED_VALUE"""),1.0)</f>
        <v>1</v>
      </c>
      <c r="I3636" s="9"/>
      <c r="J3636" s="9"/>
      <c r="K3636" s="9"/>
      <c r="L3636" s="9"/>
      <c r="M3636" s="9"/>
      <c r="N3636" s="9"/>
      <c r="O3636" s="9"/>
      <c r="P3636" s="9"/>
      <c r="Q3636" s="9"/>
      <c r="R3636" s="9"/>
      <c r="S3636" s="9"/>
      <c r="T3636" s="9"/>
    </row>
    <row r="3637" ht="15.75" customHeight="1">
      <c r="A3637" s="11">
        <f>IFERROR(__xludf.DUMMYFUNCTION("""COMPUTED_VALUE"""),44471.0)</f>
        <v>44471</v>
      </c>
      <c r="B3637" s="9">
        <f>IFERROR(__xludf.DUMMYFUNCTION("""COMPUTED_VALUE"""),1003809.0)</f>
        <v>1003809</v>
      </c>
      <c r="C3637" s="9">
        <f>IFERROR(__xludf.DUMMYFUNCTION("""COMPUTED_VALUE"""),86913.0)</f>
        <v>86913</v>
      </c>
      <c r="D3637" s="10" t="str">
        <f>IFERROR(__xludf.DUMMYFUNCTION("""COMPUTED_VALUE"""),"DLC courtes")</f>
        <v>DLC courtes</v>
      </c>
      <c r="E3637" s="10" t="str">
        <f>IFERROR(__xludf.DUMMYFUNCTION("""COMPUTED_VALUE"""),"PREMIERE")</f>
        <v>PREMIERE</v>
      </c>
      <c r="F3637" s="10">
        <f>IFERROR(__xludf.DUMMYFUNCTION("""COMPUTED_VALUE"""),2.325)</f>
        <v>2.325</v>
      </c>
      <c r="G3637" s="9">
        <f>IFERROR(__xludf.DUMMYFUNCTION("""COMPUTED_VALUE"""),1.86)</f>
        <v>1.86</v>
      </c>
      <c r="H3637" s="9">
        <f>IFERROR(__xludf.DUMMYFUNCTION("""COMPUTED_VALUE"""),1.0)</f>
        <v>1</v>
      </c>
      <c r="I3637" s="9"/>
      <c r="J3637" s="9"/>
      <c r="K3637" s="9"/>
      <c r="L3637" s="9"/>
      <c r="M3637" s="9"/>
      <c r="N3637" s="9"/>
      <c r="O3637" s="9"/>
      <c r="P3637" s="9"/>
      <c r="Q3637" s="9"/>
      <c r="R3637" s="9"/>
      <c r="S3637" s="9"/>
      <c r="T3637" s="9"/>
    </row>
    <row r="3638" ht="15.75" customHeight="1">
      <c r="A3638" s="11">
        <f>IFERROR(__xludf.DUMMYFUNCTION("""COMPUTED_VALUE"""),44471.0)</f>
        <v>44471</v>
      </c>
      <c r="B3638" s="9">
        <f>IFERROR(__xludf.DUMMYFUNCTION("""COMPUTED_VALUE"""),1003809.0)</f>
        <v>1003809</v>
      </c>
      <c r="C3638" s="9">
        <f>IFERROR(__xludf.DUMMYFUNCTION("""COMPUTED_VALUE"""),107160.0)</f>
        <v>107160</v>
      </c>
      <c r="D3638" s="9"/>
      <c r="E3638" s="10" t="str">
        <f>IFERROR(__xludf.DUMMYFUNCTION("""COMPUTED_VALUE"""),"PREMIERE")</f>
        <v>PREMIERE</v>
      </c>
      <c r="F3638" s="10">
        <f>IFERROR(__xludf.DUMMYFUNCTION("""COMPUTED_VALUE"""),1.92)</f>
        <v>1.92</v>
      </c>
      <c r="G3638" s="9">
        <f>IFERROR(__xludf.DUMMYFUNCTION("""COMPUTED_VALUE"""),1.92)</f>
        <v>1.92</v>
      </c>
      <c r="H3638" s="9">
        <f>IFERROR(__xludf.DUMMYFUNCTION("""COMPUTED_VALUE"""),1.0)</f>
        <v>1</v>
      </c>
      <c r="I3638" s="9"/>
      <c r="J3638" s="9"/>
      <c r="K3638" s="9"/>
      <c r="L3638" s="9"/>
      <c r="M3638" s="9"/>
      <c r="N3638" s="9"/>
      <c r="O3638" s="9"/>
      <c r="P3638" s="9"/>
      <c r="Q3638" s="9"/>
      <c r="R3638" s="9"/>
      <c r="S3638" s="9"/>
      <c r="T3638" s="9"/>
    </row>
    <row r="3639" ht="15.75" customHeight="1">
      <c r="A3639" s="11">
        <f>IFERROR(__xludf.DUMMYFUNCTION("""COMPUTED_VALUE"""),44471.0)</f>
        <v>44471</v>
      </c>
      <c r="B3639" s="9">
        <f>IFERROR(__xludf.DUMMYFUNCTION("""COMPUTED_VALUE"""),1003809.0)</f>
        <v>1003809</v>
      </c>
      <c r="C3639" s="9">
        <f>IFERROR(__xludf.DUMMYFUNCTION("""COMPUTED_VALUE"""),9593.0)</f>
        <v>9593</v>
      </c>
      <c r="D3639" s="9"/>
      <c r="E3639" s="10" t="str">
        <f>IFERROR(__xludf.DUMMYFUNCTION("""COMPUTED_VALUE"""),"PREMIERE")</f>
        <v>PREMIERE</v>
      </c>
      <c r="F3639" s="10">
        <f>IFERROR(__xludf.DUMMYFUNCTION("""COMPUTED_VALUE"""),2.47)</f>
        <v>2.47</v>
      </c>
      <c r="G3639" s="9">
        <f>IFERROR(__xludf.DUMMYFUNCTION("""COMPUTED_VALUE"""),2.47)</f>
        <v>2.47</v>
      </c>
      <c r="H3639" s="9">
        <f>IFERROR(__xludf.DUMMYFUNCTION("""COMPUTED_VALUE"""),1.0)</f>
        <v>1</v>
      </c>
      <c r="I3639" s="9"/>
      <c r="J3639" s="9"/>
      <c r="K3639" s="9"/>
      <c r="L3639" s="9"/>
      <c r="M3639" s="9"/>
      <c r="N3639" s="9"/>
      <c r="O3639" s="9"/>
      <c r="P3639" s="9"/>
      <c r="Q3639" s="9"/>
      <c r="R3639" s="9"/>
      <c r="S3639" s="9"/>
      <c r="T3639" s="9"/>
    </row>
    <row r="3640" ht="15.75" customHeight="1">
      <c r="A3640" s="11">
        <f>IFERROR(__xludf.DUMMYFUNCTION("""COMPUTED_VALUE"""),44471.0)</f>
        <v>44471</v>
      </c>
      <c r="B3640" s="9">
        <f>IFERROR(__xludf.DUMMYFUNCTION("""COMPUTED_VALUE"""),1003809.0)</f>
        <v>1003809</v>
      </c>
      <c r="C3640" s="9">
        <f>IFERROR(__xludf.DUMMYFUNCTION("""COMPUTED_VALUE"""),102586.0)</f>
        <v>102586</v>
      </c>
      <c r="D3640" s="10" t="str">
        <f>IFERROR(__xludf.DUMMYFUNCTION("""COMPUTED_VALUE"""),"Vive le bio")</f>
        <v>Vive le bio</v>
      </c>
      <c r="E3640" s="10" t="str">
        <f>IFERROR(__xludf.DUMMYFUNCTION("""COMPUTED_VALUE"""),"PREMIERE")</f>
        <v>PREMIERE</v>
      </c>
      <c r="F3640" s="10">
        <f>IFERROR(__xludf.DUMMYFUNCTION("""COMPUTED_VALUE"""),3.1)</f>
        <v>3.1</v>
      </c>
      <c r="G3640" s="9">
        <f>IFERROR(__xludf.DUMMYFUNCTION("""COMPUTED_VALUE"""),2.79)</f>
        <v>2.79</v>
      </c>
      <c r="H3640" s="9">
        <f>IFERROR(__xludf.DUMMYFUNCTION("""COMPUTED_VALUE"""),1.0)</f>
        <v>1</v>
      </c>
      <c r="I3640" s="9"/>
      <c r="J3640" s="9"/>
      <c r="K3640" s="9"/>
      <c r="L3640" s="9"/>
      <c r="M3640" s="9"/>
      <c r="N3640" s="9"/>
      <c r="O3640" s="9"/>
      <c r="P3640" s="9"/>
      <c r="Q3640" s="9"/>
      <c r="R3640" s="9"/>
      <c r="S3640" s="9"/>
      <c r="T3640" s="9"/>
    </row>
    <row r="3641" ht="15.75" customHeight="1">
      <c r="A3641" s="11">
        <f>IFERROR(__xludf.DUMMYFUNCTION("""COMPUTED_VALUE"""),44471.0)</f>
        <v>44471</v>
      </c>
      <c r="B3641" s="9">
        <f>IFERROR(__xludf.DUMMYFUNCTION("""COMPUTED_VALUE"""),1003809.0)</f>
        <v>1003809</v>
      </c>
      <c r="C3641" s="9">
        <f>IFERROR(__xludf.DUMMYFUNCTION("""COMPUTED_VALUE"""),120798.0)</f>
        <v>120798</v>
      </c>
      <c r="D3641" s="9"/>
      <c r="E3641" s="10" t="str">
        <f>IFERROR(__xludf.DUMMYFUNCTION("""COMPUTED_VALUE"""),"PREMIERE")</f>
        <v>PREMIERE</v>
      </c>
      <c r="F3641" s="10">
        <f>IFERROR(__xludf.DUMMYFUNCTION("""COMPUTED_VALUE"""),1.55)</f>
        <v>1.55</v>
      </c>
      <c r="G3641" s="9">
        <f>IFERROR(__xludf.DUMMYFUNCTION("""COMPUTED_VALUE"""),1.55)</f>
        <v>1.55</v>
      </c>
      <c r="H3641" s="9">
        <f>IFERROR(__xludf.DUMMYFUNCTION("""COMPUTED_VALUE"""),1.0)</f>
        <v>1</v>
      </c>
      <c r="I3641" s="9"/>
      <c r="J3641" s="9"/>
      <c r="K3641" s="9"/>
      <c r="L3641" s="9"/>
      <c r="M3641" s="9"/>
      <c r="N3641" s="9"/>
      <c r="O3641" s="9"/>
      <c r="P3641" s="9"/>
      <c r="Q3641" s="9"/>
      <c r="R3641" s="9"/>
      <c r="S3641" s="9"/>
      <c r="T3641" s="9"/>
    </row>
    <row r="3642" ht="15.75" customHeight="1">
      <c r="A3642" s="11">
        <f>IFERROR(__xludf.DUMMYFUNCTION("""COMPUTED_VALUE"""),44471.0)</f>
        <v>44471</v>
      </c>
      <c r="B3642" s="9">
        <f>IFERROR(__xludf.DUMMYFUNCTION("""COMPUTED_VALUE"""),1003809.0)</f>
        <v>1003809</v>
      </c>
      <c r="C3642" s="9">
        <f>IFERROR(__xludf.DUMMYFUNCTION("""COMPUTED_VALUE"""),89130.0)</f>
        <v>89130</v>
      </c>
      <c r="D3642" s="9"/>
      <c r="E3642" s="10" t="str">
        <f>IFERROR(__xludf.DUMMYFUNCTION("""COMPUTED_VALUE"""),"PREMIERE")</f>
        <v>PREMIERE</v>
      </c>
      <c r="F3642" s="10">
        <f>IFERROR(__xludf.DUMMYFUNCTION("""COMPUTED_VALUE"""),3.98)</f>
        <v>3.98</v>
      </c>
      <c r="G3642" s="9">
        <f>IFERROR(__xludf.DUMMYFUNCTION("""COMPUTED_VALUE"""),3.98)</f>
        <v>3.98</v>
      </c>
      <c r="H3642" s="9">
        <f>IFERROR(__xludf.DUMMYFUNCTION("""COMPUTED_VALUE"""),1.0)</f>
        <v>1</v>
      </c>
      <c r="I3642" s="9"/>
      <c r="J3642" s="9"/>
      <c r="K3642" s="9"/>
      <c r="L3642" s="9"/>
      <c r="M3642" s="9"/>
      <c r="N3642" s="9"/>
      <c r="O3642" s="9"/>
      <c r="P3642" s="9"/>
      <c r="Q3642" s="9"/>
      <c r="R3642" s="9"/>
      <c r="S3642" s="9"/>
      <c r="T3642" s="9"/>
    </row>
    <row r="3643" ht="15.75" customHeight="1">
      <c r="A3643" s="11">
        <f>IFERROR(__xludf.DUMMYFUNCTION("""COMPUTED_VALUE"""),44471.0)</f>
        <v>44471</v>
      </c>
      <c r="B3643" s="9">
        <f>IFERROR(__xludf.DUMMYFUNCTION("""COMPUTED_VALUE"""),1003809.0)</f>
        <v>1003809</v>
      </c>
      <c r="C3643" s="9">
        <f>IFERROR(__xludf.DUMMYFUNCTION("""COMPUTED_VALUE"""),108738.0)</f>
        <v>108738</v>
      </c>
      <c r="D3643" s="9"/>
      <c r="E3643" s="10" t="str">
        <f>IFERROR(__xludf.DUMMYFUNCTION("""COMPUTED_VALUE"""),"PREMIERE")</f>
        <v>PREMIERE</v>
      </c>
      <c r="F3643" s="10">
        <f>IFERROR(__xludf.DUMMYFUNCTION("""COMPUTED_VALUE"""),24.73)</f>
        <v>24.73</v>
      </c>
      <c r="G3643" s="9">
        <f>IFERROR(__xludf.DUMMYFUNCTION("""COMPUTED_VALUE"""),24.73)</f>
        <v>24.73</v>
      </c>
      <c r="H3643" s="9">
        <f>IFERROR(__xludf.DUMMYFUNCTION("""COMPUTED_VALUE"""),2.0)</f>
        <v>2</v>
      </c>
      <c r="I3643" s="9"/>
      <c r="J3643" s="9"/>
      <c r="K3643" s="9"/>
      <c r="L3643" s="9"/>
      <c r="M3643" s="9"/>
      <c r="N3643" s="9"/>
      <c r="O3643" s="9"/>
      <c r="P3643" s="9"/>
      <c r="Q3643" s="9"/>
      <c r="R3643" s="9"/>
      <c r="S3643" s="9"/>
      <c r="T3643" s="9"/>
    </row>
    <row r="3644" ht="15.75" customHeight="1">
      <c r="A3644" s="11">
        <f>IFERROR(__xludf.DUMMYFUNCTION("""COMPUTED_VALUE"""),44471.0)</f>
        <v>44471</v>
      </c>
      <c r="B3644" s="9">
        <f>IFERROR(__xludf.DUMMYFUNCTION("""COMPUTED_VALUE"""),1003810.0)</f>
        <v>1003810</v>
      </c>
      <c r="C3644" s="9">
        <f>IFERROR(__xludf.DUMMYFUNCTION("""COMPUTED_VALUE"""),15423.0)</f>
        <v>15423</v>
      </c>
      <c r="D3644" s="9"/>
      <c r="E3644" s="9"/>
      <c r="F3644" s="9">
        <f>IFERROR(__xludf.DUMMYFUNCTION("""COMPUTED_VALUE"""),19.28)</f>
        <v>19.28</v>
      </c>
      <c r="G3644" s="9">
        <f>IFERROR(__xludf.DUMMYFUNCTION("""COMPUTED_VALUE"""),19.28)</f>
        <v>19.28</v>
      </c>
      <c r="H3644" s="9">
        <f>IFERROR(__xludf.DUMMYFUNCTION("""COMPUTED_VALUE"""),3.0)</f>
        <v>3</v>
      </c>
      <c r="I3644" s="9"/>
      <c r="J3644" s="9"/>
      <c r="K3644" s="9"/>
      <c r="L3644" s="9"/>
      <c r="M3644" s="9"/>
      <c r="N3644" s="9"/>
      <c r="O3644" s="9"/>
      <c r="P3644" s="9"/>
      <c r="Q3644" s="9"/>
      <c r="R3644" s="9"/>
      <c r="S3644" s="9"/>
      <c r="T3644" s="9"/>
    </row>
    <row r="3645" ht="15.75" customHeight="1">
      <c r="A3645" s="11">
        <f>IFERROR(__xludf.DUMMYFUNCTION("""COMPUTED_VALUE"""),44471.0)</f>
        <v>44471</v>
      </c>
      <c r="B3645" s="9">
        <f>IFERROR(__xludf.DUMMYFUNCTION("""COMPUTED_VALUE"""),1003811.0)</f>
        <v>1003811</v>
      </c>
      <c r="C3645" s="9">
        <f>IFERROR(__xludf.DUMMYFUNCTION("""COMPUTED_VALUE"""),64185.0)</f>
        <v>64185</v>
      </c>
      <c r="D3645" s="9"/>
      <c r="E3645" s="9"/>
      <c r="F3645" s="9">
        <f>IFERROR(__xludf.DUMMYFUNCTION("""COMPUTED_VALUE"""),49.12)</f>
        <v>49.12</v>
      </c>
      <c r="G3645" s="9">
        <f>IFERROR(__xludf.DUMMYFUNCTION("""COMPUTED_VALUE"""),49.12)</f>
        <v>49.12</v>
      </c>
      <c r="H3645" s="9">
        <f>IFERROR(__xludf.DUMMYFUNCTION("""COMPUTED_VALUE"""),3.0)</f>
        <v>3</v>
      </c>
      <c r="I3645" s="9"/>
      <c r="J3645" s="9"/>
      <c r="K3645" s="9"/>
      <c r="L3645" s="9"/>
      <c r="M3645" s="9"/>
      <c r="N3645" s="9"/>
      <c r="O3645" s="9"/>
      <c r="P3645" s="9"/>
      <c r="Q3645" s="9"/>
      <c r="R3645" s="9"/>
      <c r="S3645" s="9"/>
      <c r="T3645" s="9"/>
    </row>
    <row r="3646" ht="15.75" customHeight="1">
      <c r="A3646" s="11">
        <f>IFERROR(__xludf.DUMMYFUNCTION("""COMPUTED_VALUE"""),44471.0)</f>
        <v>44471</v>
      </c>
      <c r="B3646" s="9">
        <f>IFERROR(__xludf.DUMMYFUNCTION("""COMPUTED_VALUE"""),1003812.0)</f>
        <v>1003812</v>
      </c>
      <c r="C3646" s="9">
        <f>IFERROR(__xludf.DUMMYFUNCTION("""COMPUTED_VALUE"""),122390.0)</f>
        <v>122390</v>
      </c>
      <c r="D3646" s="9"/>
      <c r="E3646" s="9"/>
      <c r="F3646" s="9">
        <f>IFERROR(__xludf.DUMMYFUNCTION("""COMPUTED_VALUE"""),37.91)</f>
        <v>37.91</v>
      </c>
      <c r="G3646" s="9">
        <f>IFERROR(__xludf.DUMMYFUNCTION("""COMPUTED_VALUE"""),37.91)</f>
        <v>37.91</v>
      </c>
      <c r="H3646" s="9">
        <f>IFERROR(__xludf.DUMMYFUNCTION("""COMPUTED_VALUE"""),1.0)</f>
        <v>1</v>
      </c>
      <c r="I3646" s="9"/>
      <c r="J3646" s="9"/>
      <c r="K3646" s="9"/>
      <c r="L3646" s="9"/>
      <c r="M3646" s="9"/>
      <c r="N3646" s="9"/>
      <c r="O3646" s="9"/>
      <c r="P3646" s="9"/>
      <c r="Q3646" s="9"/>
      <c r="R3646" s="9"/>
      <c r="S3646" s="9"/>
      <c r="T3646" s="9"/>
    </row>
    <row r="3647" ht="15.75" customHeight="1">
      <c r="A3647" s="11">
        <f>IFERROR(__xludf.DUMMYFUNCTION("""COMPUTED_VALUE"""),44471.0)</f>
        <v>44471</v>
      </c>
      <c r="B3647" s="9">
        <f>IFERROR(__xludf.DUMMYFUNCTION("""COMPUTED_VALUE"""),1003812.0)</f>
        <v>1003812</v>
      </c>
      <c r="C3647" s="9">
        <f>IFERROR(__xludf.DUMMYFUNCTION("""COMPUTED_VALUE"""),122388.0)</f>
        <v>122388</v>
      </c>
      <c r="D3647" s="9"/>
      <c r="E3647" s="9"/>
      <c r="F3647" s="9">
        <f>IFERROR(__xludf.DUMMYFUNCTION("""COMPUTED_VALUE"""),37.91)</f>
        <v>37.91</v>
      </c>
      <c r="G3647" s="9">
        <f>IFERROR(__xludf.DUMMYFUNCTION("""COMPUTED_VALUE"""),37.91)</f>
        <v>37.91</v>
      </c>
      <c r="H3647" s="9">
        <f>IFERROR(__xludf.DUMMYFUNCTION("""COMPUTED_VALUE"""),1.0)</f>
        <v>1</v>
      </c>
      <c r="I3647" s="9"/>
      <c r="J3647" s="9"/>
      <c r="K3647" s="9"/>
      <c r="L3647" s="9"/>
      <c r="M3647" s="9"/>
      <c r="N3647" s="9"/>
      <c r="O3647" s="9"/>
      <c r="P3647" s="9"/>
      <c r="Q3647" s="9"/>
      <c r="R3647" s="9"/>
      <c r="S3647" s="9"/>
      <c r="T3647" s="9"/>
    </row>
    <row r="3648" ht="15.75" customHeight="1">
      <c r="A3648" s="11">
        <f>IFERROR(__xludf.DUMMYFUNCTION("""COMPUTED_VALUE"""),44471.0)</f>
        <v>44471</v>
      </c>
      <c r="B3648" s="9">
        <f>IFERROR(__xludf.DUMMYFUNCTION("""COMPUTED_VALUE"""),1003813.0)</f>
        <v>1003813</v>
      </c>
      <c r="C3648" s="9">
        <f>IFERROR(__xludf.DUMMYFUNCTION("""COMPUTED_VALUE"""),124686.0)</f>
        <v>124686</v>
      </c>
      <c r="D3648" s="9"/>
      <c r="E3648" s="9"/>
      <c r="F3648" s="9">
        <f>IFERROR(__xludf.DUMMYFUNCTION("""COMPUTED_VALUE"""),2.75)</f>
        <v>2.75</v>
      </c>
      <c r="G3648" s="9">
        <f>IFERROR(__xludf.DUMMYFUNCTION("""COMPUTED_VALUE"""),2.75)</f>
        <v>2.75</v>
      </c>
      <c r="H3648" s="9">
        <f>IFERROR(__xludf.DUMMYFUNCTION("""COMPUTED_VALUE"""),1.0)</f>
        <v>1</v>
      </c>
      <c r="I3648" s="9"/>
      <c r="J3648" s="9"/>
      <c r="K3648" s="9"/>
      <c r="L3648" s="9"/>
      <c r="M3648" s="9"/>
      <c r="N3648" s="9"/>
      <c r="O3648" s="9"/>
      <c r="P3648" s="9"/>
      <c r="Q3648" s="9"/>
      <c r="R3648" s="9"/>
      <c r="S3648" s="9"/>
      <c r="T3648" s="9"/>
    </row>
    <row r="3649" ht="15.75" customHeight="1">
      <c r="A3649" s="11">
        <f>IFERROR(__xludf.DUMMYFUNCTION("""COMPUTED_VALUE"""),44471.0)</f>
        <v>44471</v>
      </c>
      <c r="B3649" s="9">
        <f>IFERROR(__xludf.DUMMYFUNCTION("""COMPUTED_VALUE"""),1003813.0)</f>
        <v>1003813</v>
      </c>
      <c r="C3649" s="9">
        <f>IFERROR(__xludf.DUMMYFUNCTION("""COMPUTED_VALUE"""),10663.0)</f>
        <v>10663</v>
      </c>
      <c r="D3649" s="9"/>
      <c r="E3649" s="9"/>
      <c r="F3649" s="9">
        <f>IFERROR(__xludf.DUMMYFUNCTION("""COMPUTED_VALUE"""),7.03)</f>
        <v>7.03</v>
      </c>
      <c r="G3649" s="9">
        <f>IFERROR(__xludf.DUMMYFUNCTION("""COMPUTED_VALUE"""),7.03)</f>
        <v>7.03</v>
      </c>
      <c r="H3649" s="9">
        <f>IFERROR(__xludf.DUMMYFUNCTION("""COMPUTED_VALUE"""),1.0)</f>
        <v>1</v>
      </c>
      <c r="I3649" s="9"/>
      <c r="J3649" s="9"/>
      <c r="K3649" s="9"/>
      <c r="L3649" s="9"/>
      <c r="M3649" s="9"/>
      <c r="N3649" s="9"/>
      <c r="O3649" s="9"/>
      <c r="P3649" s="9"/>
      <c r="Q3649" s="9"/>
      <c r="R3649" s="9"/>
      <c r="S3649" s="9"/>
      <c r="T3649" s="9"/>
    </row>
    <row r="3650" ht="15.75" customHeight="1">
      <c r="A3650" s="11">
        <f>IFERROR(__xludf.DUMMYFUNCTION("""COMPUTED_VALUE"""),44471.0)</f>
        <v>44471</v>
      </c>
      <c r="B3650" s="9">
        <f>IFERROR(__xludf.DUMMYFUNCTION("""COMPUTED_VALUE"""),1003813.0)</f>
        <v>1003813</v>
      </c>
      <c r="C3650" s="9">
        <f>IFERROR(__xludf.DUMMYFUNCTION("""COMPUTED_VALUE"""),115604.0)</f>
        <v>115604</v>
      </c>
      <c r="D3650" s="9"/>
      <c r="E3650" s="9"/>
      <c r="F3650" s="9">
        <f>IFERROR(__xludf.DUMMYFUNCTION("""COMPUTED_VALUE"""),2.55)</f>
        <v>2.55</v>
      </c>
      <c r="G3650" s="9">
        <f>IFERROR(__xludf.DUMMYFUNCTION("""COMPUTED_VALUE"""),2.55)</f>
        <v>2.55</v>
      </c>
      <c r="H3650" s="9">
        <f>IFERROR(__xludf.DUMMYFUNCTION("""COMPUTED_VALUE"""),1.0)</f>
        <v>1</v>
      </c>
      <c r="I3650" s="9"/>
      <c r="J3650" s="9"/>
      <c r="K3650" s="9"/>
      <c r="L3650" s="9"/>
      <c r="M3650" s="9"/>
      <c r="N3650" s="9"/>
      <c r="O3650" s="9"/>
      <c r="P3650" s="9"/>
      <c r="Q3650" s="9"/>
      <c r="R3650" s="9"/>
      <c r="S3650" s="9"/>
      <c r="T3650" s="9"/>
    </row>
    <row r="3651" ht="15.75" customHeight="1">
      <c r="A3651" s="11">
        <f>IFERROR(__xludf.DUMMYFUNCTION("""COMPUTED_VALUE"""),44471.0)</f>
        <v>44471</v>
      </c>
      <c r="B3651" s="9">
        <f>IFERROR(__xludf.DUMMYFUNCTION("""COMPUTED_VALUE"""),1003813.0)</f>
        <v>1003813</v>
      </c>
      <c r="C3651" s="9">
        <f>IFERROR(__xludf.DUMMYFUNCTION("""COMPUTED_VALUE"""),115602.0)</f>
        <v>115602</v>
      </c>
      <c r="D3651" s="9"/>
      <c r="E3651" s="9"/>
      <c r="F3651" s="9">
        <f>IFERROR(__xludf.DUMMYFUNCTION("""COMPUTED_VALUE"""),4.36)</f>
        <v>4.36</v>
      </c>
      <c r="G3651" s="9">
        <f>IFERROR(__xludf.DUMMYFUNCTION("""COMPUTED_VALUE"""),4.36)</f>
        <v>4.36</v>
      </c>
      <c r="H3651" s="9">
        <f>IFERROR(__xludf.DUMMYFUNCTION("""COMPUTED_VALUE"""),1.0)</f>
        <v>1</v>
      </c>
      <c r="I3651" s="9"/>
      <c r="J3651" s="9"/>
      <c r="K3651" s="9"/>
      <c r="L3651" s="9"/>
      <c r="M3651" s="9"/>
      <c r="N3651" s="9"/>
      <c r="O3651" s="9"/>
      <c r="P3651" s="9"/>
      <c r="Q3651" s="9"/>
      <c r="R3651" s="9"/>
      <c r="S3651" s="9"/>
      <c r="T3651" s="9"/>
    </row>
    <row r="3652" ht="15.75" customHeight="1">
      <c r="A3652" s="11">
        <f>IFERROR(__xludf.DUMMYFUNCTION("""COMPUTED_VALUE"""),44471.0)</f>
        <v>44471</v>
      </c>
      <c r="B3652" s="9">
        <f>IFERROR(__xludf.DUMMYFUNCTION("""COMPUTED_VALUE"""),1003813.0)</f>
        <v>1003813</v>
      </c>
      <c r="C3652" s="9">
        <f>IFERROR(__xludf.DUMMYFUNCTION("""COMPUTED_VALUE"""),2044.0)</f>
        <v>2044</v>
      </c>
      <c r="D3652" s="9"/>
      <c r="E3652" s="9"/>
      <c r="F3652" s="9">
        <f>IFERROR(__xludf.DUMMYFUNCTION("""COMPUTED_VALUE"""),7.88)</f>
        <v>7.88</v>
      </c>
      <c r="G3652" s="9">
        <f>IFERROR(__xludf.DUMMYFUNCTION("""COMPUTED_VALUE"""),7.88)</f>
        <v>7.88</v>
      </c>
      <c r="H3652" s="9">
        <f>IFERROR(__xludf.DUMMYFUNCTION("""COMPUTED_VALUE"""),1.0)</f>
        <v>1</v>
      </c>
      <c r="I3652" s="9"/>
      <c r="J3652" s="9"/>
      <c r="K3652" s="9"/>
      <c r="L3652" s="9"/>
      <c r="M3652" s="9"/>
      <c r="N3652" s="9"/>
      <c r="O3652" s="9"/>
      <c r="P3652" s="9"/>
      <c r="Q3652" s="9"/>
      <c r="R3652" s="9"/>
      <c r="S3652" s="9"/>
      <c r="T3652" s="9"/>
    </row>
    <row r="3653" ht="15.75" customHeight="1">
      <c r="A3653" s="11">
        <f>IFERROR(__xludf.DUMMYFUNCTION("""COMPUTED_VALUE"""),44471.0)</f>
        <v>44471</v>
      </c>
      <c r="B3653" s="9">
        <f>IFERROR(__xludf.DUMMYFUNCTION("""COMPUTED_VALUE"""),1003813.0)</f>
        <v>1003813</v>
      </c>
      <c r="C3653" s="9">
        <f>IFERROR(__xludf.DUMMYFUNCTION("""COMPUTED_VALUE"""),98444.0)</f>
        <v>98444</v>
      </c>
      <c r="D3653" s="10" t="str">
        <f>IFERROR(__xludf.DUMMYFUNCTION("""COMPUTED_VALUE"""),"Hygiene intime")</f>
        <v>Hygiene intime</v>
      </c>
      <c r="E3653" s="10"/>
      <c r="F3653" s="9">
        <f>IFERROR(__xludf.DUMMYFUNCTION("""COMPUTED_VALUE"""),2.77777777777777)</f>
        <v>2.777777778</v>
      </c>
      <c r="G3653" s="9">
        <f>IFERROR(__xludf.DUMMYFUNCTION("""COMPUTED_VALUE"""),2.5)</f>
        <v>2.5</v>
      </c>
      <c r="H3653" s="9">
        <f>IFERROR(__xludf.DUMMYFUNCTION("""COMPUTED_VALUE"""),1.0)</f>
        <v>1</v>
      </c>
      <c r="I3653" s="9"/>
      <c r="J3653" s="9"/>
      <c r="K3653" s="9"/>
      <c r="L3653" s="9"/>
      <c r="M3653" s="9"/>
      <c r="N3653" s="9"/>
      <c r="O3653" s="9"/>
      <c r="P3653" s="9"/>
      <c r="Q3653" s="9"/>
      <c r="R3653" s="9"/>
      <c r="S3653" s="9"/>
      <c r="T3653" s="9"/>
    </row>
    <row r="3654" ht="15.75" customHeight="1">
      <c r="A3654" s="11">
        <f>IFERROR(__xludf.DUMMYFUNCTION("""COMPUTED_VALUE"""),44471.0)</f>
        <v>44471</v>
      </c>
      <c r="B3654" s="9">
        <f>IFERROR(__xludf.DUMMYFUNCTION("""COMPUTED_VALUE"""),1003813.0)</f>
        <v>1003813</v>
      </c>
      <c r="C3654" s="9">
        <f>IFERROR(__xludf.DUMMYFUNCTION("""COMPUTED_VALUE"""),116277.0)</f>
        <v>116277</v>
      </c>
      <c r="D3654" s="9"/>
      <c r="E3654" s="9"/>
      <c r="F3654" s="9">
        <f>IFERROR(__xludf.DUMMYFUNCTION("""COMPUTED_VALUE"""),5.66)</f>
        <v>5.66</v>
      </c>
      <c r="G3654" s="9">
        <f>IFERROR(__xludf.DUMMYFUNCTION("""COMPUTED_VALUE"""),5.66)</f>
        <v>5.66</v>
      </c>
      <c r="H3654" s="9">
        <f>IFERROR(__xludf.DUMMYFUNCTION("""COMPUTED_VALUE"""),1.0)</f>
        <v>1</v>
      </c>
      <c r="I3654" s="9"/>
      <c r="J3654" s="9"/>
      <c r="K3654" s="9"/>
      <c r="L3654" s="9"/>
      <c r="M3654" s="9"/>
      <c r="N3654" s="9"/>
      <c r="O3654" s="9"/>
      <c r="P3654" s="9"/>
      <c r="Q3654" s="9"/>
      <c r="R3654" s="9"/>
      <c r="S3654" s="9"/>
      <c r="T3654" s="9"/>
    </row>
    <row r="3655" ht="15.75" customHeight="1">
      <c r="A3655" s="11">
        <f>IFERROR(__xludf.DUMMYFUNCTION("""COMPUTED_VALUE"""),44471.0)</f>
        <v>44471</v>
      </c>
      <c r="B3655" s="9">
        <f>IFERROR(__xludf.DUMMYFUNCTION("""COMPUTED_VALUE"""),1003813.0)</f>
        <v>1003813</v>
      </c>
      <c r="C3655" s="9">
        <f>IFERROR(__xludf.DUMMYFUNCTION("""COMPUTED_VALUE"""),98426.0)</f>
        <v>98426</v>
      </c>
      <c r="D3655" s="9"/>
      <c r="E3655" s="9"/>
      <c r="F3655" s="9">
        <f>IFERROR(__xludf.DUMMYFUNCTION("""COMPUTED_VALUE"""),2.22)</f>
        <v>2.22</v>
      </c>
      <c r="G3655" s="9">
        <f>IFERROR(__xludf.DUMMYFUNCTION("""COMPUTED_VALUE"""),2.22)</f>
        <v>2.22</v>
      </c>
      <c r="H3655" s="9">
        <f>IFERROR(__xludf.DUMMYFUNCTION("""COMPUTED_VALUE"""),1.0)</f>
        <v>1</v>
      </c>
      <c r="I3655" s="9"/>
      <c r="J3655" s="9"/>
      <c r="K3655" s="9"/>
      <c r="L3655" s="9"/>
      <c r="M3655" s="9"/>
      <c r="N3655" s="9"/>
      <c r="O3655" s="9"/>
      <c r="P3655" s="9"/>
      <c r="Q3655" s="9"/>
      <c r="R3655" s="9"/>
      <c r="S3655" s="9"/>
      <c r="T3655" s="9"/>
    </row>
    <row r="3656" ht="15.75" customHeight="1">
      <c r="A3656" s="11">
        <f>IFERROR(__xludf.DUMMYFUNCTION("""COMPUTED_VALUE"""),44471.0)</f>
        <v>44471</v>
      </c>
      <c r="B3656" s="9">
        <f>IFERROR(__xludf.DUMMYFUNCTION("""COMPUTED_VALUE"""),1003813.0)</f>
        <v>1003813</v>
      </c>
      <c r="C3656" s="9">
        <f>IFERROR(__xludf.DUMMYFUNCTION("""COMPUTED_VALUE"""),7263.0)</f>
        <v>7263</v>
      </c>
      <c r="D3656" s="9"/>
      <c r="E3656" s="9"/>
      <c r="F3656" s="9">
        <f>IFERROR(__xludf.DUMMYFUNCTION("""COMPUTED_VALUE"""),2.22)</f>
        <v>2.22</v>
      </c>
      <c r="G3656" s="9">
        <f>IFERROR(__xludf.DUMMYFUNCTION("""COMPUTED_VALUE"""),2.22)</f>
        <v>2.22</v>
      </c>
      <c r="H3656" s="9">
        <f>IFERROR(__xludf.DUMMYFUNCTION("""COMPUTED_VALUE"""),1.0)</f>
        <v>1</v>
      </c>
      <c r="I3656" s="9"/>
      <c r="J3656" s="9"/>
      <c r="K3656" s="9"/>
      <c r="L3656" s="9"/>
      <c r="M3656" s="9"/>
      <c r="N3656" s="9"/>
      <c r="O3656" s="9"/>
      <c r="P3656" s="9"/>
      <c r="Q3656" s="9"/>
      <c r="R3656" s="9"/>
      <c r="S3656" s="9"/>
      <c r="T3656" s="9"/>
    </row>
    <row r="3657" ht="15.75" customHeight="1">
      <c r="A3657" s="11">
        <f>IFERROR(__xludf.DUMMYFUNCTION("""COMPUTED_VALUE"""),44471.0)</f>
        <v>44471</v>
      </c>
      <c r="B3657" s="9">
        <f>IFERROR(__xludf.DUMMYFUNCTION("""COMPUTED_VALUE"""),1003813.0)</f>
        <v>1003813</v>
      </c>
      <c r="C3657" s="9">
        <f>IFERROR(__xludf.DUMMYFUNCTION("""COMPUTED_VALUE"""),115608.0)</f>
        <v>115608</v>
      </c>
      <c r="D3657" s="9"/>
      <c r="E3657" s="9"/>
      <c r="F3657" s="9">
        <f>IFERROR(__xludf.DUMMYFUNCTION("""COMPUTED_VALUE"""),5.28)</f>
        <v>5.28</v>
      </c>
      <c r="G3657" s="9">
        <f>IFERROR(__xludf.DUMMYFUNCTION("""COMPUTED_VALUE"""),5.28)</f>
        <v>5.28</v>
      </c>
      <c r="H3657" s="9">
        <f>IFERROR(__xludf.DUMMYFUNCTION("""COMPUTED_VALUE"""),2.0)</f>
        <v>2</v>
      </c>
      <c r="I3657" s="9"/>
      <c r="J3657" s="9"/>
      <c r="K3657" s="9"/>
      <c r="L3657" s="9"/>
      <c r="M3657" s="9"/>
      <c r="N3657" s="9"/>
      <c r="O3657" s="9"/>
      <c r="P3657" s="9"/>
      <c r="Q3657" s="9"/>
      <c r="R3657" s="9"/>
      <c r="S3657" s="9"/>
      <c r="T3657" s="9"/>
    </row>
    <row r="3658" ht="15.75" customHeight="1">
      <c r="A3658" s="11">
        <f>IFERROR(__xludf.DUMMYFUNCTION("""COMPUTED_VALUE"""),44471.0)</f>
        <v>44471</v>
      </c>
      <c r="B3658" s="9">
        <f>IFERROR(__xludf.DUMMYFUNCTION("""COMPUTED_VALUE"""),1003813.0)</f>
        <v>1003813</v>
      </c>
      <c r="C3658" s="9">
        <f>IFERROR(__xludf.DUMMYFUNCTION("""COMPUTED_VALUE"""),115611.0)</f>
        <v>115611</v>
      </c>
      <c r="D3658" s="9"/>
      <c r="E3658" s="9"/>
      <c r="F3658" s="9">
        <f>IFERROR(__xludf.DUMMYFUNCTION("""COMPUTED_VALUE"""),7.83)</f>
        <v>7.83</v>
      </c>
      <c r="G3658" s="9">
        <f>IFERROR(__xludf.DUMMYFUNCTION("""COMPUTED_VALUE"""),7.83)</f>
        <v>7.83</v>
      </c>
      <c r="H3658" s="9">
        <f>IFERROR(__xludf.DUMMYFUNCTION("""COMPUTED_VALUE"""),2.0)</f>
        <v>2</v>
      </c>
      <c r="I3658" s="9"/>
      <c r="J3658" s="9"/>
      <c r="K3658" s="9"/>
      <c r="L3658" s="9"/>
      <c r="M3658" s="9"/>
      <c r="N3658" s="9"/>
      <c r="O3658" s="9"/>
      <c r="P3658" s="9"/>
      <c r="Q3658" s="9"/>
      <c r="R3658" s="9"/>
      <c r="S3658" s="9"/>
      <c r="T3658" s="9"/>
    </row>
    <row r="3659" ht="15.75" customHeight="1">
      <c r="A3659" s="11">
        <f>IFERROR(__xludf.DUMMYFUNCTION("""COMPUTED_VALUE"""),44471.0)</f>
        <v>44471</v>
      </c>
      <c r="B3659" s="9">
        <f>IFERROR(__xludf.DUMMYFUNCTION("""COMPUTED_VALUE"""),1003813.0)</f>
        <v>1003813</v>
      </c>
      <c r="C3659" s="9">
        <f>IFERROR(__xludf.DUMMYFUNCTION("""COMPUTED_VALUE"""),90716.0)</f>
        <v>90716</v>
      </c>
      <c r="D3659" s="9"/>
      <c r="E3659" s="9"/>
      <c r="F3659" s="9">
        <f>IFERROR(__xludf.DUMMYFUNCTION("""COMPUTED_VALUE"""),3.67)</f>
        <v>3.67</v>
      </c>
      <c r="G3659" s="9">
        <f>IFERROR(__xludf.DUMMYFUNCTION("""COMPUTED_VALUE"""),3.67)</f>
        <v>3.67</v>
      </c>
      <c r="H3659" s="9">
        <f>IFERROR(__xludf.DUMMYFUNCTION("""COMPUTED_VALUE"""),2.0)</f>
        <v>2</v>
      </c>
      <c r="I3659" s="9"/>
      <c r="J3659" s="9"/>
      <c r="K3659" s="9"/>
      <c r="L3659" s="9"/>
      <c r="M3659" s="9"/>
      <c r="N3659" s="9"/>
      <c r="O3659" s="9"/>
      <c r="P3659" s="9"/>
      <c r="Q3659" s="9"/>
      <c r="R3659" s="9"/>
      <c r="S3659" s="9"/>
      <c r="T3659" s="9"/>
    </row>
    <row r="3660" ht="15.75" customHeight="1">
      <c r="A3660" s="11">
        <f>IFERROR(__xludf.DUMMYFUNCTION("""COMPUTED_VALUE"""),44471.0)</f>
        <v>44471</v>
      </c>
      <c r="B3660" s="9">
        <f>IFERROR(__xludf.DUMMYFUNCTION("""COMPUTED_VALUE"""),1003813.0)</f>
        <v>1003813</v>
      </c>
      <c r="C3660" s="9">
        <f>IFERROR(__xludf.DUMMYFUNCTION("""COMPUTED_VALUE"""),115599.0)</f>
        <v>115599</v>
      </c>
      <c r="D3660" s="10" t="str">
        <f>IFERROR(__xludf.DUMMYFUNCTION("""COMPUTED_VALUE"""),"Vive le bio")</f>
        <v>Vive le bio</v>
      </c>
      <c r="E3660" s="10"/>
      <c r="F3660" s="9">
        <f>IFERROR(__xludf.DUMMYFUNCTION("""COMPUTED_VALUE"""),11.1666666666666)</f>
        <v>11.16666667</v>
      </c>
      <c r="G3660" s="9">
        <f>IFERROR(__xludf.DUMMYFUNCTION("""COMPUTED_VALUE"""),10.05)</f>
        <v>10.05</v>
      </c>
      <c r="H3660" s="9">
        <f>IFERROR(__xludf.DUMMYFUNCTION("""COMPUTED_VALUE"""),3.0)</f>
        <v>3</v>
      </c>
      <c r="I3660" s="9"/>
      <c r="J3660" s="9"/>
      <c r="K3660" s="9"/>
      <c r="L3660" s="9"/>
      <c r="M3660" s="9"/>
      <c r="N3660" s="9"/>
      <c r="O3660" s="9"/>
      <c r="P3660" s="9"/>
      <c r="Q3660" s="9"/>
      <c r="R3660" s="9"/>
      <c r="S3660" s="9"/>
      <c r="T3660" s="9"/>
    </row>
    <row r="3661" ht="15.75" customHeight="1">
      <c r="A3661" s="11">
        <f>IFERROR(__xludf.DUMMYFUNCTION("""COMPUTED_VALUE"""),44471.0)</f>
        <v>44471</v>
      </c>
      <c r="B3661" s="9">
        <f>IFERROR(__xludf.DUMMYFUNCTION("""COMPUTED_VALUE"""),1003814.0)</f>
        <v>1003814</v>
      </c>
      <c r="C3661" s="9">
        <f>IFERROR(__xludf.DUMMYFUNCTION("""COMPUTED_VALUE"""),102750.0)</f>
        <v>102750</v>
      </c>
      <c r="D3661" s="9"/>
      <c r="E3661" s="9"/>
      <c r="F3661" s="9">
        <f>IFERROR(__xludf.DUMMYFUNCTION("""COMPUTED_VALUE"""),11.8)</f>
        <v>11.8</v>
      </c>
      <c r="G3661" s="9">
        <f>IFERROR(__xludf.DUMMYFUNCTION("""COMPUTED_VALUE"""),11.8)</f>
        <v>11.8</v>
      </c>
      <c r="H3661" s="9">
        <f>IFERROR(__xludf.DUMMYFUNCTION("""COMPUTED_VALUE"""),1.0)</f>
        <v>1</v>
      </c>
      <c r="I3661" s="9"/>
      <c r="J3661" s="9"/>
      <c r="K3661" s="9"/>
      <c r="L3661" s="9"/>
      <c r="M3661" s="9"/>
      <c r="N3661" s="9"/>
      <c r="O3661" s="9"/>
      <c r="P3661" s="9"/>
      <c r="Q3661" s="9"/>
      <c r="R3661" s="9"/>
      <c r="S3661" s="9"/>
      <c r="T3661" s="9"/>
    </row>
    <row r="3662" ht="15.75" customHeight="1">
      <c r="A3662" s="11">
        <f>IFERROR(__xludf.DUMMYFUNCTION("""COMPUTED_VALUE"""),44471.0)</f>
        <v>44471</v>
      </c>
      <c r="B3662" s="9">
        <f>IFERROR(__xludf.DUMMYFUNCTION("""COMPUTED_VALUE"""),1003814.0)</f>
        <v>1003814</v>
      </c>
      <c r="C3662" s="9">
        <f>IFERROR(__xludf.DUMMYFUNCTION("""COMPUTED_VALUE"""),10054.0)</f>
        <v>10054</v>
      </c>
      <c r="D3662" s="9"/>
      <c r="E3662" s="9"/>
      <c r="F3662" s="9">
        <f>IFERROR(__xludf.DUMMYFUNCTION("""COMPUTED_VALUE"""),5.18)</f>
        <v>5.18</v>
      </c>
      <c r="G3662" s="9">
        <f>IFERROR(__xludf.DUMMYFUNCTION("""COMPUTED_VALUE"""),5.18)</f>
        <v>5.18</v>
      </c>
      <c r="H3662" s="9">
        <f>IFERROR(__xludf.DUMMYFUNCTION("""COMPUTED_VALUE"""),1.0)</f>
        <v>1</v>
      </c>
      <c r="I3662" s="9"/>
      <c r="J3662" s="9"/>
      <c r="K3662" s="9"/>
      <c r="L3662" s="9"/>
      <c r="M3662" s="9"/>
      <c r="N3662" s="9"/>
      <c r="O3662" s="9"/>
      <c r="P3662" s="9"/>
      <c r="Q3662" s="9"/>
      <c r="R3662" s="9"/>
      <c r="S3662" s="9"/>
      <c r="T3662" s="9"/>
    </row>
    <row r="3663" ht="15.75" customHeight="1">
      <c r="A3663" s="11">
        <f>IFERROR(__xludf.DUMMYFUNCTION("""COMPUTED_VALUE"""),44471.0)</f>
        <v>44471</v>
      </c>
      <c r="B3663" s="9">
        <f>IFERROR(__xludf.DUMMYFUNCTION("""COMPUTED_VALUE"""),1003814.0)</f>
        <v>1003814</v>
      </c>
      <c r="C3663" s="9">
        <f>IFERROR(__xludf.DUMMYFUNCTION("""COMPUTED_VALUE"""),45481.0)</f>
        <v>45481</v>
      </c>
      <c r="D3663" s="9"/>
      <c r="E3663" s="9"/>
      <c r="F3663" s="9">
        <f>IFERROR(__xludf.DUMMYFUNCTION("""COMPUTED_VALUE"""),7.23)</f>
        <v>7.23</v>
      </c>
      <c r="G3663" s="9">
        <f>IFERROR(__xludf.DUMMYFUNCTION("""COMPUTED_VALUE"""),7.23)</f>
        <v>7.23</v>
      </c>
      <c r="H3663" s="9">
        <f>IFERROR(__xludf.DUMMYFUNCTION("""COMPUTED_VALUE"""),1.0)</f>
        <v>1</v>
      </c>
      <c r="I3663" s="9"/>
      <c r="J3663" s="9"/>
      <c r="K3663" s="9"/>
      <c r="L3663" s="9"/>
      <c r="M3663" s="9"/>
      <c r="N3663" s="9"/>
      <c r="O3663" s="9"/>
      <c r="P3663" s="9"/>
      <c r="Q3663" s="9"/>
      <c r="R3663" s="9"/>
      <c r="S3663" s="9"/>
      <c r="T3663" s="9"/>
    </row>
    <row r="3664" ht="15.75" customHeight="1">
      <c r="A3664" s="11">
        <f>IFERROR(__xludf.DUMMYFUNCTION("""COMPUTED_VALUE"""),44471.0)</f>
        <v>44471</v>
      </c>
      <c r="B3664" s="9">
        <f>IFERROR(__xludf.DUMMYFUNCTION("""COMPUTED_VALUE"""),1003814.0)</f>
        <v>1003814</v>
      </c>
      <c r="C3664" s="9">
        <f>IFERROR(__xludf.DUMMYFUNCTION("""COMPUTED_VALUE"""),109185.0)</f>
        <v>109185</v>
      </c>
      <c r="D3664" s="9"/>
      <c r="E3664" s="9"/>
      <c r="F3664" s="9">
        <f>IFERROR(__xludf.DUMMYFUNCTION("""COMPUTED_VALUE"""),29.01)</f>
        <v>29.01</v>
      </c>
      <c r="G3664" s="9">
        <f>IFERROR(__xludf.DUMMYFUNCTION("""COMPUTED_VALUE"""),29.01)</f>
        <v>29.01</v>
      </c>
      <c r="H3664" s="9">
        <f>IFERROR(__xludf.DUMMYFUNCTION("""COMPUTED_VALUE"""),3.0)</f>
        <v>3</v>
      </c>
      <c r="I3664" s="9"/>
      <c r="J3664" s="9"/>
      <c r="K3664" s="9"/>
      <c r="L3664" s="9"/>
      <c r="M3664" s="9"/>
      <c r="N3664" s="9"/>
      <c r="O3664" s="9"/>
      <c r="P3664" s="9"/>
      <c r="Q3664" s="9"/>
      <c r="R3664" s="9"/>
      <c r="S3664" s="9"/>
      <c r="T3664" s="9"/>
    </row>
    <row r="3665" ht="15.75" customHeight="1">
      <c r="A3665" s="11">
        <f>IFERROR(__xludf.DUMMYFUNCTION("""COMPUTED_VALUE"""),44471.0)</f>
        <v>44471</v>
      </c>
      <c r="B3665" s="9">
        <f>IFERROR(__xludf.DUMMYFUNCTION("""COMPUTED_VALUE"""),1003815.0)</f>
        <v>1003815</v>
      </c>
      <c r="C3665" s="9">
        <f>IFERROR(__xludf.DUMMYFUNCTION("""COMPUTED_VALUE"""),4179.0)</f>
        <v>4179</v>
      </c>
      <c r="D3665" s="9"/>
      <c r="E3665" s="10" t="str">
        <f>IFERROR(__xludf.DUMMYFUNCTION("""COMPUTED_VALUE"""),"PREMIERE")</f>
        <v>PREMIERE</v>
      </c>
      <c r="F3665" s="10">
        <f>IFERROR(__xludf.DUMMYFUNCTION("""COMPUTED_VALUE"""),9.34)</f>
        <v>9.34</v>
      </c>
      <c r="G3665" s="9">
        <f>IFERROR(__xludf.DUMMYFUNCTION("""COMPUTED_VALUE"""),9.34)</f>
        <v>9.34</v>
      </c>
      <c r="H3665" s="9">
        <f>IFERROR(__xludf.DUMMYFUNCTION("""COMPUTED_VALUE"""),1.0)</f>
        <v>1</v>
      </c>
      <c r="I3665" s="9"/>
      <c r="J3665" s="9"/>
      <c r="K3665" s="9"/>
      <c r="L3665" s="9"/>
      <c r="M3665" s="9"/>
      <c r="N3665" s="9"/>
      <c r="O3665" s="9"/>
      <c r="P3665" s="9"/>
      <c r="Q3665" s="9"/>
      <c r="R3665" s="9"/>
      <c r="S3665" s="9"/>
      <c r="T3665" s="9"/>
    </row>
    <row r="3666" ht="15.75" customHeight="1">
      <c r="A3666" s="11">
        <f>IFERROR(__xludf.DUMMYFUNCTION("""COMPUTED_VALUE"""),44471.0)</f>
        <v>44471</v>
      </c>
      <c r="B3666" s="9">
        <f>IFERROR(__xludf.DUMMYFUNCTION("""COMPUTED_VALUE"""),1003815.0)</f>
        <v>1003815</v>
      </c>
      <c r="C3666" s="9">
        <f>IFERROR(__xludf.DUMMYFUNCTION("""COMPUTED_VALUE"""),118931.0)</f>
        <v>118931</v>
      </c>
      <c r="D3666" s="9"/>
      <c r="E3666" s="10" t="str">
        <f>IFERROR(__xludf.DUMMYFUNCTION("""COMPUTED_VALUE"""),"PREMIERE")</f>
        <v>PREMIERE</v>
      </c>
      <c r="F3666" s="10">
        <f>IFERROR(__xludf.DUMMYFUNCTION("""COMPUTED_VALUE"""),6.47)</f>
        <v>6.47</v>
      </c>
      <c r="G3666" s="9">
        <f>IFERROR(__xludf.DUMMYFUNCTION("""COMPUTED_VALUE"""),6.47)</f>
        <v>6.47</v>
      </c>
      <c r="H3666" s="9">
        <f>IFERROR(__xludf.DUMMYFUNCTION("""COMPUTED_VALUE"""),1.0)</f>
        <v>1</v>
      </c>
      <c r="I3666" s="9"/>
      <c r="J3666" s="9"/>
      <c r="K3666" s="9"/>
      <c r="L3666" s="9"/>
      <c r="M3666" s="9"/>
      <c r="N3666" s="9"/>
      <c r="O3666" s="9"/>
      <c r="P3666" s="9"/>
      <c r="Q3666" s="9"/>
      <c r="R3666" s="9"/>
      <c r="S3666" s="9"/>
      <c r="T3666" s="9"/>
    </row>
    <row r="3667" ht="15.75" customHeight="1">
      <c r="A3667" s="11">
        <f>IFERROR(__xludf.DUMMYFUNCTION("""COMPUTED_VALUE"""),44471.0)</f>
        <v>44471</v>
      </c>
      <c r="B3667" s="9">
        <f>IFERROR(__xludf.DUMMYFUNCTION("""COMPUTED_VALUE"""),1003815.0)</f>
        <v>1003815</v>
      </c>
      <c r="C3667" s="9">
        <f>IFERROR(__xludf.DUMMYFUNCTION("""COMPUTED_VALUE"""),77771.0)</f>
        <v>77771</v>
      </c>
      <c r="D3667" s="9"/>
      <c r="E3667" s="10" t="str">
        <f>IFERROR(__xludf.DUMMYFUNCTION("""COMPUTED_VALUE"""),"PREMIERE")</f>
        <v>PREMIERE</v>
      </c>
      <c r="F3667" s="10">
        <f>IFERROR(__xludf.DUMMYFUNCTION("""COMPUTED_VALUE"""),6.52)</f>
        <v>6.52</v>
      </c>
      <c r="G3667" s="9">
        <f>IFERROR(__xludf.DUMMYFUNCTION("""COMPUTED_VALUE"""),6.52)</f>
        <v>6.52</v>
      </c>
      <c r="H3667" s="9">
        <f>IFERROR(__xludf.DUMMYFUNCTION("""COMPUTED_VALUE"""),2.0)</f>
        <v>2</v>
      </c>
      <c r="I3667" s="9"/>
      <c r="J3667" s="9"/>
      <c r="K3667" s="9"/>
      <c r="L3667" s="9"/>
      <c r="M3667" s="9"/>
      <c r="N3667" s="9"/>
      <c r="O3667" s="9"/>
      <c r="P3667" s="9"/>
      <c r="Q3667" s="9"/>
      <c r="R3667" s="9"/>
      <c r="S3667" s="9"/>
      <c r="T3667" s="9"/>
    </row>
    <row r="3668" ht="15.75" customHeight="1">
      <c r="A3668" s="11">
        <f>IFERROR(__xludf.DUMMYFUNCTION("""COMPUTED_VALUE"""),44471.0)</f>
        <v>44471</v>
      </c>
      <c r="B3668" s="9">
        <f>IFERROR(__xludf.DUMMYFUNCTION("""COMPUTED_VALUE"""),1003815.0)</f>
        <v>1003815</v>
      </c>
      <c r="C3668" s="9">
        <f>IFERROR(__xludf.DUMMYFUNCTION("""COMPUTED_VALUE"""),44412.0)</f>
        <v>44412</v>
      </c>
      <c r="D3668" s="9"/>
      <c r="E3668" s="10" t="str">
        <f>IFERROR(__xludf.DUMMYFUNCTION("""COMPUTED_VALUE"""),"PREMIERE")</f>
        <v>PREMIERE</v>
      </c>
      <c r="F3668" s="10">
        <f>IFERROR(__xludf.DUMMYFUNCTION("""COMPUTED_VALUE"""),9.66)</f>
        <v>9.66</v>
      </c>
      <c r="G3668" s="9">
        <f>IFERROR(__xludf.DUMMYFUNCTION("""COMPUTED_VALUE"""),9.66)</f>
        <v>9.66</v>
      </c>
      <c r="H3668" s="9">
        <f>IFERROR(__xludf.DUMMYFUNCTION("""COMPUTED_VALUE"""),2.0)</f>
        <v>2</v>
      </c>
      <c r="I3668" s="9"/>
      <c r="J3668" s="9"/>
      <c r="K3668" s="9"/>
      <c r="L3668" s="9"/>
      <c r="M3668" s="9"/>
      <c r="N3668" s="9"/>
      <c r="O3668" s="9"/>
      <c r="P3668" s="9"/>
      <c r="Q3668" s="9"/>
      <c r="R3668" s="9"/>
      <c r="S3668" s="9"/>
      <c r="T3668" s="9"/>
    </row>
    <row r="3669" ht="15.75" customHeight="1">
      <c r="A3669" s="11">
        <f>IFERROR(__xludf.DUMMYFUNCTION("""COMPUTED_VALUE"""),44471.0)</f>
        <v>44471</v>
      </c>
      <c r="B3669" s="9">
        <f>IFERROR(__xludf.DUMMYFUNCTION("""COMPUTED_VALUE"""),1003815.0)</f>
        <v>1003815</v>
      </c>
      <c r="C3669" s="9">
        <f>IFERROR(__xludf.DUMMYFUNCTION("""COMPUTED_VALUE"""),44386.0)</f>
        <v>44386</v>
      </c>
      <c r="D3669" s="9"/>
      <c r="E3669" s="10" t="str">
        <f>IFERROR(__xludf.DUMMYFUNCTION("""COMPUTED_VALUE"""),"PREMIERE")</f>
        <v>PREMIERE</v>
      </c>
      <c r="F3669" s="10">
        <f>IFERROR(__xludf.DUMMYFUNCTION("""COMPUTED_VALUE"""),10.22)</f>
        <v>10.22</v>
      </c>
      <c r="G3669" s="9">
        <f>IFERROR(__xludf.DUMMYFUNCTION("""COMPUTED_VALUE"""),10.22)</f>
        <v>10.22</v>
      </c>
      <c r="H3669" s="9">
        <f>IFERROR(__xludf.DUMMYFUNCTION("""COMPUTED_VALUE"""),2.0)</f>
        <v>2</v>
      </c>
      <c r="I3669" s="9"/>
      <c r="J3669" s="9"/>
      <c r="K3669" s="9"/>
      <c r="L3669" s="9"/>
      <c r="M3669" s="9"/>
      <c r="N3669" s="9"/>
      <c r="O3669" s="9"/>
      <c r="P3669" s="9"/>
      <c r="Q3669" s="9"/>
      <c r="R3669" s="9"/>
      <c r="S3669" s="9"/>
      <c r="T3669" s="9"/>
    </row>
    <row r="3670" ht="15.75" customHeight="1">
      <c r="A3670" s="11">
        <f>IFERROR(__xludf.DUMMYFUNCTION("""COMPUTED_VALUE"""),44471.0)</f>
        <v>44471</v>
      </c>
      <c r="B3670" s="9">
        <f>IFERROR(__xludf.DUMMYFUNCTION("""COMPUTED_VALUE"""),1003816.0)</f>
        <v>1003816</v>
      </c>
      <c r="C3670" s="9">
        <f>IFERROR(__xludf.DUMMYFUNCTION("""COMPUTED_VALUE"""),11122.0)</f>
        <v>11122</v>
      </c>
      <c r="D3670" s="9"/>
      <c r="E3670" s="9"/>
      <c r="F3670" s="9">
        <f>IFERROR(__xludf.DUMMYFUNCTION("""COMPUTED_VALUE"""),15.79)</f>
        <v>15.79</v>
      </c>
      <c r="G3670" s="9">
        <f>IFERROR(__xludf.DUMMYFUNCTION("""COMPUTED_VALUE"""),15.79)</f>
        <v>15.79</v>
      </c>
      <c r="H3670" s="9">
        <f>IFERROR(__xludf.DUMMYFUNCTION("""COMPUTED_VALUE"""),1.0)</f>
        <v>1</v>
      </c>
      <c r="I3670" s="9"/>
      <c r="J3670" s="9"/>
      <c r="K3670" s="9"/>
      <c r="L3670" s="9"/>
      <c r="M3670" s="9"/>
      <c r="N3670" s="9"/>
      <c r="O3670" s="9"/>
      <c r="P3670" s="9"/>
      <c r="Q3670" s="9"/>
      <c r="R3670" s="9"/>
      <c r="S3670" s="9"/>
      <c r="T3670" s="9"/>
    </row>
    <row r="3671" ht="15.75" customHeight="1">
      <c r="A3671" s="11">
        <f>IFERROR(__xludf.DUMMYFUNCTION("""COMPUTED_VALUE"""),44471.0)</f>
        <v>44471</v>
      </c>
      <c r="B3671" s="9">
        <f>IFERROR(__xludf.DUMMYFUNCTION("""COMPUTED_VALUE"""),1003816.0)</f>
        <v>1003816</v>
      </c>
      <c r="C3671" s="9">
        <f>IFERROR(__xludf.DUMMYFUNCTION("""COMPUTED_VALUE"""),82827.0)</f>
        <v>82827</v>
      </c>
      <c r="D3671" s="9"/>
      <c r="E3671" s="9"/>
      <c r="F3671" s="9">
        <f>IFERROR(__xludf.DUMMYFUNCTION("""COMPUTED_VALUE"""),12.87)</f>
        <v>12.87</v>
      </c>
      <c r="G3671" s="9">
        <f>IFERROR(__xludf.DUMMYFUNCTION("""COMPUTED_VALUE"""),12.87)</f>
        <v>12.87</v>
      </c>
      <c r="H3671" s="9">
        <f>IFERROR(__xludf.DUMMYFUNCTION("""COMPUTED_VALUE"""),1.0)</f>
        <v>1</v>
      </c>
      <c r="I3671" s="9"/>
      <c r="J3671" s="9"/>
      <c r="K3671" s="9"/>
      <c r="L3671" s="9"/>
      <c r="M3671" s="9"/>
      <c r="N3671" s="9"/>
      <c r="O3671" s="9"/>
      <c r="P3671" s="9"/>
      <c r="Q3671" s="9"/>
      <c r="R3671" s="9"/>
      <c r="S3671" s="9"/>
      <c r="T3671" s="9"/>
    </row>
    <row r="3672" ht="15.75" customHeight="1">
      <c r="A3672" s="11">
        <f>IFERROR(__xludf.DUMMYFUNCTION("""COMPUTED_VALUE"""),44471.0)</f>
        <v>44471</v>
      </c>
      <c r="B3672" s="9">
        <f>IFERROR(__xludf.DUMMYFUNCTION("""COMPUTED_VALUE"""),1003816.0)</f>
        <v>1003816</v>
      </c>
      <c r="C3672" s="9">
        <f>IFERROR(__xludf.DUMMYFUNCTION("""COMPUTED_VALUE"""),82838.0)</f>
        <v>82838</v>
      </c>
      <c r="D3672" s="9"/>
      <c r="E3672" s="9"/>
      <c r="F3672" s="9">
        <f>IFERROR(__xludf.DUMMYFUNCTION("""COMPUTED_VALUE"""),12.87)</f>
        <v>12.87</v>
      </c>
      <c r="G3672" s="9">
        <f>IFERROR(__xludf.DUMMYFUNCTION("""COMPUTED_VALUE"""),12.87)</f>
        <v>12.87</v>
      </c>
      <c r="H3672" s="9">
        <f>IFERROR(__xludf.DUMMYFUNCTION("""COMPUTED_VALUE"""),1.0)</f>
        <v>1</v>
      </c>
      <c r="I3672" s="9"/>
      <c r="J3672" s="9"/>
      <c r="K3672" s="9"/>
      <c r="L3672" s="9"/>
      <c r="M3672" s="9"/>
      <c r="N3672" s="9"/>
      <c r="O3672" s="9"/>
      <c r="P3672" s="9"/>
      <c r="Q3672" s="9"/>
      <c r="R3672" s="9"/>
      <c r="S3672" s="9"/>
      <c r="T3672" s="9"/>
    </row>
    <row r="3673" ht="15.75" customHeight="1">
      <c r="A3673" s="11">
        <f>IFERROR(__xludf.DUMMYFUNCTION("""COMPUTED_VALUE"""),44471.0)</f>
        <v>44471</v>
      </c>
      <c r="B3673" s="9">
        <f>IFERROR(__xludf.DUMMYFUNCTION("""COMPUTED_VALUE"""),1003816.0)</f>
        <v>1003816</v>
      </c>
      <c r="C3673" s="9">
        <f>IFERROR(__xludf.DUMMYFUNCTION("""COMPUTED_VALUE"""),82844.0)</f>
        <v>82844</v>
      </c>
      <c r="D3673" s="9"/>
      <c r="E3673" s="9"/>
      <c r="F3673" s="9">
        <f>IFERROR(__xludf.DUMMYFUNCTION("""COMPUTED_VALUE"""),7.82)</f>
        <v>7.82</v>
      </c>
      <c r="G3673" s="9">
        <f>IFERROR(__xludf.DUMMYFUNCTION("""COMPUTED_VALUE"""),7.82)</f>
        <v>7.82</v>
      </c>
      <c r="H3673" s="9">
        <f>IFERROR(__xludf.DUMMYFUNCTION("""COMPUTED_VALUE"""),1.0)</f>
        <v>1</v>
      </c>
      <c r="I3673" s="9"/>
      <c r="J3673" s="9"/>
      <c r="K3673" s="9"/>
      <c r="L3673" s="9"/>
      <c r="M3673" s="9"/>
      <c r="N3673" s="9"/>
      <c r="O3673" s="9"/>
      <c r="P3673" s="9"/>
      <c r="Q3673" s="9"/>
      <c r="R3673" s="9"/>
      <c r="S3673" s="9"/>
      <c r="T3673" s="9"/>
    </row>
    <row r="3674" ht="15.75" customHeight="1">
      <c r="A3674" s="11">
        <f>IFERROR(__xludf.DUMMYFUNCTION("""COMPUTED_VALUE"""),44471.0)</f>
        <v>44471</v>
      </c>
      <c r="B3674" s="9">
        <f>IFERROR(__xludf.DUMMYFUNCTION("""COMPUTED_VALUE"""),1003816.0)</f>
        <v>1003816</v>
      </c>
      <c r="C3674" s="9">
        <f>IFERROR(__xludf.DUMMYFUNCTION("""COMPUTED_VALUE"""),86620.0)</f>
        <v>86620</v>
      </c>
      <c r="D3674" s="9"/>
      <c r="E3674" s="9"/>
      <c r="F3674" s="9">
        <f>IFERROR(__xludf.DUMMYFUNCTION("""COMPUTED_VALUE"""),7.82)</f>
        <v>7.82</v>
      </c>
      <c r="G3674" s="9">
        <f>IFERROR(__xludf.DUMMYFUNCTION("""COMPUTED_VALUE"""),7.82)</f>
        <v>7.82</v>
      </c>
      <c r="H3674" s="9">
        <f>IFERROR(__xludf.DUMMYFUNCTION("""COMPUTED_VALUE"""),1.0)</f>
        <v>1</v>
      </c>
      <c r="I3674" s="9"/>
      <c r="J3674" s="9"/>
      <c r="K3674" s="9"/>
      <c r="L3674" s="9"/>
      <c r="M3674" s="9"/>
      <c r="N3674" s="9"/>
      <c r="O3674" s="9"/>
      <c r="P3674" s="9"/>
      <c r="Q3674" s="9"/>
      <c r="R3674" s="9"/>
      <c r="S3674" s="9"/>
      <c r="T3674" s="9"/>
    </row>
    <row r="3675" ht="15.75" customHeight="1">
      <c r="A3675" s="11">
        <f>IFERROR(__xludf.DUMMYFUNCTION("""COMPUTED_VALUE"""),44471.0)</f>
        <v>44471</v>
      </c>
      <c r="B3675" s="9">
        <f>IFERROR(__xludf.DUMMYFUNCTION("""COMPUTED_VALUE"""),1003816.0)</f>
        <v>1003816</v>
      </c>
      <c r="C3675" s="9">
        <f>IFERROR(__xludf.DUMMYFUNCTION("""COMPUTED_VALUE"""),117607.0)</f>
        <v>117607</v>
      </c>
      <c r="D3675" s="10" t="str">
        <f>IFERROR(__xludf.DUMMYFUNCTION("""COMPUTED_VALUE"""),"Vive le bio")</f>
        <v>Vive le bio</v>
      </c>
      <c r="E3675" s="10"/>
      <c r="F3675" s="9">
        <f>IFERROR(__xludf.DUMMYFUNCTION("""COMPUTED_VALUE"""),8.27777777777777)</f>
        <v>8.277777778</v>
      </c>
      <c r="G3675" s="9">
        <f>IFERROR(__xludf.DUMMYFUNCTION("""COMPUTED_VALUE"""),7.45)</f>
        <v>7.45</v>
      </c>
      <c r="H3675" s="9">
        <f>IFERROR(__xludf.DUMMYFUNCTION("""COMPUTED_VALUE"""),1.0)</f>
        <v>1</v>
      </c>
      <c r="I3675" s="9"/>
      <c r="J3675" s="9"/>
      <c r="K3675" s="9"/>
      <c r="L3675" s="9"/>
      <c r="M3675" s="9"/>
      <c r="N3675" s="9"/>
      <c r="O3675" s="9"/>
      <c r="P3675" s="9"/>
      <c r="Q3675" s="9"/>
      <c r="R3675" s="9"/>
      <c r="S3675" s="9"/>
      <c r="T3675" s="9"/>
    </row>
    <row r="3676" ht="15.75" customHeight="1">
      <c r="A3676" s="11">
        <f>IFERROR(__xludf.DUMMYFUNCTION("""COMPUTED_VALUE"""),44471.0)</f>
        <v>44471</v>
      </c>
      <c r="B3676" s="9">
        <f>IFERROR(__xludf.DUMMYFUNCTION("""COMPUTED_VALUE"""),1003817.0)</f>
        <v>1003817</v>
      </c>
      <c r="C3676" s="9">
        <f>IFERROR(__xludf.DUMMYFUNCTION("""COMPUTED_VALUE"""),120558.0)</f>
        <v>120558</v>
      </c>
      <c r="D3676" s="9"/>
      <c r="E3676" s="10" t="str">
        <f>IFERROR(__xludf.DUMMYFUNCTION("""COMPUTED_VALUE"""),"GREENRELAIS")</f>
        <v>GREENRELAIS</v>
      </c>
      <c r="F3676" s="10">
        <f>IFERROR(__xludf.DUMMYFUNCTION("""COMPUTED_VALUE"""),1.59)</f>
        <v>1.59</v>
      </c>
      <c r="G3676" s="9">
        <f>IFERROR(__xludf.DUMMYFUNCTION("""COMPUTED_VALUE"""),1.59)</f>
        <v>1.59</v>
      </c>
      <c r="H3676" s="9">
        <f>IFERROR(__xludf.DUMMYFUNCTION("""COMPUTED_VALUE"""),1.0)</f>
        <v>1</v>
      </c>
      <c r="I3676" s="9"/>
      <c r="J3676" s="9"/>
      <c r="K3676" s="9"/>
      <c r="L3676" s="9"/>
      <c r="M3676" s="9"/>
      <c r="N3676" s="9"/>
      <c r="O3676" s="9"/>
      <c r="P3676" s="9"/>
      <c r="Q3676" s="9"/>
      <c r="R3676" s="9"/>
      <c r="S3676" s="9"/>
      <c r="T3676" s="9"/>
    </row>
    <row r="3677" ht="15.75" customHeight="1">
      <c r="A3677" s="11">
        <f>IFERROR(__xludf.DUMMYFUNCTION("""COMPUTED_VALUE"""),44471.0)</f>
        <v>44471</v>
      </c>
      <c r="B3677" s="9">
        <f>IFERROR(__xludf.DUMMYFUNCTION("""COMPUTED_VALUE"""),1003817.0)</f>
        <v>1003817</v>
      </c>
      <c r="C3677" s="9">
        <f>IFERROR(__xludf.DUMMYFUNCTION("""COMPUTED_VALUE"""),110228.0)</f>
        <v>110228</v>
      </c>
      <c r="D3677" s="9"/>
      <c r="E3677" s="10" t="str">
        <f>IFERROR(__xludf.DUMMYFUNCTION("""COMPUTED_VALUE"""),"GREENRELAIS")</f>
        <v>GREENRELAIS</v>
      </c>
      <c r="F3677" s="10">
        <f>IFERROR(__xludf.DUMMYFUNCTION("""COMPUTED_VALUE"""),23.48)</f>
        <v>23.48</v>
      </c>
      <c r="G3677" s="9">
        <f>IFERROR(__xludf.DUMMYFUNCTION("""COMPUTED_VALUE"""),23.48)</f>
        <v>23.48</v>
      </c>
      <c r="H3677" s="9">
        <f>IFERROR(__xludf.DUMMYFUNCTION("""COMPUTED_VALUE"""),1.0)</f>
        <v>1</v>
      </c>
      <c r="I3677" s="9"/>
      <c r="J3677" s="9"/>
      <c r="K3677" s="9"/>
      <c r="L3677" s="9"/>
      <c r="M3677" s="9"/>
      <c r="N3677" s="9"/>
      <c r="O3677" s="9"/>
      <c r="P3677" s="9"/>
      <c r="Q3677" s="9"/>
      <c r="R3677" s="9"/>
      <c r="S3677" s="9"/>
      <c r="T3677" s="9"/>
    </row>
    <row r="3678" ht="15.75" customHeight="1">
      <c r="A3678" s="11">
        <f>IFERROR(__xludf.DUMMYFUNCTION("""COMPUTED_VALUE"""),44471.0)</f>
        <v>44471</v>
      </c>
      <c r="B3678" s="9">
        <f>IFERROR(__xludf.DUMMYFUNCTION("""COMPUTED_VALUE"""),1003817.0)</f>
        <v>1003817</v>
      </c>
      <c r="C3678" s="9">
        <f>IFERROR(__xludf.DUMMYFUNCTION("""COMPUTED_VALUE"""),110342.0)</f>
        <v>110342</v>
      </c>
      <c r="D3678" s="10" t="str">
        <f>IFERROR(__xludf.DUMMYFUNCTION("""COMPUTED_VALUE"""),"Love &amp; Green Couches et Culottes sept 2021")</f>
        <v>Love &amp; Green Couches et Culottes sept 2021</v>
      </c>
      <c r="E3678" s="10" t="str">
        <f>IFERROR(__xludf.DUMMYFUNCTION("""COMPUTED_VALUE"""),"GREENRELAIS")</f>
        <v>GREENRELAIS</v>
      </c>
      <c r="F3678" s="10">
        <f>IFERROR(__xludf.DUMMYFUNCTION("""COMPUTED_VALUE"""),10.4571428571428)</f>
        <v>10.45714286</v>
      </c>
      <c r="G3678" s="9">
        <f>IFERROR(__xludf.DUMMYFUNCTION("""COMPUTED_VALUE"""),7.32)</f>
        <v>7.32</v>
      </c>
      <c r="H3678" s="9">
        <f>IFERROR(__xludf.DUMMYFUNCTION("""COMPUTED_VALUE"""),1.0)</f>
        <v>1</v>
      </c>
      <c r="I3678" s="9"/>
      <c r="J3678" s="9"/>
      <c r="K3678" s="9"/>
      <c r="L3678" s="9"/>
      <c r="M3678" s="9"/>
      <c r="N3678" s="9"/>
      <c r="O3678" s="9"/>
      <c r="P3678" s="9"/>
      <c r="Q3678" s="9"/>
      <c r="R3678" s="9"/>
      <c r="S3678" s="9"/>
      <c r="T3678" s="9"/>
    </row>
    <row r="3679" ht="15.75" customHeight="1">
      <c r="A3679" s="11">
        <f>IFERROR(__xludf.DUMMYFUNCTION("""COMPUTED_VALUE"""),44471.0)</f>
        <v>44471</v>
      </c>
      <c r="B3679" s="9">
        <f>IFERROR(__xludf.DUMMYFUNCTION("""COMPUTED_VALUE"""),1003817.0)</f>
        <v>1003817</v>
      </c>
      <c r="C3679" s="9">
        <f>IFERROR(__xludf.DUMMYFUNCTION("""COMPUTED_VALUE"""),114934.0)</f>
        <v>114934</v>
      </c>
      <c r="D3679" s="9"/>
      <c r="E3679" s="10" t="str">
        <f>IFERROR(__xludf.DUMMYFUNCTION("""COMPUTED_VALUE"""),"GREENRELAIS")</f>
        <v>GREENRELAIS</v>
      </c>
      <c r="F3679" s="10">
        <f>IFERROR(__xludf.DUMMYFUNCTION("""COMPUTED_VALUE"""),3.09)</f>
        <v>3.09</v>
      </c>
      <c r="G3679" s="9">
        <f>IFERROR(__xludf.DUMMYFUNCTION("""COMPUTED_VALUE"""),3.09)</f>
        <v>3.09</v>
      </c>
      <c r="H3679" s="9">
        <f>IFERROR(__xludf.DUMMYFUNCTION("""COMPUTED_VALUE"""),1.0)</f>
        <v>1</v>
      </c>
      <c r="I3679" s="9"/>
      <c r="J3679" s="9"/>
      <c r="K3679" s="9"/>
      <c r="L3679" s="9"/>
      <c r="M3679" s="9"/>
      <c r="N3679" s="9"/>
      <c r="O3679" s="9"/>
      <c r="P3679" s="9"/>
      <c r="Q3679" s="9"/>
      <c r="R3679" s="9"/>
      <c r="S3679" s="9"/>
      <c r="T3679" s="9"/>
    </row>
    <row r="3680" ht="15.75" customHeight="1">
      <c r="A3680" s="11">
        <f>IFERROR(__xludf.DUMMYFUNCTION("""COMPUTED_VALUE"""),44471.0)</f>
        <v>44471</v>
      </c>
      <c r="B3680" s="9">
        <f>IFERROR(__xludf.DUMMYFUNCTION("""COMPUTED_VALUE"""),1003817.0)</f>
        <v>1003817</v>
      </c>
      <c r="C3680" s="9">
        <f>IFERROR(__xludf.DUMMYFUNCTION("""COMPUTED_VALUE"""),73635.0)</f>
        <v>73635</v>
      </c>
      <c r="D3680" s="10" t="str">
        <f>IFERROR(__xludf.DUMMYFUNCTION("""COMPUTED_VALUE"""),"Vive le bio")</f>
        <v>Vive le bio</v>
      </c>
      <c r="E3680" s="10" t="str">
        <f>IFERROR(__xludf.DUMMYFUNCTION("""COMPUTED_VALUE"""),"GREENRELAIS")</f>
        <v>GREENRELAIS</v>
      </c>
      <c r="F3680" s="10">
        <f>IFERROR(__xludf.DUMMYFUNCTION("""COMPUTED_VALUE"""),1.8)</f>
        <v>1.8</v>
      </c>
      <c r="G3680" s="9">
        <f>IFERROR(__xludf.DUMMYFUNCTION("""COMPUTED_VALUE"""),1.71)</f>
        <v>1.71</v>
      </c>
      <c r="H3680" s="9">
        <f>IFERROR(__xludf.DUMMYFUNCTION("""COMPUTED_VALUE"""),1.0)</f>
        <v>1</v>
      </c>
      <c r="I3680" s="9"/>
      <c r="J3680" s="9"/>
      <c r="K3680" s="9"/>
      <c r="L3680" s="9"/>
      <c r="M3680" s="9"/>
      <c r="N3680" s="9"/>
      <c r="O3680" s="9"/>
      <c r="P3680" s="9"/>
      <c r="Q3680" s="9"/>
      <c r="R3680" s="9"/>
      <c r="S3680" s="9"/>
      <c r="T3680" s="9"/>
    </row>
    <row r="3681" ht="15.75" customHeight="1">
      <c r="A3681" s="11">
        <f>IFERROR(__xludf.DUMMYFUNCTION("""COMPUTED_VALUE"""),44471.0)</f>
        <v>44471</v>
      </c>
      <c r="B3681" s="9">
        <f>IFERROR(__xludf.DUMMYFUNCTION("""COMPUTED_VALUE"""),1003817.0)</f>
        <v>1003817</v>
      </c>
      <c r="C3681" s="9">
        <f>IFERROR(__xludf.DUMMYFUNCTION("""COMPUTED_VALUE"""),139302.0)</f>
        <v>139302</v>
      </c>
      <c r="D3681" s="9"/>
      <c r="E3681" s="10" t="str">
        <f>IFERROR(__xludf.DUMMYFUNCTION("""COMPUTED_VALUE"""),"GREENRELAIS")</f>
        <v>GREENRELAIS</v>
      </c>
      <c r="F3681" s="10">
        <f>IFERROR(__xludf.DUMMYFUNCTION("""COMPUTED_VALUE"""),2.98)</f>
        <v>2.98</v>
      </c>
      <c r="G3681" s="9">
        <f>IFERROR(__xludf.DUMMYFUNCTION("""COMPUTED_VALUE"""),2.98)</f>
        <v>2.98</v>
      </c>
      <c r="H3681" s="9">
        <f>IFERROR(__xludf.DUMMYFUNCTION("""COMPUTED_VALUE"""),1.0)</f>
        <v>1</v>
      </c>
      <c r="I3681" s="9"/>
      <c r="J3681" s="9"/>
      <c r="K3681" s="9"/>
      <c r="L3681" s="9"/>
      <c r="M3681" s="9"/>
      <c r="N3681" s="9"/>
      <c r="O3681" s="9"/>
      <c r="P3681" s="9"/>
      <c r="Q3681" s="9"/>
      <c r="R3681" s="9"/>
      <c r="S3681" s="9"/>
      <c r="T3681" s="9"/>
    </row>
    <row r="3682" ht="15.75" customHeight="1">
      <c r="A3682" s="11">
        <f>IFERROR(__xludf.DUMMYFUNCTION("""COMPUTED_VALUE"""),44471.0)</f>
        <v>44471</v>
      </c>
      <c r="B3682" s="9">
        <f>IFERROR(__xludf.DUMMYFUNCTION("""COMPUTED_VALUE"""),1003817.0)</f>
        <v>1003817</v>
      </c>
      <c r="C3682" s="9">
        <f>IFERROR(__xludf.DUMMYFUNCTION("""COMPUTED_VALUE"""),120261.0)</f>
        <v>120261</v>
      </c>
      <c r="D3682" s="9"/>
      <c r="E3682" s="10" t="str">
        <f>IFERROR(__xludf.DUMMYFUNCTION("""COMPUTED_VALUE"""),"GREENRELAIS")</f>
        <v>GREENRELAIS</v>
      </c>
      <c r="F3682" s="10">
        <f>IFERROR(__xludf.DUMMYFUNCTION("""COMPUTED_VALUE"""),5.08)</f>
        <v>5.08</v>
      </c>
      <c r="G3682" s="9">
        <f>IFERROR(__xludf.DUMMYFUNCTION("""COMPUTED_VALUE"""),5.08)</f>
        <v>5.08</v>
      </c>
      <c r="H3682" s="9">
        <f>IFERROR(__xludf.DUMMYFUNCTION("""COMPUTED_VALUE"""),2.0)</f>
        <v>2</v>
      </c>
      <c r="I3682" s="9"/>
      <c r="J3682" s="9"/>
      <c r="K3682" s="9"/>
      <c r="L3682" s="9"/>
      <c r="M3682" s="9"/>
      <c r="N3682" s="9"/>
      <c r="O3682" s="9"/>
      <c r="P3682" s="9"/>
      <c r="Q3682" s="9"/>
      <c r="R3682" s="9"/>
      <c r="S3682" s="9"/>
      <c r="T3682" s="9"/>
    </row>
    <row r="3683" ht="15.75" customHeight="1">
      <c r="A3683" s="11">
        <f>IFERROR(__xludf.DUMMYFUNCTION("""COMPUTED_VALUE"""),44471.0)</f>
        <v>44471</v>
      </c>
      <c r="B3683" s="9">
        <f>IFERROR(__xludf.DUMMYFUNCTION("""COMPUTED_VALUE"""),1003817.0)</f>
        <v>1003817</v>
      </c>
      <c r="C3683" s="9">
        <f>IFERROR(__xludf.DUMMYFUNCTION("""COMPUTED_VALUE"""),110337.0)</f>
        <v>110337</v>
      </c>
      <c r="D3683" s="10" t="str">
        <f>IFERROR(__xludf.DUMMYFUNCTION("""COMPUTED_VALUE"""),"Love &amp; Green Couches et Culottes sept 2021")</f>
        <v>Love &amp; Green Couches et Culottes sept 2021</v>
      </c>
      <c r="E3683" s="10" t="str">
        <f>IFERROR(__xludf.DUMMYFUNCTION("""COMPUTED_VALUE"""),"GREENRELAIS")</f>
        <v>GREENRELAIS</v>
      </c>
      <c r="F3683" s="10">
        <f>IFERROR(__xludf.DUMMYFUNCTION("""COMPUTED_VALUE"""),20.9142857142857)</f>
        <v>20.91428571</v>
      </c>
      <c r="G3683" s="9">
        <f>IFERROR(__xludf.DUMMYFUNCTION("""COMPUTED_VALUE"""),14.64)</f>
        <v>14.64</v>
      </c>
      <c r="H3683" s="9">
        <f>IFERROR(__xludf.DUMMYFUNCTION("""COMPUTED_VALUE"""),2.0)</f>
        <v>2</v>
      </c>
      <c r="I3683" s="9"/>
      <c r="J3683" s="9"/>
      <c r="K3683" s="9"/>
      <c r="L3683" s="9"/>
      <c r="M3683" s="9"/>
      <c r="N3683" s="9"/>
      <c r="O3683" s="9"/>
      <c r="P3683" s="9"/>
      <c r="Q3683" s="9"/>
      <c r="R3683" s="9"/>
      <c r="S3683" s="9"/>
      <c r="T3683" s="9"/>
    </row>
    <row r="3684" ht="15.75" customHeight="1">
      <c r="A3684" s="11">
        <f>IFERROR(__xludf.DUMMYFUNCTION("""COMPUTED_VALUE"""),44471.0)</f>
        <v>44471</v>
      </c>
      <c r="B3684" s="9">
        <f>IFERROR(__xludf.DUMMYFUNCTION("""COMPUTED_VALUE"""),1003817.0)</f>
        <v>1003817</v>
      </c>
      <c r="C3684" s="9">
        <f>IFERROR(__xludf.DUMMYFUNCTION("""COMPUTED_VALUE"""),101323.0)</f>
        <v>101323</v>
      </c>
      <c r="D3684" s="10" t="str">
        <f>IFERROR(__xludf.DUMMYFUNCTION("""COMPUTED_VALUE"""),"Carryboo soin bebe 2021")</f>
        <v>Carryboo soin bebe 2021</v>
      </c>
      <c r="E3684" s="10" t="str">
        <f>IFERROR(__xludf.DUMMYFUNCTION("""COMPUTED_VALUE"""),"GREENRELAIS")</f>
        <v>GREENRELAIS</v>
      </c>
      <c r="F3684" s="10">
        <f>IFERROR(__xludf.DUMMYFUNCTION("""COMPUTED_VALUE"""),3.02666666666666)</f>
        <v>3.026666667</v>
      </c>
      <c r="G3684" s="9">
        <f>IFERROR(__xludf.DUMMYFUNCTION("""COMPUTED_VALUE"""),2.27)</f>
        <v>2.27</v>
      </c>
      <c r="H3684" s="9">
        <f>IFERROR(__xludf.DUMMYFUNCTION("""COMPUTED_VALUE"""),3.0)</f>
        <v>3</v>
      </c>
      <c r="I3684" s="9"/>
      <c r="J3684" s="9"/>
      <c r="K3684" s="9"/>
      <c r="L3684" s="9"/>
      <c r="M3684" s="9"/>
      <c r="N3684" s="9"/>
      <c r="O3684" s="9"/>
      <c r="P3684" s="9"/>
      <c r="Q3684" s="9"/>
      <c r="R3684" s="9"/>
      <c r="S3684" s="9"/>
      <c r="T3684" s="9"/>
    </row>
    <row r="3685" ht="15.75" customHeight="1">
      <c r="A3685" s="11">
        <f>IFERROR(__xludf.DUMMYFUNCTION("""COMPUTED_VALUE"""),44471.0)</f>
        <v>44471</v>
      </c>
      <c r="B3685" s="9">
        <f>IFERROR(__xludf.DUMMYFUNCTION("""COMPUTED_VALUE"""),1003817.0)</f>
        <v>1003817</v>
      </c>
      <c r="C3685" s="9">
        <f>IFERROR(__xludf.DUMMYFUNCTION("""COMPUTED_VALUE"""),103603.0)</f>
        <v>103603</v>
      </c>
      <c r="D3685" s="9"/>
      <c r="E3685" s="10" t="str">
        <f>IFERROR(__xludf.DUMMYFUNCTION("""COMPUTED_VALUE"""),"GREENRELAIS")</f>
        <v>GREENRELAIS</v>
      </c>
      <c r="F3685" s="10">
        <f>IFERROR(__xludf.DUMMYFUNCTION("""COMPUTED_VALUE"""),7.67)</f>
        <v>7.67</v>
      </c>
      <c r="G3685" s="9">
        <f>IFERROR(__xludf.DUMMYFUNCTION("""COMPUTED_VALUE"""),7.67)</f>
        <v>7.67</v>
      </c>
      <c r="H3685" s="9">
        <f>IFERROR(__xludf.DUMMYFUNCTION("""COMPUTED_VALUE"""),3.0)</f>
        <v>3</v>
      </c>
      <c r="I3685" s="9"/>
      <c r="J3685" s="9"/>
      <c r="K3685" s="9"/>
      <c r="L3685" s="9"/>
      <c r="M3685" s="9"/>
      <c r="N3685" s="9"/>
      <c r="O3685" s="9"/>
      <c r="P3685" s="9"/>
      <c r="Q3685" s="9"/>
      <c r="R3685" s="9"/>
      <c r="S3685" s="9"/>
      <c r="T3685" s="9"/>
    </row>
    <row r="3686" ht="15.75" customHeight="1">
      <c r="A3686" s="11">
        <f>IFERROR(__xludf.DUMMYFUNCTION("""COMPUTED_VALUE"""),44471.0)</f>
        <v>44471</v>
      </c>
      <c r="B3686" s="9">
        <f>IFERROR(__xludf.DUMMYFUNCTION("""COMPUTED_VALUE"""),1003817.0)</f>
        <v>1003817</v>
      </c>
      <c r="C3686" s="9">
        <f>IFERROR(__xludf.DUMMYFUNCTION("""COMPUTED_VALUE"""),127016.0)</f>
        <v>127016</v>
      </c>
      <c r="D3686" s="10" t="str">
        <f>IFERROR(__xludf.DUMMYFUNCTION("""COMPUTED_VALUE"""),"Carryboo coton 2021")</f>
        <v>Carryboo coton 2021</v>
      </c>
      <c r="E3686" s="10" t="str">
        <f>IFERROR(__xludf.DUMMYFUNCTION("""COMPUTED_VALUE"""),"GREENRELAIS")</f>
        <v>GREENRELAIS</v>
      </c>
      <c r="F3686" s="10">
        <f>IFERROR(__xludf.DUMMYFUNCTION("""COMPUTED_VALUE"""),17.1466666666666)</f>
        <v>17.14666667</v>
      </c>
      <c r="G3686" s="9">
        <f>IFERROR(__xludf.DUMMYFUNCTION("""COMPUTED_VALUE"""),12.86)</f>
        <v>12.86</v>
      </c>
      <c r="H3686" s="9">
        <f>IFERROR(__xludf.DUMMYFUNCTION("""COMPUTED_VALUE"""),4.0)</f>
        <v>4</v>
      </c>
      <c r="I3686" s="9"/>
      <c r="J3686" s="9"/>
      <c r="K3686" s="9"/>
      <c r="L3686" s="9"/>
      <c r="M3686" s="9"/>
      <c r="N3686" s="9"/>
      <c r="O3686" s="9"/>
      <c r="P3686" s="9"/>
      <c r="Q3686" s="9"/>
      <c r="R3686" s="9"/>
      <c r="S3686" s="9"/>
      <c r="T3686" s="9"/>
    </row>
    <row r="3687" ht="15.75" customHeight="1">
      <c r="A3687" s="11">
        <f>IFERROR(__xludf.DUMMYFUNCTION("""COMPUTED_VALUE"""),44471.0)</f>
        <v>44471</v>
      </c>
      <c r="B3687" s="9">
        <f>IFERROR(__xludf.DUMMYFUNCTION("""COMPUTED_VALUE"""),1003817.0)</f>
        <v>1003817</v>
      </c>
      <c r="C3687" s="9">
        <f>IFERROR(__xludf.DUMMYFUNCTION("""COMPUTED_VALUE"""),103592.0)</f>
        <v>103592</v>
      </c>
      <c r="D3687" s="10" t="str">
        <f>IFERROR(__xludf.DUMMYFUNCTION("""COMPUTED_VALUE"""),"Love &amp; Green Couches et Culottes sept 2021")</f>
        <v>Love &amp; Green Couches et Culottes sept 2021</v>
      </c>
      <c r="E3687" s="10" t="str">
        <f>IFERROR(__xludf.DUMMYFUNCTION("""COMPUTED_VALUE"""),"GREENRELAIS")</f>
        <v>GREENRELAIS</v>
      </c>
      <c r="F3687" s="10">
        <f>IFERROR(__xludf.DUMMYFUNCTION("""COMPUTED_VALUE"""),62.0285714285714)</f>
        <v>62.02857143</v>
      </c>
      <c r="G3687" s="9">
        <f>IFERROR(__xludf.DUMMYFUNCTION("""COMPUTED_VALUE"""),43.42)</f>
        <v>43.42</v>
      </c>
      <c r="H3687" s="9">
        <f>IFERROR(__xludf.DUMMYFUNCTION("""COMPUTED_VALUE"""),4.0)</f>
        <v>4</v>
      </c>
      <c r="I3687" s="9"/>
      <c r="J3687" s="9"/>
      <c r="K3687" s="9"/>
      <c r="L3687" s="9"/>
      <c r="M3687" s="9"/>
      <c r="N3687" s="9"/>
      <c r="O3687" s="9"/>
      <c r="P3687" s="9"/>
      <c r="Q3687" s="9"/>
      <c r="R3687" s="9"/>
      <c r="S3687" s="9"/>
      <c r="T3687" s="9"/>
    </row>
    <row r="3688" ht="15.75" customHeight="1">
      <c r="A3688" s="11">
        <f>IFERROR(__xludf.DUMMYFUNCTION("""COMPUTED_VALUE"""),44471.0)</f>
        <v>44471</v>
      </c>
      <c r="B3688" s="9">
        <f>IFERROR(__xludf.DUMMYFUNCTION("""COMPUTED_VALUE"""),1003818.0)</f>
        <v>1003818</v>
      </c>
      <c r="C3688" s="9">
        <f>IFERROR(__xludf.DUMMYFUNCTION("""COMPUTED_VALUE"""),95063.0)</f>
        <v>95063</v>
      </c>
      <c r="D3688" s="10" t="str">
        <f>IFERROR(__xludf.DUMMYFUNCTION("""COMPUTED_VALUE"""),"Offre Speciale")</f>
        <v>Offre Speciale</v>
      </c>
      <c r="E3688" s="10"/>
      <c r="F3688" s="9">
        <f>IFERROR(__xludf.DUMMYFUNCTION("""COMPUTED_VALUE"""),3.37647058823529)</f>
        <v>3.376470588</v>
      </c>
      <c r="G3688" s="9">
        <f>IFERROR(__xludf.DUMMYFUNCTION("""COMPUTED_VALUE"""),2.87)</f>
        <v>2.87</v>
      </c>
      <c r="H3688" s="9">
        <f>IFERROR(__xludf.DUMMYFUNCTION("""COMPUTED_VALUE"""),1.0)</f>
        <v>1</v>
      </c>
      <c r="I3688" s="9"/>
      <c r="J3688" s="9"/>
      <c r="K3688" s="9"/>
      <c r="L3688" s="9"/>
      <c r="M3688" s="9"/>
      <c r="N3688" s="9"/>
      <c r="O3688" s="9"/>
      <c r="P3688" s="9"/>
      <c r="Q3688" s="9"/>
      <c r="R3688" s="9"/>
      <c r="S3688" s="9"/>
      <c r="T3688" s="9"/>
    </row>
    <row r="3689" ht="15.75" customHeight="1">
      <c r="A3689" s="11">
        <f>IFERROR(__xludf.DUMMYFUNCTION("""COMPUTED_VALUE"""),44471.0)</f>
        <v>44471</v>
      </c>
      <c r="B3689" s="9">
        <f>IFERROR(__xludf.DUMMYFUNCTION("""COMPUTED_VALUE"""),1003818.0)</f>
        <v>1003818</v>
      </c>
      <c r="C3689" s="9">
        <f>IFERROR(__xludf.DUMMYFUNCTION("""COMPUTED_VALUE"""),5507.0)</f>
        <v>5507</v>
      </c>
      <c r="D3689" s="9"/>
      <c r="E3689" s="9"/>
      <c r="F3689" s="9">
        <f>IFERROR(__xludf.DUMMYFUNCTION("""COMPUTED_VALUE"""),4.51)</f>
        <v>4.51</v>
      </c>
      <c r="G3689" s="9">
        <f>IFERROR(__xludf.DUMMYFUNCTION("""COMPUTED_VALUE"""),4.51)</f>
        <v>4.51</v>
      </c>
      <c r="H3689" s="9">
        <f>IFERROR(__xludf.DUMMYFUNCTION("""COMPUTED_VALUE"""),1.0)</f>
        <v>1</v>
      </c>
      <c r="I3689" s="9"/>
      <c r="J3689" s="9"/>
      <c r="K3689" s="9"/>
      <c r="L3689" s="9"/>
      <c r="M3689" s="9"/>
      <c r="N3689" s="9"/>
      <c r="O3689" s="9"/>
      <c r="P3689" s="9"/>
      <c r="Q3689" s="9"/>
      <c r="R3689" s="9"/>
      <c r="S3689" s="9"/>
      <c r="T3689" s="9"/>
    </row>
    <row r="3690" ht="15.75" customHeight="1">
      <c r="A3690" s="11">
        <f>IFERROR(__xludf.DUMMYFUNCTION("""COMPUTED_VALUE"""),44471.0)</f>
        <v>44471</v>
      </c>
      <c r="B3690" s="9">
        <f>IFERROR(__xludf.DUMMYFUNCTION("""COMPUTED_VALUE"""),1003818.0)</f>
        <v>1003818</v>
      </c>
      <c r="C3690" s="9">
        <f>IFERROR(__xludf.DUMMYFUNCTION("""COMPUTED_VALUE"""),90680.0)</f>
        <v>90680</v>
      </c>
      <c r="D3690" s="9"/>
      <c r="E3690" s="9"/>
      <c r="F3690" s="9">
        <f>IFERROR(__xludf.DUMMYFUNCTION("""COMPUTED_VALUE"""),2.51)</f>
        <v>2.51</v>
      </c>
      <c r="G3690" s="9">
        <f>IFERROR(__xludf.DUMMYFUNCTION("""COMPUTED_VALUE"""),2.51)</f>
        <v>2.51</v>
      </c>
      <c r="H3690" s="9">
        <f>IFERROR(__xludf.DUMMYFUNCTION("""COMPUTED_VALUE"""),1.0)</f>
        <v>1</v>
      </c>
      <c r="I3690" s="9"/>
      <c r="J3690" s="9"/>
      <c r="K3690" s="9"/>
      <c r="L3690" s="9"/>
      <c r="M3690" s="9"/>
      <c r="N3690" s="9"/>
      <c r="O3690" s="9"/>
      <c r="P3690" s="9"/>
      <c r="Q3690" s="9"/>
      <c r="R3690" s="9"/>
      <c r="S3690" s="9"/>
      <c r="T3690" s="9"/>
    </row>
    <row r="3691" ht="15.75" customHeight="1">
      <c r="A3691" s="11">
        <f>IFERROR(__xludf.DUMMYFUNCTION("""COMPUTED_VALUE"""),44471.0)</f>
        <v>44471</v>
      </c>
      <c r="B3691" s="9">
        <f>IFERROR(__xludf.DUMMYFUNCTION("""COMPUTED_VALUE"""),1003818.0)</f>
        <v>1003818</v>
      </c>
      <c r="C3691" s="9">
        <f>IFERROR(__xludf.DUMMYFUNCTION("""COMPUTED_VALUE"""),78863.0)</f>
        <v>78863</v>
      </c>
      <c r="D3691" s="9"/>
      <c r="E3691" s="9"/>
      <c r="F3691" s="9">
        <f>IFERROR(__xludf.DUMMYFUNCTION("""COMPUTED_VALUE"""),5.29)</f>
        <v>5.29</v>
      </c>
      <c r="G3691" s="9">
        <f>IFERROR(__xludf.DUMMYFUNCTION("""COMPUTED_VALUE"""),5.29)</f>
        <v>5.29</v>
      </c>
      <c r="H3691" s="9">
        <f>IFERROR(__xludf.DUMMYFUNCTION("""COMPUTED_VALUE"""),1.0)</f>
        <v>1</v>
      </c>
      <c r="I3691" s="9"/>
      <c r="J3691" s="9"/>
      <c r="K3691" s="9"/>
      <c r="L3691" s="9"/>
      <c r="M3691" s="9"/>
      <c r="N3691" s="9"/>
      <c r="O3691" s="9"/>
      <c r="P3691" s="9"/>
      <c r="Q3691" s="9"/>
      <c r="R3691" s="9"/>
      <c r="S3691" s="9"/>
      <c r="T3691" s="9"/>
    </row>
    <row r="3692" ht="15.75" customHeight="1">
      <c r="A3692" s="11">
        <f>IFERROR(__xludf.DUMMYFUNCTION("""COMPUTED_VALUE"""),44471.0)</f>
        <v>44471</v>
      </c>
      <c r="B3692" s="9">
        <f>IFERROR(__xludf.DUMMYFUNCTION("""COMPUTED_VALUE"""),1003818.0)</f>
        <v>1003818</v>
      </c>
      <c r="C3692" s="9">
        <f>IFERROR(__xludf.DUMMYFUNCTION("""COMPUTED_VALUE"""),89802.0)</f>
        <v>89802</v>
      </c>
      <c r="D3692" s="10" t="str">
        <f>IFERROR(__xludf.DUMMYFUNCTION("""COMPUTED_VALUE"""),"Vive le bio")</f>
        <v>Vive le bio</v>
      </c>
      <c r="E3692" s="10"/>
      <c r="F3692" s="9">
        <f>IFERROR(__xludf.DUMMYFUNCTION("""COMPUTED_VALUE"""),5.37777777777777)</f>
        <v>5.377777778</v>
      </c>
      <c r="G3692" s="9">
        <f>IFERROR(__xludf.DUMMYFUNCTION("""COMPUTED_VALUE"""),4.84)</f>
        <v>4.84</v>
      </c>
      <c r="H3692" s="9">
        <f>IFERROR(__xludf.DUMMYFUNCTION("""COMPUTED_VALUE"""),1.0)</f>
        <v>1</v>
      </c>
      <c r="I3692" s="9"/>
      <c r="J3692" s="9"/>
      <c r="K3692" s="9"/>
      <c r="L3692" s="9"/>
      <c r="M3692" s="9"/>
      <c r="N3692" s="9"/>
      <c r="O3692" s="9"/>
      <c r="P3692" s="9"/>
      <c r="Q3692" s="9"/>
      <c r="R3692" s="9"/>
      <c r="S3692" s="9"/>
      <c r="T3692" s="9"/>
    </row>
    <row r="3693" ht="15.75" customHeight="1">
      <c r="A3693" s="11">
        <f>IFERROR(__xludf.DUMMYFUNCTION("""COMPUTED_VALUE"""),44471.0)</f>
        <v>44471</v>
      </c>
      <c r="B3693" s="9">
        <f>IFERROR(__xludf.DUMMYFUNCTION("""COMPUTED_VALUE"""),1003818.0)</f>
        <v>1003818</v>
      </c>
      <c r="C3693" s="9">
        <f>IFERROR(__xludf.DUMMYFUNCTION("""COMPUTED_VALUE"""),122344.0)</f>
        <v>122344</v>
      </c>
      <c r="D3693" s="10" t="str">
        <f>IFERROR(__xludf.DUMMYFUNCTION("""COMPUTED_VALUE"""),"Offre speciale")</f>
        <v>Offre speciale</v>
      </c>
      <c r="E3693" s="10"/>
      <c r="F3693" s="9">
        <f>IFERROR(__xludf.DUMMYFUNCTION("""COMPUTED_VALUE"""),4.64444444444444)</f>
        <v>4.644444444</v>
      </c>
      <c r="G3693" s="9">
        <f>IFERROR(__xludf.DUMMYFUNCTION("""COMPUTED_VALUE"""),4.18)</f>
        <v>4.18</v>
      </c>
      <c r="H3693" s="9">
        <f>IFERROR(__xludf.DUMMYFUNCTION("""COMPUTED_VALUE"""),1.0)</f>
        <v>1</v>
      </c>
      <c r="I3693" s="9"/>
      <c r="J3693" s="9"/>
      <c r="K3693" s="9"/>
      <c r="L3693" s="9"/>
      <c r="M3693" s="9"/>
      <c r="N3693" s="9"/>
      <c r="O3693" s="9"/>
      <c r="P3693" s="9"/>
      <c r="Q3693" s="9"/>
      <c r="R3693" s="9"/>
      <c r="S3693" s="9"/>
      <c r="T3693" s="9"/>
    </row>
    <row r="3694" ht="15.75" customHeight="1">
      <c r="A3694" s="11">
        <f>IFERROR(__xludf.DUMMYFUNCTION("""COMPUTED_VALUE"""),44471.0)</f>
        <v>44471</v>
      </c>
      <c r="B3694" s="9">
        <f>IFERROR(__xludf.DUMMYFUNCTION("""COMPUTED_VALUE"""),1003818.0)</f>
        <v>1003818</v>
      </c>
      <c r="C3694" s="9">
        <f>IFERROR(__xludf.DUMMYFUNCTION("""COMPUTED_VALUE"""),12296.0)</f>
        <v>12296</v>
      </c>
      <c r="D3694" s="9"/>
      <c r="E3694" s="9"/>
      <c r="F3694" s="9">
        <f>IFERROR(__xludf.DUMMYFUNCTION("""COMPUTED_VALUE"""),3.29)</f>
        <v>3.29</v>
      </c>
      <c r="G3694" s="9">
        <f>IFERROR(__xludf.DUMMYFUNCTION("""COMPUTED_VALUE"""),3.29)</f>
        <v>3.29</v>
      </c>
      <c r="H3694" s="9">
        <f>IFERROR(__xludf.DUMMYFUNCTION("""COMPUTED_VALUE"""),1.0)</f>
        <v>1</v>
      </c>
      <c r="I3694" s="9"/>
      <c r="J3694" s="9"/>
      <c r="K3694" s="9"/>
      <c r="L3694" s="9"/>
      <c r="M3694" s="9"/>
      <c r="N3694" s="9"/>
      <c r="O3694" s="9"/>
      <c r="P3694" s="9"/>
      <c r="Q3694" s="9"/>
      <c r="R3694" s="9"/>
      <c r="S3694" s="9"/>
      <c r="T3694" s="9"/>
    </row>
    <row r="3695" ht="15.75" customHeight="1">
      <c r="A3695" s="11">
        <f>IFERROR(__xludf.DUMMYFUNCTION("""COMPUTED_VALUE"""),44471.0)</f>
        <v>44471</v>
      </c>
      <c r="B3695" s="9">
        <f>IFERROR(__xludf.DUMMYFUNCTION("""COMPUTED_VALUE"""),1003818.0)</f>
        <v>1003818</v>
      </c>
      <c r="C3695" s="9">
        <f>IFERROR(__xludf.DUMMYFUNCTION("""COMPUTED_VALUE"""),108473.0)</f>
        <v>108473</v>
      </c>
      <c r="D3695" s="9"/>
      <c r="E3695" s="9"/>
      <c r="F3695" s="9">
        <f>IFERROR(__xludf.DUMMYFUNCTION("""COMPUTED_VALUE"""),3.47)</f>
        <v>3.47</v>
      </c>
      <c r="G3695" s="9">
        <f>IFERROR(__xludf.DUMMYFUNCTION("""COMPUTED_VALUE"""),3.47)</f>
        <v>3.47</v>
      </c>
      <c r="H3695" s="9">
        <f>IFERROR(__xludf.DUMMYFUNCTION("""COMPUTED_VALUE"""),1.0)</f>
        <v>1</v>
      </c>
      <c r="I3695" s="9"/>
      <c r="J3695" s="9"/>
      <c r="K3695" s="9"/>
      <c r="L3695" s="9"/>
      <c r="M3695" s="9"/>
      <c r="N3695" s="9"/>
      <c r="O3695" s="9"/>
      <c r="P3695" s="9"/>
      <c r="Q3695" s="9"/>
      <c r="R3695" s="9"/>
      <c r="S3695" s="9"/>
      <c r="T3695" s="9"/>
    </row>
    <row r="3696" ht="15.75" customHeight="1">
      <c r="A3696" s="11">
        <f>IFERROR(__xludf.DUMMYFUNCTION("""COMPUTED_VALUE"""),44471.0)</f>
        <v>44471</v>
      </c>
      <c r="B3696" s="9">
        <f>IFERROR(__xludf.DUMMYFUNCTION("""COMPUTED_VALUE"""),1003818.0)</f>
        <v>1003818</v>
      </c>
      <c r="C3696" s="9">
        <f>IFERROR(__xludf.DUMMYFUNCTION("""COMPUTED_VALUE"""),122343.0)</f>
        <v>122343</v>
      </c>
      <c r="D3696" s="10" t="str">
        <f>IFERROR(__xludf.DUMMYFUNCTION("""COMPUTED_VALUE"""),"Offre speciale")</f>
        <v>Offre speciale</v>
      </c>
      <c r="E3696" s="10"/>
      <c r="F3696" s="9">
        <f>IFERROR(__xludf.DUMMYFUNCTION("""COMPUTED_VALUE"""),5.12222222222222)</f>
        <v>5.122222222</v>
      </c>
      <c r="G3696" s="9">
        <f>IFERROR(__xludf.DUMMYFUNCTION("""COMPUTED_VALUE"""),4.61)</f>
        <v>4.61</v>
      </c>
      <c r="H3696" s="9">
        <f>IFERROR(__xludf.DUMMYFUNCTION("""COMPUTED_VALUE"""),1.0)</f>
        <v>1</v>
      </c>
      <c r="I3696" s="9"/>
      <c r="J3696" s="9"/>
      <c r="K3696" s="9"/>
      <c r="L3696" s="9"/>
      <c r="M3696" s="9"/>
      <c r="N3696" s="9"/>
      <c r="O3696" s="9"/>
      <c r="P3696" s="9"/>
      <c r="Q3696" s="9"/>
      <c r="R3696" s="9"/>
      <c r="S3696" s="9"/>
      <c r="T3696" s="9"/>
    </row>
    <row r="3697" ht="15.75" customHeight="1">
      <c r="A3697" s="11">
        <f>IFERROR(__xludf.DUMMYFUNCTION("""COMPUTED_VALUE"""),44471.0)</f>
        <v>44471</v>
      </c>
      <c r="B3697" s="9">
        <f>IFERROR(__xludf.DUMMYFUNCTION("""COMPUTED_VALUE"""),1003818.0)</f>
        <v>1003818</v>
      </c>
      <c r="C3697" s="9">
        <f>IFERROR(__xludf.DUMMYFUNCTION("""COMPUTED_VALUE"""),122118.0)</f>
        <v>122118</v>
      </c>
      <c r="D3697" s="9"/>
      <c r="E3697" s="9"/>
      <c r="F3697" s="9">
        <f>IFERROR(__xludf.DUMMYFUNCTION("""COMPUTED_VALUE"""),4.51)</f>
        <v>4.51</v>
      </c>
      <c r="G3697" s="9">
        <f>IFERROR(__xludf.DUMMYFUNCTION("""COMPUTED_VALUE"""),4.51)</f>
        <v>4.51</v>
      </c>
      <c r="H3697" s="9">
        <f>IFERROR(__xludf.DUMMYFUNCTION("""COMPUTED_VALUE"""),2.0)</f>
        <v>2</v>
      </c>
      <c r="I3697" s="9"/>
      <c r="J3697" s="9"/>
      <c r="K3697" s="9"/>
      <c r="L3697" s="9"/>
      <c r="M3697" s="9"/>
      <c r="N3697" s="9"/>
      <c r="O3697" s="9"/>
      <c r="P3697" s="9"/>
      <c r="Q3697" s="9"/>
      <c r="R3697" s="9"/>
      <c r="S3697" s="9"/>
      <c r="T3697" s="9"/>
    </row>
    <row r="3698" ht="15.75" customHeight="1">
      <c r="A3698" s="11">
        <f>IFERROR(__xludf.DUMMYFUNCTION("""COMPUTED_VALUE"""),44471.0)</f>
        <v>44471</v>
      </c>
      <c r="B3698" s="9">
        <f>IFERROR(__xludf.DUMMYFUNCTION("""COMPUTED_VALUE"""),1003818.0)</f>
        <v>1003818</v>
      </c>
      <c r="C3698" s="9">
        <f>IFERROR(__xludf.DUMMYFUNCTION("""COMPUTED_VALUE"""),118541.0)</f>
        <v>118541</v>
      </c>
      <c r="D3698" s="9"/>
      <c r="E3698" s="9"/>
      <c r="F3698" s="9">
        <f>IFERROR(__xludf.DUMMYFUNCTION("""COMPUTED_VALUE"""),4.55)</f>
        <v>4.55</v>
      </c>
      <c r="G3698" s="9">
        <f>IFERROR(__xludf.DUMMYFUNCTION("""COMPUTED_VALUE"""),4.55)</f>
        <v>4.55</v>
      </c>
      <c r="H3698" s="9">
        <f>IFERROR(__xludf.DUMMYFUNCTION("""COMPUTED_VALUE"""),2.0)</f>
        <v>2</v>
      </c>
      <c r="I3698" s="9"/>
      <c r="J3698" s="9"/>
      <c r="K3698" s="9"/>
      <c r="L3698" s="9"/>
      <c r="M3698" s="9"/>
      <c r="N3698" s="9"/>
      <c r="O3698" s="9"/>
      <c r="P3698" s="9"/>
      <c r="Q3698" s="9"/>
      <c r="R3698" s="9"/>
      <c r="S3698" s="9"/>
      <c r="T3698" s="9"/>
    </row>
    <row r="3699" ht="15.75" customHeight="1">
      <c r="A3699" s="11">
        <f>IFERROR(__xludf.DUMMYFUNCTION("""COMPUTED_VALUE"""),44471.0)</f>
        <v>44471</v>
      </c>
      <c r="B3699" s="9">
        <f>IFERROR(__xludf.DUMMYFUNCTION("""COMPUTED_VALUE"""),1003818.0)</f>
        <v>1003818</v>
      </c>
      <c r="C3699" s="9">
        <f>IFERROR(__xludf.DUMMYFUNCTION("""COMPUTED_VALUE"""),117646.0)</f>
        <v>117646</v>
      </c>
      <c r="D3699" s="9"/>
      <c r="E3699" s="9"/>
      <c r="F3699" s="9">
        <f>IFERROR(__xludf.DUMMYFUNCTION("""COMPUTED_VALUE"""),4.43)</f>
        <v>4.43</v>
      </c>
      <c r="G3699" s="9">
        <f>IFERROR(__xludf.DUMMYFUNCTION("""COMPUTED_VALUE"""),4.43)</f>
        <v>4.43</v>
      </c>
      <c r="H3699" s="9">
        <f>IFERROR(__xludf.DUMMYFUNCTION("""COMPUTED_VALUE"""),2.0)</f>
        <v>2</v>
      </c>
      <c r="I3699" s="9"/>
      <c r="J3699" s="9"/>
      <c r="K3699" s="9"/>
      <c r="L3699" s="9"/>
      <c r="M3699" s="9"/>
      <c r="N3699" s="9"/>
      <c r="O3699" s="9"/>
      <c r="P3699" s="9"/>
      <c r="Q3699" s="9"/>
      <c r="R3699" s="9"/>
      <c r="S3699" s="9"/>
      <c r="T3699" s="9"/>
    </row>
    <row r="3700" ht="15.75" customHeight="1">
      <c r="A3700" s="11">
        <f>IFERROR(__xludf.DUMMYFUNCTION("""COMPUTED_VALUE"""),44471.0)</f>
        <v>44471</v>
      </c>
      <c r="B3700" s="9">
        <f>IFERROR(__xludf.DUMMYFUNCTION("""COMPUTED_VALUE"""),1003818.0)</f>
        <v>1003818</v>
      </c>
      <c r="C3700" s="9">
        <f>IFERROR(__xludf.DUMMYFUNCTION("""COMPUTED_VALUE"""),103835.0)</f>
        <v>103835</v>
      </c>
      <c r="D3700" s="9"/>
      <c r="E3700" s="9"/>
      <c r="F3700" s="9">
        <f>IFERROR(__xludf.DUMMYFUNCTION("""COMPUTED_VALUE"""),4.62)</f>
        <v>4.62</v>
      </c>
      <c r="G3700" s="9">
        <f>IFERROR(__xludf.DUMMYFUNCTION("""COMPUTED_VALUE"""),4.62)</f>
        <v>4.62</v>
      </c>
      <c r="H3700" s="9">
        <f>IFERROR(__xludf.DUMMYFUNCTION("""COMPUTED_VALUE"""),3.0)</f>
        <v>3</v>
      </c>
      <c r="I3700" s="9"/>
      <c r="J3700" s="9"/>
      <c r="K3700" s="9"/>
      <c r="L3700" s="9"/>
      <c r="M3700" s="9"/>
      <c r="N3700" s="9"/>
      <c r="O3700" s="9"/>
      <c r="P3700" s="9"/>
      <c r="Q3700" s="9"/>
      <c r="R3700" s="9"/>
      <c r="S3700" s="9"/>
      <c r="T3700" s="9"/>
    </row>
    <row r="3701" ht="15.75" customHeight="1">
      <c r="A3701" s="11">
        <f>IFERROR(__xludf.DUMMYFUNCTION("""COMPUTED_VALUE"""),44471.0)</f>
        <v>44471</v>
      </c>
      <c r="B3701" s="9">
        <f>IFERROR(__xludf.DUMMYFUNCTION("""COMPUTED_VALUE"""),1003818.0)</f>
        <v>1003818</v>
      </c>
      <c r="C3701" s="9">
        <f>IFERROR(__xludf.DUMMYFUNCTION("""COMPUTED_VALUE"""),48280.0)</f>
        <v>48280</v>
      </c>
      <c r="D3701" s="9"/>
      <c r="E3701" s="9"/>
      <c r="F3701" s="9">
        <f>IFERROR(__xludf.DUMMYFUNCTION("""COMPUTED_VALUE"""),5.84)</f>
        <v>5.84</v>
      </c>
      <c r="G3701" s="9">
        <f>IFERROR(__xludf.DUMMYFUNCTION("""COMPUTED_VALUE"""),5.84)</f>
        <v>5.84</v>
      </c>
      <c r="H3701" s="9">
        <f>IFERROR(__xludf.DUMMYFUNCTION("""COMPUTED_VALUE"""),4.0)</f>
        <v>4</v>
      </c>
      <c r="I3701" s="9"/>
      <c r="J3701" s="9"/>
      <c r="K3701" s="9"/>
      <c r="L3701" s="9"/>
      <c r="M3701" s="9"/>
      <c r="N3701" s="9"/>
      <c r="O3701" s="9"/>
      <c r="P3701" s="9"/>
      <c r="Q3701" s="9"/>
      <c r="R3701" s="9"/>
      <c r="S3701" s="9"/>
      <c r="T3701" s="9"/>
    </row>
    <row r="3702" ht="15.75" customHeight="1">
      <c r="A3702" s="11">
        <f>IFERROR(__xludf.DUMMYFUNCTION("""COMPUTED_VALUE"""),44471.0)</f>
        <v>44471</v>
      </c>
      <c r="B3702" s="9">
        <f>IFERROR(__xludf.DUMMYFUNCTION("""COMPUTED_VALUE"""),1003818.0)</f>
        <v>1003818</v>
      </c>
      <c r="C3702" s="9">
        <f>IFERROR(__xludf.DUMMYFUNCTION("""COMPUTED_VALUE"""),19792.0)</f>
        <v>19792</v>
      </c>
      <c r="D3702" s="9"/>
      <c r="E3702" s="9"/>
      <c r="F3702" s="9">
        <f>IFERROR(__xludf.DUMMYFUNCTION("""COMPUTED_VALUE"""),5.15)</f>
        <v>5.15</v>
      </c>
      <c r="G3702" s="9">
        <f>IFERROR(__xludf.DUMMYFUNCTION("""COMPUTED_VALUE"""),5.15)</f>
        <v>5.15</v>
      </c>
      <c r="H3702" s="9">
        <f>IFERROR(__xludf.DUMMYFUNCTION("""COMPUTED_VALUE"""),5.0)</f>
        <v>5</v>
      </c>
      <c r="I3702" s="9"/>
      <c r="J3702" s="9"/>
      <c r="K3702" s="9"/>
      <c r="L3702" s="9"/>
      <c r="M3702" s="9"/>
      <c r="N3702" s="9"/>
      <c r="O3702" s="9"/>
      <c r="P3702" s="9"/>
      <c r="Q3702" s="9"/>
      <c r="R3702" s="9"/>
      <c r="S3702" s="9"/>
      <c r="T3702" s="9"/>
    </row>
    <row r="3703" ht="15.75" customHeight="1">
      <c r="A3703" s="11">
        <f>IFERROR(__xludf.DUMMYFUNCTION("""COMPUTED_VALUE"""),44471.0)</f>
        <v>44471</v>
      </c>
      <c r="B3703" s="9">
        <f>IFERROR(__xludf.DUMMYFUNCTION("""COMPUTED_VALUE"""),1003818.0)</f>
        <v>1003818</v>
      </c>
      <c r="C3703" s="9">
        <f>IFERROR(__xludf.DUMMYFUNCTION("""COMPUTED_VALUE"""),19344.0)</f>
        <v>19344</v>
      </c>
      <c r="D3703" s="9"/>
      <c r="E3703" s="9"/>
      <c r="F3703" s="9">
        <f>IFERROR(__xludf.DUMMYFUNCTION("""COMPUTED_VALUE"""),12.94)</f>
        <v>12.94</v>
      </c>
      <c r="G3703" s="9">
        <f>IFERROR(__xludf.DUMMYFUNCTION("""COMPUTED_VALUE"""),12.94)</f>
        <v>12.94</v>
      </c>
      <c r="H3703" s="9">
        <f>IFERROR(__xludf.DUMMYFUNCTION("""COMPUTED_VALUE"""),6.0)</f>
        <v>6</v>
      </c>
      <c r="I3703" s="9"/>
      <c r="J3703" s="9"/>
      <c r="K3703" s="9"/>
      <c r="L3703" s="9"/>
      <c r="M3703" s="9"/>
      <c r="N3703" s="9"/>
      <c r="O3703" s="9"/>
      <c r="P3703" s="9"/>
      <c r="Q3703" s="9"/>
      <c r="R3703" s="9"/>
      <c r="S3703" s="9"/>
      <c r="T3703" s="9"/>
    </row>
    <row r="3704" ht="15.75" customHeight="1">
      <c r="A3704" s="11">
        <f>IFERROR(__xludf.DUMMYFUNCTION("""COMPUTED_VALUE"""),44471.0)</f>
        <v>44471</v>
      </c>
      <c r="B3704" s="9">
        <f>IFERROR(__xludf.DUMMYFUNCTION("""COMPUTED_VALUE"""),1003819.0)</f>
        <v>1003819</v>
      </c>
      <c r="C3704" s="9">
        <f>IFERROR(__xludf.DUMMYFUNCTION("""COMPUTED_VALUE"""),5735.0)</f>
        <v>5735</v>
      </c>
      <c r="D3704" s="9"/>
      <c r="E3704" s="9"/>
      <c r="F3704" s="9">
        <f>IFERROR(__xludf.DUMMYFUNCTION("""COMPUTED_VALUE"""),6.76)</f>
        <v>6.76</v>
      </c>
      <c r="G3704" s="9">
        <f>IFERROR(__xludf.DUMMYFUNCTION("""COMPUTED_VALUE"""),6.76)</f>
        <v>6.76</v>
      </c>
      <c r="H3704" s="9">
        <f>IFERROR(__xludf.DUMMYFUNCTION("""COMPUTED_VALUE"""),1.0)</f>
        <v>1</v>
      </c>
      <c r="I3704" s="9"/>
      <c r="J3704" s="9"/>
      <c r="K3704" s="9"/>
      <c r="L3704" s="9"/>
      <c r="M3704" s="9"/>
      <c r="N3704" s="9"/>
      <c r="O3704" s="9"/>
      <c r="P3704" s="9"/>
      <c r="Q3704" s="9"/>
      <c r="R3704" s="9"/>
      <c r="S3704" s="9"/>
      <c r="T3704" s="9"/>
    </row>
    <row r="3705" ht="15.75" customHeight="1">
      <c r="A3705" s="11">
        <f>IFERROR(__xludf.DUMMYFUNCTION("""COMPUTED_VALUE"""),44471.0)</f>
        <v>44471</v>
      </c>
      <c r="B3705" s="9">
        <f>IFERROR(__xludf.DUMMYFUNCTION("""COMPUTED_VALUE"""),1003819.0)</f>
        <v>1003819</v>
      </c>
      <c r="C3705" s="9">
        <f>IFERROR(__xludf.DUMMYFUNCTION("""COMPUTED_VALUE"""),90643.0)</f>
        <v>90643</v>
      </c>
      <c r="D3705" s="9"/>
      <c r="E3705" s="9"/>
      <c r="F3705" s="9">
        <f>IFERROR(__xludf.DUMMYFUNCTION("""COMPUTED_VALUE"""),4.83)</f>
        <v>4.83</v>
      </c>
      <c r="G3705" s="9">
        <f>IFERROR(__xludf.DUMMYFUNCTION("""COMPUTED_VALUE"""),4.83)</f>
        <v>4.83</v>
      </c>
      <c r="H3705" s="9">
        <f>IFERROR(__xludf.DUMMYFUNCTION("""COMPUTED_VALUE"""),1.0)</f>
        <v>1</v>
      </c>
      <c r="I3705" s="9"/>
      <c r="J3705" s="9"/>
      <c r="K3705" s="9"/>
      <c r="L3705" s="9"/>
      <c r="M3705" s="9"/>
      <c r="N3705" s="9"/>
      <c r="O3705" s="9"/>
      <c r="P3705" s="9"/>
      <c r="Q3705" s="9"/>
      <c r="R3705" s="9"/>
      <c r="S3705" s="9"/>
      <c r="T3705" s="9"/>
    </row>
    <row r="3706" ht="15.75" customHeight="1">
      <c r="A3706" s="11">
        <f>IFERROR(__xludf.DUMMYFUNCTION("""COMPUTED_VALUE"""),44471.0)</f>
        <v>44471</v>
      </c>
      <c r="B3706" s="9">
        <f>IFERROR(__xludf.DUMMYFUNCTION("""COMPUTED_VALUE"""),1003819.0)</f>
        <v>1003819</v>
      </c>
      <c r="C3706" s="9">
        <f>IFERROR(__xludf.DUMMYFUNCTION("""COMPUTED_VALUE"""),10577.0)</f>
        <v>10577</v>
      </c>
      <c r="D3706" s="9"/>
      <c r="E3706" s="9"/>
      <c r="F3706" s="9">
        <f>IFERROR(__xludf.DUMMYFUNCTION("""COMPUTED_VALUE"""),8.57)</f>
        <v>8.57</v>
      </c>
      <c r="G3706" s="9">
        <f>IFERROR(__xludf.DUMMYFUNCTION("""COMPUTED_VALUE"""),8.57)</f>
        <v>8.57</v>
      </c>
      <c r="H3706" s="9">
        <f>IFERROR(__xludf.DUMMYFUNCTION("""COMPUTED_VALUE"""),1.0)</f>
        <v>1</v>
      </c>
      <c r="I3706" s="9"/>
      <c r="J3706" s="9"/>
      <c r="K3706" s="9"/>
      <c r="L3706" s="9"/>
      <c r="M3706" s="9"/>
      <c r="N3706" s="9"/>
      <c r="O3706" s="9"/>
      <c r="P3706" s="9"/>
      <c r="Q3706" s="9"/>
      <c r="R3706" s="9"/>
      <c r="S3706" s="9"/>
      <c r="T3706" s="9"/>
    </row>
    <row r="3707" ht="15.75" customHeight="1">
      <c r="A3707" s="11">
        <f>IFERROR(__xludf.DUMMYFUNCTION("""COMPUTED_VALUE"""),44471.0)</f>
        <v>44471</v>
      </c>
      <c r="B3707" s="9">
        <f>IFERROR(__xludf.DUMMYFUNCTION("""COMPUTED_VALUE"""),1003819.0)</f>
        <v>1003819</v>
      </c>
      <c r="C3707" s="9">
        <f>IFERROR(__xludf.DUMMYFUNCTION("""COMPUTED_VALUE"""),112194.0)</f>
        <v>112194</v>
      </c>
      <c r="D3707" s="9"/>
      <c r="E3707" s="9"/>
      <c r="F3707" s="9">
        <f>IFERROR(__xludf.DUMMYFUNCTION("""COMPUTED_VALUE"""),2.12)</f>
        <v>2.12</v>
      </c>
      <c r="G3707" s="9">
        <f>IFERROR(__xludf.DUMMYFUNCTION("""COMPUTED_VALUE"""),2.12)</f>
        <v>2.12</v>
      </c>
      <c r="H3707" s="9">
        <f>IFERROR(__xludf.DUMMYFUNCTION("""COMPUTED_VALUE"""),1.0)</f>
        <v>1</v>
      </c>
      <c r="I3707" s="9"/>
      <c r="J3707" s="9"/>
      <c r="K3707" s="9"/>
      <c r="L3707" s="9"/>
      <c r="M3707" s="9"/>
      <c r="N3707" s="9"/>
      <c r="O3707" s="9"/>
      <c r="P3707" s="9"/>
      <c r="Q3707" s="9"/>
      <c r="R3707" s="9"/>
      <c r="S3707" s="9"/>
      <c r="T3707" s="9"/>
    </row>
    <row r="3708" ht="15.75" customHeight="1">
      <c r="A3708" s="11">
        <f>IFERROR(__xludf.DUMMYFUNCTION("""COMPUTED_VALUE"""),44471.0)</f>
        <v>44471</v>
      </c>
      <c r="B3708" s="9">
        <f>IFERROR(__xludf.DUMMYFUNCTION("""COMPUTED_VALUE"""),1003819.0)</f>
        <v>1003819</v>
      </c>
      <c r="C3708" s="9">
        <f>IFERROR(__xludf.DUMMYFUNCTION("""COMPUTED_VALUE"""),116774.0)</f>
        <v>116774</v>
      </c>
      <c r="D3708" s="9"/>
      <c r="E3708" s="9"/>
      <c r="F3708" s="9">
        <f>IFERROR(__xludf.DUMMYFUNCTION("""COMPUTED_VALUE"""),2.41)</f>
        <v>2.41</v>
      </c>
      <c r="G3708" s="9">
        <f>IFERROR(__xludf.DUMMYFUNCTION("""COMPUTED_VALUE"""),2.41)</f>
        <v>2.41</v>
      </c>
      <c r="H3708" s="9">
        <f>IFERROR(__xludf.DUMMYFUNCTION("""COMPUTED_VALUE"""),2.0)</f>
        <v>2</v>
      </c>
      <c r="I3708" s="9"/>
      <c r="J3708" s="9"/>
      <c r="K3708" s="9"/>
      <c r="L3708" s="9"/>
      <c r="M3708" s="9"/>
      <c r="N3708" s="9"/>
      <c r="O3708" s="9"/>
      <c r="P3708" s="9"/>
      <c r="Q3708" s="9"/>
      <c r="R3708" s="9"/>
      <c r="S3708" s="9"/>
      <c r="T3708" s="9"/>
    </row>
    <row r="3709" ht="15.75" customHeight="1">
      <c r="A3709" s="11">
        <f>IFERROR(__xludf.DUMMYFUNCTION("""COMPUTED_VALUE"""),44471.0)</f>
        <v>44471</v>
      </c>
      <c r="B3709" s="9">
        <f>IFERROR(__xludf.DUMMYFUNCTION("""COMPUTED_VALUE"""),1003819.0)</f>
        <v>1003819</v>
      </c>
      <c r="C3709" s="9">
        <f>IFERROR(__xludf.DUMMYFUNCTION("""COMPUTED_VALUE"""),5531.0)</f>
        <v>5531</v>
      </c>
      <c r="D3709" s="9"/>
      <c r="E3709" s="9"/>
      <c r="F3709" s="9">
        <f>IFERROR(__xludf.DUMMYFUNCTION("""COMPUTED_VALUE"""),5.32)</f>
        <v>5.32</v>
      </c>
      <c r="G3709" s="9">
        <f>IFERROR(__xludf.DUMMYFUNCTION("""COMPUTED_VALUE"""),5.32)</f>
        <v>5.32</v>
      </c>
      <c r="H3709" s="9">
        <f>IFERROR(__xludf.DUMMYFUNCTION("""COMPUTED_VALUE"""),2.0)</f>
        <v>2</v>
      </c>
      <c r="I3709" s="9"/>
      <c r="J3709" s="9"/>
      <c r="K3709" s="9"/>
      <c r="L3709" s="9"/>
      <c r="M3709" s="9"/>
      <c r="N3709" s="9"/>
      <c r="O3709" s="9"/>
      <c r="P3709" s="9"/>
      <c r="Q3709" s="9"/>
      <c r="R3709" s="9"/>
      <c r="S3709" s="9"/>
      <c r="T3709" s="9"/>
    </row>
    <row r="3710" ht="15.75" customHeight="1">
      <c r="A3710" s="11">
        <f>IFERROR(__xludf.DUMMYFUNCTION("""COMPUTED_VALUE"""),44471.0)</f>
        <v>44471</v>
      </c>
      <c r="B3710" s="9">
        <f>IFERROR(__xludf.DUMMYFUNCTION("""COMPUTED_VALUE"""),1003819.0)</f>
        <v>1003819</v>
      </c>
      <c r="C3710" s="9">
        <f>IFERROR(__xludf.DUMMYFUNCTION("""COMPUTED_VALUE"""),5553.0)</f>
        <v>5553</v>
      </c>
      <c r="D3710" s="9"/>
      <c r="E3710" s="9"/>
      <c r="F3710" s="9">
        <f>IFERROR(__xludf.DUMMYFUNCTION("""COMPUTED_VALUE"""),6.57)</f>
        <v>6.57</v>
      </c>
      <c r="G3710" s="9">
        <f>IFERROR(__xludf.DUMMYFUNCTION("""COMPUTED_VALUE"""),6.57)</f>
        <v>6.57</v>
      </c>
      <c r="H3710" s="9">
        <f>IFERROR(__xludf.DUMMYFUNCTION("""COMPUTED_VALUE"""),2.0)</f>
        <v>2</v>
      </c>
      <c r="I3710" s="9"/>
      <c r="J3710" s="9"/>
      <c r="K3710" s="9"/>
      <c r="L3710" s="9"/>
      <c r="M3710" s="9"/>
      <c r="N3710" s="9"/>
      <c r="O3710" s="9"/>
      <c r="P3710" s="9"/>
      <c r="Q3710" s="9"/>
      <c r="R3710" s="9"/>
      <c r="S3710" s="9"/>
      <c r="T3710" s="9"/>
    </row>
    <row r="3711" ht="15.75" customHeight="1">
      <c r="A3711" s="11">
        <f>IFERROR(__xludf.DUMMYFUNCTION("""COMPUTED_VALUE"""),44471.0)</f>
        <v>44471</v>
      </c>
      <c r="B3711" s="9">
        <f>IFERROR(__xludf.DUMMYFUNCTION("""COMPUTED_VALUE"""),1003819.0)</f>
        <v>1003819</v>
      </c>
      <c r="C3711" s="9">
        <f>IFERROR(__xludf.DUMMYFUNCTION("""COMPUTED_VALUE"""),112230.0)</f>
        <v>112230</v>
      </c>
      <c r="D3711" s="9"/>
      <c r="E3711" s="9"/>
      <c r="F3711" s="9">
        <f>IFERROR(__xludf.DUMMYFUNCTION("""COMPUTED_VALUE"""),6.38)</f>
        <v>6.38</v>
      </c>
      <c r="G3711" s="9">
        <f>IFERROR(__xludf.DUMMYFUNCTION("""COMPUTED_VALUE"""),6.38)</f>
        <v>6.38</v>
      </c>
      <c r="H3711" s="9">
        <f>IFERROR(__xludf.DUMMYFUNCTION("""COMPUTED_VALUE"""),2.0)</f>
        <v>2</v>
      </c>
      <c r="I3711" s="9"/>
      <c r="J3711" s="9"/>
      <c r="K3711" s="9"/>
      <c r="L3711" s="9"/>
      <c r="M3711" s="9"/>
      <c r="N3711" s="9"/>
      <c r="O3711" s="9"/>
      <c r="P3711" s="9"/>
      <c r="Q3711" s="9"/>
      <c r="R3711" s="9"/>
      <c r="S3711" s="9"/>
      <c r="T3711" s="9"/>
    </row>
    <row r="3712" ht="15.75" customHeight="1">
      <c r="A3712" s="11">
        <f>IFERROR(__xludf.DUMMYFUNCTION("""COMPUTED_VALUE"""),44471.0)</f>
        <v>44471</v>
      </c>
      <c r="B3712" s="9">
        <f>IFERROR(__xludf.DUMMYFUNCTION("""COMPUTED_VALUE"""),1003819.0)</f>
        <v>1003819</v>
      </c>
      <c r="C3712" s="9">
        <f>IFERROR(__xludf.DUMMYFUNCTION("""COMPUTED_VALUE"""),122075.0)</f>
        <v>122075</v>
      </c>
      <c r="D3712" s="9"/>
      <c r="E3712" s="9"/>
      <c r="F3712" s="9">
        <f>IFERROR(__xludf.DUMMYFUNCTION("""COMPUTED_VALUE"""),3.48)</f>
        <v>3.48</v>
      </c>
      <c r="G3712" s="9">
        <f>IFERROR(__xludf.DUMMYFUNCTION("""COMPUTED_VALUE"""),3.48)</f>
        <v>3.48</v>
      </c>
      <c r="H3712" s="9">
        <f>IFERROR(__xludf.DUMMYFUNCTION("""COMPUTED_VALUE"""),2.0)</f>
        <v>2</v>
      </c>
      <c r="I3712" s="9"/>
      <c r="J3712" s="9"/>
      <c r="K3712" s="9"/>
      <c r="L3712" s="9"/>
      <c r="M3712" s="9"/>
      <c r="N3712" s="9"/>
      <c r="O3712" s="9"/>
      <c r="P3712" s="9"/>
      <c r="Q3712" s="9"/>
      <c r="R3712" s="9"/>
      <c r="S3712" s="9"/>
      <c r="T3712" s="9"/>
    </row>
    <row r="3713" ht="15.75" customHeight="1">
      <c r="A3713" s="11">
        <f>IFERROR(__xludf.DUMMYFUNCTION("""COMPUTED_VALUE"""),44471.0)</f>
        <v>44471</v>
      </c>
      <c r="B3713" s="9">
        <f>IFERROR(__xludf.DUMMYFUNCTION("""COMPUTED_VALUE"""),1003819.0)</f>
        <v>1003819</v>
      </c>
      <c r="C3713" s="9">
        <f>IFERROR(__xludf.DUMMYFUNCTION("""COMPUTED_VALUE"""),77253.0)</f>
        <v>77253</v>
      </c>
      <c r="D3713" s="9"/>
      <c r="E3713" s="9"/>
      <c r="F3713" s="9">
        <f>IFERROR(__xludf.DUMMYFUNCTION("""COMPUTED_VALUE"""),3.24)</f>
        <v>3.24</v>
      </c>
      <c r="G3713" s="9">
        <f>IFERROR(__xludf.DUMMYFUNCTION("""COMPUTED_VALUE"""),3.24)</f>
        <v>3.24</v>
      </c>
      <c r="H3713" s="9">
        <f>IFERROR(__xludf.DUMMYFUNCTION("""COMPUTED_VALUE"""),2.0)</f>
        <v>2</v>
      </c>
      <c r="I3713" s="9"/>
      <c r="J3713" s="9"/>
      <c r="K3713" s="9"/>
      <c r="L3713" s="9"/>
      <c r="M3713" s="9"/>
      <c r="N3713" s="9"/>
      <c r="O3713" s="9"/>
      <c r="P3713" s="9"/>
      <c r="Q3713" s="9"/>
      <c r="R3713" s="9"/>
      <c r="S3713" s="9"/>
      <c r="T3713" s="9"/>
    </row>
    <row r="3714" ht="15.75" customHeight="1">
      <c r="A3714" s="11">
        <f>IFERROR(__xludf.DUMMYFUNCTION("""COMPUTED_VALUE"""),44471.0)</f>
        <v>44471</v>
      </c>
      <c r="B3714" s="9">
        <f>IFERROR(__xludf.DUMMYFUNCTION("""COMPUTED_VALUE"""),1003819.0)</f>
        <v>1003819</v>
      </c>
      <c r="C3714" s="9">
        <f>IFERROR(__xludf.DUMMYFUNCTION("""COMPUTED_VALUE"""),117218.0)</f>
        <v>117218</v>
      </c>
      <c r="D3714" s="9"/>
      <c r="E3714" s="9"/>
      <c r="F3714" s="9">
        <f>IFERROR(__xludf.DUMMYFUNCTION("""COMPUTED_VALUE"""),6.48)</f>
        <v>6.48</v>
      </c>
      <c r="G3714" s="9">
        <f>IFERROR(__xludf.DUMMYFUNCTION("""COMPUTED_VALUE"""),6.48)</f>
        <v>6.48</v>
      </c>
      <c r="H3714" s="9">
        <f>IFERROR(__xludf.DUMMYFUNCTION("""COMPUTED_VALUE"""),2.0)</f>
        <v>2</v>
      </c>
      <c r="I3714" s="9"/>
      <c r="J3714" s="9"/>
      <c r="K3714" s="9"/>
      <c r="L3714" s="9"/>
      <c r="M3714" s="9"/>
      <c r="N3714" s="9"/>
      <c r="O3714" s="9"/>
      <c r="P3714" s="9"/>
      <c r="Q3714" s="9"/>
      <c r="R3714" s="9"/>
      <c r="S3714" s="9"/>
      <c r="T3714" s="9"/>
    </row>
    <row r="3715" ht="15.75" customHeight="1">
      <c r="A3715" s="11">
        <f>IFERROR(__xludf.DUMMYFUNCTION("""COMPUTED_VALUE"""),44471.0)</f>
        <v>44471</v>
      </c>
      <c r="B3715" s="9">
        <f>IFERROR(__xludf.DUMMYFUNCTION("""COMPUTED_VALUE"""),1003819.0)</f>
        <v>1003819</v>
      </c>
      <c r="C3715" s="9">
        <f>IFERROR(__xludf.DUMMYFUNCTION("""COMPUTED_VALUE"""),76282.0)</f>
        <v>76282</v>
      </c>
      <c r="D3715" s="10" t="str">
        <f>IFERROR(__xludf.DUMMYFUNCTION("""COMPUTED_VALUE"""),"Vive le bio")</f>
        <v>Vive le bio</v>
      </c>
      <c r="E3715" s="10"/>
      <c r="F3715" s="9">
        <f>IFERROR(__xludf.DUMMYFUNCTION("""COMPUTED_VALUE"""),3.78888888888888)</f>
        <v>3.788888889</v>
      </c>
      <c r="G3715" s="9">
        <f>IFERROR(__xludf.DUMMYFUNCTION("""COMPUTED_VALUE"""),3.41)</f>
        <v>3.41</v>
      </c>
      <c r="H3715" s="9">
        <f>IFERROR(__xludf.DUMMYFUNCTION("""COMPUTED_VALUE"""),2.0)</f>
        <v>2</v>
      </c>
      <c r="I3715" s="9"/>
      <c r="J3715" s="9"/>
      <c r="K3715" s="9"/>
      <c r="L3715" s="9"/>
      <c r="M3715" s="9"/>
      <c r="N3715" s="9"/>
      <c r="O3715" s="9"/>
      <c r="P3715" s="9"/>
      <c r="Q3715" s="9"/>
      <c r="R3715" s="9"/>
      <c r="S3715" s="9"/>
      <c r="T3715" s="9"/>
    </row>
    <row r="3716" ht="15.75" customHeight="1">
      <c r="A3716" s="11">
        <f>IFERROR(__xludf.DUMMYFUNCTION("""COMPUTED_VALUE"""),44471.0)</f>
        <v>44471</v>
      </c>
      <c r="B3716" s="9">
        <f>IFERROR(__xludf.DUMMYFUNCTION("""COMPUTED_VALUE"""),1003819.0)</f>
        <v>1003819</v>
      </c>
      <c r="C3716" s="9">
        <f>IFERROR(__xludf.DUMMYFUNCTION("""COMPUTED_VALUE"""),10572.0)</f>
        <v>10572</v>
      </c>
      <c r="D3716" s="9"/>
      <c r="E3716" s="9"/>
      <c r="F3716" s="9">
        <f>IFERROR(__xludf.DUMMYFUNCTION("""COMPUTED_VALUE"""),9.58)</f>
        <v>9.58</v>
      </c>
      <c r="G3716" s="9">
        <f>IFERROR(__xludf.DUMMYFUNCTION("""COMPUTED_VALUE"""),9.58)</f>
        <v>9.58</v>
      </c>
      <c r="H3716" s="9">
        <f>IFERROR(__xludf.DUMMYFUNCTION("""COMPUTED_VALUE"""),3.0)</f>
        <v>3</v>
      </c>
      <c r="I3716" s="9"/>
      <c r="J3716" s="9"/>
      <c r="K3716" s="9"/>
      <c r="L3716" s="9"/>
      <c r="M3716" s="9"/>
      <c r="N3716" s="9"/>
      <c r="O3716" s="9"/>
      <c r="P3716" s="9"/>
      <c r="Q3716" s="9"/>
      <c r="R3716" s="9"/>
      <c r="S3716" s="9"/>
      <c r="T3716" s="9"/>
    </row>
    <row r="3717" ht="15.75" customHeight="1">
      <c r="A3717" s="11">
        <f>IFERROR(__xludf.DUMMYFUNCTION("""COMPUTED_VALUE"""),44471.0)</f>
        <v>44471</v>
      </c>
      <c r="B3717" s="9">
        <f>IFERROR(__xludf.DUMMYFUNCTION("""COMPUTED_VALUE"""),1003819.0)</f>
        <v>1003819</v>
      </c>
      <c r="C3717" s="9">
        <f>IFERROR(__xludf.DUMMYFUNCTION("""COMPUTED_VALUE"""),90854.0)</f>
        <v>90854</v>
      </c>
      <c r="D3717" s="9"/>
      <c r="E3717" s="9"/>
      <c r="F3717" s="9">
        <f>IFERROR(__xludf.DUMMYFUNCTION("""COMPUTED_VALUE"""),11.22)</f>
        <v>11.22</v>
      </c>
      <c r="G3717" s="9">
        <f>IFERROR(__xludf.DUMMYFUNCTION("""COMPUTED_VALUE"""),11.22)</f>
        <v>11.22</v>
      </c>
      <c r="H3717" s="9">
        <f>IFERROR(__xludf.DUMMYFUNCTION("""COMPUTED_VALUE"""),4.0)</f>
        <v>4</v>
      </c>
      <c r="I3717" s="9"/>
      <c r="J3717" s="9"/>
      <c r="K3717" s="9"/>
      <c r="L3717" s="9"/>
      <c r="M3717" s="9"/>
      <c r="N3717" s="9"/>
      <c r="O3717" s="9"/>
      <c r="P3717" s="9"/>
      <c r="Q3717" s="9"/>
      <c r="R3717" s="9"/>
      <c r="S3717" s="9"/>
      <c r="T3717" s="9"/>
    </row>
    <row r="3718" ht="15.75" customHeight="1">
      <c r="A3718" s="11">
        <f>IFERROR(__xludf.DUMMYFUNCTION("""COMPUTED_VALUE"""),44471.0)</f>
        <v>44471</v>
      </c>
      <c r="B3718" s="9">
        <f>IFERROR(__xludf.DUMMYFUNCTION("""COMPUTED_VALUE"""),1003819.0)</f>
        <v>1003819</v>
      </c>
      <c r="C3718" s="9">
        <f>IFERROR(__xludf.DUMMYFUNCTION("""COMPUTED_VALUE"""),77481.0)</f>
        <v>77481</v>
      </c>
      <c r="D3718" s="9"/>
      <c r="E3718" s="9"/>
      <c r="F3718" s="9">
        <f>IFERROR(__xludf.DUMMYFUNCTION("""COMPUTED_VALUE"""),16.22)</f>
        <v>16.22</v>
      </c>
      <c r="G3718" s="9">
        <f>IFERROR(__xludf.DUMMYFUNCTION("""COMPUTED_VALUE"""),16.22)</f>
        <v>16.22</v>
      </c>
      <c r="H3718" s="9">
        <f>IFERROR(__xludf.DUMMYFUNCTION("""COMPUTED_VALUE"""),5.0)</f>
        <v>5</v>
      </c>
      <c r="I3718" s="9"/>
      <c r="J3718" s="9"/>
      <c r="K3718" s="9"/>
      <c r="L3718" s="9"/>
      <c r="M3718" s="9"/>
      <c r="N3718" s="9"/>
      <c r="O3718" s="9"/>
      <c r="P3718" s="9"/>
      <c r="Q3718" s="9"/>
      <c r="R3718" s="9"/>
      <c r="S3718" s="9"/>
      <c r="T3718" s="9"/>
    </row>
    <row r="3719" ht="15.75" customHeight="1">
      <c r="A3719" s="11">
        <f>IFERROR(__xludf.DUMMYFUNCTION("""COMPUTED_VALUE"""),44471.0)</f>
        <v>44471</v>
      </c>
      <c r="B3719" s="9">
        <f>IFERROR(__xludf.DUMMYFUNCTION("""COMPUTED_VALUE"""),1003820.0)</f>
        <v>1003820</v>
      </c>
      <c r="C3719" s="9">
        <f>IFERROR(__xludf.DUMMYFUNCTION("""COMPUTED_VALUE"""),104928.0)</f>
        <v>104928</v>
      </c>
      <c r="D3719" s="9"/>
      <c r="E3719" s="9"/>
      <c r="F3719" s="9">
        <f>IFERROR(__xludf.DUMMYFUNCTION("""COMPUTED_VALUE"""),9.23)</f>
        <v>9.23</v>
      </c>
      <c r="G3719" s="9">
        <f>IFERROR(__xludf.DUMMYFUNCTION("""COMPUTED_VALUE"""),9.23)</f>
        <v>9.23</v>
      </c>
      <c r="H3719" s="9">
        <f>IFERROR(__xludf.DUMMYFUNCTION("""COMPUTED_VALUE"""),1.0)</f>
        <v>1</v>
      </c>
      <c r="I3719" s="9"/>
      <c r="J3719" s="9"/>
      <c r="K3719" s="9"/>
      <c r="L3719" s="9"/>
      <c r="M3719" s="9"/>
      <c r="N3719" s="9"/>
      <c r="O3719" s="9"/>
      <c r="P3719" s="9"/>
      <c r="Q3719" s="9"/>
      <c r="R3719" s="9"/>
      <c r="S3719" s="9"/>
      <c r="T3719" s="9"/>
    </row>
    <row r="3720" ht="15.75" customHeight="1">
      <c r="A3720" s="11">
        <f>IFERROR(__xludf.DUMMYFUNCTION("""COMPUTED_VALUE"""),44471.0)</f>
        <v>44471</v>
      </c>
      <c r="B3720" s="9">
        <f>IFERROR(__xludf.DUMMYFUNCTION("""COMPUTED_VALUE"""),1003821.0)</f>
        <v>1003821</v>
      </c>
      <c r="C3720" s="9">
        <f>IFERROR(__xludf.DUMMYFUNCTION("""COMPUTED_VALUE"""),12877.0)</f>
        <v>12877</v>
      </c>
      <c r="D3720" s="10" t="str">
        <f>IFERROR(__xludf.DUMMYFUNCTION("""COMPUTED_VALUE"""),"Vive le bio")</f>
        <v>Vive le bio</v>
      </c>
      <c r="E3720" s="10"/>
      <c r="F3720" s="9">
        <f>IFERROR(__xludf.DUMMYFUNCTION("""COMPUTED_VALUE"""),31.9)</f>
        <v>31.9</v>
      </c>
      <c r="G3720" s="9">
        <f>IFERROR(__xludf.DUMMYFUNCTION("""COMPUTED_VALUE"""),28.71)</f>
        <v>28.71</v>
      </c>
      <c r="H3720" s="9">
        <f>IFERROR(__xludf.DUMMYFUNCTION("""COMPUTED_VALUE"""),1.0)</f>
        <v>1</v>
      </c>
      <c r="I3720" s="9"/>
      <c r="J3720" s="9"/>
      <c r="K3720" s="9"/>
      <c r="L3720" s="9"/>
      <c r="M3720" s="9"/>
      <c r="N3720" s="9"/>
      <c r="O3720" s="9"/>
      <c r="P3720" s="9"/>
      <c r="Q3720" s="9"/>
      <c r="R3720" s="9"/>
      <c r="S3720" s="9"/>
      <c r="T3720" s="9"/>
    </row>
    <row r="3721" ht="15.75" customHeight="1">
      <c r="A3721" s="11">
        <f>IFERROR(__xludf.DUMMYFUNCTION("""COMPUTED_VALUE"""),44471.0)</f>
        <v>44471</v>
      </c>
      <c r="B3721" s="9">
        <f>IFERROR(__xludf.DUMMYFUNCTION("""COMPUTED_VALUE"""),1003821.0)</f>
        <v>1003821</v>
      </c>
      <c r="C3721" s="9">
        <f>IFERROR(__xludf.DUMMYFUNCTION("""COMPUTED_VALUE"""),101298.0)</f>
        <v>101298</v>
      </c>
      <c r="D3721" s="10" t="str">
        <f>IFERROR(__xludf.DUMMYFUNCTION("""COMPUTED_VALUE"""),"Natur'vox Carryboo couches Sept 21")</f>
        <v>Natur'vox Carryboo couches Sept 21</v>
      </c>
      <c r="E3721" s="10"/>
      <c r="F3721" s="9">
        <f>IFERROR(__xludf.DUMMYFUNCTION("""COMPUTED_VALUE"""),98.2266666666666)</f>
        <v>98.22666667</v>
      </c>
      <c r="G3721" s="9">
        <f>IFERROR(__xludf.DUMMYFUNCTION("""COMPUTED_VALUE"""),73.67)</f>
        <v>73.67</v>
      </c>
      <c r="H3721" s="9">
        <f>IFERROR(__xludf.DUMMYFUNCTION("""COMPUTED_VALUE"""),6.0)</f>
        <v>6</v>
      </c>
      <c r="I3721" s="9"/>
      <c r="J3721" s="9"/>
      <c r="K3721" s="9"/>
      <c r="L3721" s="9"/>
      <c r="M3721" s="9"/>
      <c r="N3721" s="9"/>
      <c r="O3721" s="9"/>
      <c r="P3721" s="9"/>
      <c r="Q3721" s="9"/>
      <c r="R3721" s="9"/>
      <c r="S3721" s="9"/>
      <c r="T3721" s="9"/>
    </row>
    <row r="3722" ht="15.75" customHeight="1">
      <c r="A3722" s="11">
        <f>IFERROR(__xludf.DUMMYFUNCTION("""COMPUTED_VALUE"""),44471.0)</f>
        <v>44471</v>
      </c>
      <c r="B3722" s="9">
        <f>IFERROR(__xludf.DUMMYFUNCTION("""COMPUTED_VALUE"""),1003822.0)</f>
        <v>1003822</v>
      </c>
      <c r="C3722" s="9">
        <f>IFERROR(__xludf.DUMMYFUNCTION("""COMPUTED_VALUE"""),73925.0)</f>
        <v>73925</v>
      </c>
      <c r="D3722" s="10" t="str">
        <f>IFERROR(__xludf.DUMMYFUNCTION("""COMPUTED_VALUE"""),"Vive le bio")</f>
        <v>Vive le bio</v>
      </c>
      <c r="E3722" s="10"/>
      <c r="F3722" s="9">
        <f>IFERROR(__xludf.DUMMYFUNCTION("""COMPUTED_VALUE"""),2.71111111111111)</f>
        <v>2.711111111</v>
      </c>
      <c r="G3722" s="9">
        <f>IFERROR(__xludf.DUMMYFUNCTION("""COMPUTED_VALUE"""),2.44)</f>
        <v>2.44</v>
      </c>
      <c r="H3722" s="9">
        <f>IFERROR(__xludf.DUMMYFUNCTION("""COMPUTED_VALUE"""),1.0)</f>
        <v>1</v>
      </c>
      <c r="I3722" s="9"/>
      <c r="J3722" s="9"/>
      <c r="K3722" s="9"/>
      <c r="L3722" s="9"/>
      <c r="M3722" s="9"/>
      <c r="N3722" s="9"/>
      <c r="O3722" s="9"/>
      <c r="P3722" s="9"/>
      <c r="Q3722" s="9"/>
      <c r="R3722" s="9"/>
      <c r="S3722" s="9"/>
      <c r="T3722" s="9"/>
    </row>
    <row r="3723" ht="15.75" customHeight="1">
      <c r="A3723" s="11">
        <f>IFERROR(__xludf.DUMMYFUNCTION("""COMPUTED_VALUE"""),44471.0)</f>
        <v>44471</v>
      </c>
      <c r="B3723" s="9">
        <f>IFERROR(__xludf.DUMMYFUNCTION("""COMPUTED_VALUE"""),1003822.0)</f>
        <v>1003822</v>
      </c>
      <c r="C3723" s="9">
        <f>IFERROR(__xludf.DUMMYFUNCTION("""COMPUTED_VALUE"""),110084.0)</f>
        <v>110084</v>
      </c>
      <c r="D3723" s="9"/>
      <c r="E3723" s="9"/>
      <c r="F3723" s="9">
        <f>IFERROR(__xludf.DUMMYFUNCTION("""COMPUTED_VALUE"""),1.69)</f>
        <v>1.69</v>
      </c>
      <c r="G3723" s="9">
        <f>IFERROR(__xludf.DUMMYFUNCTION("""COMPUTED_VALUE"""),1.69)</f>
        <v>1.69</v>
      </c>
      <c r="H3723" s="9">
        <f>IFERROR(__xludf.DUMMYFUNCTION("""COMPUTED_VALUE"""),1.0)</f>
        <v>1</v>
      </c>
      <c r="I3723" s="9"/>
      <c r="J3723" s="9"/>
      <c r="K3723" s="9"/>
      <c r="L3723" s="9"/>
      <c r="M3723" s="9"/>
      <c r="N3723" s="9"/>
      <c r="O3723" s="9"/>
      <c r="P3723" s="9"/>
      <c r="Q3723" s="9"/>
      <c r="R3723" s="9"/>
      <c r="S3723" s="9"/>
      <c r="T3723" s="9"/>
    </row>
    <row r="3724" ht="15.75" customHeight="1">
      <c r="A3724" s="11">
        <f>IFERROR(__xludf.DUMMYFUNCTION("""COMPUTED_VALUE"""),44471.0)</f>
        <v>44471</v>
      </c>
      <c r="B3724" s="9">
        <f>IFERROR(__xludf.DUMMYFUNCTION("""COMPUTED_VALUE"""),1003822.0)</f>
        <v>1003822</v>
      </c>
      <c r="C3724" s="9">
        <f>IFERROR(__xludf.DUMMYFUNCTION("""COMPUTED_VALUE"""),85856.0)</f>
        <v>85856</v>
      </c>
      <c r="D3724" s="9"/>
      <c r="E3724" s="9"/>
      <c r="F3724" s="9">
        <f>IFERROR(__xludf.DUMMYFUNCTION("""COMPUTED_VALUE"""),0.88)</f>
        <v>0.88</v>
      </c>
      <c r="G3724" s="9">
        <f>IFERROR(__xludf.DUMMYFUNCTION("""COMPUTED_VALUE"""),0.88)</f>
        <v>0.88</v>
      </c>
      <c r="H3724" s="9">
        <f>IFERROR(__xludf.DUMMYFUNCTION("""COMPUTED_VALUE"""),1.0)</f>
        <v>1</v>
      </c>
      <c r="I3724" s="9"/>
      <c r="J3724" s="9"/>
      <c r="K3724" s="9"/>
      <c r="L3724" s="9"/>
      <c r="M3724" s="9"/>
      <c r="N3724" s="9"/>
      <c r="O3724" s="9"/>
      <c r="P3724" s="9"/>
      <c r="Q3724" s="9"/>
      <c r="R3724" s="9"/>
      <c r="S3724" s="9"/>
      <c r="T3724" s="9"/>
    </row>
    <row r="3725" ht="15.75" customHeight="1">
      <c r="A3725" s="11">
        <f>IFERROR(__xludf.DUMMYFUNCTION("""COMPUTED_VALUE"""),44471.0)</f>
        <v>44471</v>
      </c>
      <c r="B3725" s="9">
        <f>IFERROR(__xludf.DUMMYFUNCTION("""COMPUTED_VALUE"""),1003822.0)</f>
        <v>1003822</v>
      </c>
      <c r="C3725" s="9">
        <f>IFERROR(__xludf.DUMMYFUNCTION("""COMPUTED_VALUE"""),111745.0)</f>
        <v>111745</v>
      </c>
      <c r="D3725" s="9"/>
      <c r="E3725" s="9"/>
      <c r="F3725" s="9">
        <f>IFERROR(__xludf.DUMMYFUNCTION("""COMPUTED_VALUE"""),2.03)</f>
        <v>2.03</v>
      </c>
      <c r="G3725" s="9">
        <f>IFERROR(__xludf.DUMMYFUNCTION("""COMPUTED_VALUE"""),2.03)</f>
        <v>2.03</v>
      </c>
      <c r="H3725" s="9">
        <f>IFERROR(__xludf.DUMMYFUNCTION("""COMPUTED_VALUE"""),1.0)</f>
        <v>1</v>
      </c>
      <c r="I3725" s="9"/>
      <c r="J3725" s="9"/>
      <c r="K3725" s="9"/>
      <c r="L3725" s="9"/>
      <c r="M3725" s="9"/>
      <c r="N3725" s="9"/>
      <c r="O3725" s="9"/>
      <c r="P3725" s="9"/>
      <c r="Q3725" s="9"/>
      <c r="R3725" s="9"/>
      <c r="S3725" s="9"/>
      <c r="T3725" s="9"/>
    </row>
    <row r="3726" ht="15.75" customHeight="1">
      <c r="A3726" s="11">
        <f>IFERROR(__xludf.DUMMYFUNCTION("""COMPUTED_VALUE"""),44471.0)</f>
        <v>44471</v>
      </c>
      <c r="B3726" s="9">
        <f>IFERROR(__xludf.DUMMYFUNCTION("""COMPUTED_VALUE"""),1003822.0)</f>
        <v>1003822</v>
      </c>
      <c r="C3726" s="9">
        <f>IFERROR(__xludf.DUMMYFUNCTION("""COMPUTED_VALUE"""),107256.0)</f>
        <v>107256</v>
      </c>
      <c r="D3726" s="9"/>
      <c r="E3726" s="9"/>
      <c r="F3726" s="9">
        <f>IFERROR(__xludf.DUMMYFUNCTION("""COMPUTED_VALUE"""),2.44)</f>
        <v>2.44</v>
      </c>
      <c r="G3726" s="9">
        <f>IFERROR(__xludf.DUMMYFUNCTION("""COMPUTED_VALUE"""),2.44)</f>
        <v>2.44</v>
      </c>
      <c r="H3726" s="9">
        <f>IFERROR(__xludf.DUMMYFUNCTION("""COMPUTED_VALUE"""),1.0)</f>
        <v>1</v>
      </c>
      <c r="I3726" s="9"/>
      <c r="J3726" s="9"/>
      <c r="K3726" s="9"/>
      <c r="L3726" s="9"/>
      <c r="M3726" s="9"/>
      <c r="N3726" s="9"/>
      <c r="O3726" s="9"/>
      <c r="P3726" s="9"/>
      <c r="Q3726" s="9"/>
      <c r="R3726" s="9"/>
      <c r="S3726" s="9"/>
      <c r="T3726" s="9"/>
    </row>
    <row r="3727" ht="15.75" customHeight="1">
      <c r="A3727" s="11">
        <f>IFERROR(__xludf.DUMMYFUNCTION("""COMPUTED_VALUE"""),44471.0)</f>
        <v>44471</v>
      </c>
      <c r="B3727" s="9">
        <f>IFERROR(__xludf.DUMMYFUNCTION("""COMPUTED_VALUE"""),1003822.0)</f>
        <v>1003822</v>
      </c>
      <c r="C3727" s="9">
        <f>IFERROR(__xludf.DUMMYFUNCTION("""COMPUTED_VALUE"""),12497.0)</f>
        <v>12497</v>
      </c>
      <c r="D3727" s="9"/>
      <c r="E3727" s="9"/>
      <c r="F3727" s="9">
        <f>IFERROR(__xludf.DUMMYFUNCTION("""COMPUTED_VALUE"""),2.2)</f>
        <v>2.2</v>
      </c>
      <c r="G3727" s="9">
        <f>IFERROR(__xludf.DUMMYFUNCTION("""COMPUTED_VALUE"""),2.2)</f>
        <v>2.2</v>
      </c>
      <c r="H3727" s="9">
        <f>IFERROR(__xludf.DUMMYFUNCTION("""COMPUTED_VALUE"""),1.0)</f>
        <v>1</v>
      </c>
      <c r="I3727" s="9"/>
      <c r="J3727" s="9"/>
      <c r="K3727" s="9"/>
      <c r="L3727" s="9"/>
      <c r="M3727" s="9"/>
      <c r="N3727" s="9"/>
      <c r="O3727" s="9"/>
      <c r="P3727" s="9"/>
      <c r="Q3727" s="9"/>
      <c r="R3727" s="9"/>
      <c r="S3727" s="9"/>
      <c r="T3727" s="9"/>
    </row>
    <row r="3728" ht="15.75" customHeight="1">
      <c r="A3728" s="11">
        <f>IFERROR(__xludf.DUMMYFUNCTION("""COMPUTED_VALUE"""),44471.0)</f>
        <v>44471</v>
      </c>
      <c r="B3728" s="9">
        <f>IFERROR(__xludf.DUMMYFUNCTION("""COMPUTED_VALUE"""),1003822.0)</f>
        <v>1003822</v>
      </c>
      <c r="C3728" s="9">
        <f>IFERROR(__xludf.DUMMYFUNCTION("""COMPUTED_VALUE"""),118220.0)</f>
        <v>118220</v>
      </c>
      <c r="D3728" s="9"/>
      <c r="E3728" s="9"/>
      <c r="F3728" s="9">
        <f>IFERROR(__xludf.DUMMYFUNCTION("""COMPUTED_VALUE"""),13.57)</f>
        <v>13.57</v>
      </c>
      <c r="G3728" s="9">
        <f>IFERROR(__xludf.DUMMYFUNCTION("""COMPUTED_VALUE"""),13.57)</f>
        <v>13.57</v>
      </c>
      <c r="H3728" s="9">
        <f>IFERROR(__xludf.DUMMYFUNCTION("""COMPUTED_VALUE"""),1.0)</f>
        <v>1</v>
      </c>
      <c r="I3728" s="9"/>
      <c r="J3728" s="9"/>
      <c r="K3728" s="9"/>
      <c r="L3728" s="9"/>
      <c r="M3728" s="9"/>
      <c r="N3728" s="9"/>
      <c r="O3728" s="9"/>
      <c r="P3728" s="9"/>
      <c r="Q3728" s="9"/>
      <c r="R3728" s="9"/>
      <c r="S3728" s="9"/>
      <c r="T3728" s="9"/>
    </row>
    <row r="3729" ht="15.75" customHeight="1">
      <c r="A3729" s="11">
        <f>IFERROR(__xludf.DUMMYFUNCTION("""COMPUTED_VALUE"""),44471.0)</f>
        <v>44471</v>
      </c>
      <c r="B3729" s="9">
        <f>IFERROR(__xludf.DUMMYFUNCTION("""COMPUTED_VALUE"""),1003822.0)</f>
        <v>1003822</v>
      </c>
      <c r="C3729" s="9">
        <f>IFERROR(__xludf.DUMMYFUNCTION("""COMPUTED_VALUE"""),113093.0)</f>
        <v>113093</v>
      </c>
      <c r="D3729" s="9"/>
      <c r="E3729" s="9"/>
      <c r="F3729" s="9">
        <f>IFERROR(__xludf.DUMMYFUNCTION("""COMPUTED_VALUE"""),1.54)</f>
        <v>1.54</v>
      </c>
      <c r="G3729" s="9">
        <f>IFERROR(__xludf.DUMMYFUNCTION("""COMPUTED_VALUE"""),1.54)</f>
        <v>1.54</v>
      </c>
      <c r="H3729" s="9">
        <f>IFERROR(__xludf.DUMMYFUNCTION("""COMPUTED_VALUE"""),1.0)</f>
        <v>1</v>
      </c>
      <c r="I3729" s="9"/>
      <c r="J3729" s="9"/>
      <c r="K3729" s="9"/>
      <c r="L3729" s="9"/>
      <c r="M3729" s="9"/>
      <c r="N3729" s="9"/>
      <c r="O3729" s="9"/>
      <c r="P3729" s="9"/>
      <c r="Q3729" s="9"/>
      <c r="R3729" s="9"/>
      <c r="S3729" s="9"/>
      <c r="T3729" s="9"/>
    </row>
    <row r="3730" ht="15.75" customHeight="1">
      <c r="A3730" s="11">
        <f>IFERROR(__xludf.DUMMYFUNCTION("""COMPUTED_VALUE"""),44471.0)</f>
        <v>44471</v>
      </c>
      <c r="B3730" s="9">
        <f>IFERROR(__xludf.DUMMYFUNCTION("""COMPUTED_VALUE"""),1003822.0)</f>
        <v>1003822</v>
      </c>
      <c r="C3730" s="9">
        <f>IFERROR(__xludf.DUMMYFUNCTION("""COMPUTED_VALUE"""),116320.0)</f>
        <v>116320</v>
      </c>
      <c r="D3730" s="9"/>
      <c r="E3730" s="9"/>
      <c r="F3730" s="9">
        <f>IFERROR(__xludf.DUMMYFUNCTION("""COMPUTED_VALUE"""),1.61)</f>
        <v>1.61</v>
      </c>
      <c r="G3730" s="9">
        <f>IFERROR(__xludf.DUMMYFUNCTION("""COMPUTED_VALUE"""),1.61)</f>
        <v>1.61</v>
      </c>
      <c r="H3730" s="9">
        <f>IFERROR(__xludf.DUMMYFUNCTION("""COMPUTED_VALUE"""),1.0)</f>
        <v>1</v>
      </c>
      <c r="I3730" s="9"/>
      <c r="J3730" s="9"/>
      <c r="K3730" s="9"/>
      <c r="L3730" s="9"/>
      <c r="M3730" s="9"/>
      <c r="N3730" s="9"/>
      <c r="O3730" s="9"/>
      <c r="P3730" s="9"/>
      <c r="Q3730" s="9"/>
      <c r="R3730" s="9"/>
      <c r="S3730" s="9"/>
      <c r="T3730" s="9"/>
    </row>
    <row r="3731" ht="15.75" customHeight="1">
      <c r="A3731" s="11">
        <f>IFERROR(__xludf.DUMMYFUNCTION("""COMPUTED_VALUE"""),44471.0)</f>
        <v>44471</v>
      </c>
      <c r="B3731" s="9">
        <f>IFERROR(__xludf.DUMMYFUNCTION("""COMPUTED_VALUE"""),1003822.0)</f>
        <v>1003822</v>
      </c>
      <c r="C3731" s="9">
        <f>IFERROR(__xludf.DUMMYFUNCTION("""COMPUTED_VALUE"""),112842.0)</f>
        <v>112842</v>
      </c>
      <c r="D3731" s="9"/>
      <c r="E3731" s="9"/>
      <c r="F3731" s="9">
        <f>IFERROR(__xludf.DUMMYFUNCTION("""COMPUTED_VALUE"""),8.92)</f>
        <v>8.92</v>
      </c>
      <c r="G3731" s="9">
        <f>IFERROR(__xludf.DUMMYFUNCTION("""COMPUTED_VALUE"""),8.92)</f>
        <v>8.92</v>
      </c>
      <c r="H3731" s="9">
        <f>IFERROR(__xludf.DUMMYFUNCTION("""COMPUTED_VALUE"""),1.0)</f>
        <v>1</v>
      </c>
      <c r="I3731" s="9"/>
      <c r="J3731" s="9"/>
      <c r="K3731" s="9"/>
      <c r="L3731" s="9"/>
      <c r="M3731" s="9"/>
      <c r="N3731" s="9"/>
      <c r="O3731" s="9"/>
      <c r="P3731" s="9"/>
      <c r="Q3731" s="9"/>
      <c r="R3731" s="9"/>
      <c r="S3731" s="9"/>
      <c r="T3731" s="9"/>
    </row>
    <row r="3732" ht="15.75" customHeight="1">
      <c r="A3732" s="11">
        <f>IFERROR(__xludf.DUMMYFUNCTION("""COMPUTED_VALUE"""),44471.0)</f>
        <v>44471</v>
      </c>
      <c r="B3732" s="9">
        <f>IFERROR(__xludf.DUMMYFUNCTION("""COMPUTED_VALUE"""),1003822.0)</f>
        <v>1003822</v>
      </c>
      <c r="C3732" s="9">
        <f>IFERROR(__xludf.DUMMYFUNCTION("""COMPUTED_VALUE"""),93071.0)</f>
        <v>93071</v>
      </c>
      <c r="D3732" s="9"/>
      <c r="E3732" s="9"/>
      <c r="F3732" s="9">
        <f>IFERROR(__xludf.DUMMYFUNCTION("""COMPUTED_VALUE"""),13.94)</f>
        <v>13.94</v>
      </c>
      <c r="G3732" s="9">
        <f>IFERROR(__xludf.DUMMYFUNCTION("""COMPUTED_VALUE"""),13.94)</f>
        <v>13.94</v>
      </c>
      <c r="H3732" s="9">
        <f>IFERROR(__xludf.DUMMYFUNCTION("""COMPUTED_VALUE"""),1.0)</f>
        <v>1</v>
      </c>
      <c r="I3732" s="9"/>
      <c r="J3732" s="9"/>
      <c r="K3732" s="9"/>
      <c r="L3732" s="9"/>
      <c r="M3732" s="9"/>
      <c r="N3732" s="9"/>
      <c r="O3732" s="9"/>
      <c r="P3732" s="9"/>
      <c r="Q3732" s="9"/>
      <c r="R3732" s="9"/>
      <c r="S3732" s="9"/>
      <c r="T3732" s="9"/>
    </row>
    <row r="3733" ht="15.75" customHeight="1">
      <c r="A3733" s="11">
        <f>IFERROR(__xludf.DUMMYFUNCTION("""COMPUTED_VALUE"""),44471.0)</f>
        <v>44471</v>
      </c>
      <c r="B3733" s="9">
        <f>IFERROR(__xludf.DUMMYFUNCTION("""COMPUTED_VALUE"""),1003822.0)</f>
        <v>1003822</v>
      </c>
      <c r="C3733" s="9">
        <f>IFERROR(__xludf.DUMMYFUNCTION("""COMPUTED_VALUE"""),83853.0)</f>
        <v>83853</v>
      </c>
      <c r="D3733" s="10" t="str">
        <f>IFERROR(__xludf.DUMMYFUNCTION("""COMPUTED_VALUE"""),"Vive le bio")</f>
        <v>Vive le bio</v>
      </c>
      <c r="E3733" s="10"/>
      <c r="F3733" s="9">
        <f>IFERROR(__xludf.DUMMYFUNCTION("""COMPUTED_VALUE"""),8.2)</f>
        <v>8.2</v>
      </c>
      <c r="G3733" s="9">
        <f>IFERROR(__xludf.DUMMYFUNCTION("""COMPUTED_VALUE"""),7.38)</f>
        <v>7.38</v>
      </c>
      <c r="H3733" s="9">
        <f>IFERROR(__xludf.DUMMYFUNCTION("""COMPUTED_VALUE"""),4.0)</f>
        <v>4</v>
      </c>
      <c r="I3733" s="9"/>
      <c r="J3733" s="9"/>
      <c r="K3733" s="9"/>
      <c r="L3733" s="9"/>
      <c r="M3733" s="9"/>
      <c r="N3733" s="9"/>
      <c r="O3733" s="9"/>
      <c r="P3733" s="9"/>
      <c r="Q3733" s="9"/>
      <c r="R3733" s="9"/>
      <c r="S3733" s="9"/>
      <c r="T3733" s="9"/>
    </row>
    <row r="3734" ht="15.75" customHeight="1">
      <c r="A3734" s="11">
        <f>IFERROR(__xludf.DUMMYFUNCTION("""COMPUTED_VALUE"""),44471.0)</f>
        <v>44471</v>
      </c>
      <c r="B3734" s="9">
        <f>IFERROR(__xludf.DUMMYFUNCTION("""COMPUTED_VALUE"""),1003823.0)</f>
        <v>1003823</v>
      </c>
      <c r="C3734" s="9">
        <f>IFERROR(__xludf.DUMMYFUNCTION("""COMPUTED_VALUE"""),20053.0)</f>
        <v>20053</v>
      </c>
      <c r="D3734" s="9"/>
      <c r="E3734" s="9"/>
      <c r="F3734" s="9">
        <f>IFERROR(__xludf.DUMMYFUNCTION("""COMPUTED_VALUE"""),3.0)</f>
        <v>3</v>
      </c>
      <c r="G3734" s="9">
        <f>IFERROR(__xludf.DUMMYFUNCTION("""COMPUTED_VALUE"""),3.0)</f>
        <v>3</v>
      </c>
      <c r="H3734" s="9">
        <f>IFERROR(__xludf.DUMMYFUNCTION("""COMPUTED_VALUE"""),1.0)</f>
        <v>1</v>
      </c>
      <c r="I3734" s="9"/>
      <c r="J3734" s="9"/>
      <c r="K3734" s="9"/>
      <c r="L3734" s="9"/>
      <c r="M3734" s="9"/>
      <c r="N3734" s="9"/>
      <c r="O3734" s="9"/>
      <c r="P3734" s="9"/>
      <c r="Q3734" s="9"/>
      <c r="R3734" s="9"/>
      <c r="S3734" s="9"/>
      <c r="T3734" s="9"/>
    </row>
    <row r="3735" ht="15.75" customHeight="1">
      <c r="A3735" s="11">
        <f>IFERROR(__xludf.DUMMYFUNCTION("""COMPUTED_VALUE"""),44471.0)</f>
        <v>44471</v>
      </c>
      <c r="B3735" s="9">
        <f>IFERROR(__xludf.DUMMYFUNCTION("""COMPUTED_VALUE"""),1003823.0)</f>
        <v>1003823</v>
      </c>
      <c r="C3735" s="9">
        <f>IFERROR(__xludf.DUMMYFUNCTION("""COMPUTED_VALUE"""),120700.0)</f>
        <v>120700</v>
      </c>
      <c r="D3735" s="10" t="str">
        <f>IFERROR(__xludf.DUMMYFUNCTION("""COMPUTED_VALUE"""),"Hygiene intime")</f>
        <v>Hygiene intime</v>
      </c>
      <c r="E3735" s="10"/>
      <c r="F3735" s="9">
        <f>IFERROR(__xludf.DUMMYFUNCTION("""COMPUTED_VALUE"""),7.92222222222222)</f>
        <v>7.922222222</v>
      </c>
      <c r="G3735" s="9">
        <f>IFERROR(__xludf.DUMMYFUNCTION("""COMPUTED_VALUE"""),7.13)</f>
        <v>7.13</v>
      </c>
      <c r="H3735" s="9">
        <f>IFERROR(__xludf.DUMMYFUNCTION("""COMPUTED_VALUE"""),1.0)</f>
        <v>1</v>
      </c>
      <c r="I3735" s="9"/>
      <c r="J3735" s="9"/>
      <c r="K3735" s="9"/>
      <c r="L3735" s="9"/>
      <c r="M3735" s="9"/>
      <c r="N3735" s="9"/>
      <c r="O3735" s="9"/>
      <c r="P3735" s="9"/>
      <c r="Q3735" s="9"/>
      <c r="R3735" s="9"/>
      <c r="S3735" s="9"/>
      <c r="T3735" s="9"/>
    </row>
    <row r="3736" ht="15.75" customHeight="1">
      <c r="A3736" s="11">
        <f>IFERROR(__xludf.DUMMYFUNCTION("""COMPUTED_VALUE"""),44471.0)</f>
        <v>44471</v>
      </c>
      <c r="B3736" s="9">
        <f>IFERROR(__xludf.DUMMYFUNCTION("""COMPUTED_VALUE"""),1003823.0)</f>
        <v>1003823</v>
      </c>
      <c r="C3736" s="9">
        <f>IFERROR(__xludf.DUMMYFUNCTION("""COMPUTED_VALUE"""),126547.0)</f>
        <v>126547</v>
      </c>
      <c r="D3736" s="9"/>
      <c r="E3736" s="9"/>
      <c r="F3736" s="9">
        <f>IFERROR(__xludf.DUMMYFUNCTION("""COMPUTED_VALUE"""),2.14)</f>
        <v>2.14</v>
      </c>
      <c r="G3736" s="9">
        <f>IFERROR(__xludf.DUMMYFUNCTION("""COMPUTED_VALUE"""),2.14)</f>
        <v>2.14</v>
      </c>
      <c r="H3736" s="9">
        <f>IFERROR(__xludf.DUMMYFUNCTION("""COMPUTED_VALUE"""),1.0)</f>
        <v>1</v>
      </c>
      <c r="I3736" s="9"/>
      <c r="J3736" s="9"/>
      <c r="K3736" s="9"/>
      <c r="L3736" s="9"/>
      <c r="M3736" s="9"/>
      <c r="N3736" s="9"/>
      <c r="O3736" s="9"/>
      <c r="P3736" s="9"/>
      <c r="Q3736" s="9"/>
      <c r="R3736" s="9"/>
      <c r="S3736" s="9"/>
      <c r="T3736" s="9"/>
    </row>
    <row r="3737" ht="15.75" customHeight="1">
      <c r="A3737" s="11">
        <f>IFERROR(__xludf.DUMMYFUNCTION("""COMPUTED_VALUE"""),44471.0)</f>
        <v>44471</v>
      </c>
      <c r="B3737" s="9">
        <f>IFERROR(__xludf.DUMMYFUNCTION("""COMPUTED_VALUE"""),1003823.0)</f>
        <v>1003823</v>
      </c>
      <c r="C3737" s="9">
        <f>IFERROR(__xludf.DUMMYFUNCTION("""COMPUTED_VALUE"""),5662.0)</f>
        <v>5662</v>
      </c>
      <c r="D3737" s="9"/>
      <c r="E3737" s="9"/>
      <c r="F3737" s="9">
        <f>IFERROR(__xludf.DUMMYFUNCTION("""COMPUTED_VALUE"""),3.14)</f>
        <v>3.14</v>
      </c>
      <c r="G3737" s="9">
        <f>IFERROR(__xludf.DUMMYFUNCTION("""COMPUTED_VALUE"""),3.14)</f>
        <v>3.14</v>
      </c>
      <c r="H3737" s="9">
        <f>IFERROR(__xludf.DUMMYFUNCTION("""COMPUTED_VALUE"""),1.0)</f>
        <v>1</v>
      </c>
      <c r="I3737" s="9"/>
      <c r="J3737" s="9"/>
      <c r="K3737" s="9"/>
      <c r="L3737" s="9"/>
      <c r="M3737" s="9"/>
      <c r="N3737" s="9"/>
      <c r="O3737" s="9"/>
      <c r="P3737" s="9"/>
      <c r="Q3737" s="9"/>
      <c r="R3737" s="9"/>
      <c r="S3737" s="9"/>
      <c r="T3737" s="9"/>
    </row>
    <row r="3738" ht="15.75" customHeight="1">
      <c r="A3738" s="11">
        <f>IFERROR(__xludf.DUMMYFUNCTION("""COMPUTED_VALUE"""),44471.0)</f>
        <v>44471</v>
      </c>
      <c r="B3738" s="9">
        <f>IFERROR(__xludf.DUMMYFUNCTION("""COMPUTED_VALUE"""),1003823.0)</f>
        <v>1003823</v>
      </c>
      <c r="C3738" s="9">
        <f>IFERROR(__xludf.DUMMYFUNCTION("""COMPUTED_VALUE"""),5494.0)</f>
        <v>5494</v>
      </c>
      <c r="D3738" s="9"/>
      <c r="E3738" s="9"/>
      <c r="F3738" s="9">
        <f>IFERROR(__xludf.DUMMYFUNCTION("""COMPUTED_VALUE"""),4.06)</f>
        <v>4.06</v>
      </c>
      <c r="G3738" s="9">
        <f>IFERROR(__xludf.DUMMYFUNCTION("""COMPUTED_VALUE"""),4.06)</f>
        <v>4.06</v>
      </c>
      <c r="H3738" s="9">
        <f>IFERROR(__xludf.DUMMYFUNCTION("""COMPUTED_VALUE"""),1.0)</f>
        <v>1</v>
      </c>
      <c r="I3738" s="9"/>
      <c r="J3738" s="9"/>
      <c r="K3738" s="9"/>
      <c r="L3738" s="9"/>
      <c r="M3738" s="9"/>
      <c r="N3738" s="9"/>
      <c r="O3738" s="9"/>
      <c r="P3738" s="9"/>
      <c r="Q3738" s="9"/>
      <c r="R3738" s="9"/>
      <c r="S3738" s="9"/>
      <c r="T3738" s="9"/>
    </row>
    <row r="3739" ht="15.75" customHeight="1">
      <c r="A3739" s="11">
        <f>IFERROR(__xludf.DUMMYFUNCTION("""COMPUTED_VALUE"""),44471.0)</f>
        <v>44471</v>
      </c>
      <c r="B3739" s="9">
        <f>IFERROR(__xludf.DUMMYFUNCTION("""COMPUTED_VALUE"""),1003823.0)</f>
        <v>1003823</v>
      </c>
      <c r="C3739" s="9">
        <f>IFERROR(__xludf.DUMMYFUNCTION("""COMPUTED_VALUE"""),5635.0)</f>
        <v>5635</v>
      </c>
      <c r="D3739" s="9"/>
      <c r="E3739" s="9"/>
      <c r="F3739" s="9">
        <f>IFERROR(__xludf.DUMMYFUNCTION("""COMPUTED_VALUE"""),1.83)</f>
        <v>1.83</v>
      </c>
      <c r="G3739" s="9">
        <f>IFERROR(__xludf.DUMMYFUNCTION("""COMPUTED_VALUE"""),1.83)</f>
        <v>1.83</v>
      </c>
      <c r="H3739" s="9">
        <f>IFERROR(__xludf.DUMMYFUNCTION("""COMPUTED_VALUE"""),1.0)</f>
        <v>1</v>
      </c>
      <c r="I3739" s="9"/>
      <c r="J3739" s="9"/>
      <c r="K3739" s="9"/>
      <c r="L3739" s="9"/>
      <c r="M3739" s="9"/>
      <c r="N3739" s="9"/>
      <c r="O3739" s="9"/>
      <c r="P3739" s="9"/>
      <c r="Q3739" s="9"/>
      <c r="R3739" s="9"/>
      <c r="S3739" s="9"/>
      <c r="T3739" s="9"/>
    </row>
    <row r="3740" ht="15.75" customHeight="1">
      <c r="A3740" s="11">
        <f>IFERROR(__xludf.DUMMYFUNCTION("""COMPUTED_VALUE"""),44471.0)</f>
        <v>44471</v>
      </c>
      <c r="B3740" s="9">
        <f>IFERROR(__xludf.DUMMYFUNCTION("""COMPUTED_VALUE"""),1003823.0)</f>
        <v>1003823</v>
      </c>
      <c r="C3740" s="9">
        <f>IFERROR(__xludf.DUMMYFUNCTION("""COMPUTED_VALUE"""),77492.0)</f>
        <v>77492</v>
      </c>
      <c r="D3740" s="10" t="str">
        <f>IFERROR(__xludf.DUMMYFUNCTION("""COMPUTED_VALUE"""),"Vive le bio")</f>
        <v>Vive le bio</v>
      </c>
      <c r="E3740" s="10"/>
      <c r="F3740" s="9">
        <f>IFERROR(__xludf.DUMMYFUNCTION("""COMPUTED_VALUE"""),3.58888888888888)</f>
        <v>3.588888889</v>
      </c>
      <c r="G3740" s="9">
        <f>IFERROR(__xludf.DUMMYFUNCTION("""COMPUTED_VALUE"""),3.23)</f>
        <v>3.23</v>
      </c>
      <c r="H3740" s="9">
        <f>IFERROR(__xludf.DUMMYFUNCTION("""COMPUTED_VALUE"""),1.0)</f>
        <v>1</v>
      </c>
      <c r="I3740" s="9"/>
      <c r="J3740" s="9"/>
      <c r="K3740" s="9"/>
      <c r="L3740" s="9"/>
      <c r="M3740" s="9"/>
      <c r="N3740" s="9"/>
      <c r="O3740" s="9"/>
      <c r="P3740" s="9"/>
      <c r="Q3740" s="9"/>
      <c r="R3740" s="9"/>
      <c r="S3740" s="9"/>
      <c r="T3740" s="9"/>
    </row>
    <row r="3741" ht="15.75" customHeight="1">
      <c r="A3741" s="11">
        <f>IFERROR(__xludf.DUMMYFUNCTION("""COMPUTED_VALUE"""),44471.0)</f>
        <v>44471</v>
      </c>
      <c r="B3741" s="9">
        <f>IFERROR(__xludf.DUMMYFUNCTION("""COMPUTED_VALUE"""),1003823.0)</f>
        <v>1003823</v>
      </c>
      <c r="C3741" s="9">
        <f>IFERROR(__xludf.DUMMYFUNCTION("""COMPUTED_VALUE"""),87304.0)</f>
        <v>87304</v>
      </c>
      <c r="D3741" s="10" t="str">
        <f>IFERROR(__xludf.DUMMYFUNCTION("""COMPUTED_VALUE"""),"Vive le bio")</f>
        <v>Vive le bio</v>
      </c>
      <c r="E3741" s="10"/>
      <c r="F3741" s="9">
        <f>IFERROR(__xludf.DUMMYFUNCTION("""COMPUTED_VALUE"""),2.51111111111111)</f>
        <v>2.511111111</v>
      </c>
      <c r="G3741" s="9">
        <f>IFERROR(__xludf.DUMMYFUNCTION("""COMPUTED_VALUE"""),2.26)</f>
        <v>2.26</v>
      </c>
      <c r="H3741" s="9">
        <f>IFERROR(__xludf.DUMMYFUNCTION("""COMPUTED_VALUE"""),1.0)</f>
        <v>1</v>
      </c>
      <c r="I3741" s="9"/>
      <c r="J3741" s="9"/>
      <c r="K3741" s="9"/>
      <c r="L3741" s="9"/>
      <c r="M3741" s="9"/>
      <c r="N3741" s="9"/>
      <c r="O3741" s="9"/>
      <c r="P3741" s="9"/>
      <c r="Q3741" s="9"/>
      <c r="R3741" s="9"/>
      <c r="S3741" s="9"/>
      <c r="T3741" s="9"/>
    </row>
    <row r="3742" ht="15.75" customHeight="1">
      <c r="A3742" s="11">
        <f>IFERROR(__xludf.DUMMYFUNCTION("""COMPUTED_VALUE"""),44471.0)</f>
        <v>44471</v>
      </c>
      <c r="B3742" s="9">
        <f>IFERROR(__xludf.DUMMYFUNCTION("""COMPUTED_VALUE"""),1003823.0)</f>
        <v>1003823</v>
      </c>
      <c r="C3742" s="9">
        <f>IFERROR(__xludf.DUMMYFUNCTION("""COMPUTED_VALUE"""),101299.0)</f>
        <v>101299</v>
      </c>
      <c r="D3742" s="10" t="str">
        <f>IFERROR(__xludf.DUMMYFUNCTION("""COMPUTED_VALUE"""),"Natur'vox Carryboo couches Sept 21")</f>
        <v>Natur'vox Carryboo couches Sept 21</v>
      </c>
      <c r="E3742" s="10"/>
      <c r="F3742" s="9">
        <f>IFERROR(__xludf.DUMMYFUNCTION("""COMPUTED_VALUE"""),16.5333333333333)</f>
        <v>16.53333333</v>
      </c>
      <c r="G3742" s="9">
        <f>IFERROR(__xludf.DUMMYFUNCTION("""COMPUTED_VALUE"""),12.4)</f>
        <v>12.4</v>
      </c>
      <c r="H3742" s="9">
        <f>IFERROR(__xludf.DUMMYFUNCTION("""COMPUTED_VALUE"""),1.0)</f>
        <v>1</v>
      </c>
      <c r="I3742" s="9"/>
      <c r="J3742" s="9"/>
      <c r="K3742" s="9"/>
      <c r="L3742" s="9"/>
      <c r="M3742" s="9"/>
      <c r="N3742" s="9"/>
      <c r="O3742" s="9"/>
      <c r="P3742" s="9"/>
      <c r="Q3742" s="9"/>
      <c r="R3742" s="9"/>
      <c r="S3742" s="9"/>
      <c r="T3742" s="9"/>
    </row>
    <row r="3743" ht="15.75" customHeight="1">
      <c r="A3743" s="11">
        <f>IFERROR(__xludf.DUMMYFUNCTION("""COMPUTED_VALUE"""),44471.0)</f>
        <v>44471</v>
      </c>
      <c r="B3743" s="9">
        <f>IFERROR(__xludf.DUMMYFUNCTION("""COMPUTED_VALUE"""),1003823.0)</f>
        <v>1003823</v>
      </c>
      <c r="C3743" s="9">
        <f>IFERROR(__xludf.DUMMYFUNCTION("""COMPUTED_VALUE"""),71875.0)</f>
        <v>71875</v>
      </c>
      <c r="D3743" s="10" t="str">
        <f>IFERROR(__xludf.DUMMYFUNCTION("""COMPUTED_VALUE"""),"Offre speciale")</f>
        <v>Offre speciale</v>
      </c>
      <c r="E3743" s="10"/>
      <c r="F3743" s="9">
        <f>IFERROR(__xludf.DUMMYFUNCTION("""COMPUTED_VALUE"""),7.26136363636363)</f>
        <v>7.261363636</v>
      </c>
      <c r="G3743" s="9">
        <f>IFERROR(__xludf.DUMMYFUNCTION("""COMPUTED_VALUE"""),6.39)</f>
        <v>6.39</v>
      </c>
      <c r="H3743" s="9">
        <f>IFERROR(__xludf.DUMMYFUNCTION("""COMPUTED_VALUE"""),1.0)</f>
        <v>1</v>
      </c>
      <c r="I3743" s="9"/>
      <c r="J3743" s="9"/>
      <c r="K3743" s="9"/>
      <c r="L3743" s="9"/>
      <c r="M3743" s="9"/>
      <c r="N3743" s="9"/>
      <c r="O3743" s="9"/>
      <c r="P3743" s="9"/>
      <c r="Q3743" s="9"/>
      <c r="R3743" s="9"/>
      <c r="S3743" s="9"/>
      <c r="T3743" s="9"/>
    </row>
    <row r="3744" ht="15.75" customHeight="1">
      <c r="A3744" s="11">
        <f>IFERROR(__xludf.DUMMYFUNCTION("""COMPUTED_VALUE"""),44471.0)</f>
        <v>44471</v>
      </c>
      <c r="B3744" s="9">
        <f>IFERROR(__xludf.DUMMYFUNCTION("""COMPUTED_VALUE"""),1003823.0)</f>
        <v>1003823</v>
      </c>
      <c r="C3744" s="9">
        <f>IFERROR(__xludf.DUMMYFUNCTION("""COMPUTED_VALUE"""),86792.0)</f>
        <v>86792</v>
      </c>
      <c r="D3744" s="9"/>
      <c r="E3744" s="9"/>
      <c r="F3744" s="9">
        <f>IFERROR(__xludf.DUMMYFUNCTION("""COMPUTED_VALUE"""),3.95)</f>
        <v>3.95</v>
      </c>
      <c r="G3744" s="9">
        <f>IFERROR(__xludf.DUMMYFUNCTION("""COMPUTED_VALUE"""),3.95)</f>
        <v>3.95</v>
      </c>
      <c r="H3744" s="9">
        <f>IFERROR(__xludf.DUMMYFUNCTION("""COMPUTED_VALUE"""),1.0)</f>
        <v>1</v>
      </c>
      <c r="I3744" s="9"/>
      <c r="J3744" s="9"/>
      <c r="K3744" s="9"/>
      <c r="L3744" s="9"/>
      <c r="M3744" s="9"/>
      <c r="N3744" s="9"/>
      <c r="O3744" s="9"/>
      <c r="P3744" s="9"/>
      <c r="Q3744" s="9"/>
      <c r="R3744" s="9"/>
      <c r="S3744" s="9"/>
      <c r="T3744" s="9"/>
    </row>
    <row r="3745" ht="15.75" customHeight="1">
      <c r="A3745" s="11">
        <f>IFERROR(__xludf.DUMMYFUNCTION("""COMPUTED_VALUE"""),44471.0)</f>
        <v>44471</v>
      </c>
      <c r="B3745" s="9">
        <f>IFERROR(__xludf.DUMMYFUNCTION("""COMPUTED_VALUE"""),1003823.0)</f>
        <v>1003823</v>
      </c>
      <c r="C3745" s="9">
        <f>IFERROR(__xludf.DUMMYFUNCTION("""COMPUTED_VALUE"""),24195.0)</f>
        <v>24195</v>
      </c>
      <c r="D3745" s="9"/>
      <c r="E3745" s="9"/>
      <c r="F3745" s="9">
        <f>IFERROR(__xludf.DUMMYFUNCTION("""COMPUTED_VALUE"""),3.96)</f>
        <v>3.96</v>
      </c>
      <c r="G3745" s="9">
        <f>IFERROR(__xludf.DUMMYFUNCTION("""COMPUTED_VALUE"""),3.96)</f>
        <v>3.96</v>
      </c>
      <c r="H3745" s="9">
        <f>IFERROR(__xludf.DUMMYFUNCTION("""COMPUTED_VALUE"""),1.0)</f>
        <v>1</v>
      </c>
      <c r="I3745" s="9"/>
      <c r="J3745" s="9"/>
      <c r="K3745" s="9"/>
      <c r="L3745" s="9"/>
      <c r="M3745" s="9"/>
      <c r="N3745" s="9"/>
      <c r="O3745" s="9"/>
      <c r="P3745" s="9"/>
      <c r="Q3745" s="9"/>
      <c r="R3745" s="9"/>
      <c r="S3745" s="9"/>
      <c r="T3745" s="9"/>
    </row>
    <row r="3746" ht="15.75" customHeight="1">
      <c r="A3746" s="11">
        <f>IFERROR(__xludf.DUMMYFUNCTION("""COMPUTED_VALUE"""),44471.0)</f>
        <v>44471</v>
      </c>
      <c r="B3746" s="9">
        <f>IFERROR(__xludf.DUMMYFUNCTION("""COMPUTED_VALUE"""),1003823.0)</f>
        <v>1003823</v>
      </c>
      <c r="C3746" s="9">
        <f>IFERROR(__xludf.DUMMYFUNCTION("""COMPUTED_VALUE"""),5639.0)</f>
        <v>5639</v>
      </c>
      <c r="D3746" s="9"/>
      <c r="E3746" s="9"/>
      <c r="F3746" s="9">
        <f>IFERROR(__xludf.DUMMYFUNCTION("""COMPUTED_VALUE"""),1.31)</f>
        <v>1.31</v>
      </c>
      <c r="G3746" s="9">
        <f>IFERROR(__xludf.DUMMYFUNCTION("""COMPUTED_VALUE"""),1.31)</f>
        <v>1.31</v>
      </c>
      <c r="H3746" s="9">
        <f>IFERROR(__xludf.DUMMYFUNCTION("""COMPUTED_VALUE"""),1.0)</f>
        <v>1</v>
      </c>
      <c r="I3746" s="9"/>
      <c r="J3746" s="9"/>
      <c r="K3746" s="9"/>
      <c r="L3746" s="9"/>
      <c r="M3746" s="9"/>
      <c r="N3746" s="9"/>
      <c r="O3746" s="9"/>
      <c r="P3746" s="9"/>
      <c r="Q3746" s="9"/>
      <c r="R3746" s="9"/>
      <c r="S3746" s="9"/>
      <c r="T3746" s="9"/>
    </row>
    <row r="3747" ht="15.75" customHeight="1">
      <c r="A3747" s="11">
        <f>IFERROR(__xludf.DUMMYFUNCTION("""COMPUTED_VALUE"""),44471.0)</f>
        <v>44471</v>
      </c>
      <c r="B3747" s="9">
        <f>IFERROR(__xludf.DUMMYFUNCTION("""COMPUTED_VALUE"""),1003823.0)</f>
        <v>1003823</v>
      </c>
      <c r="C3747" s="9">
        <f>IFERROR(__xludf.DUMMYFUNCTION("""COMPUTED_VALUE"""),19341.0)</f>
        <v>19341</v>
      </c>
      <c r="D3747" s="9"/>
      <c r="E3747" s="9"/>
      <c r="F3747" s="9">
        <f>IFERROR(__xludf.DUMMYFUNCTION("""COMPUTED_VALUE"""),5.31)</f>
        <v>5.31</v>
      </c>
      <c r="G3747" s="9">
        <f>IFERROR(__xludf.DUMMYFUNCTION("""COMPUTED_VALUE"""),5.31)</f>
        <v>5.31</v>
      </c>
      <c r="H3747" s="9">
        <f>IFERROR(__xludf.DUMMYFUNCTION("""COMPUTED_VALUE"""),2.0)</f>
        <v>2</v>
      </c>
      <c r="I3747" s="9"/>
      <c r="J3747" s="9"/>
      <c r="K3747" s="9"/>
      <c r="L3747" s="9"/>
      <c r="M3747" s="9"/>
      <c r="N3747" s="9"/>
      <c r="O3747" s="9"/>
      <c r="P3747" s="9"/>
      <c r="Q3747" s="9"/>
      <c r="R3747" s="9"/>
      <c r="S3747" s="9"/>
      <c r="T3747" s="9"/>
    </row>
    <row r="3748" ht="15.75" customHeight="1">
      <c r="A3748" s="11">
        <f>IFERROR(__xludf.DUMMYFUNCTION("""COMPUTED_VALUE"""),44471.0)</f>
        <v>44471</v>
      </c>
      <c r="B3748" s="9">
        <f>IFERROR(__xludf.DUMMYFUNCTION("""COMPUTED_VALUE"""),1003823.0)</f>
        <v>1003823</v>
      </c>
      <c r="C3748" s="9">
        <f>IFERROR(__xludf.DUMMYFUNCTION("""COMPUTED_VALUE"""),48283.0)</f>
        <v>48283</v>
      </c>
      <c r="D3748" s="9"/>
      <c r="E3748" s="9"/>
      <c r="F3748" s="9">
        <f>IFERROR(__xludf.DUMMYFUNCTION("""COMPUTED_VALUE"""),5.57)</f>
        <v>5.57</v>
      </c>
      <c r="G3748" s="9">
        <f>IFERROR(__xludf.DUMMYFUNCTION("""COMPUTED_VALUE"""),5.57)</f>
        <v>5.57</v>
      </c>
      <c r="H3748" s="9">
        <f>IFERROR(__xludf.DUMMYFUNCTION("""COMPUTED_VALUE"""),4.0)</f>
        <v>4</v>
      </c>
      <c r="I3748" s="9"/>
      <c r="J3748" s="9"/>
      <c r="K3748" s="9"/>
      <c r="L3748" s="9"/>
      <c r="M3748" s="9"/>
      <c r="N3748" s="9"/>
      <c r="O3748" s="9"/>
      <c r="P3748" s="9"/>
      <c r="Q3748" s="9"/>
      <c r="R3748" s="9"/>
      <c r="S3748" s="9"/>
      <c r="T3748" s="9"/>
    </row>
    <row r="3749" ht="15.75" customHeight="1">
      <c r="A3749" s="11">
        <f>IFERROR(__xludf.DUMMYFUNCTION("""COMPUTED_VALUE"""),44471.0)</f>
        <v>44471</v>
      </c>
      <c r="B3749" s="9">
        <f>IFERROR(__xludf.DUMMYFUNCTION("""COMPUTED_VALUE"""),1003823.0)</f>
        <v>1003823</v>
      </c>
      <c r="C3749" s="9">
        <f>IFERROR(__xludf.DUMMYFUNCTION("""COMPUTED_VALUE"""),109971.0)</f>
        <v>109971</v>
      </c>
      <c r="D3749" s="10" t="str">
        <f>IFERROR(__xludf.DUMMYFUNCTION("""COMPUTED_VALUE"""),"Carryboo soin bebe 2021")</f>
        <v>Carryboo soin bebe 2021</v>
      </c>
      <c r="E3749" s="10"/>
      <c r="F3749" s="9">
        <f>IFERROR(__xludf.DUMMYFUNCTION("""COMPUTED_VALUE"""),23.9066666666666)</f>
        <v>23.90666667</v>
      </c>
      <c r="G3749" s="9">
        <f>IFERROR(__xludf.DUMMYFUNCTION("""COMPUTED_VALUE"""),17.93)</f>
        <v>17.93</v>
      </c>
      <c r="H3749" s="9">
        <f>IFERROR(__xludf.DUMMYFUNCTION("""COMPUTED_VALUE"""),4.0)</f>
        <v>4</v>
      </c>
      <c r="I3749" s="9"/>
      <c r="J3749" s="9"/>
      <c r="K3749" s="9"/>
      <c r="L3749" s="9"/>
      <c r="M3749" s="9"/>
      <c r="N3749" s="9"/>
      <c r="O3749" s="9"/>
      <c r="P3749" s="9"/>
      <c r="Q3749" s="9"/>
      <c r="R3749" s="9"/>
      <c r="S3749" s="9"/>
      <c r="T3749" s="9"/>
    </row>
    <row r="3750" ht="15.75" customHeight="1">
      <c r="A3750" s="11">
        <f>IFERROR(__xludf.DUMMYFUNCTION("""COMPUTED_VALUE"""),44471.0)</f>
        <v>44471</v>
      </c>
      <c r="B3750" s="9">
        <f>IFERROR(__xludf.DUMMYFUNCTION("""COMPUTED_VALUE"""),1003823.0)</f>
        <v>1003823</v>
      </c>
      <c r="C3750" s="9">
        <f>IFERROR(__xludf.DUMMYFUNCTION("""COMPUTED_VALUE"""),90690.0)</f>
        <v>90690</v>
      </c>
      <c r="D3750" s="9"/>
      <c r="E3750" s="9"/>
      <c r="F3750" s="9">
        <f>IFERROR(__xludf.DUMMYFUNCTION("""COMPUTED_VALUE"""),7.73)</f>
        <v>7.73</v>
      </c>
      <c r="G3750" s="9">
        <f>IFERROR(__xludf.DUMMYFUNCTION("""COMPUTED_VALUE"""),7.73)</f>
        <v>7.73</v>
      </c>
      <c r="H3750" s="9">
        <f>IFERROR(__xludf.DUMMYFUNCTION("""COMPUTED_VALUE"""),5.0)</f>
        <v>5</v>
      </c>
      <c r="I3750" s="9"/>
      <c r="J3750" s="9"/>
      <c r="K3750" s="9"/>
      <c r="L3750" s="9"/>
      <c r="M3750" s="9"/>
      <c r="N3750" s="9"/>
      <c r="O3750" s="9"/>
      <c r="P3750" s="9"/>
      <c r="Q3750" s="9"/>
      <c r="R3750" s="9"/>
      <c r="S3750" s="9"/>
      <c r="T3750" s="9"/>
    </row>
    <row r="3751" ht="15.75" customHeight="1">
      <c r="A3751" s="11">
        <f>IFERROR(__xludf.DUMMYFUNCTION("""COMPUTED_VALUE"""),44471.0)</f>
        <v>44471</v>
      </c>
      <c r="B3751" s="9">
        <f>IFERROR(__xludf.DUMMYFUNCTION("""COMPUTED_VALUE"""),1003824.0)</f>
        <v>1003824</v>
      </c>
      <c r="C3751" s="9">
        <f>IFERROR(__xludf.DUMMYFUNCTION("""COMPUTED_VALUE"""),110722.0)</f>
        <v>110722</v>
      </c>
      <c r="D3751" s="9"/>
      <c r="E3751" s="9"/>
      <c r="F3751" s="9">
        <f>IFERROR(__xludf.DUMMYFUNCTION("""COMPUTED_VALUE"""),14.4)</f>
        <v>14.4</v>
      </c>
      <c r="G3751" s="9">
        <f>IFERROR(__xludf.DUMMYFUNCTION("""COMPUTED_VALUE"""),14.4)</f>
        <v>14.4</v>
      </c>
      <c r="H3751" s="9">
        <f>IFERROR(__xludf.DUMMYFUNCTION("""COMPUTED_VALUE"""),1.0)</f>
        <v>1</v>
      </c>
      <c r="I3751" s="9"/>
      <c r="J3751" s="9"/>
      <c r="K3751" s="9"/>
      <c r="L3751" s="9"/>
      <c r="M3751" s="9"/>
      <c r="N3751" s="9"/>
      <c r="O3751" s="9"/>
      <c r="P3751" s="9"/>
      <c r="Q3751" s="9"/>
      <c r="R3751" s="9"/>
      <c r="S3751" s="9"/>
      <c r="T3751" s="9"/>
    </row>
    <row r="3752" ht="15.75" customHeight="1">
      <c r="A3752" s="11">
        <f>IFERROR(__xludf.DUMMYFUNCTION("""COMPUTED_VALUE"""),44471.0)</f>
        <v>44471</v>
      </c>
      <c r="B3752" s="9">
        <f>IFERROR(__xludf.DUMMYFUNCTION("""COMPUTED_VALUE"""),1003824.0)</f>
        <v>1003824</v>
      </c>
      <c r="C3752" s="9">
        <f>IFERROR(__xludf.DUMMYFUNCTION("""COMPUTED_VALUE"""),109185.0)</f>
        <v>109185</v>
      </c>
      <c r="D3752" s="9"/>
      <c r="E3752" s="9"/>
      <c r="F3752" s="9">
        <f>IFERROR(__xludf.DUMMYFUNCTION("""COMPUTED_VALUE"""),9.67)</f>
        <v>9.67</v>
      </c>
      <c r="G3752" s="9">
        <f>IFERROR(__xludf.DUMMYFUNCTION("""COMPUTED_VALUE"""),9.67)</f>
        <v>9.67</v>
      </c>
      <c r="H3752" s="9">
        <f>IFERROR(__xludf.DUMMYFUNCTION("""COMPUTED_VALUE"""),1.0)</f>
        <v>1</v>
      </c>
      <c r="I3752" s="9"/>
      <c r="J3752" s="9"/>
      <c r="K3752" s="9"/>
      <c r="L3752" s="9"/>
      <c r="M3752" s="9"/>
      <c r="N3752" s="9"/>
      <c r="O3752" s="9"/>
      <c r="P3752" s="9"/>
      <c r="Q3752" s="9"/>
      <c r="R3752" s="9"/>
      <c r="S3752" s="9"/>
      <c r="T3752" s="9"/>
    </row>
    <row r="3753" ht="15.75" customHeight="1">
      <c r="A3753" s="11">
        <f>IFERROR(__xludf.DUMMYFUNCTION("""COMPUTED_VALUE"""),44471.0)</f>
        <v>44471</v>
      </c>
      <c r="B3753" s="9">
        <f>IFERROR(__xludf.DUMMYFUNCTION("""COMPUTED_VALUE"""),1003824.0)</f>
        <v>1003824</v>
      </c>
      <c r="C3753" s="9">
        <f>IFERROR(__xludf.DUMMYFUNCTION("""COMPUTED_VALUE"""),102735.0)</f>
        <v>102735</v>
      </c>
      <c r="D3753" s="9"/>
      <c r="E3753" s="9"/>
      <c r="F3753" s="9">
        <f>IFERROR(__xludf.DUMMYFUNCTION("""COMPUTED_VALUE"""),7.76)</f>
        <v>7.76</v>
      </c>
      <c r="G3753" s="9">
        <f>IFERROR(__xludf.DUMMYFUNCTION("""COMPUTED_VALUE"""),7.76)</f>
        <v>7.76</v>
      </c>
      <c r="H3753" s="9">
        <f>IFERROR(__xludf.DUMMYFUNCTION("""COMPUTED_VALUE"""),2.0)</f>
        <v>2</v>
      </c>
      <c r="I3753" s="9"/>
      <c r="J3753" s="9"/>
      <c r="K3753" s="9"/>
      <c r="L3753" s="9"/>
      <c r="M3753" s="9"/>
      <c r="N3753" s="9"/>
      <c r="O3753" s="9"/>
      <c r="P3753" s="9"/>
      <c r="Q3753" s="9"/>
      <c r="R3753" s="9"/>
      <c r="S3753" s="9"/>
      <c r="T3753" s="9"/>
    </row>
    <row r="3754" ht="15.75" customHeight="1">
      <c r="A3754" s="11">
        <f>IFERROR(__xludf.DUMMYFUNCTION("""COMPUTED_VALUE"""),44471.0)</f>
        <v>44471</v>
      </c>
      <c r="B3754" s="9">
        <f>IFERROR(__xludf.DUMMYFUNCTION("""COMPUTED_VALUE"""),1003824.0)</f>
        <v>1003824</v>
      </c>
      <c r="C3754" s="9">
        <f>IFERROR(__xludf.DUMMYFUNCTION("""COMPUTED_VALUE"""),71743.0)</f>
        <v>71743</v>
      </c>
      <c r="D3754" s="9"/>
      <c r="E3754" s="9"/>
      <c r="F3754" s="9">
        <f>IFERROR(__xludf.DUMMYFUNCTION("""COMPUTED_VALUE"""),5.78)</f>
        <v>5.78</v>
      </c>
      <c r="G3754" s="9">
        <f>IFERROR(__xludf.DUMMYFUNCTION("""COMPUTED_VALUE"""),5.78)</f>
        <v>5.78</v>
      </c>
      <c r="H3754" s="9">
        <f>IFERROR(__xludf.DUMMYFUNCTION("""COMPUTED_VALUE"""),2.0)</f>
        <v>2</v>
      </c>
      <c r="I3754" s="9"/>
      <c r="J3754" s="9"/>
      <c r="K3754" s="9"/>
      <c r="L3754" s="9"/>
      <c r="M3754" s="9"/>
      <c r="N3754" s="9"/>
      <c r="O3754" s="9"/>
      <c r="P3754" s="9"/>
      <c r="Q3754" s="9"/>
      <c r="R3754" s="9"/>
      <c r="S3754" s="9"/>
      <c r="T3754" s="9"/>
    </row>
    <row r="3755" ht="15.75" customHeight="1">
      <c r="A3755" s="11">
        <f>IFERROR(__xludf.DUMMYFUNCTION("""COMPUTED_VALUE"""),44471.0)</f>
        <v>44471</v>
      </c>
      <c r="B3755" s="9">
        <f>IFERROR(__xludf.DUMMYFUNCTION("""COMPUTED_VALUE"""),1003824.0)</f>
        <v>1003824</v>
      </c>
      <c r="C3755" s="9">
        <f>IFERROR(__xludf.DUMMYFUNCTION("""COMPUTED_VALUE"""),7358.0)</f>
        <v>7358</v>
      </c>
      <c r="D3755" s="9"/>
      <c r="E3755" s="9"/>
      <c r="F3755" s="9">
        <f>IFERROR(__xludf.DUMMYFUNCTION("""COMPUTED_VALUE"""),8.41)</f>
        <v>8.41</v>
      </c>
      <c r="G3755" s="9">
        <f>IFERROR(__xludf.DUMMYFUNCTION("""COMPUTED_VALUE"""),8.41)</f>
        <v>8.41</v>
      </c>
      <c r="H3755" s="9">
        <f>IFERROR(__xludf.DUMMYFUNCTION("""COMPUTED_VALUE"""),2.0)</f>
        <v>2</v>
      </c>
      <c r="I3755" s="9"/>
      <c r="J3755" s="9"/>
      <c r="K3755" s="9"/>
      <c r="L3755" s="9"/>
      <c r="M3755" s="9"/>
      <c r="N3755" s="9"/>
      <c r="O3755" s="9"/>
      <c r="P3755" s="9"/>
      <c r="Q3755" s="9"/>
      <c r="R3755" s="9"/>
      <c r="S3755" s="9"/>
      <c r="T3755" s="9"/>
    </row>
    <row r="3756" ht="15.75" customHeight="1">
      <c r="A3756" s="11">
        <f>IFERROR(__xludf.DUMMYFUNCTION("""COMPUTED_VALUE"""),44471.0)</f>
        <v>44471</v>
      </c>
      <c r="B3756" s="9">
        <f>IFERROR(__xludf.DUMMYFUNCTION("""COMPUTED_VALUE"""),1003824.0)</f>
        <v>1003824</v>
      </c>
      <c r="C3756" s="9">
        <f>IFERROR(__xludf.DUMMYFUNCTION("""COMPUTED_VALUE"""),102695.0)</f>
        <v>102695</v>
      </c>
      <c r="D3756" s="9"/>
      <c r="E3756" s="9"/>
      <c r="F3756" s="9">
        <f>IFERROR(__xludf.DUMMYFUNCTION("""COMPUTED_VALUE"""),13.91)</f>
        <v>13.91</v>
      </c>
      <c r="G3756" s="9">
        <f>IFERROR(__xludf.DUMMYFUNCTION("""COMPUTED_VALUE"""),13.91)</f>
        <v>13.91</v>
      </c>
      <c r="H3756" s="9">
        <f>IFERROR(__xludf.DUMMYFUNCTION("""COMPUTED_VALUE"""),2.0)</f>
        <v>2</v>
      </c>
      <c r="I3756" s="9"/>
      <c r="J3756" s="9"/>
      <c r="K3756" s="9"/>
      <c r="L3756" s="9"/>
      <c r="M3756" s="9"/>
      <c r="N3756" s="9"/>
      <c r="O3756" s="9"/>
      <c r="P3756" s="9"/>
      <c r="Q3756" s="9"/>
      <c r="R3756" s="9"/>
      <c r="S3756" s="9"/>
      <c r="T3756" s="9"/>
    </row>
    <row r="3757" ht="15.75" customHeight="1">
      <c r="A3757" s="11">
        <f>IFERROR(__xludf.DUMMYFUNCTION("""COMPUTED_VALUE"""),44471.0)</f>
        <v>44471</v>
      </c>
      <c r="B3757" s="9">
        <f>IFERROR(__xludf.DUMMYFUNCTION("""COMPUTED_VALUE"""),1003824.0)</f>
        <v>1003824</v>
      </c>
      <c r="C3757" s="9">
        <f>IFERROR(__xludf.DUMMYFUNCTION("""COMPUTED_VALUE"""),88215.0)</f>
        <v>88215</v>
      </c>
      <c r="D3757" s="9"/>
      <c r="E3757" s="9"/>
      <c r="F3757" s="9">
        <f>IFERROR(__xludf.DUMMYFUNCTION("""COMPUTED_VALUE"""),6.09)</f>
        <v>6.09</v>
      </c>
      <c r="G3757" s="9">
        <f>IFERROR(__xludf.DUMMYFUNCTION("""COMPUTED_VALUE"""),6.09)</f>
        <v>6.09</v>
      </c>
      <c r="H3757" s="9">
        <f>IFERROR(__xludf.DUMMYFUNCTION("""COMPUTED_VALUE"""),2.0)</f>
        <v>2</v>
      </c>
      <c r="I3757" s="9"/>
      <c r="J3757" s="9"/>
      <c r="K3757" s="9"/>
      <c r="L3757" s="9"/>
      <c r="M3757" s="9"/>
      <c r="N3757" s="9"/>
      <c r="O3757" s="9"/>
      <c r="P3757" s="9"/>
      <c r="Q3757" s="9"/>
      <c r="R3757" s="9"/>
      <c r="S3757" s="9"/>
      <c r="T3757" s="9"/>
    </row>
    <row r="3758" ht="15.75" customHeight="1">
      <c r="A3758" s="11">
        <f>IFERROR(__xludf.DUMMYFUNCTION("""COMPUTED_VALUE"""),44471.0)</f>
        <v>44471</v>
      </c>
      <c r="B3758" s="9">
        <f>IFERROR(__xludf.DUMMYFUNCTION("""COMPUTED_VALUE"""),1003824.0)</f>
        <v>1003824</v>
      </c>
      <c r="C3758" s="9">
        <f>IFERROR(__xludf.DUMMYFUNCTION("""COMPUTED_VALUE"""),117394.0)</f>
        <v>117394</v>
      </c>
      <c r="D3758" s="9"/>
      <c r="E3758" s="9"/>
      <c r="F3758" s="9">
        <f>IFERROR(__xludf.DUMMYFUNCTION("""COMPUTED_VALUE"""),16.88)</f>
        <v>16.88</v>
      </c>
      <c r="G3758" s="9">
        <f>IFERROR(__xludf.DUMMYFUNCTION("""COMPUTED_VALUE"""),16.88)</f>
        <v>16.88</v>
      </c>
      <c r="H3758" s="9">
        <f>IFERROR(__xludf.DUMMYFUNCTION("""COMPUTED_VALUE"""),2.0)</f>
        <v>2</v>
      </c>
      <c r="I3758" s="9"/>
      <c r="J3758" s="9"/>
      <c r="K3758" s="9"/>
      <c r="L3758" s="9"/>
      <c r="M3758" s="9"/>
      <c r="N3758" s="9"/>
      <c r="O3758" s="9"/>
      <c r="P3758" s="9"/>
      <c r="Q3758" s="9"/>
      <c r="R3758" s="9"/>
      <c r="S3758" s="9"/>
      <c r="T3758" s="9"/>
    </row>
    <row r="3759" ht="15.75" customHeight="1">
      <c r="A3759" s="11">
        <f>IFERROR(__xludf.DUMMYFUNCTION("""COMPUTED_VALUE"""),44471.0)</f>
        <v>44471</v>
      </c>
      <c r="B3759" s="9">
        <f>IFERROR(__xludf.DUMMYFUNCTION("""COMPUTED_VALUE"""),1003824.0)</f>
        <v>1003824</v>
      </c>
      <c r="C3759" s="9">
        <f>IFERROR(__xludf.DUMMYFUNCTION("""COMPUTED_VALUE"""),71421.0)</f>
        <v>71421</v>
      </c>
      <c r="D3759" s="9"/>
      <c r="E3759" s="9"/>
      <c r="F3759" s="9">
        <f>IFERROR(__xludf.DUMMYFUNCTION("""COMPUTED_VALUE"""),24.17)</f>
        <v>24.17</v>
      </c>
      <c r="G3759" s="9">
        <f>IFERROR(__xludf.DUMMYFUNCTION("""COMPUTED_VALUE"""),24.17)</f>
        <v>24.17</v>
      </c>
      <c r="H3759" s="9">
        <f>IFERROR(__xludf.DUMMYFUNCTION("""COMPUTED_VALUE"""),2.0)</f>
        <v>2</v>
      </c>
      <c r="I3759" s="9"/>
      <c r="J3759" s="9"/>
      <c r="K3759" s="9"/>
      <c r="L3759" s="9"/>
      <c r="M3759" s="9"/>
      <c r="N3759" s="9"/>
      <c r="O3759" s="9"/>
      <c r="P3759" s="9"/>
      <c r="Q3759" s="9"/>
      <c r="R3759" s="9"/>
      <c r="S3759" s="9"/>
      <c r="T3759" s="9"/>
    </row>
    <row r="3760" ht="15.75" customHeight="1">
      <c r="A3760" s="11">
        <f>IFERROR(__xludf.DUMMYFUNCTION("""COMPUTED_VALUE"""),44471.0)</f>
        <v>44471</v>
      </c>
      <c r="B3760" s="9">
        <f>IFERROR(__xludf.DUMMYFUNCTION("""COMPUTED_VALUE"""),1003824.0)</f>
        <v>1003824</v>
      </c>
      <c r="C3760" s="9">
        <f>IFERROR(__xludf.DUMMYFUNCTION("""COMPUTED_VALUE"""),110334.0)</f>
        <v>110334</v>
      </c>
      <c r="D3760" s="10" t="str">
        <f>IFERROR(__xludf.DUMMYFUNCTION("""COMPUTED_VALUE"""),"Love &amp; Green Couches et Culottes sept 2021")</f>
        <v>Love &amp; Green Couches et Culottes sept 2021</v>
      </c>
      <c r="E3760" s="10"/>
      <c r="F3760" s="9">
        <f>IFERROR(__xludf.DUMMYFUNCTION("""COMPUTED_VALUE"""),82.8142857142857)</f>
        <v>82.81428571</v>
      </c>
      <c r="G3760" s="9">
        <f>IFERROR(__xludf.DUMMYFUNCTION("""COMPUTED_VALUE"""),57.97)</f>
        <v>57.97</v>
      </c>
      <c r="H3760" s="9">
        <f>IFERROR(__xludf.DUMMYFUNCTION("""COMPUTED_VALUE"""),8.0)</f>
        <v>8</v>
      </c>
      <c r="I3760" s="9"/>
      <c r="J3760" s="9"/>
      <c r="K3760" s="9"/>
      <c r="L3760" s="9"/>
      <c r="M3760" s="9"/>
      <c r="N3760" s="9"/>
      <c r="O3760" s="9"/>
      <c r="P3760" s="9"/>
      <c r="Q3760" s="9"/>
      <c r="R3760" s="9"/>
      <c r="S3760" s="9"/>
      <c r="T3760" s="9"/>
    </row>
    <row r="3761" ht="15.75" customHeight="1">
      <c r="A3761" s="11">
        <f>IFERROR(__xludf.DUMMYFUNCTION("""COMPUTED_VALUE"""),44471.0)</f>
        <v>44471</v>
      </c>
      <c r="B3761" s="9">
        <f>IFERROR(__xludf.DUMMYFUNCTION("""COMPUTED_VALUE"""),1003825.0)</f>
        <v>1003825</v>
      </c>
      <c r="C3761" s="9">
        <f>IFERROR(__xludf.DUMMYFUNCTION("""COMPUTED_VALUE"""),102947.0)</f>
        <v>102947</v>
      </c>
      <c r="D3761" s="9"/>
      <c r="E3761" s="10" t="str">
        <f>IFERROR(__xludf.DUMMYFUNCTION("""COMPUTED_VALUE"""),"GREENRELAIS")</f>
        <v>GREENRELAIS</v>
      </c>
      <c r="F3761" s="10">
        <f>IFERROR(__xludf.DUMMYFUNCTION("""COMPUTED_VALUE"""),14.62)</f>
        <v>14.62</v>
      </c>
      <c r="G3761" s="9">
        <f>IFERROR(__xludf.DUMMYFUNCTION("""COMPUTED_VALUE"""),14.62)</f>
        <v>14.62</v>
      </c>
      <c r="H3761" s="9">
        <f>IFERROR(__xludf.DUMMYFUNCTION("""COMPUTED_VALUE"""),1.0)</f>
        <v>1</v>
      </c>
      <c r="I3761" s="9"/>
      <c r="J3761" s="9"/>
      <c r="K3761" s="9"/>
      <c r="L3761" s="9"/>
      <c r="M3761" s="9"/>
      <c r="N3761" s="9"/>
      <c r="O3761" s="9"/>
      <c r="P3761" s="9"/>
      <c r="Q3761" s="9"/>
      <c r="R3761" s="9"/>
      <c r="S3761" s="9"/>
      <c r="T3761" s="9"/>
    </row>
    <row r="3762" ht="15.75" customHeight="1">
      <c r="A3762" s="11">
        <f>IFERROR(__xludf.DUMMYFUNCTION("""COMPUTED_VALUE"""),44471.0)</f>
        <v>44471</v>
      </c>
      <c r="B3762" s="9">
        <f>IFERROR(__xludf.DUMMYFUNCTION("""COMPUTED_VALUE"""),1003825.0)</f>
        <v>1003825</v>
      </c>
      <c r="C3762" s="9">
        <f>IFERROR(__xludf.DUMMYFUNCTION("""COMPUTED_VALUE"""),121068.0)</f>
        <v>121068</v>
      </c>
      <c r="D3762" s="10" t="str">
        <f>IFERROR(__xludf.DUMMYFUNCTION("""COMPUTED_VALUE"""),"Zero Dechet")</f>
        <v>Zero Dechet</v>
      </c>
      <c r="E3762" s="10" t="str">
        <f>IFERROR(__xludf.DUMMYFUNCTION("""COMPUTED_VALUE"""),"GREENRELAIS")</f>
        <v>GREENRELAIS</v>
      </c>
      <c r="F3762" s="10">
        <f>IFERROR(__xludf.DUMMYFUNCTION("""COMPUTED_VALUE"""),12.6705882352941)</f>
        <v>12.67058824</v>
      </c>
      <c r="G3762" s="9">
        <f>IFERROR(__xludf.DUMMYFUNCTION("""COMPUTED_VALUE"""),10.77)</f>
        <v>10.77</v>
      </c>
      <c r="H3762" s="9">
        <f>IFERROR(__xludf.DUMMYFUNCTION("""COMPUTED_VALUE"""),1.0)</f>
        <v>1</v>
      </c>
      <c r="I3762" s="9"/>
      <c r="J3762" s="9"/>
      <c r="K3762" s="9"/>
      <c r="L3762" s="9"/>
      <c r="M3762" s="9"/>
      <c r="N3762" s="9"/>
      <c r="O3762" s="9"/>
      <c r="P3762" s="9"/>
      <c r="Q3762" s="9"/>
      <c r="R3762" s="9"/>
      <c r="S3762" s="9"/>
      <c r="T3762" s="9"/>
    </row>
    <row r="3763" ht="15.75" customHeight="1">
      <c r="A3763" s="11">
        <f>IFERROR(__xludf.DUMMYFUNCTION("""COMPUTED_VALUE"""),44471.0)</f>
        <v>44471</v>
      </c>
      <c r="B3763" s="9">
        <f>IFERROR(__xludf.DUMMYFUNCTION("""COMPUTED_VALUE"""),1003825.0)</f>
        <v>1003825</v>
      </c>
      <c r="C3763" s="9">
        <f>IFERROR(__xludf.DUMMYFUNCTION("""COMPUTED_VALUE"""),72096.0)</f>
        <v>72096</v>
      </c>
      <c r="D3763" s="9"/>
      <c r="E3763" s="10" t="str">
        <f>IFERROR(__xludf.DUMMYFUNCTION("""COMPUTED_VALUE"""),"GREENRELAIS")</f>
        <v>GREENRELAIS</v>
      </c>
      <c r="F3763" s="10">
        <f>IFERROR(__xludf.DUMMYFUNCTION("""COMPUTED_VALUE"""),10.95)</f>
        <v>10.95</v>
      </c>
      <c r="G3763" s="9">
        <f>IFERROR(__xludf.DUMMYFUNCTION("""COMPUTED_VALUE"""),10.95)</f>
        <v>10.95</v>
      </c>
      <c r="H3763" s="9">
        <f>IFERROR(__xludf.DUMMYFUNCTION("""COMPUTED_VALUE"""),1.0)</f>
        <v>1</v>
      </c>
      <c r="I3763" s="9"/>
      <c r="J3763" s="9"/>
      <c r="K3763" s="9"/>
      <c r="L3763" s="9"/>
      <c r="M3763" s="9"/>
      <c r="N3763" s="9"/>
      <c r="O3763" s="9"/>
      <c r="P3763" s="9"/>
      <c r="Q3763" s="9"/>
      <c r="R3763" s="9"/>
      <c r="S3763" s="9"/>
      <c r="T3763" s="9"/>
    </row>
    <row r="3764" ht="15.75" customHeight="1">
      <c r="A3764" s="11">
        <f>IFERROR(__xludf.DUMMYFUNCTION("""COMPUTED_VALUE"""),44471.0)</f>
        <v>44471</v>
      </c>
      <c r="B3764" s="9">
        <f>IFERROR(__xludf.DUMMYFUNCTION("""COMPUTED_VALUE"""),1003825.0)</f>
        <v>1003825</v>
      </c>
      <c r="C3764" s="9">
        <f>IFERROR(__xludf.DUMMYFUNCTION("""COMPUTED_VALUE"""),77844.0)</f>
        <v>77844</v>
      </c>
      <c r="D3764" s="9"/>
      <c r="E3764" s="10" t="str">
        <f>IFERROR(__xludf.DUMMYFUNCTION("""COMPUTED_VALUE"""),"GREENRELAIS")</f>
        <v>GREENRELAIS</v>
      </c>
      <c r="F3764" s="10">
        <f>IFERROR(__xludf.DUMMYFUNCTION("""COMPUTED_VALUE"""),5.61)</f>
        <v>5.61</v>
      </c>
      <c r="G3764" s="9">
        <f>IFERROR(__xludf.DUMMYFUNCTION("""COMPUTED_VALUE"""),5.61)</f>
        <v>5.61</v>
      </c>
      <c r="H3764" s="9">
        <f>IFERROR(__xludf.DUMMYFUNCTION("""COMPUTED_VALUE"""),1.0)</f>
        <v>1</v>
      </c>
      <c r="I3764" s="9"/>
      <c r="J3764" s="9"/>
      <c r="K3764" s="9"/>
      <c r="L3764" s="9"/>
      <c r="M3764" s="9"/>
      <c r="N3764" s="9"/>
      <c r="O3764" s="9"/>
      <c r="P3764" s="9"/>
      <c r="Q3764" s="9"/>
      <c r="R3764" s="9"/>
      <c r="S3764" s="9"/>
      <c r="T3764" s="9"/>
    </row>
    <row r="3765" ht="15.75" customHeight="1">
      <c r="A3765" s="11">
        <f>IFERROR(__xludf.DUMMYFUNCTION("""COMPUTED_VALUE"""),44471.0)</f>
        <v>44471</v>
      </c>
      <c r="B3765" s="9">
        <f>IFERROR(__xludf.DUMMYFUNCTION("""COMPUTED_VALUE"""),1003825.0)</f>
        <v>1003825</v>
      </c>
      <c r="C3765" s="9">
        <f>IFERROR(__xludf.DUMMYFUNCTION("""COMPUTED_VALUE"""),86531.0)</f>
        <v>86531</v>
      </c>
      <c r="D3765" s="9"/>
      <c r="E3765" s="10" t="str">
        <f>IFERROR(__xludf.DUMMYFUNCTION("""COMPUTED_VALUE"""),"GREENRELAIS")</f>
        <v>GREENRELAIS</v>
      </c>
      <c r="F3765" s="10">
        <f>IFERROR(__xludf.DUMMYFUNCTION("""COMPUTED_VALUE"""),1.03)</f>
        <v>1.03</v>
      </c>
      <c r="G3765" s="9">
        <f>IFERROR(__xludf.DUMMYFUNCTION("""COMPUTED_VALUE"""),1.03)</f>
        <v>1.03</v>
      </c>
      <c r="H3765" s="9">
        <f>IFERROR(__xludf.DUMMYFUNCTION("""COMPUTED_VALUE"""),1.0)</f>
        <v>1</v>
      </c>
      <c r="I3765" s="9"/>
      <c r="J3765" s="9"/>
      <c r="K3765" s="9"/>
      <c r="L3765" s="9"/>
      <c r="M3765" s="9"/>
      <c r="N3765" s="9"/>
      <c r="O3765" s="9"/>
      <c r="P3765" s="9"/>
      <c r="Q3765" s="9"/>
      <c r="R3765" s="9"/>
      <c r="S3765" s="9"/>
      <c r="T3765" s="9"/>
    </row>
    <row r="3766" ht="15.75" customHeight="1">
      <c r="A3766" s="11">
        <f>IFERROR(__xludf.DUMMYFUNCTION("""COMPUTED_VALUE"""),44471.0)</f>
        <v>44471</v>
      </c>
      <c r="B3766" s="9">
        <f>IFERROR(__xludf.DUMMYFUNCTION("""COMPUTED_VALUE"""),1003825.0)</f>
        <v>1003825</v>
      </c>
      <c r="C3766" s="9">
        <f>IFERROR(__xludf.DUMMYFUNCTION("""COMPUTED_VALUE"""),10685.0)</f>
        <v>10685</v>
      </c>
      <c r="D3766" s="9"/>
      <c r="E3766" s="10" t="str">
        <f>IFERROR(__xludf.DUMMYFUNCTION("""COMPUTED_VALUE"""),"GREENRELAIS")</f>
        <v>GREENRELAIS</v>
      </c>
      <c r="F3766" s="10">
        <f>IFERROR(__xludf.DUMMYFUNCTION("""COMPUTED_VALUE"""),8.32)</f>
        <v>8.32</v>
      </c>
      <c r="G3766" s="9">
        <f>IFERROR(__xludf.DUMMYFUNCTION("""COMPUTED_VALUE"""),8.32)</f>
        <v>8.32</v>
      </c>
      <c r="H3766" s="9">
        <f>IFERROR(__xludf.DUMMYFUNCTION("""COMPUTED_VALUE"""),1.0)</f>
        <v>1</v>
      </c>
      <c r="I3766" s="9"/>
      <c r="J3766" s="9"/>
      <c r="K3766" s="9"/>
      <c r="L3766" s="9"/>
      <c r="M3766" s="9"/>
      <c r="N3766" s="9"/>
      <c r="O3766" s="9"/>
      <c r="P3766" s="9"/>
      <c r="Q3766" s="9"/>
      <c r="R3766" s="9"/>
      <c r="S3766" s="9"/>
      <c r="T3766" s="9"/>
    </row>
    <row r="3767" ht="15.75" customHeight="1">
      <c r="A3767" s="11">
        <f>IFERROR(__xludf.DUMMYFUNCTION("""COMPUTED_VALUE"""),44471.0)</f>
        <v>44471</v>
      </c>
      <c r="B3767" s="9">
        <f>IFERROR(__xludf.DUMMYFUNCTION("""COMPUTED_VALUE"""),1003826.0)</f>
        <v>1003826</v>
      </c>
      <c r="C3767" s="9">
        <f>IFERROR(__xludf.DUMMYFUNCTION("""COMPUTED_VALUE"""),77771.0)</f>
        <v>77771</v>
      </c>
      <c r="D3767" s="9"/>
      <c r="E3767" s="9"/>
      <c r="F3767" s="9">
        <f>IFERROR(__xludf.DUMMYFUNCTION("""COMPUTED_VALUE"""),3.26)</f>
        <v>3.26</v>
      </c>
      <c r="G3767" s="9">
        <f>IFERROR(__xludf.DUMMYFUNCTION("""COMPUTED_VALUE"""),3.26)</f>
        <v>3.26</v>
      </c>
      <c r="H3767" s="9">
        <f>IFERROR(__xludf.DUMMYFUNCTION("""COMPUTED_VALUE"""),1.0)</f>
        <v>1</v>
      </c>
      <c r="I3767" s="9"/>
      <c r="J3767" s="9"/>
      <c r="K3767" s="9"/>
      <c r="L3767" s="9"/>
      <c r="M3767" s="9"/>
      <c r="N3767" s="9"/>
      <c r="O3767" s="9"/>
      <c r="P3767" s="9"/>
      <c r="Q3767" s="9"/>
      <c r="R3767" s="9"/>
      <c r="S3767" s="9"/>
      <c r="T3767" s="9"/>
    </row>
    <row r="3768" ht="15.75" customHeight="1">
      <c r="A3768" s="11">
        <f>IFERROR(__xludf.DUMMYFUNCTION("""COMPUTED_VALUE"""),44471.0)</f>
        <v>44471</v>
      </c>
      <c r="B3768" s="9">
        <f>IFERROR(__xludf.DUMMYFUNCTION("""COMPUTED_VALUE"""),1003826.0)</f>
        <v>1003826</v>
      </c>
      <c r="C3768" s="9">
        <f>IFERROR(__xludf.DUMMYFUNCTION("""COMPUTED_VALUE"""),3437.0)</f>
        <v>3437</v>
      </c>
      <c r="D3768" s="9"/>
      <c r="E3768" s="9"/>
      <c r="F3768" s="9">
        <f>IFERROR(__xludf.DUMMYFUNCTION("""COMPUTED_VALUE"""),5.81)</f>
        <v>5.81</v>
      </c>
      <c r="G3768" s="9">
        <f>IFERROR(__xludf.DUMMYFUNCTION("""COMPUTED_VALUE"""),5.81)</f>
        <v>5.81</v>
      </c>
      <c r="H3768" s="9">
        <f>IFERROR(__xludf.DUMMYFUNCTION("""COMPUTED_VALUE"""),1.0)</f>
        <v>1</v>
      </c>
      <c r="I3768" s="9"/>
      <c r="J3768" s="9"/>
      <c r="K3768" s="9"/>
      <c r="L3768" s="9"/>
      <c r="M3768" s="9"/>
      <c r="N3768" s="9"/>
      <c r="O3768" s="9"/>
      <c r="P3768" s="9"/>
      <c r="Q3768" s="9"/>
      <c r="R3768" s="9"/>
      <c r="S3768" s="9"/>
      <c r="T3768" s="9"/>
    </row>
    <row r="3769" ht="15.75" customHeight="1">
      <c r="A3769" s="11">
        <f>IFERROR(__xludf.DUMMYFUNCTION("""COMPUTED_VALUE"""),44471.0)</f>
        <v>44471</v>
      </c>
      <c r="B3769" s="9">
        <f>IFERROR(__xludf.DUMMYFUNCTION("""COMPUTED_VALUE"""),1003826.0)</f>
        <v>1003826</v>
      </c>
      <c r="C3769" s="9">
        <f>IFERROR(__xludf.DUMMYFUNCTION("""COMPUTED_VALUE"""),128377.0)</f>
        <v>128377</v>
      </c>
      <c r="D3769" s="9"/>
      <c r="E3769" s="9"/>
      <c r="F3769" s="9">
        <f>IFERROR(__xludf.DUMMYFUNCTION("""COMPUTED_VALUE"""),5.42)</f>
        <v>5.42</v>
      </c>
      <c r="G3769" s="9">
        <f>IFERROR(__xludf.DUMMYFUNCTION("""COMPUTED_VALUE"""),5.42)</f>
        <v>5.42</v>
      </c>
      <c r="H3769" s="9">
        <f>IFERROR(__xludf.DUMMYFUNCTION("""COMPUTED_VALUE"""),1.0)</f>
        <v>1</v>
      </c>
      <c r="I3769" s="9"/>
      <c r="J3769" s="9"/>
      <c r="K3769" s="9"/>
      <c r="L3769" s="9"/>
      <c r="M3769" s="9"/>
      <c r="N3769" s="9"/>
      <c r="O3769" s="9"/>
      <c r="P3769" s="9"/>
      <c r="Q3769" s="9"/>
      <c r="R3769" s="9"/>
      <c r="S3769" s="9"/>
      <c r="T3769" s="9"/>
    </row>
    <row r="3770" ht="15.75" customHeight="1">
      <c r="A3770" s="11">
        <f>IFERROR(__xludf.DUMMYFUNCTION("""COMPUTED_VALUE"""),44471.0)</f>
        <v>44471</v>
      </c>
      <c r="B3770" s="9">
        <f>IFERROR(__xludf.DUMMYFUNCTION("""COMPUTED_VALUE"""),1003826.0)</f>
        <v>1003826</v>
      </c>
      <c r="C3770" s="9">
        <f>IFERROR(__xludf.DUMMYFUNCTION("""COMPUTED_VALUE"""),118467.0)</f>
        <v>118467</v>
      </c>
      <c r="D3770" s="9"/>
      <c r="E3770" s="9"/>
      <c r="F3770" s="9">
        <f>IFERROR(__xludf.DUMMYFUNCTION("""COMPUTED_VALUE"""),29.42)</f>
        <v>29.42</v>
      </c>
      <c r="G3770" s="9">
        <f>IFERROR(__xludf.DUMMYFUNCTION("""COMPUTED_VALUE"""),29.42)</f>
        <v>29.42</v>
      </c>
      <c r="H3770" s="9">
        <f>IFERROR(__xludf.DUMMYFUNCTION("""COMPUTED_VALUE"""),1.0)</f>
        <v>1</v>
      </c>
      <c r="I3770" s="9"/>
      <c r="J3770" s="9"/>
      <c r="K3770" s="9"/>
      <c r="L3770" s="9"/>
      <c r="M3770" s="9"/>
      <c r="N3770" s="9"/>
      <c r="O3770" s="9"/>
      <c r="P3770" s="9"/>
      <c r="Q3770" s="9"/>
      <c r="R3770" s="9"/>
      <c r="S3770" s="9"/>
      <c r="T3770" s="9"/>
    </row>
    <row r="3771" ht="15.75" customHeight="1">
      <c r="A3771" s="11">
        <f>IFERROR(__xludf.DUMMYFUNCTION("""COMPUTED_VALUE"""),44471.0)</f>
        <v>44471</v>
      </c>
      <c r="B3771" s="9">
        <f>IFERROR(__xludf.DUMMYFUNCTION("""COMPUTED_VALUE"""),1003826.0)</f>
        <v>1003826</v>
      </c>
      <c r="C3771" s="9">
        <f>IFERROR(__xludf.DUMMYFUNCTION("""COMPUTED_VALUE"""),69122.0)</f>
        <v>69122</v>
      </c>
      <c r="D3771" s="9"/>
      <c r="E3771" s="9"/>
      <c r="F3771" s="9">
        <f>IFERROR(__xludf.DUMMYFUNCTION("""COMPUTED_VALUE"""),3.12)</f>
        <v>3.12</v>
      </c>
      <c r="G3771" s="9">
        <f>IFERROR(__xludf.DUMMYFUNCTION("""COMPUTED_VALUE"""),3.12)</f>
        <v>3.12</v>
      </c>
      <c r="H3771" s="9">
        <f>IFERROR(__xludf.DUMMYFUNCTION("""COMPUTED_VALUE"""),1.0)</f>
        <v>1</v>
      </c>
      <c r="I3771" s="9"/>
      <c r="J3771" s="9"/>
      <c r="K3771" s="9"/>
      <c r="L3771" s="9"/>
      <c r="M3771" s="9"/>
      <c r="N3771" s="9"/>
      <c r="O3771" s="9"/>
      <c r="P3771" s="9"/>
      <c r="Q3771" s="9"/>
      <c r="R3771" s="9"/>
      <c r="S3771" s="9"/>
      <c r="T3771" s="9"/>
    </row>
    <row r="3772" ht="15.75" customHeight="1">
      <c r="A3772" s="11">
        <f>IFERROR(__xludf.DUMMYFUNCTION("""COMPUTED_VALUE"""),44471.0)</f>
        <v>44471</v>
      </c>
      <c r="B3772" s="9">
        <f>IFERROR(__xludf.DUMMYFUNCTION("""COMPUTED_VALUE"""),1003827.0)</f>
        <v>1003827</v>
      </c>
      <c r="C3772" s="9">
        <f>IFERROR(__xludf.DUMMYFUNCTION("""COMPUTED_VALUE"""),30501.0)</f>
        <v>30501</v>
      </c>
      <c r="D3772" s="9"/>
      <c r="E3772" s="9"/>
      <c r="F3772" s="9">
        <f>IFERROR(__xludf.DUMMYFUNCTION("""COMPUTED_VALUE"""),9.41)</f>
        <v>9.41</v>
      </c>
      <c r="G3772" s="9">
        <f>IFERROR(__xludf.DUMMYFUNCTION("""COMPUTED_VALUE"""),9.41)</f>
        <v>9.41</v>
      </c>
      <c r="H3772" s="9">
        <f>IFERROR(__xludf.DUMMYFUNCTION("""COMPUTED_VALUE"""),1.0)</f>
        <v>1</v>
      </c>
      <c r="I3772" s="9"/>
      <c r="J3772" s="9"/>
      <c r="K3772" s="9"/>
      <c r="L3772" s="9"/>
      <c r="M3772" s="9"/>
      <c r="N3772" s="9"/>
      <c r="O3772" s="9"/>
      <c r="P3772" s="9"/>
      <c r="Q3772" s="9"/>
      <c r="R3772" s="9"/>
      <c r="S3772" s="9"/>
      <c r="T3772" s="9"/>
    </row>
    <row r="3773" ht="15.75" customHeight="1">
      <c r="A3773" s="11">
        <f>IFERROR(__xludf.DUMMYFUNCTION("""COMPUTED_VALUE"""),44471.0)</f>
        <v>44471</v>
      </c>
      <c r="B3773" s="9">
        <f>IFERROR(__xludf.DUMMYFUNCTION("""COMPUTED_VALUE"""),1003827.0)</f>
        <v>1003827</v>
      </c>
      <c r="C3773" s="9">
        <f>IFERROR(__xludf.DUMMYFUNCTION("""COMPUTED_VALUE"""),109966.0)</f>
        <v>109966</v>
      </c>
      <c r="D3773" s="10" t="str">
        <f>IFERROR(__xludf.DUMMYFUNCTION("""COMPUTED_VALUE"""),"Carryboo soin bebe 2021")</f>
        <v>Carryboo soin bebe 2021</v>
      </c>
      <c r="E3773" s="10"/>
      <c r="F3773" s="9">
        <f>IFERROR(__xludf.DUMMYFUNCTION("""COMPUTED_VALUE"""),6.90666666666666)</f>
        <v>6.906666667</v>
      </c>
      <c r="G3773" s="9">
        <f>IFERROR(__xludf.DUMMYFUNCTION("""COMPUTED_VALUE"""),5.18)</f>
        <v>5.18</v>
      </c>
      <c r="H3773" s="9">
        <f>IFERROR(__xludf.DUMMYFUNCTION("""COMPUTED_VALUE"""),1.0)</f>
        <v>1</v>
      </c>
      <c r="I3773" s="9"/>
      <c r="J3773" s="9"/>
      <c r="K3773" s="9"/>
      <c r="L3773" s="9"/>
      <c r="M3773" s="9"/>
      <c r="N3773" s="9"/>
      <c r="O3773" s="9"/>
      <c r="P3773" s="9"/>
      <c r="Q3773" s="9"/>
      <c r="R3773" s="9"/>
      <c r="S3773" s="9"/>
      <c r="T3773" s="9"/>
    </row>
    <row r="3774" ht="15.75" customHeight="1">
      <c r="A3774" s="11">
        <f>IFERROR(__xludf.DUMMYFUNCTION("""COMPUTED_VALUE"""),44471.0)</f>
        <v>44471</v>
      </c>
      <c r="B3774" s="9">
        <f>IFERROR(__xludf.DUMMYFUNCTION("""COMPUTED_VALUE"""),1003827.0)</f>
        <v>1003827</v>
      </c>
      <c r="C3774" s="9">
        <f>IFERROR(__xludf.DUMMYFUNCTION("""COMPUTED_VALUE"""),119028.0)</f>
        <v>119028</v>
      </c>
      <c r="D3774" s="9"/>
      <c r="E3774" s="9"/>
      <c r="F3774" s="9">
        <f>IFERROR(__xludf.DUMMYFUNCTION("""COMPUTED_VALUE"""),11.86)</f>
        <v>11.86</v>
      </c>
      <c r="G3774" s="9">
        <f>IFERROR(__xludf.DUMMYFUNCTION("""COMPUTED_VALUE"""),11.86)</f>
        <v>11.86</v>
      </c>
      <c r="H3774" s="9">
        <f>IFERROR(__xludf.DUMMYFUNCTION("""COMPUTED_VALUE"""),1.0)</f>
        <v>1</v>
      </c>
      <c r="I3774" s="9"/>
      <c r="J3774" s="9"/>
      <c r="K3774" s="9"/>
      <c r="L3774" s="9"/>
      <c r="M3774" s="9"/>
      <c r="N3774" s="9"/>
      <c r="O3774" s="9"/>
      <c r="P3774" s="9"/>
      <c r="Q3774" s="9"/>
      <c r="R3774" s="9"/>
      <c r="S3774" s="9"/>
      <c r="T3774" s="9"/>
    </row>
    <row r="3775" ht="15.75" customHeight="1">
      <c r="A3775" s="11">
        <f>IFERROR(__xludf.DUMMYFUNCTION("""COMPUTED_VALUE"""),44471.0)</f>
        <v>44471</v>
      </c>
      <c r="B3775" s="9">
        <f>IFERROR(__xludf.DUMMYFUNCTION("""COMPUTED_VALUE"""),1003827.0)</f>
        <v>1003827</v>
      </c>
      <c r="C3775" s="9">
        <f>IFERROR(__xludf.DUMMYFUNCTION("""COMPUTED_VALUE"""),110337.0)</f>
        <v>110337</v>
      </c>
      <c r="D3775" s="10" t="str">
        <f>IFERROR(__xludf.DUMMYFUNCTION("""COMPUTED_VALUE"""),"Love &amp; Green Couches et Culottes sept 2021")</f>
        <v>Love &amp; Green Couches et Culottes sept 2021</v>
      </c>
      <c r="E3775" s="10"/>
      <c r="F3775" s="9">
        <f>IFERROR(__xludf.DUMMYFUNCTION("""COMPUTED_VALUE"""),41.4)</f>
        <v>41.4</v>
      </c>
      <c r="G3775" s="9">
        <f>IFERROR(__xludf.DUMMYFUNCTION("""COMPUTED_VALUE"""),28.98)</f>
        <v>28.98</v>
      </c>
      <c r="H3775" s="9">
        <f>IFERROR(__xludf.DUMMYFUNCTION("""COMPUTED_VALUE"""),4.0)</f>
        <v>4</v>
      </c>
      <c r="I3775" s="9"/>
      <c r="J3775" s="9"/>
      <c r="K3775" s="9"/>
      <c r="L3775" s="9"/>
      <c r="M3775" s="9"/>
      <c r="N3775" s="9"/>
      <c r="O3775" s="9"/>
      <c r="P3775" s="9"/>
      <c r="Q3775" s="9"/>
      <c r="R3775" s="9"/>
      <c r="S3775" s="9"/>
      <c r="T3775" s="9"/>
    </row>
    <row r="3776" ht="15.75" customHeight="1">
      <c r="A3776" s="11">
        <f>IFERROR(__xludf.DUMMYFUNCTION("""COMPUTED_VALUE"""),44471.0)</f>
        <v>44471</v>
      </c>
      <c r="B3776" s="9">
        <f>IFERROR(__xludf.DUMMYFUNCTION("""COMPUTED_VALUE"""),1003827.0)</f>
        <v>1003827</v>
      </c>
      <c r="C3776" s="9">
        <f>IFERROR(__xludf.DUMMYFUNCTION("""COMPUTED_VALUE"""),103592.0)</f>
        <v>103592</v>
      </c>
      <c r="D3776" s="10" t="str">
        <f>IFERROR(__xludf.DUMMYFUNCTION("""COMPUTED_VALUE"""),"Love &amp; Green Couches et Culottes sept 2021")</f>
        <v>Love &amp; Green Couches et Culottes sept 2021</v>
      </c>
      <c r="E3776" s="10"/>
      <c r="F3776" s="9">
        <f>IFERROR(__xludf.DUMMYFUNCTION("""COMPUTED_VALUE"""),62.6571428571428)</f>
        <v>62.65714286</v>
      </c>
      <c r="G3776" s="9">
        <f>IFERROR(__xludf.DUMMYFUNCTION("""COMPUTED_VALUE"""),43.86)</f>
        <v>43.86</v>
      </c>
      <c r="H3776" s="9">
        <f>IFERROR(__xludf.DUMMYFUNCTION("""COMPUTED_VALUE"""),4.0)</f>
        <v>4</v>
      </c>
      <c r="I3776" s="9"/>
      <c r="J3776" s="9"/>
      <c r="K3776" s="9"/>
      <c r="L3776" s="9"/>
      <c r="M3776" s="9"/>
      <c r="N3776" s="9"/>
      <c r="O3776" s="9"/>
      <c r="P3776" s="9"/>
      <c r="Q3776" s="9"/>
      <c r="R3776" s="9"/>
      <c r="S3776" s="9"/>
      <c r="T3776" s="9"/>
    </row>
    <row r="3777" ht="15.75" customHeight="1">
      <c r="A3777" s="11">
        <f>IFERROR(__xludf.DUMMYFUNCTION("""COMPUTED_VALUE"""),44471.0)</f>
        <v>44471</v>
      </c>
      <c r="B3777" s="9">
        <f>IFERROR(__xludf.DUMMYFUNCTION("""COMPUTED_VALUE"""),1003828.0)</f>
        <v>1003828</v>
      </c>
      <c r="C3777" s="9">
        <f>IFERROR(__xludf.DUMMYFUNCTION("""COMPUTED_VALUE"""),44738.0)</f>
        <v>44738</v>
      </c>
      <c r="D3777" s="9"/>
      <c r="E3777" s="9"/>
      <c r="F3777" s="9">
        <f>IFERROR(__xludf.DUMMYFUNCTION("""COMPUTED_VALUE"""),18.12)</f>
        <v>18.12</v>
      </c>
      <c r="G3777" s="9">
        <f>IFERROR(__xludf.DUMMYFUNCTION("""COMPUTED_VALUE"""),18.12)</f>
        <v>18.12</v>
      </c>
      <c r="H3777" s="9">
        <f>IFERROR(__xludf.DUMMYFUNCTION("""COMPUTED_VALUE"""),1.0)</f>
        <v>1</v>
      </c>
      <c r="I3777" s="9"/>
      <c r="J3777" s="9"/>
      <c r="K3777" s="9"/>
      <c r="L3777" s="9"/>
      <c r="M3777" s="9"/>
      <c r="N3777" s="9"/>
      <c r="O3777" s="9"/>
      <c r="P3777" s="9"/>
      <c r="Q3777" s="9"/>
      <c r="R3777" s="9"/>
      <c r="S3777" s="9"/>
      <c r="T3777" s="9"/>
    </row>
    <row r="3778" ht="15.75" customHeight="1">
      <c r="A3778" s="11">
        <f>IFERROR(__xludf.DUMMYFUNCTION("""COMPUTED_VALUE"""),44471.0)</f>
        <v>44471</v>
      </c>
      <c r="B3778" s="9">
        <f>IFERROR(__xludf.DUMMYFUNCTION("""COMPUTED_VALUE"""),1003828.0)</f>
        <v>1003828</v>
      </c>
      <c r="C3778" s="9">
        <f>IFERROR(__xludf.DUMMYFUNCTION("""COMPUTED_VALUE"""),72816.0)</f>
        <v>72816</v>
      </c>
      <c r="D3778" s="10" t="str">
        <f>IFERROR(__xludf.DUMMYFUNCTION("""COMPUTED_VALUE"""),"Vive le bio")</f>
        <v>Vive le bio</v>
      </c>
      <c r="E3778" s="10"/>
      <c r="F3778" s="9">
        <f>IFERROR(__xludf.DUMMYFUNCTION("""COMPUTED_VALUE"""),3.5578947368421)</f>
        <v>3.557894737</v>
      </c>
      <c r="G3778" s="9">
        <f>IFERROR(__xludf.DUMMYFUNCTION("""COMPUTED_VALUE"""),3.38)</f>
        <v>3.38</v>
      </c>
      <c r="H3778" s="9">
        <f>IFERROR(__xludf.DUMMYFUNCTION("""COMPUTED_VALUE"""),1.0)</f>
        <v>1</v>
      </c>
      <c r="I3778" s="9"/>
      <c r="J3778" s="9"/>
      <c r="K3778" s="9"/>
      <c r="L3778" s="9"/>
      <c r="M3778" s="9"/>
      <c r="N3778" s="9"/>
      <c r="O3778" s="9"/>
      <c r="P3778" s="9"/>
      <c r="Q3778" s="9"/>
      <c r="R3778" s="9"/>
      <c r="S3778" s="9"/>
      <c r="T3778" s="9"/>
    </row>
    <row r="3779" ht="15.75" customHeight="1">
      <c r="A3779" s="11">
        <f>IFERROR(__xludf.DUMMYFUNCTION("""COMPUTED_VALUE"""),44471.0)</f>
        <v>44471</v>
      </c>
      <c r="B3779" s="9">
        <f>IFERROR(__xludf.DUMMYFUNCTION("""COMPUTED_VALUE"""),1003828.0)</f>
        <v>1003828</v>
      </c>
      <c r="C3779" s="9">
        <f>IFERROR(__xludf.DUMMYFUNCTION("""COMPUTED_VALUE"""),44762.0)</f>
        <v>44762</v>
      </c>
      <c r="D3779" s="9"/>
      <c r="E3779" s="9"/>
      <c r="F3779" s="9">
        <f>IFERROR(__xludf.DUMMYFUNCTION("""COMPUTED_VALUE"""),11.24)</f>
        <v>11.24</v>
      </c>
      <c r="G3779" s="9">
        <f>IFERROR(__xludf.DUMMYFUNCTION("""COMPUTED_VALUE"""),11.24)</f>
        <v>11.24</v>
      </c>
      <c r="H3779" s="9">
        <f>IFERROR(__xludf.DUMMYFUNCTION("""COMPUTED_VALUE"""),1.0)</f>
        <v>1</v>
      </c>
      <c r="I3779" s="9"/>
      <c r="J3779" s="9"/>
      <c r="K3779" s="9"/>
      <c r="L3779" s="9"/>
      <c r="M3779" s="9"/>
      <c r="N3779" s="9"/>
      <c r="O3779" s="9"/>
      <c r="P3779" s="9"/>
      <c r="Q3779" s="9"/>
      <c r="R3779" s="9"/>
      <c r="S3779" s="9"/>
      <c r="T3779" s="9"/>
    </row>
    <row r="3780" ht="15.75" customHeight="1">
      <c r="A3780" s="11">
        <f>IFERROR(__xludf.DUMMYFUNCTION("""COMPUTED_VALUE"""),44471.0)</f>
        <v>44471</v>
      </c>
      <c r="B3780" s="9">
        <f>IFERROR(__xludf.DUMMYFUNCTION("""COMPUTED_VALUE"""),1003829.0)</f>
        <v>1003829</v>
      </c>
      <c r="C3780" s="9">
        <f>IFERROR(__xludf.DUMMYFUNCTION("""COMPUTED_VALUE"""),121012.0)</f>
        <v>121012</v>
      </c>
      <c r="D3780" s="9"/>
      <c r="E3780" s="9"/>
      <c r="F3780" s="9">
        <f>IFERROR(__xludf.DUMMYFUNCTION("""COMPUTED_VALUE"""),19.08)</f>
        <v>19.08</v>
      </c>
      <c r="G3780" s="9">
        <f>IFERROR(__xludf.DUMMYFUNCTION("""COMPUTED_VALUE"""),19.08)</f>
        <v>19.08</v>
      </c>
      <c r="H3780" s="9">
        <f>IFERROR(__xludf.DUMMYFUNCTION("""COMPUTED_VALUE"""),1.0)</f>
        <v>1</v>
      </c>
      <c r="I3780" s="9"/>
      <c r="J3780" s="9"/>
      <c r="K3780" s="9"/>
      <c r="L3780" s="9"/>
      <c r="M3780" s="9"/>
      <c r="N3780" s="9"/>
      <c r="O3780" s="9"/>
      <c r="P3780" s="9"/>
      <c r="Q3780" s="9"/>
      <c r="R3780" s="9"/>
      <c r="S3780" s="9"/>
      <c r="T3780" s="9"/>
    </row>
    <row r="3781" ht="15.75" customHeight="1">
      <c r="A3781" s="11">
        <f>IFERROR(__xludf.DUMMYFUNCTION("""COMPUTED_VALUE"""),44471.0)</f>
        <v>44471</v>
      </c>
      <c r="B3781" s="9">
        <f>IFERROR(__xludf.DUMMYFUNCTION("""COMPUTED_VALUE"""),1003829.0)</f>
        <v>1003829</v>
      </c>
      <c r="C3781" s="9">
        <f>IFERROR(__xludf.DUMMYFUNCTION("""COMPUTED_VALUE"""),63608.0)</f>
        <v>63608</v>
      </c>
      <c r="D3781" s="9"/>
      <c r="E3781" s="9"/>
      <c r="F3781" s="9">
        <f>IFERROR(__xludf.DUMMYFUNCTION("""COMPUTED_VALUE"""),13.13)</f>
        <v>13.13</v>
      </c>
      <c r="G3781" s="9">
        <f>IFERROR(__xludf.DUMMYFUNCTION("""COMPUTED_VALUE"""),13.13)</f>
        <v>13.13</v>
      </c>
      <c r="H3781" s="9">
        <f>IFERROR(__xludf.DUMMYFUNCTION("""COMPUTED_VALUE"""),1.0)</f>
        <v>1</v>
      </c>
      <c r="I3781" s="9"/>
      <c r="J3781" s="9"/>
      <c r="K3781" s="9"/>
      <c r="L3781" s="9"/>
      <c r="M3781" s="9"/>
      <c r="N3781" s="9"/>
      <c r="O3781" s="9"/>
      <c r="P3781" s="9"/>
      <c r="Q3781" s="9"/>
      <c r="R3781" s="9"/>
      <c r="S3781" s="9"/>
      <c r="T3781" s="9"/>
    </row>
    <row r="3782" ht="15.75" customHeight="1">
      <c r="A3782" s="11">
        <f>IFERROR(__xludf.DUMMYFUNCTION("""COMPUTED_VALUE"""),44471.0)</f>
        <v>44471</v>
      </c>
      <c r="B3782" s="9">
        <f>IFERROR(__xludf.DUMMYFUNCTION("""COMPUTED_VALUE"""),1003830.0)</f>
        <v>1003830</v>
      </c>
      <c r="C3782" s="9">
        <f>IFERROR(__xludf.DUMMYFUNCTION("""COMPUTED_VALUE"""),102188.0)</f>
        <v>102188</v>
      </c>
      <c r="D3782" s="9"/>
      <c r="E3782" s="10" t="str">
        <f>IFERROR(__xludf.DUMMYFUNCTION("""COMPUTED_VALUE"""),"PREMIERE")</f>
        <v>PREMIERE</v>
      </c>
      <c r="F3782" s="10">
        <f>IFERROR(__xludf.DUMMYFUNCTION("""COMPUTED_VALUE"""),2.76)</f>
        <v>2.76</v>
      </c>
      <c r="G3782" s="9">
        <f>IFERROR(__xludf.DUMMYFUNCTION("""COMPUTED_VALUE"""),2.76)</f>
        <v>2.76</v>
      </c>
      <c r="H3782" s="9">
        <f>IFERROR(__xludf.DUMMYFUNCTION("""COMPUTED_VALUE"""),1.0)</f>
        <v>1</v>
      </c>
      <c r="I3782" s="9"/>
      <c r="J3782" s="9"/>
      <c r="K3782" s="9"/>
      <c r="L3782" s="9"/>
      <c r="M3782" s="9"/>
      <c r="N3782" s="9"/>
      <c r="O3782" s="9"/>
      <c r="P3782" s="9"/>
      <c r="Q3782" s="9"/>
      <c r="R3782" s="9"/>
      <c r="S3782" s="9"/>
      <c r="T3782" s="9"/>
    </row>
    <row r="3783" ht="15.75" customHeight="1">
      <c r="A3783" s="11">
        <f>IFERROR(__xludf.DUMMYFUNCTION("""COMPUTED_VALUE"""),44471.0)</f>
        <v>44471</v>
      </c>
      <c r="B3783" s="9">
        <f>IFERROR(__xludf.DUMMYFUNCTION("""COMPUTED_VALUE"""),1003830.0)</f>
        <v>1003830</v>
      </c>
      <c r="C3783" s="9">
        <f>IFERROR(__xludf.DUMMYFUNCTION("""COMPUTED_VALUE"""),29530.0)</f>
        <v>29530</v>
      </c>
      <c r="D3783" s="9"/>
      <c r="E3783" s="10" t="str">
        <f>IFERROR(__xludf.DUMMYFUNCTION("""COMPUTED_VALUE"""),"PREMIERE")</f>
        <v>PREMIERE</v>
      </c>
      <c r="F3783" s="10">
        <f>IFERROR(__xludf.DUMMYFUNCTION("""COMPUTED_VALUE"""),1.64)</f>
        <v>1.64</v>
      </c>
      <c r="G3783" s="9">
        <f>IFERROR(__xludf.DUMMYFUNCTION("""COMPUTED_VALUE"""),1.64)</f>
        <v>1.64</v>
      </c>
      <c r="H3783" s="9">
        <f>IFERROR(__xludf.DUMMYFUNCTION("""COMPUTED_VALUE"""),1.0)</f>
        <v>1</v>
      </c>
      <c r="I3783" s="9"/>
      <c r="J3783" s="9"/>
      <c r="K3783" s="9"/>
      <c r="L3783" s="9"/>
      <c r="M3783" s="9"/>
      <c r="N3783" s="9"/>
      <c r="O3783" s="9"/>
      <c r="P3783" s="9"/>
      <c r="Q3783" s="9"/>
      <c r="R3783" s="9"/>
      <c r="S3783" s="9"/>
      <c r="T3783" s="9"/>
    </row>
    <row r="3784" ht="15.75" customHeight="1">
      <c r="A3784" s="11">
        <f>IFERROR(__xludf.DUMMYFUNCTION("""COMPUTED_VALUE"""),44471.0)</f>
        <v>44471</v>
      </c>
      <c r="B3784" s="9">
        <f>IFERROR(__xludf.DUMMYFUNCTION("""COMPUTED_VALUE"""),1003830.0)</f>
        <v>1003830</v>
      </c>
      <c r="C3784" s="9">
        <f>IFERROR(__xludf.DUMMYFUNCTION("""COMPUTED_VALUE"""),81915.0)</f>
        <v>81915</v>
      </c>
      <c r="D3784" s="9"/>
      <c r="E3784" s="10" t="str">
        <f>IFERROR(__xludf.DUMMYFUNCTION("""COMPUTED_VALUE"""),"PREMIERE")</f>
        <v>PREMIERE</v>
      </c>
      <c r="F3784" s="10">
        <f>IFERROR(__xludf.DUMMYFUNCTION("""COMPUTED_VALUE"""),6.11)</f>
        <v>6.11</v>
      </c>
      <c r="G3784" s="9">
        <f>IFERROR(__xludf.DUMMYFUNCTION("""COMPUTED_VALUE"""),6.11)</f>
        <v>6.11</v>
      </c>
      <c r="H3784" s="9">
        <f>IFERROR(__xludf.DUMMYFUNCTION("""COMPUTED_VALUE"""),1.0)</f>
        <v>1</v>
      </c>
      <c r="I3784" s="9"/>
      <c r="J3784" s="9"/>
      <c r="K3784" s="9"/>
      <c r="L3784" s="9"/>
      <c r="M3784" s="9"/>
      <c r="N3784" s="9"/>
      <c r="O3784" s="9"/>
      <c r="P3784" s="9"/>
      <c r="Q3784" s="9"/>
      <c r="R3784" s="9"/>
      <c r="S3784" s="9"/>
      <c r="T3784" s="9"/>
    </row>
    <row r="3785" ht="15.75" customHeight="1">
      <c r="A3785" s="11">
        <f>IFERROR(__xludf.DUMMYFUNCTION("""COMPUTED_VALUE"""),44471.0)</f>
        <v>44471</v>
      </c>
      <c r="B3785" s="9">
        <f>IFERROR(__xludf.DUMMYFUNCTION("""COMPUTED_VALUE"""),1003830.0)</f>
        <v>1003830</v>
      </c>
      <c r="C3785" s="9">
        <f>IFERROR(__xludf.DUMMYFUNCTION("""COMPUTED_VALUE"""),83270.0)</f>
        <v>83270</v>
      </c>
      <c r="D3785" s="9"/>
      <c r="E3785" s="10" t="str">
        <f>IFERROR(__xludf.DUMMYFUNCTION("""COMPUTED_VALUE"""),"PREMIERE")</f>
        <v>PREMIERE</v>
      </c>
      <c r="F3785" s="10">
        <f>IFERROR(__xludf.DUMMYFUNCTION("""COMPUTED_VALUE"""),2.69)</f>
        <v>2.69</v>
      </c>
      <c r="G3785" s="9">
        <f>IFERROR(__xludf.DUMMYFUNCTION("""COMPUTED_VALUE"""),2.69)</f>
        <v>2.69</v>
      </c>
      <c r="H3785" s="9">
        <f>IFERROR(__xludf.DUMMYFUNCTION("""COMPUTED_VALUE"""),1.0)</f>
        <v>1</v>
      </c>
      <c r="I3785" s="9"/>
      <c r="J3785" s="9"/>
      <c r="K3785" s="9"/>
      <c r="L3785" s="9"/>
      <c r="M3785" s="9"/>
      <c r="N3785" s="9"/>
      <c r="O3785" s="9"/>
      <c r="P3785" s="9"/>
      <c r="Q3785" s="9"/>
      <c r="R3785" s="9"/>
      <c r="S3785" s="9"/>
      <c r="T3785" s="9"/>
    </row>
    <row r="3786" ht="15.75" customHeight="1">
      <c r="A3786" s="11">
        <f>IFERROR(__xludf.DUMMYFUNCTION("""COMPUTED_VALUE"""),44471.0)</f>
        <v>44471</v>
      </c>
      <c r="B3786" s="9">
        <f>IFERROR(__xludf.DUMMYFUNCTION("""COMPUTED_VALUE"""),1003830.0)</f>
        <v>1003830</v>
      </c>
      <c r="C3786" s="9">
        <f>IFERROR(__xludf.DUMMYFUNCTION("""COMPUTED_VALUE"""),112248.0)</f>
        <v>112248</v>
      </c>
      <c r="D3786" s="9"/>
      <c r="E3786" s="10" t="str">
        <f>IFERROR(__xludf.DUMMYFUNCTION("""COMPUTED_VALUE"""),"PREMIERE")</f>
        <v>PREMIERE</v>
      </c>
      <c r="F3786" s="10">
        <f>IFERROR(__xludf.DUMMYFUNCTION("""COMPUTED_VALUE"""),4.13)</f>
        <v>4.13</v>
      </c>
      <c r="G3786" s="9">
        <f>IFERROR(__xludf.DUMMYFUNCTION("""COMPUTED_VALUE"""),4.13)</f>
        <v>4.13</v>
      </c>
      <c r="H3786" s="9">
        <f>IFERROR(__xludf.DUMMYFUNCTION("""COMPUTED_VALUE"""),1.0)</f>
        <v>1</v>
      </c>
      <c r="I3786" s="9"/>
      <c r="J3786" s="9"/>
      <c r="K3786" s="9"/>
      <c r="L3786" s="9"/>
      <c r="M3786" s="9"/>
      <c r="N3786" s="9"/>
      <c r="O3786" s="9"/>
      <c r="P3786" s="9"/>
      <c r="Q3786" s="9"/>
      <c r="R3786" s="9"/>
      <c r="S3786" s="9"/>
      <c r="T3786" s="9"/>
    </row>
    <row r="3787" ht="15.75" customHeight="1">
      <c r="A3787" s="11">
        <f>IFERROR(__xludf.DUMMYFUNCTION("""COMPUTED_VALUE"""),44471.0)</f>
        <v>44471</v>
      </c>
      <c r="B3787" s="9">
        <f>IFERROR(__xludf.DUMMYFUNCTION("""COMPUTED_VALUE"""),1003830.0)</f>
        <v>1003830</v>
      </c>
      <c r="C3787" s="9">
        <f>IFERROR(__xludf.DUMMYFUNCTION("""COMPUTED_VALUE"""),112190.0)</f>
        <v>112190</v>
      </c>
      <c r="D3787" s="9"/>
      <c r="E3787" s="10" t="str">
        <f>IFERROR(__xludf.DUMMYFUNCTION("""COMPUTED_VALUE"""),"PREMIERE")</f>
        <v>PREMIERE</v>
      </c>
      <c r="F3787" s="10">
        <f>IFERROR(__xludf.DUMMYFUNCTION("""COMPUTED_VALUE"""),3.82)</f>
        <v>3.82</v>
      </c>
      <c r="G3787" s="9">
        <f>IFERROR(__xludf.DUMMYFUNCTION("""COMPUTED_VALUE"""),3.82)</f>
        <v>3.82</v>
      </c>
      <c r="H3787" s="9">
        <f>IFERROR(__xludf.DUMMYFUNCTION("""COMPUTED_VALUE"""),1.0)</f>
        <v>1</v>
      </c>
      <c r="I3787" s="9"/>
      <c r="J3787" s="9"/>
      <c r="K3787" s="9"/>
      <c r="L3787" s="9"/>
      <c r="M3787" s="9"/>
      <c r="N3787" s="9"/>
      <c r="O3787" s="9"/>
      <c r="P3787" s="9"/>
      <c r="Q3787" s="9"/>
      <c r="R3787" s="9"/>
      <c r="S3787" s="9"/>
      <c r="T3787" s="9"/>
    </row>
    <row r="3788" ht="15.75" customHeight="1">
      <c r="A3788" s="11">
        <f>IFERROR(__xludf.DUMMYFUNCTION("""COMPUTED_VALUE"""),44471.0)</f>
        <v>44471</v>
      </c>
      <c r="B3788" s="9">
        <f>IFERROR(__xludf.DUMMYFUNCTION("""COMPUTED_VALUE"""),1003830.0)</f>
        <v>1003830</v>
      </c>
      <c r="C3788" s="9">
        <f>IFERROR(__xludf.DUMMYFUNCTION("""COMPUTED_VALUE"""),141891.0)</f>
        <v>141891</v>
      </c>
      <c r="D3788" s="9"/>
      <c r="E3788" s="10" t="str">
        <f>IFERROR(__xludf.DUMMYFUNCTION("""COMPUTED_VALUE"""),"PREMIERE")</f>
        <v>PREMIERE</v>
      </c>
      <c r="F3788" s="10">
        <f>IFERROR(__xludf.DUMMYFUNCTION("""COMPUTED_VALUE"""),7.9)</f>
        <v>7.9</v>
      </c>
      <c r="G3788" s="9">
        <f>IFERROR(__xludf.DUMMYFUNCTION("""COMPUTED_VALUE"""),7.9)</f>
        <v>7.9</v>
      </c>
      <c r="H3788" s="9">
        <f>IFERROR(__xludf.DUMMYFUNCTION("""COMPUTED_VALUE"""),1.0)</f>
        <v>1</v>
      </c>
      <c r="I3788" s="9"/>
      <c r="J3788" s="9"/>
      <c r="K3788" s="9"/>
      <c r="L3788" s="9"/>
      <c r="M3788" s="9"/>
      <c r="N3788" s="9"/>
      <c r="O3788" s="9"/>
      <c r="P3788" s="9"/>
      <c r="Q3788" s="9"/>
      <c r="R3788" s="9"/>
      <c r="S3788" s="9"/>
      <c r="T3788" s="9"/>
    </row>
    <row r="3789" ht="15.75" customHeight="1">
      <c r="A3789" s="11">
        <f>IFERROR(__xludf.DUMMYFUNCTION("""COMPUTED_VALUE"""),44471.0)</f>
        <v>44471</v>
      </c>
      <c r="B3789" s="9">
        <f>IFERROR(__xludf.DUMMYFUNCTION("""COMPUTED_VALUE"""),1003830.0)</f>
        <v>1003830</v>
      </c>
      <c r="C3789" s="9">
        <f>IFERROR(__xludf.DUMMYFUNCTION("""COMPUTED_VALUE"""),119246.0)</f>
        <v>119246</v>
      </c>
      <c r="D3789" s="9"/>
      <c r="E3789" s="10" t="str">
        <f>IFERROR(__xludf.DUMMYFUNCTION("""COMPUTED_VALUE"""),"PREMIERE")</f>
        <v>PREMIERE</v>
      </c>
      <c r="F3789" s="10">
        <f>IFERROR(__xludf.DUMMYFUNCTION("""COMPUTED_VALUE"""),12.07)</f>
        <v>12.07</v>
      </c>
      <c r="G3789" s="9">
        <f>IFERROR(__xludf.DUMMYFUNCTION("""COMPUTED_VALUE"""),12.07)</f>
        <v>12.07</v>
      </c>
      <c r="H3789" s="9">
        <f>IFERROR(__xludf.DUMMYFUNCTION("""COMPUTED_VALUE"""),1.0)</f>
        <v>1</v>
      </c>
      <c r="I3789" s="9"/>
      <c r="J3789" s="9"/>
      <c r="K3789" s="9"/>
      <c r="L3789" s="9"/>
      <c r="M3789" s="9"/>
      <c r="N3789" s="9"/>
      <c r="O3789" s="9"/>
      <c r="P3789" s="9"/>
      <c r="Q3789" s="9"/>
      <c r="R3789" s="9"/>
      <c r="S3789" s="9"/>
      <c r="T3789" s="9"/>
    </row>
    <row r="3790" ht="15.75" customHeight="1">
      <c r="A3790" s="11">
        <f>IFERROR(__xludf.DUMMYFUNCTION("""COMPUTED_VALUE"""),44471.0)</f>
        <v>44471</v>
      </c>
      <c r="B3790" s="9">
        <f>IFERROR(__xludf.DUMMYFUNCTION("""COMPUTED_VALUE"""),1003830.0)</f>
        <v>1003830</v>
      </c>
      <c r="C3790" s="9">
        <f>IFERROR(__xludf.DUMMYFUNCTION("""COMPUTED_VALUE"""),81120.0)</f>
        <v>81120</v>
      </c>
      <c r="D3790" s="9"/>
      <c r="E3790" s="10" t="str">
        <f>IFERROR(__xludf.DUMMYFUNCTION("""COMPUTED_VALUE"""),"PREMIERE")</f>
        <v>PREMIERE</v>
      </c>
      <c r="F3790" s="10">
        <f>IFERROR(__xludf.DUMMYFUNCTION("""COMPUTED_VALUE"""),2.72)</f>
        <v>2.72</v>
      </c>
      <c r="G3790" s="9">
        <f>IFERROR(__xludf.DUMMYFUNCTION("""COMPUTED_VALUE"""),2.72)</f>
        <v>2.72</v>
      </c>
      <c r="H3790" s="9">
        <f>IFERROR(__xludf.DUMMYFUNCTION("""COMPUTED_VALUE"""),1.0)</f>
        <v>1</v>
      </c>
      <c r="I3790" s="9"/>
      <c r="J3790" s="9"/>
      <c r="K3790" s="9"/>
      <c r="L3790" s="9"/>
      <c r="M3790" s="9"/>
      <c r="N3790" s="9"/>
      <c r="O3790" s="9"/>
      <c r="P3790" s="9"/>
      <c r="Q3790" s="9"/>
      <c r="R3790" s="9"/>
      <c r="S3790" s="9"/>
      <c r="T3790" s="9"/>
    </row>
    <row r="3791" ht="15.75" customHeight="1">
      <c r="A3791" s="11">
        <f>IFERROR(__xludf.DUMMYFUNCTION("""COMPUTED_VALUE"""),44471.0)</f>
        <v>44471</v>
      </c>
      <c r="B3791" s="9">
        <f>IFERROR(__xludf.DUMMYFUNCTION("""COMPUTED_VALUE"""),1003830.0)</f>
        <v>1003830</v>
      </c>
      <c r="C3791" s="9">
        <f>IFERROR(__xludf.DUMMYFUNCTION("""COMPUTED_VALUE"""),29485.0)</f>
        <v>29485</v>
      </c>
      <c r="D3791" s="9"/>
      <c r="E3791" s="10" t="str">
        <f>IFERROR(__xludf.DUMMYFUNCTION("""COMPUTED_VALUE"""),"PREMIERE")</f>
        <v>PREMIERE</v>
      </c>
      <c r="F3791" s="10">
        <f>IFERROR(__xludf.DUMMYFUNCTION("""COMPUTED_VALUE"""),3.98)</f>
        <v>3.98</v>
      </c>
      <c r="G3791" s="9">
        <f>IFERROR(__xludf.DUMMYFUNCTION("""COMPUTED_VALUE"""),3.98)</f>
        <v>3.98</v>
      </c>
      <c r="H3791" s="9">
        <f>IFERROR(__xludf.DUMMYFUNCTION("""COMPUTED_VALUE"""),1.0)</f>
        <v>1</v>
      </c>
      <c r="I3791" s="9"/>
      <c r="J3791" s="9"/>
      <c r="K3791" s="9"/>
      <c r="L3791" s="9"/>
      <c r="M3791" s="9"/>
      <c r="N3791" s="9"/>
      <c r="O3791" s="9"/>
      <c r="P3791" s="9"/>
      <c r="Q3791" s="9"/>
      <c r="R3791" s="9"/>
      <c r="S3791" s="9"/>
      <c r="T3791" s="9"/>
    </row>
    <row r="3792" ht="15.75" customHeight="1">
      <c r="A3792" s="11">
        <f>IFERROR(__xludf.DUMMYFUNCTION("""COMPUTED_VALUE"""),44471.0)</f>
        <v>44471</v>
      </c>
      <c r="B3792" s="9">
        <f>IFERROR(__xludf.DUMMYFUNCTION("""COMPUTED_VALUE"""),1003830.0)</f>
        <v>1003830</v>
      </c>
      <c r="C3792" s="9">
        <f>IFERROR(__xludf.DUMMYFUNCTION("""COMPUTED_VALUE"""),111716.0)</f>
        <v>111716</v>
      </c>
      <c r="D3792" s="9"/>
      <c r="E3792" s="10" t="str">
        <f>IFERROR(__xludf.DUMMYFUNCTION("""COMPUTED_VALUE"""),"PREMIERE")</f>
        <v>PREMIERE</v>
      </c>
      <c r="F3792" s="10">
        <f>IFERROR(__xludf.DUMMYFUNCTION("""COMPUTED_VALUE"""),2.41)</f>
        <v>2.41</v>
      </c>
      <c r="G3792" s="9">
        <f>IFERROR(__xludf.DUMMYFUNCTION("""COMPUTED_VALUE"""),2.41)</f>
        <v>2.41</v>
      </c>
      <c r="H3792" s="9">
        <f>IFERROR(__xludf.DUMMYFUNCTION("""COMPUTED_VALUE"""),2.0)</f>
        <v>2</v>
      </c>
      <c r="I3792" s="9"/>
      <c r="J3792" s="9"/>
      <c r="K3792" s="9"/>
      <c r="L3792" s="9"/>
      <c r="M3792" s="9"/>
      <c r="N3792" s="9"/>
      <c r="O3792" s="9"/>
      <c r="P3792" s="9"/>
      <c r="Q3792" s="9"/>
      <c r="R3792" s="9"/>
      <c r="S3792" s="9"/>
      <c r="T3792" s="9"/>
    </row>
    <row r="3793" ht="15.75" customHeight="1">
      <c r="A3793" s="11">
        <f>IFERROR(__xludf.DUMMYFUNCTION("""COMPUTED_VALUE"""),44471.0)</f>
        <v>44471</v>
      </c>
      <c r="B3793" s="9">
        <f>IFERROR(__xludf.DUMMYFUNCTION("""COMPUTED_VALUE"""),1003831.0)</f>
        <v>1003831</v>
      </c>
      <c r="C3793" s="9">
        <f>IFERROR(__xludf.DUMMYFUNCTION("""COMPUTED_VALUE"""),10566.0)</f>
        <v>10566</v>
      </c>
      <c r="D3793" s="10" t="str">
        <f>IFERROR(__xludf.DUMMYFUNCTION("""COMPUTED_VALUE"""),"Vive le bio")</f>
        <v>Vive le bio</v>
      </c>
      <c r="E3793" s="10"/>
      <c r="F3793" s="9">
        <f>IFERROR(__xludf.DUMMYFUNCTION("""COMPUTED_VALUE"""),9.0)</f>
        <v>9</v>
      </c>
      <c r="G3793" s="9">
        <f>IFERROR(__xludf.DUMMYFUNCTION("""COMPUTED_VALUE"""),8.1)</f>
        <v>8.1</v>
      </c>
      <c r="H3793" s="9">
        <f>IFERROR(__xludf.DUMMYFUNCTION("""COMPUTED_VALUE"""),1.0)</f>
        <v>1</v>
      </c>
      <c r="I3793" s="9"/>
      <c r="J3793" s="9"/>
      <c r="K3793" s="9"/>
      <c r="L3793" s="9"/>
      <c r="M3793" s="9"/>
      <c r="N3793" s="9"/>
      <c r="O3793" s="9"/>
      <c r="P3793" s="9"/>
      <c r="Q3793" s="9"/>
      <c r="R3793" s="9"/>
      <c r="S3793" s="9"/>
      <c r="T3793" s="9"/>
    </row>
    <row r="3794" ht="15.75" customHeight="1">
      <c r="A3794" s="11">
        <f>IFERROR(__xludf.DUMMYFUNCTION("""COMPUTED_VALUE"""),44471.0)</f>
        <v>44471</v>
      </c>
      <c r="B3794" s="9">
        <f>IFERROR(__xludf.DUMMYFUNCTION("""COMPUTED_VALUE"""),1003831.0)</f>
        <v>1003831</v>
      </c>
      <c r="C3794" s="9">
        <f>IFERROR(__xludf.DUMMYFUNCTION("""COMPUTED_VALUE"""),10577.0)</f>
        <v>10577</v>
      </c>
      <c r="D3794" s="9"/>
      <c r="E3794" s="9"/>
      <c r="F3794" s="9">
        <f>IFERROR(__xludf.DUMMYFUNCTION("""COMPUTED_VALUE"""),8.57)</f>
        <v>8.57</v>
      </c>
      <c r="G3794" s="9">
        <f>IFERROR(__xludf.DUMMYFUNCTION("""COMPUTED_VALUE"""),8.57)</f>
        <v>8.57</v>
      </c>
      <c r="H3794" s="9">
        <f>IFERROR(__xludf.DUMMYFUNCTION("""COMPUTED_VALUE"""),1.0)</f>
        <v>1</v>
      </c>
      <c r="I3794" s="9"/>
      <c r="J3794" s="9"/>
      <c r="K3794" s="9"/>
      <c r="L3794" s="9"/>
      <c r="M3794" s="9"/>
      <c r="N3794" s="9"/>
      <c r="O3794" s="9"/>
      <c r="P3794" s="9"/>
      <c r="Q3794" s="9"/>
      <c r="R3794" s="9"/>
      <c r="S3794" s="9"/>
      <c r="T3794" s="9"/>
    </row>
    <row r="3795" ht="15.75" customHeight="1">
      <c r="A3795" s="11">
        <f>IFERROR(__xludf.DUMMYFUNCTION("""COMPUTED_VALUE"""),44471.0)</f>
        <v>44471</v>
      </c>
      <c r="B3795" s="9">
        <f>IFERROR(__xludf.DUMMYFUNCTION("""COMPUTED_VALUE"""),1003831.0)</f>
        <v>1003831</v>
      </c>
      <c r="C3795" s="9">
        <f>IFERROR(__xludf.DUMMYFUNCTION("""COMPUTED_VALUE"""),10565.0)</f>
        <v>10565</v>
      </c>
      <c r="D3795" s="9"/>
      <c r="E3795" s="9"/>
      <c r="F3795" s="9">
        <f>IFERROR(__xludf.DUMMYFUNCTION("""COMPUTED_VALUE"""),7.93)</f>
        <v>7.93</v>
      </c>
      <c r="G3795" s="9">
        <f>IFERROR(__xludf.DUMMYFUNCTION("""COMPUTED_VALUE"""),7.93)</f>
        <v>7.93</v>
      </c>
      <c r="H3795" s="9">
        <f>IFERROR(__xludf.DUMMYFUNCTION("""COMPUTED_VALUE"""),1.0)</f>
        <v>1</v>
      </c>
      <c r="I3795" s="9"/>
      <c r="J3795" s="9"/>
      <c r="K3795" s="9"/>
      <c r="L3795" s="9"/>
      <c r="M3795" s="9"/>
      <c r="N3795" s="9"/>
      <c r="O3795" s="9"/>
      <c r="P3795" s="9"/>
      <c r="Q3795" s="9"/>
      <c r="R3795" s="9"/>
      <c r="S3795" s="9"/>
      <c r="T3795" s="9"/>
    </row>
    <row r="3796" ht="15.75" customHeight="1">
      <c r="A3796" s="11">
        <f>IFERROR(__xludf.DUMMYFUNCTION("""COMPUTED_VALUE"""),44471.0)</f>
        <v>44471</v>
      </c>
      <c r="B3796" s="9">
        <f>IFERROR(__xludf.DUMMYFUNCTION("""COMPUTED_VALUE"""),1003831.0)</f>
        <v>1003831</v>
      </c>
      <c r="C3796" s="9">
        <f>IFERROR(__xludf.DUMMYFUNCTION("""COMPUTED_VALUE"""),10569.0)</f>
        <v>10569</v>
      </c>
      <c r="D3796" s="9"/>
      <c r="E3796" s="9"/>
      <c r="F3796" s="9">
        <f>IFERROR(__xludf.DUMMYFUNCTION("""COMPUTED_VALUE"""),7.69)</f>
        <v>7.69</v>
      </c>
      <c r="G3796" s="9">
        <f>IFERROR(__xludf.DUMMYFUNCTION("""COMPUTED_VALUE"""),7.69)</f>
        <v>7.69</v>
      </c>
      <c r="H3796" s="9">
        <f>IFERROR(__xludf.DUMMYFUNCTION("""COMPUTED_VALUE"""),1.0)</f>
        <v>1</v>
      </c>
      <c r="I3796" s="9"/>
      <c r="J3796" s="9"/>
      <c r="K3796" s="9"/>
      <c r="L3796" s="9"/>
      <c r="M3796" s="9"/>
      <c r="N3796" s="9"/>
      <c r="O3796" s="9"/>
      <c r="P3796" s="9"/>
      <c r="Q3796" s="9"/>
      <c r="R3796" s="9"/>
      <c r="S3796" s="9"/>
      <c r="T3796" s="9"/>
    </row>
    <row r="3797" ht="15.75" customHeight="1">
      <c r="A3797" s="11">
        <f>IFERROR(__xludf.DUMMYFUNCTION("""COMPUTED_VALUE"""),44471.0)</f>
        <v>44471</v>
      </c>
      <c r="B3797" s="9">
        <f>IFERROR(__xludf.DUMMYFUNCTION("""COMPUTED_VALUE"""),1003831.0)</f>
        <v>1003831</v>
      </c>
      <c r="C3797" s="9">
        <f>IFERROR(__xludf.DUMMYFUNCTION("""COMPUTED_VALUE"""),48624.0)</f>
        <v>48624</v>
      </c>
      <c r="D3797" s="9"/>
      <c r="E3797" s="9"/>
      <c r="F3797" s="9">
        <f>IFERROR(__xludf.DUMMYFUNCTION("""COMPUTED_VALUE"""),6.97)</f>
        <v>6.97</v>
      </c>
      <c r="G3797" s="9">
        <f>IFERROR(__xludf.DUMMYFUNCTION("""COMPUTED_VALUE"""),6.97)</f>
        <v>6.97</v>
      </c>
      <c r="H3797" s="9">
        <f>IFERROR(__xludf.DUMMYFUNCTION("""COMPUTED_VALUE"""),1.0)</f>
        <v>1</v>
      </c>
      <c r="I3797" s="9"/>
      <c r="J3797" s="9"/>
      <c r="K3797" s="9"/>
      <c r="L3797" s="9"/>
      <c r="M3797" s="9"/>
      <c r="N3797" s="9"/>
      <c r="O3797" s="9"/>
      <c r="P3797" s="9"/>
      <c r="Q3797" s="9"/>
      <c r="R3797" s="9"/>
      <c r="S3797" s="9"/>
      <c r="T3797" s="9"/>
    </row>
    <row r="3798" ht="15.75" customHeight="1">
      <c r="A3798" s="11">
        <f>IFERROR(__xludf.DUMMYFUNCTION("""COMPUTED_VALUE"""),44471.0)</f>
        <v>44471</v>
      </c>
      <c r="B3798" s="9">
        <f>IFERROR(__xludf.DUMMYFUNCTION("""COMPUTED_VALUE"""),1003831.0)</f>
        <v>1003831</v>
      </c>
      <c r="C3798" s="9">
        <f>IFERROR(__xludf.DUMMYFUNCTION("""COMPUTED_VALUE"""),103662.0)</f>
        <v>103662</v>
      </c>
      <c r="D3798" s="9"/>
      <c r="E3798" s="9"/>
      <c r="F3798" s="9">
        <f>IFERROR(__xludf.DUMMYFUNCTION("""COMPUTED_VALUE"""),35.31)</f>
        <v>35.31</v>
      </c>
      <c r="G3798" s="9">
        <f>IFERROR(__xludf.DUMMYFUNCTION("""COMPUTED_VALUE"""),35.31)</f>
        <v>35.31</v>
      </c>
      <c r="H3798" s="9">
        <f>IFERROR(__xludf.DUMMYFUNCTION("""COMPUTED_VALUE"""),3.0)</f>
        <v>3</v>
      </c>
      <c r="I3798" s="9"/>
      <c r="J3798" s="9"/>
      <c r="K3798" s="9"/>
      <c r="L3798" s="9"/>
      <c r="M3798" s="9"/>
      <c r="N3798" s="9"/>
      <c r="O3798" s="9"/>
      <c r="P3798" s="9"/>
      <c r="Q3798" s="9"/>
      <c r="R3798" s="9"/>
      <c r="S3798" s="9"/>
      <c r="T3798" s="9"/>
    </row>
    <row r="3799" ht="15.75" customHeight="1">
      <c r="A3799" s="11">
        <f>IFERROR(__xludf.DUMMYFUNCTION("""COMPUTED_VALUE"""),44471.0)</f>
        <v>44471</v>
      </c>
      <c r="B3799" s="9">
        <f>IFERROR(__xludf.DUMMYFUNCTION("""COMPUTED_VALUE"""),1003832.0)</f>
        <v>1003832</v>
      </c>
      <c r="C3799" s="9">
        <f>IFERROR(__xludf.DUMMYFUNCTION("""COMPUTED_VALUE"""),76987.0)</f>
        <v>76987</v>
      </c>
      <c r="D3799" s="9"/>
      <c r="E3799" s="9"/>
      <c r="F3799" s="9">
        <f>IFERROR(__xludf.DUMMYFUNCTION("""COMPUTED_VALUE"""),2.89)</f>
        <v>2.89</v>
      </c>
      <c r="G3799" s="9">
        <f>IFERROR(__xludf.DUMMYFUNCTION("""COMPUTED_VALUE"""),2.89)</f>
        <v>2.89</v>
      </c>
      <c r="H3799" s="9">
        <f>IFERROR(__xludf.DUMMYFUNCTION("""COMPUTED_VALUE"""),1.0)</f>
        <v>1</v>
      </c>
      <c r="I3799" s="9"/>
      <c r="J3799" s="9"/>
      <c r="K3799" s="9"/>
      <c r="L3799" s="9"/>
      <c r="M3799" s="9"/>
      <c r="N3799" s="9"/>
      <c r="O3799" s="9"/>
      <c r="P3799" s="9"/>
      <c r="Q3799" s="9"/>
      <c r="R3799" s="9"/>
      <c r="S3799" s="9"/>
      <c r="T3799" s="9"/>
    </row>
    <row r="3800" ht="15.75" customHeight="1">
      <c r="A3800" s="11">
        <f>IFERROR(__xludf.DUMMYFUNCTION("""COMPUTED_VALUE"""),44471.0)</f>
        <v>44471</v>
      </c>
      <c r="B3800" s="9">
        <f>IFERROR(__xludf.DUMMYFUNCTION("""COMPUTED_VALUE"""),1003832.0)</f>
        <v>1003832</v>
      </c>
      <c r="C3800" s="9">
        <f>IFERROR(__xludf.DUMMYFUNCTION("""COMPUTED_VALUE"""),88195.0)</f>
        <v>88195</v>
      </c>
      <c r="D3800" s="9"/>
      <c r="E3800" s="9"/>
      <c r="F3800" s="9">
        <f>IFERROR(__xludf.DUMMYFUNCTION("""COMPUTED_VALUE"""),2.89)</f>
        <v>2.89</v>
      </c>
      <c r="G3800" s="9">
        <f>IFERROR(__xludf.DUMMYFUNCTION("""COMPUTED_VALUE"""),2.89)</f>
        <v>2.89</v>
      </c>
      <c r="H3800" s="9">
        <f>IFERROR(__xludf.DUMMYFUNCTION("""COMPUTED_VALUE"""),1.0)</f>
        <v>1</v>
      </c>
      <c r="I3800" s="9"/>
      <c r="J3800" s="9"/>
      <c r="K3800" s="9"/>
      <c r="L3800" s="9"/>
      <c r="M3800" s="9"/>
      <c r="N3800" s="9"/>
      <c r="O3800" s="9"/>
      <c r="P3800" s="9"/>
      <c r="Q3800" s="9"/>
      <c r="R3800" s="9"/>
      <c r="S3800" s="9"/>
      <c r="T3800" s="9"/>
    </row>
    <row r="3801" ht="15.75" customHeight="1">
      <c r="A3801" s="11">
        <f>IFERROR(__xludf.DUMMYFUNCTION("""COMPUTED_VALUE"""),44471.0)</f>
        <v>44471</v>
      </c>
      <c r="B3801" s="9">
        <f>IFERROR(__xludf.DUMMYFUNCTION("""COMPUTED_VALUE"""),1003832.0)</f>
        <v>1003832</v>
      </c>
      <c r="C3801" s="9">
        <f>IFERROR(__xludf.DUMMYFUNCTION("""COMPUTED_VALUE"""),147255.0)</f>
        <v>147255</v>
      </c>
      <c r="D3801" s="9"/>
      <c r="E3801" s="9"/>
      <c r="F3801" s="9">
        <f>IFERROR(__xludf.DUMMYFUNCTION("""COMPUTED_VALUE"""),4.56)</f>
        <v>4.56</v>
      </c>
      <c r="G3801" s="9">
        <f>IFERROR(__xludf.DUMMYFUNCTION("""COMPUTED_VALUE"""),4.56)</f>
        <v>4.56</v>
      </c>
      <c r="H3801" s="9">
        <f>IFERROR(__xludf.DUMMYFUNCTION("""COMPUTED_VALUE"""),1.0)</f>
        <v>1</v>
      </c>
      <c r="I3801" s="9"/>
      <c r="J3801" s="9"/>
      <c r="K3801" s="9"/>
      <c r="L3801" s="9"/>
      <c r="M3801" s="9"/>
      <c r="N3801" s="9"/>
      <c r="O3801" s="9"/>
      <c r="P3801" s="9"/>
      <c r="Q3801" s="9"/>
      <c r="R3801" s="9"/>
      <c r="S3801" s="9"/>
      <c r="T3801" s="9"/>
    </row>
    <row r="3802" ht="15.75" customHeight="1">
      <c r="A3802" s="11">
        <f>IFERROR(__xludf.DUMMYFUNCTION("""COMPUTED_VALUE"""),44471.0)</f>
        <v>44471</v>
      </c>
      <c r="B3802" s="9">
        <f>IFERROR(__xludf.DUMMYFUNCTION("""COMPUTED_VALUE"""),1003832.0)</f>
        <v>1003832</v>
      </c>
      <c r="C3802" s="9">
        <f>IFERROR(__xludf.DUMMYFUNCTION("""COMPUTED_VALUE"""),95155.0)</f>
        <v>95155</v>
      </c>
      <c r="D3802" s="10" t="str">
        <f>IFERROR(__xludf.DUMMYFUNCTION("""COMPUTED_VALUE"""),"Vive le bio")</f>
        <v>Vive le bio</v>
      </c>
      <c r="E3802" s="10"/>
      <c r="F3802" s="9">
        <f>IFERROR(__xludf.DUMMYFUNCTION("""COMPUTED_VALUE"""),1.97777777777777)</f>
        <v>1.977777778</v>
      </c>
      <c r="G3802" s="9">
        <f>IFERROR(__xludf.DUMMYFUNCTION("""COMPUTED_VALUE"""),1.78)</f>
        <v>1.78</v>
      </c>
      <c r="H3802" s="9">
        <f>IFERROR(__xludf.DUMMYFUNCTION("""COMPUTED_VALUE"""),1.0)</f>
        <v>1</v>
      </c>
      <c r="I3802" s="9"/>
      <c r="J3802" s="9"/>
      <c r="K3802" s="9"/>
      <c r="L3802" s="9"/>
      <c r="M3802" s="9"/>
      <c r="N3802" s="9"/>
      <c r="O3802" s="9"/>
      <c r="P3802" s="9"/>
      <c r="Q3802" s="9"/>
      <c r="R3802" s="9"/>
      <c r="S3802" s="9"/>
      <c r="T3802" s="9"/>
    </row>
    <row r="3803" ht="15.75" customHeight="1">
      <c r="A3803" s="11">
        <f>IFERROR(__xludf.DUMMYFUNCTION("""COMPUTED_VALUE"""),44471.0)</f>
        <v>44471</v>
      </c>
      <c r="B3803" s="9">
        <f>IFERROR(__xludf.DUMMYFUNCTION("""COMPUTED_VALUE"""),1003832.0)</f>
        <v>1003832</v>
      </c>
      <c r="C3803" s="9">
        <f>IFERROR(__xludf.DUMMYFUNCTION("""COMPUTED_VALUE"""),182194.0)</f>
        <v>182194</v>
      </c>
      <c r="D3803" s="9"/>
      <c r="E3803" s="9"/>
      <c r="F3803" s="9">
        <f>IFERROR(__xludf.DUMMYFUNCTION("""COMPUTED_VALUE"""),5.33)</f>
        <v>5.33</v>
      </c>
      <c r="G3803" s="9">
        <f>IFERROR(__xludf.DUMMYFUNCTION("""COMPUTED_VALUE"""),5.33)</f>
        <v>5.33</v>
      </c>
      <c r="H3803" s="9">
        <f>IFERROR(__xludf.DUMMYFUNCTION("""COMPUTED_VALUE"""),1.0)</f>
        <v>1</v>
      </c>
      <c r="I3803" s="9"/>
      <c r="J3803" s="9"/>
      <c r="K3803" s="9"/>
      <c r="L3803" s="9"/>
      <c r="M3803" s="9"/>
      <c r="N3803" s="9"/>
      <c r="O3803" s="9"/>
      <c r="P3803" s="9"/>
      <c r="Q3803" s="9"/>
      <c r="R3803" s="9"/>
      <c r="S3803" s="9"/>
      <c r="T3803" s="9"/>
    </row>
    <row r="3804" ht="15.75" customHeight="1">
      <c r="A3804" s="11">
        <f>IFERROR(__xludf.DUMMYFUNCTION("""COMPUTED_VALUE"""),44471.0)</f>
        <v>44471</v>
      </c>
      <c r="B3804" s="9">
        <f>IFERROR(__xludf.DUMMYFUNCTION("""COMPUTED_VALUE"""),1003832.0)</f>
        <v>1003832</v>
      </c>
      <c r="C3804" s="9">
        <f>IFERROR(__xludf.DUMMYFUNCTION("""COMPUTED_VALUE"""),182191.0)</f>
        <v>182191</v>
      </c>
      <c r="D3804" s="9"/>
      <c r="E3804" s="9"/>
      <c r="F3804" s="9">
        <f>IFERROR(__xludf.DUMMYFUNCTION("""COMPUTED_VALUE"""),5.33)</f>
        <v>5.33</v>
      </c>
      <c r="G3804" s="9">
        <f>IFERROR(__xludf.DUMMYFUNCTION("""COMPUTED_VALUE"""),5.33)</f>
        <v>5.33</v>
      </c>
      <c r="H3804" s="9">
        <f>IFERROR(__xludf.DUMMYFUNCTION("""COMPUTED_VALUE"""),1.0)</f>
        <v>1</v>
      </c>
      <c r="I3804" s="9"/>
      <c r="J3804" s="9"/>
      <c r="K3804" s="9"/>
      <c r="L3804" s="9"/>
      <c r="M3804" s="9"/>
      <c r="N3804" s="9"/>
      <c r="O3804" s="9"/>
      <c r="P3804" s="9"/>
      <c r="Q3804" s="9"/>
      <c r="R3804" s="9"/>
      <c r="S3804" s="9"/>
      <c r="T3804" s="9"/>
    </row>
    <row r="3805" ht="15.75" customHeight="1">
      <c r="A3805" s="11">
        <f>IFERROR(__xludf.DUMMYFUNCTION("""COMPUTED_VALUE"""),44471.0)</f>
        <v>44471</v>
      </c>
      <c r="B3805" s="9">
        <f>IFERROR(__xludf.DUMMYFUNCTION("""COMPUTED_VALUE"""),1003832.0)</f>
        <v>1003832</v>
      </c>
      <c r="C3805" s="9">
        <f>IFERROR(__xludf.DUMMYFUNCTION("""COMPUTED_VALUE"""),76981.0)</f>
        <v>76981</v>
      </c>
      <c r="D3805" s="9"/>
      <c r="E3805" s="9"/>
      <c r="F3805" s="9">
        <f>IFERROR(__xludf.DUMMYFUNCTION("""COMPUTED_VALUE"""),2.72)</f>
        <v>2.72</v>
      </c>
      <c r="G3805" s="9">
        <f>IFERROR(__xludf.DUMMYFUNCTION("""COMPUTED_VALUE"""),2.72)</f>
        <v>2.72</v>
      </c>
      <c r="H3805" s="9">
        <f>IFERROR(__xludf.DUMMYFUNCTION("""COMPUTED_VALUE"""),1.0)</f>
        <v>1</v>
      </c>
      <c r="I3805" s="9"/>
      <c r="J3805" s="9"/>
      <c r="K3805" s="9"/>
      <c r="L3805" s="9"/>
      <c r="M3805" s="9"/>
      <c r="N3805" s="9"/>
      <c r="O3805" s="9"/>
      <c r="P3805" s="9"/>
      <c r="Q3805" s="9"/>
      <c r="R3805" s="9"/>
      <c r="S3805" s="9"/>
      <c r="T3805" s="9"/>
    </row>
    <row r="3806" ht="15.75" customHeight="1">
      <c r="A3806" s="11">
        <f>IFERROR(__xludf.DUMMYFUNCTION("""COMPUTED_VALUE"""),44471.0)</f>
        <v>44471</v>
      </c>
      <c r="B3806" s="9">
        <f>IFERROR(__xludf.DUMMYFUNCTION("""COMPUTED_VALUE"""),1003832.0)</f>
        <v>1003832</v>
      </c>
      <c r="C3806" s="9">
        <f>IFERROR(__xludf.DUMMYFUNCTION("""COMPUTED_VALUE"""),110282.0)</f>
        <v>110282</v>
      </c>
      <c r="D3806" s="9"/>
      <c r="E3806" s="9"/>
      <c r="F3806" s="9">
        <f>IFERROR(__xludf.DUMMYFUNCTION("""COMPUTED_VALUE"""),19.15)</f>
        <v>19.15</v>
      </c>
      <c r="G3806" s="9">
        <f>IFERROR(__xludf.DUMMYFUNCTION("""COMPUTED_VALUE"""),19.15)</f>
        <v>19.15</v>
      </c>
      <c r="H3806" s="9">
        <f>IFERROR(__xludf.DUMMYFUNCTION("""COMPUTED_VALUE"""),3.0)</f>
        <v>3</v>
      </c>
      <c r="I3806" s="9"/>
      <c r="J3806" s="9"/>
      <c r="K3806" s="9"/>
      <c r="L3806" s="9"/>
      <c r="M3806" s="9"/>
      <c r="N3806" s="9"/>
      <c r="O3806" s="9"/>
      <c r="P3806" s="9"/>
      <c r="Q3806" s="9"/>
      <c r="R3806" s="9"/>
      <c r="S3806" s="9"/>
      <c r="T3806" s="9"/>
    </row>
    <row r="3807" ht="15.75" customHeight="1">
      <c r="A3807" s="11">
        <f>IFERROR(__xludf.DUMMYFUNCTION("""COMPUTED_VALUE"""),44471.0)</f>
        <v>44471</v>
      </c>
      <c r="B3807" s="9">
        <f>IFERROR(__xludf.DUMMYFUNCTION("""COMPUTED_VALUE"""),1003833.0)</f>
        <v>1003833</v>
      </c>
      <c r="C3807" s="9">
        <f>IFERROR(__xludf.DUMMYFUNCTION("""COMPUTED_VALUE"""),43944.0)</f>
        <v>43944</v>
      </c>
      <c r="D3807" s="9"/>
      <c r="E3807" s="9"/>
      <c r="F3807" s="9">
        <f>IFERROR(__xludf.DUMMYFUNCTION("""COMPUTED_VALUE"""),98.23)</f>
        <v>98.23</v>
      </c>
      <c r="G3807" s="9">
        <f>IFERROR(__xludf.DUMMYFUNCTION("""COMPUTED_VALUE"""),98.23)</f>
        <v>98.23</v>
      </c>
      <c r="H3807" s="9">
        <f>IFERROR(__xludf.DUMMYFUNCTION("""COMPUTED_VALUE"""),6.0)</f>
        <v>6</v>
      </c>
      <c r="I3807" s="9"/>
      <c r="J3807" s="9"/>
      <c r="K3807" s="9"/>
      <c r="L3807" s="9"/>
      <c r="M3807" s="9"/>
      <c r="N3807" s="9"/>
      <c r="O3807" s="9"/>
      <c r="P3807" s="9"/>
      <c r="Q3807" s="9"/>
      <c r="R3807" s="9"/>
      <c r="S3807" s="9"/>
      <c r="T3807" s="9"/>
    </row>
    <row r="3808" ht="15.75" customHeight="1">
      <c r="A3808" s="11">
        <f>IFERROR(__xludf.DUMMYFUNCTION("""COMPUTED_VALUE"""),44471.0)</f>
        <v>44471</v>
      </c>
      <c r="B3808" s="9">
        <f>IFERROR(__xludf.DUMMYFUNCTION("""COMPUTED_VALUE"""),1003834.0)</f>
        <v>1003834</v>
      </c>
      <c r="C3808" s="9">
        <f>IFERROR(__xludf.DUMMYFUNCTION("""COMPUTED_VALUE"""),2796.0)</f>
        <v>2796</v>
      </c>
      <c r="D3808" s="9"/>
      <c r="E3808" s="9"/>
      <c r="F3808" s="9">
        <f>IFERROR(__xludf.DUMMYFUNCTION("""COMPUTED_VALUE"""),5.04)</f>
        <v>5.04</v>
      </c>
      <c r="G3808" s="9">
        <f>IFERROR(__xludf.DUMMYFUNCTION("""COMPUTED_VALUE"""),5.04)</f>
        <v>5.04</v>
      </c>
      <c r="H3808" s="9">
        <f>IFERROR(__xludf.DUMMYFUNCTION("""COMPUTED_VALUE"""),1.0)</f>
        <v>1</v>
      </c>
      <c r="I3808" s="9"/>
      <c r="J3808" s="9"/>
      <c r="K3808" s="9"/>
      <c r="L3808" s="9"/>
      <c r="M3808" s="9"/>
      <c r="N3808" s="9"/>
      <c r="O3808" s="9"/>
      <c r="P3808" s="9"/>
      <c r="Q3808" s="9"/>
      <c r="R3808" s="9"/>
      <c r="S3808" s="9"/>
      <c r="T3808" s="9"/>
    </row>
    <row r="3809" ht="15.75" customHeight="1">
      <c r="A3809" s="11">
        <f>IFERROR(__xludf.DUMMYFUNCTION("""COMPUTED_VALUE"""),44471.0)</f>
        <v>44471</v>
      </c>
      <c r="B3809" s="9">
        <f>IFERROR(__xludf.DUMMYFUNCTION("""COMPUTED_VALUE"""),1003834.0)</f>
        <v>1003834</v>
      </c>
      <c r="C3809" s="9">
        <f>IFERROR(__xludf.DUMMYFUNCTION("""COMPUTED_VALUE"""),147338.0)</f>
        <v>147338</v>
      </c>
      <c r="D3809" s="9"/>
      <c r="E3809" s="9"/>
      <c r="F3809" s="9">
        <f>IFERROR(__xludf.DUMMYFUNCTION("""COMPUTED_VALUE"""),7.32)</f>
        <v>7.32</v>
      </c>
      <c r="G3809" s="9">
        <f>IFERROR(__xludf.DUMMYFUNCTION("""COMPUTED_VALUE"""),7.32)</f>
        <v>7.32</v>
      </c>
      <c r="H3809" s="9">
        <f>IFERROR(__xludf.DUMMYFUNCTION("""COMPUTED_VALUE"""),1.0)</f>
        <v>1</v>
      </c>
      <c r="I3809" s="9"/>
      <c r="J3809" s="9"/>
      <c r="K3809" s="9"/>
      <c r="L3809" s="9"/>
      <c r="M3809" s="9"/>
      <c r="N3809" s="9"/>
      <c r="O3809" s="9"/>
      <c r="P3809" s="9"/>
      <c r="Q3809" s="9"/>
      <c r="R3809" s="9"/>
      <c r="S3809" s="9"/>
      <c r="T3809" s="9"/>
    </row>
    <row r="3810" ht="15.75" customHeight="1">
      <c r="A3810" s="11">
        <f>IFERROR(__xludf.DUMMYFUNCTION("""COMPUTED_VALUE"""),44471.0)</f>
        <v>44471</v>
      </c>
      <c r="B3810" s="9">
        <f>IFERROR(__xludf.DUMMYFUNCTION("""COMPUTED_VALUE"""),1003834.0)</f>
        <v>1003834</v>
      </c>
      <c r="C3810" s="9">
        <f>IFERROR(__xludf.DUMMYFUNCTION("""COMPUTED_VALUE"""),76465.0)</f>
        <v>76465</v>
      </c>
      <c r="D3810" s="9"/>
      <c r="E3810" s="9"/>
      <c r="F3810" s="9">
        <f>IFERROR(__xludf.DUMMYFUNCTION("""COMPUTED_VALUE"""),2.69)</f>
        <v>2.69</v>
      </c>
      <c r="G3810" s="9">
        <f>IFERROR(__xludf.DUMMYFUNCTION("""COMPUTED_VALUE"""),2.69)</f>
        <v>2.69</v>
      </c>
      <c r="H3810" s="9">
        <f>IFERROR(__xludf.DUMMYFUNCTION("""COMPUTED_VALUE"""),1.0)</f>
        <v>1</v>
      </c>
      <c r="I3810" s="9"/>
      <c r="J3810" s="9"/>
      <c r="K3810" s="9"/>
      <c r="L3810" s="9"/>
      <c r="M3810" s="9"/>
      <c r="N3810" s="9"/>
      <c r="O3810" s="9"/>
      <c r="P3810" s="9"/>
      <c r="Q3810" s="9"/>
      <c r="R3810" s="9"/>
      <c r="S3810" s="9"/>
      <c r="T3810" s="9"/>
    </row>
    <row r="3811" ht="15.75" customHeight="1">
      <c r="A3811" s="11">
        <f>IFERROR(__xludf.DUMMYFUNCTION("""COMPUTED_VALUE"""),44471.0)</f>
        <v>44471</v>
      </c>
      <c r="B3811" s="9">
        <f>IFERROR(__xludf.DUMMYFUNCTION("""COMPUTED_VALUE"""),1003834.0)</f>
        <v>1003834</v>
      </c>
      <c r="C3811" s="9">
        <f>IFERROR(__xludf.DUMMYFUNCTION("""COMPUTED_VALUE"""),80781.0)</f>
        <v>80781</v>
      </c>
      <c r="D3811" s="10" t="str">
        <f>IFERROR(__xludf.DUMMYFUNCTION("""COMPUTED_VALUE"""),"Vive le bio")</f>
        <v>Vive le bio</v>
      </c>
      <c r="E3811" s="10"/>
      <c r="F3811" s="9">
        <f>IFERROR(__xludf.DUMMYFUNCTION("""COMPUTED_VALUE"""),4.35555555555555)</f>
        <v>4.355555556</v>
      </c>
      <c r="G3811" s="9">
        <f>IFERROR(__xludf.DUMMYFUNCTION("""COMPUTED_VALUE"""),3.92)</f>
        <v>3.92</v>
      </c>
      <c r="H3811" s="9">
        <f>IFERROR(__xludf.DUMMYFUNCTION("""COMPUTED_VALUE"""),1.0)</f>
        <v>1</v>
      </c>
      <c r="I3811" s="9"/>
      <c r="J3811" s="9"/>
      <c r="K3811" s="9"/>
      <c r="L3811" s="9"/>
      <c r="M3811" s="9"/>
      <c r="N3811" s="9"/>
      <c r="O3811" s="9"/>
      <c r="P3811" s="9"/>
      <c r="Q3811" s="9"/>
      <c r="R3811" s="9"/>
      <c r="S3811" s="9"/>
      <c r="T3811" s="9"/>
    </row>
    <row r="3812" ht="15.75" customHeight="1">
      <c r="A3812" s="11">
        <f>IFERROR(__xludf.DUMMYFUNCTION("""COMPUTED_VALUE"""),44471.0)</f>
        <v>44471</v>
      </c>
      <c r="B3812" s="9">
        <f>IFERROR(__xludf.DUMMYFUNCTION("""COMPUTED_VALUE"""),1003834.0)</f>
        <v>1003834</v>
      </c>
      <c r="C3812" s="9">
        <f>IFERROR(__xludf.DUMMYFUNCTION("""COMPUTED_VALUE"""),69120.0)</f>
        <v>69120</v>
      </c>
      <c r="D3812" s="9"/>
      <c r="E3812" s="9"/>
      <c r="F3812" s="9">
        <f>IFERROR(__xludf.DUMMYFUNCTION("""COMPUTED_VALUE"""),2.49)</f>
        <v>2.49</v>
      </c>
      <c r="G3812" s="9">
        <f>IFERROR(__xludf.DUMMYFUNCTION("""COMPUTED_VALUE"""),2.49)</f>
        <v>2.49</v>
      </c>
      <c r="H3812" s="9">
        <f>IFERROR(__xludf.DUMMYFUNCTION("""COMPUTED_VALUE"""),1.0)</f>
        <v>1</v>
      </c>
      <c r="I3812" s="9"/>
      <c r="J3812" s="9"/>
      <c r="K3812" s="9"/>
      <c r="L3812" s="9"/>
      <c r="M3812" s="9"/>
      <c r="N3812" s="9"/>
      <c r="O3812" s="9"/>
      <c r="P3812" s="9"/>
      <c r="Q3812" s="9"/>
      <c r="R3812" s="9"/>
      <c r="S3812" s="9"/>
      <c r="T3812" s="9"/>
    </row>
    <row r="3813" ht="15.75" customHeight="1">
      <c r="A3813" s="11">
        <f>IFERROR(__xludf.DUMMYFUNCTION("""COMPUTED_VALUE"""),44471.0)</f>
        <v>44471</v>
      </c>
      <c r="B3813" s="9">
        <f>IFERROR(__xludf.DUMMYFUNCTION("""COMPUTED_VALUE"""),1003834.0)</f>
        <v>1003834</v>
      </c>
      <c r="C3813" s="9">
        <f>IFERROR(__xludf.DUMMYFUNCTION("""COMPUTED_VALUE"""),118156.0)</f>
        <v>118156</v>
      </c>
      <c r="D3813" s="9"/>
      <c r="E3813" s="9"/>
      <c r="F3813" s="9">
        <f>IFERROR(__xludf.DUMMYFUNCTION("""COMPUTED_VALUE"""),2.37)</f>
        <v>2.37</v>
      </c>
      <c r="G3813" s="9">
        <f>IFERROR(__xludf.DUMMYFUNCTION("""COMPUTED_VALUE"""),2.37)</f>
        <v>2.37</v>
      </c>
      <c r="H3813" s="9">
        <f>IFERROR(__xludf.DUMMYFUNCTION("""COMPUTED_VALUE"""),1.0)</f>
        <v>1</v>
      </c>
      <c r="I3813" s="9"/>
      <c r="J3813" s="9"/>
      <c r="K3813" s="9"/>
      <c r="L3813" s="9"/>
      <c r="M3813" s="9"/>
      <c r="N3813" s="9"/>
      <c r="O3813" s="9"/>
      <c r="P3813" s="9"/>
      <c r="Q3813" s="9"/>
      <c r="R3813" s="9"/>
      <c r="S3813" s="9"/>
      <c r="T3813" s="9"/>
    </row>
    <row r="3814" ht="15.75" customHeight="1">
      <c r="A3814" s="11">
        <f>IFERROR(__xludf.DUMMYFUNCTION("""COMPUTED_VALUE"""),44471.0)</f>
        <v>44471</v>
      </c>
      <c r="B3814" s="9">
        <f>IFERROR(__xludf.DUMMYFUNCTION("""COMPUTED_VALUE"""),1003836.0)</f>
        <v>1003836</v>
      </c>
      <c r="C3814" s="9">
        <f>IFERROR(__xludf.DUMMYFUNCTION("""COMPUTED_VALUE"""),79263.0)</f>
        <v>79263</v>
      </c>
      <c r="D3814" s="9"/>
      <c r="E3814" s="10" t="str">
        <f>IFERROR(__xludf.DUMMYFUNCTION("""COMPUTED_VALUE"""),"GREENRELAIS")</f>
        <v>GREENRELAIS</v>
      </c>
      <c r="F3814" s="10">
        <f>IFERROR(__xludf.DUMMYFUNCTION("""COMPUTED_VALUE"""),6.78)</f>
        <v>6.78</v>
      </c>
      <c r="G3814" s="9">
        <f>IFERROR(__xludf.DUMMYFUNCTION("""COMPUTED_VALUE"""),6.78)</f>
        <v>6.78</v>
      </c>
      <c r="H3814" s="9">
        <f>IFERROR(__xludf.DUMMYFUNCTION("""COMPUTED_VALUE"""),2.0)</f>
        <v>2</v>
      </c>
      <c r="I3814" s="9"/>
      <c r="J3814" s="9"/>
      <c r="K3814" s="9"/>
      <c r="L3814" s="9"/>
      <c r="M3814" s="9"/>
      <c r="N3814" s="9"/>
      <c r="O3814" s="9"/>
      <c r="P3814" s="9"/>
      <c r="Q3814" s="9"/>
      <c r="R3814" s="9"/>
      <c r="S3814" s="9"/>
      <c r="T3814" s="9"/>
    </row>
    <row r="3815" ht="15.75" customHeight="1">
      <c r="A3815" s="11">
        <f>IFERROR(__xludf.DUMMYFUNCTION("""COMPUTED_VALUE"""),44471.0)</f>
        <v>44471</v>
      </c>
      <c r="B3815" s="9">
        <f>IFERROR(__xludf.DUMMYFUNCTION("""COMPUTED_VALUE"""),1003836.0)</f>
        <v>1003836</v>
      </c>
      <c r="C3815" s="9">
        <f>IFERROR(__xludf.DUMMYFUNCTION("""COMPUTED_VALUE"""),109580.0)</f>
        <v>109580</v>
      </c>
      <c r="D3815" s="9"/>
      <c r="E3815" s="10" t="str">
        <f>IFERROR(__xludf.DUMMYFUNCTION("""COMPUTED_VALUE"""),"GREENRELAIS")</f>
        <v>GREENRELAIS</v>
      </c>
      <c r="F3815" s="10">
        <f>IFERROR(__xludf.DUMMYFUNCTION("""COMPUTED_VALUE"""),70.28)</f>
        <v>70.28</v>
      </c>
      <c r="G3815" s="9">
        <f>IFERROR(__xludf.DUMMYFUNCTION("""COMPUTED_VALUE"""),70.28)</f>
        <v>70.28</v>
      </c>
      <c r="H3815" s="9">
        <f>IFERROR(__xludf.DUMMYFUNCTION("""COMPUTED_VALUE"""),3.0)</f>
        <v>3</v>
      </c>
      <c r="I3815" s="9"/>
      <c r="J3815" s="9"/>
      <c r="K3815" s="9"/>
      <c r="L3815" s="9"/>
      <c r="M3815" s="9"/>
      <c r="N3815" s="9"/>
      <c r="O3815" s="9"/>
      <c r="P3815" s="9"/>
      <c r="Q3815" s="9"/>
      <c r="R3815" s="9"/>
      <c r="S3815" s="9"/>
      <c r="T3815" s="9"/>
    </row>
    <row r="3816" ht="15.75" customHeight="1">
      <c r="A3816" s="11">
        <f>IFERROR(__xludf.DUMMYFUNCTION("""COMPUTED_VALUE"""),44471.0)</f>
        <v>44471</v>
      </c>
      <c r="B3816" s="9">
        <f>IFERROR(__xludf.DUMMYFUNCTION("""COMPUTED_VALUE"""),1003837.0)</f>
        <v>1003837</v>
      </c>
      <c r="C3816" s="9">
        <f>IFERROR(__xludf.DUMMYFUNCTION("""COMPUTED_VALUE"""),110927.0)</f>
        <v>110927</v>
      </c>
      <c r="D3816" s="9"/>
      <c r="E3816" s="9"/>
      <c r="F3816" s="9">
        <f>IFERROR(__xludf.DUMMYFUNCTION("""COMPUTED_VALUE"""),5.26)</f>
        <v>5.26</v>
      </c>
      <c r="G3816" s="9">
        <f>IFERROR(__xludf.DUMMYFUNCTION("""COMPUTED_VALUE"""),5.26)</f>
        <v>5.26</v>
      </c>
      <c r="H3816" s="9">
        <f>IFERROR(__xludf.DUMMYFUNCTION("""COMPUTED_VALUE"""),1.0)</f>
        <v>1</v>
      </c>
      <c r="I3816" s="9"/>
      <c r="J3816" s="9"/>
      <c r="K3816" s="9"/>
      <c r="L3816" s="9"/>
      <c r="M3816" s="9"/>
      <c r="N3816" s="9"/>
      <c r="O3816" s="9"/>
      <c r="P3816" s="9"/>
      <c r="Q3816" s="9"/>
      <c r="R3816" s="9"/>
      <c r="S3816" s="9"/>
      <c r="T3816" s="9"/>
    </row>
    <row r="3817" ht="15.75" customHeight="1">
      <c r="A3817" s="11">
        <f>IFERROR(__xludf.DUMMYFUNCTION("""COMPUTED_VALUE"""),44471.0)</f>
        <v>44471</v>
      </c>
      <c r="B3817" s="9">
        <f>IFERROR(__xludf.DUMMYFUNCTION("""COMPUTED_VALUE"""),1003837.0)</f>
        <v>1003837</v>
      </c>
      <c r="C3817" s="9">
        <f>IFERROR(__xludf.DUMMYFUNCTION("""COMPUTED_VALUE"""),72088.0)</f>
        <v>72088</v>
      </c>
      <c r="D3817" s="10" t="str">
        <f>IFERROR(__xludf.DUMMYFUNCTION("""COMPUTED_VALUE"""),"Vive le bio")</f>
        <v>Vive le bio</v>
      </c>
      <c r="E3817" s="10"/>
      <c r="F3817" s="9">
        <f>IFERROR(__xludf.DUMMYFUNCTION("""COMPUTED_VALUE"""),7.63333333333333)</f>
        <v>7.633333333</v>
      </c>
      <c r="G3817" s="9">
        <f>IFERROR(__xludf.DUMMYFUNCTION("""COMPUTED_VALUE"""),6.87)</f>
        <v>6.87</v>
      </c>
      <c r="H3817" s="9">
        <f>IFERROR(__xludf.DUMMYFUNCTION("""COMPUTED_VALUE"""),1.0)</f>
        <v>1</v>
      </c>
      <c r="I3817" s="9"/>
      <c r="J3817" s="9"/>
      <c r="K3817" s="9"/>
      <c r="L3817" s="9"/>
      <c r="M3817" s="9"/>
      <c r="N3817" s="9"/>
      <c r="O3817" s="9"/>
      <c r="P3817" s="9"/>
      <c r="Q3817" s="9"/>
      <c r="R3817" s="9"/>
      <c r="S3817" s="9"/>
      <c r="T3817" s="9"/>
    </row>
    <row r="3818" ht="15.75" customHeight="1">
      <c r="A3818" s="11">
        <f>IFERROR(__xludf.DUMMYFUNCTION("""COMPUTED_VALUE"""),44471.0)</f>
        <v>44471</v>
      </c>
      <c r="B3818" s="9">
        <f>IFERROR(__xludf.DUMMYFUNCTION("""COMPUTED_VALUE"""),1003837.0)</f>
        <v>1003837</v>
      </c>
      <c r="C3818" s="9">
        <f>IFERROR(__xludf.DUMMYFUNCTION("""COMPUTED_VALUE"""),109488.0)</f>
        <v>109488</v>
      </c>
      <c r="D3818" s="10" t="str">
        <f>IFERROR(__xludf.DUMMYFUNCTION("""COMPUTED_VALUE"""),"Vive le bio")</f>
        <v>Vive le bio</v>
      </c>
      <c r="E3818" s="10"/>
      <c r="F3818" s="9">
        <f>IFERROR(__xludf.DUMMYFUNCTION("""COMPUTED_VALUE"""),7.85555555555555)</f>
        <v>7.855555556</v>
      </c>
      <c r="G3818" s="9">
        <f>IFERROR(__xludf.DUMMYFUNCTION("""COMPUTED_VALUE"""),7.07)</f>
        <v>7.07</v>
      </c>
      <c r="H3818" s="9">
        <f>IFERROR(__xludf.DUMMYFUNCTION("""COMPUTED_VALUE"""),1.0)</f>
        <v>1</v>
      </c>
      <c r="I3818" s="9"/>
      <c r="J3818" s="9"/>
      <c r="K3818" s="9"/>
      <c r="L3818" s="9"/>
      <c r="M3818" s="9"/>
      <c r="N3818" s="9"/>
      <c r="O3818" s="9"/>
      <c r="P3818" s="9"/>
      <c r="Q3818" s="9"/>
      <c r="R3818" s="9"/>
      <c r="S3818" s="9"/>
      <c r="T3818" s="9"/>
    </row>
    <row r="3819" ht="15.75" customHeight="1">
      <c r="A3819" s="11">
        <f>IFERROR(__xludf.DUMMYFUNCTION("""COMPUTED_VALUE"""),44471.0)</f>
        <v>44471</v>
      </c>
      <c r="B3819" s="9">
        <f>IFERROR(__xludf.DUMMYFUNCTION("""COMPUTED_VALUE"""),1003838.0)</f>
        <v>1003838</v>
      </c>
      <c r="C3819" s="9">
        <f>IFERROR(__xludf.DUMMYFUNCTION("""COMPUTED_VALUE"""),78508.0)</f>
        <v>78508</v>
      </c>
      <c r="D3819" s="9"/>
      <c r="E3819" s="9"/>
      <c r="F3819" s="9">
        <f>IFERROR(__xludf.DUMMYFUNCTION("""COMPUTED_VALUE"""),8.04)</f>
        <v>8.04</v>
      </c>
      <c r="G3819" s="9">
        <f>IFERROR(__xludf.DUMMYFUNCTION("""COMPUTED_VALUE"""),8.04)</f>
        <v>8.04</v>
      </c>
      <c r="H3819" s="9">
        <f>IFERROR(__xludf.DUMMYFUNCTION("""COMPUTED_VALUE"""),1.0)</f>
        <v>1</v>
      </c>
      <c r="I3819" s="9"/>
      <c r="J3819" s="9"/>
      <c r="K3819" s="9"/>
      <c r="L3819" s="9"/>
      <c r="M3819" s="9"/>
      <c r="N3819" s="9"/>
      <c r="O3819" s="9"/>
      <c r="P3819" s="9"/>
      <c r="Q3819" s="9"/>
      <c r="R3819" s="9"/>
      <c r="S3819" s="9"/>
      <c r="T3819" s="9"/>
    </row>
    <row r="3820" ht="15.75" customHeight="1">
      <c r="A3820" s="11">
        <f>IFERROR(__xludf.DUMMYFUNCTION("""COMPUTED_VALUE"""),44471.0)</f>
        <v>44471</v>
      </c>
      <c r="B3820" s="9">
        <f>IFERROR(__xludf.DUMMYFUNCTION("""COMPUTED_VALUE"""),1003838.0)</f>
        <v>1003838</v>
      </c>
      <c r="C3820" s="9">
        <f>IFERROR(__xludf.DUMMYFUNCTION("""COMPUTED_VALUE"""),82372.0)</f>
        <v>82372</v>
      </c>
      <c r="D3820" s="9"/>
      <c r="E3820" s="9"/>
      <c r="F3820" s="9">
        <f>IFERROR(__xludf.DUMMYFUNCTION("""COMPUTED_VALUE"""),4.54)</f>
        <v>4.54</v>
      </c>
      <c r="G3820" s="9">
        <f>IFERROR(__xludf.DUMMYFUNCTION("""COMPUTED_VALUE"""),4.54)</f>
        <v>4.54</v>
      </c>
      <c r="H3820" s="9">
        <f>IFERROR(__xludf.DUMMYFUNCTION("""COMPUTED_VALUE"""),1.0)</f>
        <v>1</v>
      </c>
      <c r="I3820" s="9"/>
      <c r="J3820" s="9"/>
      <c r="K3820" s="9"/>
      <c r="L3820" s="9"/>
      <c r="M3820" s="9"/>
      <c r="N3820" s="9"/>
      <c r="O3820" s="9"/>
      <c r="P3820" s="9"/>
      <c r="Q3820" s="9"/>
      <c r="R3820" s="9"/>
      <c r="S3820" s="9"/>
      <c r="T3820" s="9"/>
    </row>
    <row r="3821" ht="15.75" customHeight="1">
      <c r="A3821" s="11">
        <f>IFERROR(__xludf.DUMMYFUNCTION("""COMPUTED_VALUE"""),44471.0)</f>
        <v>44471</v>
      </c>
      <c r="B3821" s="9">
        <f>IFERROR(__xludf.DUMMYFUNCTION("""COMPUTED_VALUE"""),1003838.0)</f>
        <v>1003838</v>
      </c>
      <c r="C3821" s="9">
        <f>IFERROR(__xludf.DUMMYFUNCTION("""COMPUTED_VALUE"""),69312.0)</f>
        <v>69312</v>
      </c>
      <c r="D3821" s="9"/>
      <c r="E3821" s="9"/>
      <c r="F3821" s="9">
        <f>IFERROR(__xludf.DUMMYFUNCTION("""COMPUTED_VALUE"""),6.36)</f>
        <v>6.36</v>
      </c>
      <c r="G3821" s="9">
        <f>IFERROR(__xludf.DUMMYFUNCTION("""COMPUTED_VALUE"""),6.36)</f>
        <v>6.36</v>
      </c>
      <c r="H3821" s="9">
        <f>IFERROR(__xludf.DUMMYFUNCTION("""COMPUTED_VALUE"""),2.0)</f>
        <v>2</v>
      </c>
      <c r="I3821" s="9"/>
      <c r="J3821" s="9"/>
      <c r="K3821" s="9"/>
      <c r="L3821" s="9"/>
      <c r="M3821" s="9"/>
      <c r="N3821" s="9"/>
      <c r="O3821" s="9"/>
      <c r="P3821" s="9"/>
      <c r="Q3821" s="9"/>
      <c r="R3821" s="9"/>
      <c r="S3821" s="9"/>
      <c r="T3821" s="9"/>
    </row>
    <row r="3822" ht="15.75" customHeight="1">
      <c r="A3822" s="11">
        <f>IFERROR(__xludf.DUMMYFUNCTION("""COMPUTED_VALUE"""),44471.0)</f>
        <v>44471</v>
      </c>
      <c r="B3822" s="9">
        <f>IFERROR(__xludf.DUMMYFUNCTION("""COMPUTED_VALUE"""),1003838.0)</f>
        <v>1003838</v>
      </c>
      <c r="C3822" s="9">
        <f>IFERROR(__xludf.DUMMYFUNCTION("""COMPUTED_VALUE"""),202592.0)</f>
        <v>202592</v>
      </c>
      <c r="D3822" s="9"/>
      <c r="E3822" s="9"/>
      <c r="F3822" s="9">
        <f>IFERROR(__xludf.DUMMYFUNCTION("""COMPUTED_VALUE"""),12.76)</f>
        <v>12.76</v>
      </c>
      <c r="G3822" s="9">
        <f>IFERROR(__xludf.DUMMYFUNCTION("""COMPUTED_VALUE"""),12.76)</f>
        <v>12.76</v>
      </c>
      <c r="H3822" s="9">
        <f>IFERROR(__xludf.DUMMYFUNCTION("""COMPUTED_VALUE"""),2.0)</f>
        <v>2</v>
      </c>
      <c r="I3822" s="9"/>
      <c r="J3822" s="9"/>
      <c r="K3822" s="9"/>
      <c r="L3822" s="9"/>
      <c r="M3822" s="9"/>
      <c r="N3822" s="9"/>
      <c r="O3822" s="9"/>
      <c r="P3822" s="9"/>
      <c r="Q3822" s="9"/>
      <c r="R3822" s="9"/>
      <c r="S3822" s="9"/>
      <c r="T3822" s="9"/>
    </row>
    <row r="3823" ht="15.75" customHeight="1">
      <c r="A3823" s="11">
        <f>IFERROR(__xludf.DUMMYFUNCTION("""COMPUTED_VALUE"""),44471.0)</f>
        <v>44471</v>
      </c>
      <c r="B3823" s="9">
        <f>IFERROR(__xludf.DUMMYFUNCTION("""COMPUTED_VALUE"""),1003838.0)</f>
        <v>1003838</v>
      </c>
      <c r="C3823" s="9">
        <f>IFERROR(__xludf.DUMMYFUNCTION("""COMPUTED_VALUE"""),100564.0)</f>
        <v>100564</v>
      </c>
      <c r="D3823" s="9"/>
      <c r="E3823" s="9"/>
      <c r="F3823" s="9">
        <f>IFERROR(__xludf.DUMMYFUNCTION("""COMPUTED_VALUE"""),9.13)</f>
        <v>9.13</v>
      </c>
      <c r="G3823" s="9">
        <f>IFERROR(__xludf.DUMMYFUNCTION("""COMPUTED_VALUE"""),9.13)</f>
        <v>9.13</v>
      </c>
      <c r="H3823" s="9">
        <f>IFERROR(__xludf.DUMMYFUNCTION("""COMPUTED_VALUE"""),2.0)</f>
        <v>2</v>
      </c>
      <c r="I3823" s="9"/>
      <c r="J3823" s="9"/>
      <c r="K3823" s="9"/>
      <c r="L3823" s="9"/>
      <c r="M3823" s="9"/>
      <c r="N3823" s="9"/>
      <c r="O3823" s="9"/>
      <c r="P3823" s="9"/>
      <c r="Q3823" s="9"/>
      <c r="R3823" s="9"/>
      <c r="S3823" s="9"/>
      <c r="T3823" s="9"/>
    </row>
    <row r="3824" ht="15.75" customHeight="1">
      <c r="A3824" s="11">
        <f>IFERROR(__xludf.DUMMYFUNCTION("""COMPUTED_VALUE"""),44471.0)</f>
        <v>44471</v>
      </c>
      <c r="B3824" s="9">
        <f>IFERROR(__xludf.DUMMYFUNCTION("""COMPUTED_VALUE"""),1003839.0)</f>
        <v>1003839</v>
      </c>
      <c r="C3824" s="9">
        <f>IFERROR(__xludf.DUMMYFUNCTION("""COMPUTED_VALUE"""),79819.0)</f>
        <v>79819</v>
      </c>
      <c r="D3824" s="9"/>
      <c r="E3824" s="9"/>
      <c r="F3824" s="9">
        <f>IFERROR(__xludf.DUMMYFUNCTION("""COMPUTED_VALUE"""),5.77)</f>
        <v>5.77</v>
      </c>
      <c r="G3824" s="9">
        <f>IFERROR(__xludf.DUMMYFUNCTION("""COMPUTED_VALUE"""),5.77)</f>
        <v>5.77</v>
      </c>
      <c r="H3824" s="9">
        <f>IFERROR(__xludf.DUMMYFUNCTION("""COMPUTED_VALUE"""),1.0)</f>
        <v>1</v>
      </c>
      <c r="I3824" s="9"/>
      <c r="J3824" s="9"/>
      <c r="K3824" s="9"/>
      <c r="L3824" s="9"/>
      <c r="M3824" s="9"/>
      <c r="N3824" s="9"/>
      <c r="O3824" s="9"/>
      <c r="P3824" s="9"/>
      <c r="Q3824" s="9"/>
      <c r="R3824" s="9"/>
      <c r="S3824" s="9"/>
      <c r="T3824" s="9"/>
    </row>
    <row r="3825" ht="15.75" customHeight="1">
      <c r="A3825" s="11">
        <f>IFERROR(__xludf.DUMMYFUNCTION("""COMPUTED_VALUE"""),44471.0)</f>
        <v>44471</v>
      </c>
      <c r="B3825" s="9">
        <f>IFERROR(__xludf.DUMMYFUNCTION("""COMPUTED_VALUE"""),1003839.0)</f>
        <v>1003839</v>
      </c>
      <c r="C3825" s="9">
        <f>IFERROR(__xludf.DUMMYFUNCTION("""COMPUTED_VALUE"""),109984.0)</f>
        <v>109984</v>
      </c>
      <c r="D3825" s="10" t="str">
        <f>IFERROR(__xludf.DUMMYFUNCTION("""COMPUTED_VALUE"""),"Carryboo soin bebe 2021")</f>
        <v>Carryboo soin bebe 2021</v>
      </c>
      <c r="E3825" s="10"/>
      <c r="F3825" s="9">
        <f>IFERROR(__xludf.DUMMYFUNCTION("""COMPUTED_VALUE"""),2.4)</f>
        <v>2.4</v>
      </c>
      <c r="G3825" s="9">
        <f>IFERROR(__xludf.DUMMYFUNCTION("""COMPUTED_VALUE"""),1.8)</f>
        <v>1.8</v>
      </c>
      <c r="H3825" s="9">
        <f>IFERROR(__xludf.DUMMYFUNCTION("""COMPUTED_VALUE"""),1.0)</f>
        <v>1</v>
      </c>
      <c r="I3825" s="9"/>
      <c r="J3825" s="9"/>
      <c r="K3825" s="9"/>
      <c r="L3825" s="9"/>
      <c r="M3825" s="9"/>
      <c r="N3825" s="9"/>
      <c r="O3825" s="9"/>
      <c r="P3825" s="9"/>
      <c r="Q3825" s="9"/>
      <c r="R3825" s="9"/>
      <c r="S3825" s="9"/>
      <c r="T3825" s="9"/>
    </row>
    <row r="3826" ht="15.75" customHeight="1">
      <c r="A3826" s="11">
        <f>IFERROR(__xludf.DUMMYFUNCTION("""COMPUTED_VALUE"""),44471.0)</f>
        <v>44471</v>
      </c>
      <c r="B3826" s="9">
        <f>IFERROR(__xludf.DUMMYFUNCTION("""COMPUTED_VALUE"""),1003839.0)</f>
        <v>1003839</v>
      </c>
      <c r="C3826" s="9">
        <f>IFERROR(__xludf.DUMMYFUNCTION("""COMPUTED_VALUE"""),46989.0)</f>
        <v>46989</v>
      </c>
      <c r="D3826" s="9"/>
      <c r="E3826" s="9"/>
      <c r="F3826" s="9">
        <f>IFERROR(__xludf.DUMMYFUNCTION("""COMPUTED_VALUE"""),4.8)</f>
        <v>4.8</v>
      </c>
      <c r="G3826" s="9">
        <f>IFERROR(__xludf.DUMMYFUNCTION("""COMPUTED_VALUE"""),4.8)</f>
        <v>4.8</v>
      </c>
      <c r="H3826" s="9">
        <f>IFERROR(__xludf.DUMMYFUNCTION("""COMPUTED_VALUE"""),1.0)</f>
        <v>1</v>
      </c>
      <c r="I3826" s="9"/>
      <c r="J3826" s="9"/>
      <c r="K3826" s="9"/>
      <c r="L3826" s="9"/>
      <c r="M3826" s="9"/>
      <c r="N3826" s="9"/>
      <c r="O3826" s="9"/>
      <c r="P3826" s="9"/>
      <c r="Q3826" s="9"/>
      <c r="R3826" s="9"/>
      <c r="S3826" s="9"/>
      <c r="T3826" s="9"/>
    </row>
    <row r="3827" ht="15.75" customHeight="1">
      <c r="A3827" s="11">
        <f>IFERROR(__xludf.DUMMYFUNCTION("""COMPUTED_VALUE"""),44471.0)</f>
        <v>44471</v>
      </c>
      <c r="B3827" s="9">
        <f>IFERROR(__xludf.DUMMYFUNCTION("""COMPUTED_VALUE"""),1003839.0)</f>
        <v>1003839</v>
      </c>
      <c r="C3827" s="9">
        <f>IFERROR(__xludf.DUMMYFUNCTION("""COMPUTED_VALUE"""),11722.0)</f>
        <v>11722</v>
      </c>
      <c r="D3827" s="9"/>
      <c r="E3827" s="9"/>
      <c r="F3827" s="9">
        <f>IFERROR(__xludf.DUMMYFUNCTION("""COMPUTED_VALUE"""),10.43)</f>
        <v>10.43</v>
      </c>
      <c r="G3827" s="9">
        <f>IFERROR(__xludf.DUMMYFUNCTION("""COMPUTED_VALUE"""),10.43)</f>
        <v>10.43</v>
      </c>
      <c r="H3827" s="9">
        <f>IFERROR(__xludf.DUMMYFUNCTION("""COMPUTED_VALUE"""),1.0)</f>
        <v>1</v>
      </c>
      <c r="I3827" s="9"/>
      <c r="J3827" s="9"/>
      <c r="K3827" s="9"/>
      <c r="L3827" s="9"/>
      <c r="M3827" s="9"/>
      <c r="N3827" s="9"/>
      <c r="O3827" s="9"/>
      <c r="P3827" s="9"/>
      <c r="Q3827" s="9"/>
      <c r="R3827" s="9"/>
      <c r="S3827" s="9"/>
      <c r="T3827" s="9"/>
    </row>
    <row r="3828" ht="15.75" customHeight="1">
      <c r="A3828" s="11">
        <f>IFERROR(__xludf.DUMMYFUNCTION("""COMPUTED_VALUE"""),44471.0)</f>
        <v>44471</v>
      </c>
      <c r="B3828" s="9">
        <f>IFERROR(__xludf.DUMMYFUNCTION("""COMPUTED_VALUE"""),1003839.0)</f>
        <v>1003839</v>
      </c>
      <c r="C3828" s="9">
        <f>IFERROR(__xludf.DUMMYFUNCTION("""COMPUTED_VALUE"""),7857.0)</f>
        <v>7857</v>
      </c>
      <c r="D3828" s="9"/>
      <c r="E3828" s="9"/>
      <c r="F3828" s="9">
        <f>IFERROR(__xludf.DUMMYFUNCTION("""COMPUTED_VALUE"""),1.03)</f>
        <v>1.03</v>
      </c>
      <c r="G3828" s="9">
        <f>IFERROR(__xludf.DUMMYFUNCTION("""COMPUTED_VALUE"""),1.03)</f>
        <v>1.03</v>
      </c>
      <c r="H3828" s="9">
        <f>IFERROR(__xludf.DUMMYFUNCTION("""COMPUTED_VALUE"""),1.0)</f>
        <v>1</v>
      </c>
      <c r="I3828" s="9"/>
      <c r="J3828" s="9"/>
      <c r="K3828" s="9"/>
      <c r="L3828" s="9"/>
      <c r="M3828" s="9"/>
      <c r="N3828" s="9"/>
      <c r="O3828" s="9"/>
      <c r="P3828" s="9"/>
      <c r="Q3828" s="9"/>
      <c r="R3828" s="9"/>
      <c r="S3828" s="9"/>
      <c r="T3828" s="9"/>
    </row>
    <row r="3829" ht="15.75" customHeight="1">
      <c r="A3829" s="11">
        <f>IFERROR(__xludf.DUMMYFUNCTION("""COMPUTED_VALUE"""),44471.0)</f>
        <v>44471</v>
      </c>
      <c r="B3829" s="9">
        <f>IFERROR(__xludf.DUMMYFUNCTION("""COMPUTED_VALUE"""),1003839.0)</f>
        <v>1003839</v>
      </c>
      <c r="C3829" s="9">
        <f>IFERROR(__xludf.DUMMYFUNCTION("""COMPUTED_VALUE"""),46769.0)</f>
        <v>46769</v>
      </c>
      <c r="D3829" s="10" t="str">
        <f>IFERROR(__xludf.DUMMYFUNCTION("""COMPUTED_VALUE"""),"Vive le bio")</f>
        <v>Vive le bio</v>
      </c>
      <c r="E3829" s="10"/>
      <c r="F3829" s="9">
        <f>IFERROR(__xludf.DUMMYFUNCTION("""COMPUTED_VALUE"""),2.83333333333333)</f>
        <v>2.833333333</v>
      </c>
      <c r="G3829" s="9">
        <f>IFERROR(__xludf.DUMMYFUNCTION("""COMPUTED_VALUE"""),2.55)</f>
        <v>2.55</v>
      </c>
      <c r="H3829" s="9">
        <f>IFERROR(__xludf.DUMMYFUNCTION("""COMPUTED_VALUE"""),1.0)</f>
        <v>1</v>
      </c>
      <c r="I3829" s="9"/>
      <c r="J3829" s="9"/>
      <c r="K3829" s="9"/>
      <c r="L3829" s="9"/>
      <c r="M3829" s="9"/>
      <c r="N3829" s="9"/>
      <c r="O3829" s="9"/>
      <c r="P3829" s="9"/>
      <c r="Q3829" s="9"/>
      <c r="R3829" s="9"/>
      <c r="S3829" s="9"/>
      <c r="T3829" s="9"/>
    </row>
    <row r="3830" ht="15.75" customHeight="1">
      <c r="A3830" s="11">
        <f>IFERROR(__xludf.DUMMYFUNCTION("""COMPUTED_VALUE"""),44471.0)</f>
        <v>44471</v>
      </c>
      <c r="B3830" s="9">
        <f>IFERROR(__xludf.DUMMYFUNCTION("""COMPUTED_VALUE"""),1003839.0)</f>
        <v>1003839</v>
      </c>
      <c r="C3830" s="9">
        <f>IFERROR(__xludf.DUMMYFUNCTION("""COMPUTED_VALUE"""),46762.0)</f>
        <v>46762</v>
      </c>
      <c r="D3830" s="10" t="str">
        <f>IFERROR(__xludf.DUMMYFUNCTION("""COMPUTED_VALUE"""),"Vive le bio")</f>
        <v>Vive le bio</v>
      </c>
      <c r="E3830" s="10"/>
      <c r="F3830" s="9">
        <f>IFERROR(__xludf.DUMMYFUNCTION("""COMPUTED_VALUE"""),2.78888888888888)</f>
        <v>2.788888889</v>
      </c>
      <c r="G3830" s="9">
        <f>IFERROR(__xludf.DUMMYFUNCTION("""COMPUTED_VALUE"""),2.51)</f>
        <v>2.51</v>
      </c>
      <c r="H3830" s="9">
        <f>IFERROR(__xludf.DUMMYFUNCTION("""COMPUTED_VALUE"""),1.0)</f>
        <v>1</v>
      </c>
      <c r="I3830" s="9"/>
      <c r="J3830" s="9"/>
      <c r="K3830" s="9"/>
      <c r="L3830" s="9"/>
      <c r="M3830" s="9"/>
      <c r="N3830" s="9"/>
      <c r="O3830" s="9"/>
      <c r="P3830" s="9"/>
      <c r="Q3830" s="9"/>
      <c r="R3830" s="9"/>
      <c r="S3830" s="9"/>
      <c r="T3830" s="9"/>
    </row>
    <row r="3831" ht="15.75" customHeight="1">
      <c r="A3831" s="11">
        <f>IFERROR(__xludf.DUMMYFUNCTION("""COMPUTED_VALUE"""),44471.0)</f>
        <v>44471</v>
      </c>
      <c r="B3831" s="9">
        <f>IFERROR(__xludf.DUMMYFUNCTION("""COMPUTED_VALUE"""),1003839.0)</f>
        <v>1003839</v>
      </c>
      <c r="C3831" s="9">
        <f>IFERROR(__xludf.DUMMYFUNCTION("""COMPUTED_VALUE"""),29437.0)</f>
        <v>29437</v>
      </c>
      <c r="D3831" s="9"/>
      <c r="E3831" s="9"/>
      <c r="F3831" s="9">
        <f>IFERROR(__xludf.DUMMYFUNCTION("""COMPUTED_VALUE"""),10.83)</f>
        <v>10.83</v>
      </c>
      <c r="G3831" s="9">
        <f>IFERROR(__xludf.DUMMYFUNCTION("""COMPUTED_VALUE"""),10.83)</f>
        <v>10.83</v>
      </c>
      <c r="H3831" s="9">
        <f>IFERROR(__xludf.DUMMYFUNCTION("""COMPUTED_VALUE"""),2.0)</f>
        <v>2</v>
      </c>
      <c r="I3831" s="9"/>
      <c r="J3831" s="9"/>
      <c r="K3831" s="9"/>
      <c r="L3831" s="9"/>
      <c r="M3831" s="9"/>
      <c r="N3831" s="9"/>
      <c r="O3831" s="9"/>
      <c r="P3831" s="9"/>
      <c r="Q3831" s="9"/>
      <c r="R3831" s="9"/>
      <c r="S3831" s="9"/>
      <c r="T3831" s="9"/>
    </row>
    <row r="3832" ht="15.75" customHeight="1">
      <c r="A3832" s="11">
        <f>IFERROR(__xludf.DUMMYFUNCTION("""COMPUTED_VALUE"""),44471.0)</f>
        <v>44471</v>
      </c>
      <c r="B3832" s="9">
        <f>IFERROR(__xludf.DUMMYFUNCTION("""COMPUTED_VALUE"""),1003839.0)</f>
        <v>1003839</v>
      </c>
      <c r="C3832" s="9">
        <f>IFERROR(__xludf.DUMMYFUNCTION("""COMPUTED_VALUE"""),128315.0)</f>
        <v>128315</v>
      </c>
      <c r="D3832" s="9"/>
      <c r="E3832" s="9"/>
      <c r="F3832" s="9">
        <f>IFERROR(__xludf.DUMMYFUNCTION("""COMPUTED_VALUE"""),8.89)</f>
        <v>8.89</v>
      </c>
      <c r="G3832" s="9">
        <f>IFERROR(__xludf.DUMMYFUNCTION("""COMPUTED_VALUE"""),8.89)</f>
        <v>8.89</v>
      </c>
      <c r="H3832" s="9">
        <f>IFERROR(__xludf.DUMMYFUNCTION("""COMPUTED_VALUE"""),2.0)</f>
        <v>2</v>
      </c>
      <c r="I3832" s="9"/>
      <c r="J3832" s="9"/>
      <c r="K3832" s="9"/>
      <c r="L3832" s="9"/>
      <c r="M3832" s="9"/>
      <c r="N3832" s="9"/>
      <c r="O3832" s="9"/>
      <c r="P3832" s="9"/>
      <c r="Q3832" s="9"/>
      <c r="R3832" s="9"/>
      <c r="S3832" s="9"/>
      <c r="T3832" s="9"/>
    </row>
    <row r="3833" ht="15.75" customHeight="1">
      <c r="A3833" s="11">
        <f>IFERROR(__xludf.DUMMYFUNCTION("""COMPUTED_VALUE"""),44471.0)</f>
        <v>44471</v>
      </c>
      <c r="B3833" s="9">
        <f>IFERROR(__xludf.DUMMYFUNCTION("""COMPUTED_VALUE"""),1003839.0)</f>
        <v>1003839</v>
      </c>
      <c r="C3833" s="9">
        <f>IFERROR(__xludf.DUMMYFUNCTION("""COMPUTED_VALUE"""),46760.0)</f>
        <v>46760</v>
      </c>
      <c r="D3833" s="10" t="str">
        <f>IFERROR(__xludf.DUMMYFUNCTION("""COMPUTED_VALUE"""),"Vive le bio")</f>
        <v>Vive le bio</v>
      </c>
      <c r="E3833" s="10"/>
      <c r="F3833" s="9">
        <f>IFERROR(__xludf.DUMMYFUNCTION("""COMPUTED_VALUE"""),7.66315789473684)</f>
        <v>7.663157895</v>
      </c>
      <c r="G3833" s="9">
        <f>IFERROR(__xludf.DUMMYFUNCTION("""COMPUTED_VALUE"""),7.28)</f>
        <v>7.28</v>
      </c>
      <c r="H3833" s="9">
        <f>IFERROR(__xludf.DUMMYFUNCTION("""COMPUTED_VALUE"""),3.0)</f>
        <v>3</v>
      </c>
      <c r="I3833" s="9"/>
      <c r="J3833" s="9"/>
      <c r="K3833" s="9"/>
      <c r="L3833" s="9"/>
      <c r="M3833" s="9"/>
      <c r="N3833" s="9"/>
      <c r="O3833" s="9"/>
      <c r="P3833" s="9"/>
      <c r="Q3833" s="9"/>
      <c r="R3833" s="9"/>
      <c r="S3833" s="9"/>
      <c r="T3833" s="9"/>
    </row>
    <row r="3834" ht="15.75" customHeight="1">
      <c r="A3834" s="11">
        <f>IFERROR(__xludf.DUMMYFUNCTION("""COMPUTED_VALUE"""),44471.0)</f>
        <v>44471</v>
      </c>
      <c r="B3834" s="9">
        <f>IFERROR(__xludf.DUMMYFUNCTION("""COMPUTED_VALUE"""),1003840.0)</f>
        <v>1003840</v>
      </c>
      <c r="C3834" s="9">
        <f>IFERROR(__xludf.DUMMYFUNCTION("""COMPUTED_VALUE"""),85263.0)</f>
        <v>85263</v>
      </c>
      <c r="D3834" s="9"/>
      <c r="E3834" s="10" t="str">
        <f>IFERROR(__xludf.DUMMYFUNCTION("""COMPUTED_VALUE"""),"GREENRELAIS")</f>
        <v>GREENRELAIS</v>
      </c>
      <c r="F3834" s="10">
        <f>IFERROR(__xludf.DUMMYFUNCTION("""COMPUTED_VALUE"""),13.39)</f>
        <v>13.39</v>
      </c>
      <c r="G3834" s="9">
        <f>IFERROR(__xludf.DUMMYFUNCTION("""COMPUTED_VALUE"""),13.39)</f>
        <v>13.39</v>
      </c>
      <c r="H3834" s="9">
        <f>IFERROR(__xludf.DUMMYFUNCTION("""COMPUTED_VALUE"""),1.0)</f>
        <v>1</v>
      </c>
      <c r="I3834" s="9"/>
      <c r="J3834" s="9"/>
      <c r="K3834" s="9"/>
      <c r="L3834" s="9"/>
      <c r="M3834" s="9"/>
      <c r="N3834" s="9"/>
      <c r="O3834" s="9"/>
      <c r="P3834" s="9"/>
      <c r="Q3834" s="9"/>
      <c r="R3834" s="9"/>
      <c r="S3834" s="9"/>
      <c r="T3834" s="9"/>
    </row>
    <row r="3835" ht="15.75" customHeight="1">
      <c r="A3835" s="11">
        <f>IFERROR(__xludf.DUMMYFUNCTION("""COMPUTED_VALUE"""),44471.0)</f>
        <v>44471</v>
      </c>
      <c r="B3835" s="9">
        <f>IFERROR(__xludf.DUMMYFUNCTION("""COMPUTED_VALUE"""),1003840.0)</f>
        <v>1003840</v>
      </c>
      <c r="C3835" s="9">
        <f>IFERROR(__xludf.DUMMYFUNCTION("""COMPUTED_VALUE"""),79958.0)</f>
        <v>79958</v>
      </c>
      <c r="D3835" s="9"/>
      <c r="E3835" s="10" t="str">
        <f>IFERROR(__xludf.DUMMYFUNCTION("""COMPUTED_VALUE"""),"GREENRELAIS")</f>
        <v>GREENRELAIS</v>
      </c>
      <c r="F3835" s="10">
        <f>IFERROR(__xludf.DUMMYFUNCTION("""COMPUTED_VALUE"""),3.21)</f>
        <v>3.21</v>
      </c>
      <c r="G3835" s="9">
        <f>IFERROR(__xludf.DUMMYFUNCTION("""COMPUTED_VALUE"""),3.21)</f>
        <v>3.21</v>
      </c>
      <c r="H3835" s="9">
        <f>IFERROR(__xludf.DUMMYFUNCTION("""COMPUTED_VALUE"""),1.0)</f>
        <v>1</v>
      </c>
      <c r="I3835" s="9"/>
      <c r="J3835" s="9"/>
      <c r="K3835" s="9"/>
      <c r="L3835" s="9"/>
      <c r="M3835" s="9"/>
      <c r="N3835" s="9"/>
      <c r="O3835" s="9"/>
      <c r="P3835" s="9"/>
      <c r="Q3835" s="9"/>
      <c r="R3835" s="9"/>
      <c r="S3835" s="9"/>
      <c r="T3835" s="9"/>
    </row>
    <row r="3836" ht="15.75" customHeight="1">
      <c r="A3836" s="11">
        <f>IFERROR(__xludf.DUMMYFUNCTION("""COMPUTED_VALUE"""),44471.0)</f>
        <v>44471</v>
      </c>
      <c r="B3836" s="9">
        <f>IFERROR(__xludf.DUMMYFUNCTION("""COMPUTED_VALUE"""),1003840.0)</f>
        <v>1003840</v>
      </c>
      <c r="C3836" s="9">
        <f>IFERROR(__xludf.DUMMYFUNCTION("""COMPUTED_VALUE"""),108881.0)</f>
        <v>108881</v>
      </c>
      <c r="D3836" s="10" t="str">
        <f>IFERROR(__xludf.DUMMYFUNCTION("""COMPUTED_VALUE"""),"Offre Speciale")</f>
        <v>Offre Speciale</v>
      </c>
      <c r="E3836" s="10" t="str">
        <f>IFERROR(__xludf.DUMMYFUNCTION("""COMPUTED_VALUE"""),"GREENRELAIS")</f>
        <v>GREENRELAIS</v>
      </c>
      <c r="F3836" s="10">
        <f>IFERROR(__xludf.DUMMYFUNCTION("""COMPUTED_VALUE"""),8.01176470588235)</f>
        <v>8.011764706</v>
      </c>
      <c r="G3836" s="9">
        <f>IFERROR(__xludf.DUMMYFUNCTION("""COMPUTED_VALUE"""),6.81)</f>
        <v>6.81</v>
      </c>
      <c r="H3836" s="9">
        <f>IFERROR(__xludf.DUMMYFUNCTION("""COMPUTED_VALUE"""),2.0)</f>
        <v>2</v>
      </c>
      <c r="I3836" s="9"/>
      <c r="J3836" s="9"/>
      <c r="K3836" s="9"/>
      <c r="L3836" s="9"/>
      <c r="M3836" s="9"/>
      <c r="N3836" s="9"/>
      <c r="O3836" s="9"/>
      <c r="P3836" s="9"/>
      <c r="Q3836" s="9"/>
      <c r="R3836" s="9"/>
      <c r="S3836" s="9"/>
      <c r="T3836" s="9"/>
    </row>
    <row r="3837" ht="15.75" customHeight="1">
      <c r="A3837" s="11">
        <f>IFERROR(__xludf.DUMMYFUNCTION("""COMPUTED_VALUE"""),44471.0)</f>
        <v>44471</v>
      </c>
      <c r="B3837" s="9">
        <f>IFERROR(__xludf.DUMMYFUNCTION("""COMPUTED_VALUE"""),1003840.0)</f>
        <v>1003840</v>
      </c>
      <c r="C3837" s="9">
        <f>IFERROR(__xludf.DUMMYFUNCTION("""COMPUTED_VALUE"""),139286.0)</f>
        <v>139286</v>
      </c>
      <c r="D3837" s="9"/>
      <c r="E3837" s="10" t="str">
        <f>IFERROR(__xludf.DUMMYFUNCTION("""COMPUTED_VALUE"""),"GREENRELAIS")</f>
        <v>GREENRELAIS</v>
      </c>
      <c r="F3837" s="10">
        <f>IFERROR(__xludf.DUMMYFUNCTION("""COMPUTED_VALUE"""),7.02)</f>
        <v>7.02</v>
      </c>
      <c r="G3837" s="9">
        <f>IFERROR(__xludf.DUMMYFUNCTION("""COMPUTED_VALUE"""),7.02)</f>
        <v>7.02</v>
      </c>
      <c r="H3837" s="9">
        <f>IFERROR(__xludf.DUMMYFUNCTION("""COMPUTED_VALUE"""),2.0)</f>
        <v>2</v>
      </c>
      <c r="I3837" s="9"/>
      <c r="J3837" s="9"/>
      <c r="K3837" s="9"/>
      <c r="L3837" s="9"/>
      <c r="M3837" s="9"/>
      <c r="N3837" s="9"/>
      <c r="O3837" s="9"/>
      <c r="P3837" s="9"/>
      <c r="Q3837" s="9"/>
      <c r="R3837" s="9"/>
      <c r="S3837" s="9"/>
      <c r="T3837" s="9"/>
    </row>
    <row r="3838" ht="15.75" customHeight="1">
      <c r="A3838" s="11">
        <f>IFERROR(__xludf.DUMMYFUNCTION("""COMPUTED_VALUE"""),44471.0)</f>
        <v>44471</v>
      </c>
      <c r="B3838" s="9">
        <f>IFERROR(__xludf.DUMMYFUNCTION("""COMPUTED_VALUE"""),1003840.0)</f>
        <v>1003840</v>
      </c>
      <c r="C3838" s="9">
        <f>IFERROR(__xludf.DUMMYFUNCTION("""COMPUTED_VALUE"""),86844.0)</f>
        <v>86844</v>
      </c>
      <c r="D3838" s="9"/>
      <c r="E3838" s="10" t="str">
        <f>IFERROR(__xludf.DUMMYFUNCTION("""COMPUTED_VALUE"""),"GREENRELAIS")</f>
        <v>GREENRELAIS</v>
      </c>
      <c r="F3838" s="10">
        <f>IFERROR(__xludf.DUMMYFUNCTION("""COMPUTED_VALUE"""),5.08)</f>
        <v>5.08</v>
      </c>
      <c r="G3838" s="9">
        <f>IFERROR(__xludf.DUMMYFUNCTION("""COMPUTED_VALUE"""),5.08)</f>
        <v>5.08</v>
      </c>
      <c r="H3838" s="9">
        <f>IFERROR(__xludf.DUMMYFUNCTION("""COMPUTED_VALUE"""),2.0)</f>
        <v>2</v>
      </c>
      <c r="I3838" s="9"/>
      <c r="J3838" s="9"/>
      <c r="K3838" s="9"/>
      <c r="L3838" s="9"/>
      <c r="M3838" s="9"/>
      <c r="N3838" s="9"/>
      <c r="O3838" s="9"/>
      <c r="P3838" s="9"/>
      <c r="Q3838" s="9"/>
      <c r="R3838" s="9"/>
      <c r="S3838" s="9"/>
      <c r="T3838" s="9"/>
    </row>
    <row r="3839" ht="15.75" customHeight="1">
      <c r="A3839" s="11">
        <f>IFERROR(__xludf.DUMMYFUNCTION("""COMPUTED_VALUE"""),44471.0)</f>
        <v>44471</v>
      </c>
      <c r="B3839" s="9">
        <f>IFERROR(__xludf.DUMMYFUNCTION("""COMPUTED_VALUE"""),1003840.0)</f>
        <v>1003840</v>
      </c>
      <c r="C3839" s="9">
        <f>IFERROR(__xludf.DUMMYFUNCTION("""COMPUTED_VALUE"""),21035.0)</f>
        <v>21035</v>
      </c>
      <c r="D3839" s="9"/>
      <c r="E3839" s="10" t="str">
        <f>IFERROR(__xludf.DUMMYFUNCTION("""COMPUTED_VALUE"""),"GREENRELAIS")</f>
        <v>GREENRELAIS</v>
      </c>
      <c r="F3839" s="10">
        <f>IFERROR(__xludf.DUMMYFUNCTION("""COMPUTED_VALUE"""),13.93)</f>
        <v>13.93</v>
      </c>
      <c r="G3839" s="9">
        <f>IFERROR(__xludf.DUMMYFUNCTION("""COMPUTED_VALUE"""),13.93)</f>
        <v>13.93</v>
      </c>
      <c r="H3839" s="9">
        <f>IFERROR(__xludf.DUMMYFUNCTION("""COMPUTED_VALUE"""),2.0)</f>
        <v>2</v>
      </c>
      <c r="I3839" s="9"/>
      <c r="J3839" s="9"/>
      <c r="K3839" s="9"/>
      <c r="L3839" s="9"/>
      <c r="M3839" s="9"/>
      <c r="N3839" s="9"/>
      <c r="O3839" s="9"/>
      <c r="P3839" s="9"/>
      <c r="Q3839" s="9"/>
      <c r="R3839" s="9"/>
      <c r="S3839" s="9"/>
      <c r="T3839" s="9"/>
    </row>
    <row r="3840" ht="15.75" customHeight="1">
      <c r="A3840" s="11">
        <f>IFERROR(__xludf.DUMMYFUNCTION("""COMPUTED_VALUE"""),44471.0)</f>
        <v>44471</v>
      </c>
      <c r="B3840" s="9">
        <f>IFERROR(__xludf.DUMMYFUNCTION("""COMPUTED_VALUE"""),1003840.0)</f>
        <v>1003840</v>
      </c>
      <c r="C3840" s="9">
        <f>IFERROR(__xludf.DUMMYFUNCTION("""COMPUTED_VALUE"""),95079.0)</f>
        <v>95079</v>
      </c>
      <c r="D3840" s="10" t="str">
        <f>IFERROR(__xludf.DUMMYFUNCTION("""COMPUTED_VALUE"""),"Offre Speciale")</f>
        <v>Offre Speciale</v>
      </c>
      <c r="E3840" s="10" t="str">
        <f>IFERROR(__xludf.DUMMYFUNCTION("""COMPUTED_VALUE"""),"GREENRELAIS")</f>
        <v>GREENRELAIS</v>
      </c>
      <c r="F3840" s="10">
        <f>IFERROR(__xludf.DUMMYFUNCTION("""COMPUTED_VALUE"""),10.3882352941176)</f>
        <v>10.38823529</v>
      </c>
      <c r="G3840" s="9">
        <f>IFERROR(__xludf.DUMMYFUNCTION("""COMPUTED_VALUE"""),8.83)</f>
        <v>8.83</v>
      </c>
      <c r="H3840" s="9">
        <f>IFERROR(__xludf.DUMMYFUNCTION("""COMPUTED_VALUE"""),2.0)</f>
        <v>2</v>
      </c>
      <c r="I3840" s="9"/>
      <c r="J3840" s="9"/>
      <c r="K3840" s="9"/>
      <c r="L3840" s="9"/>
      <c r="M3840" s="9"/>
      <c r="N3840" s="9"/>
      <c r="O3840" s="9"/>
      <c r="P3840" s="9"/>
      <c r="Q3840" s="9"/>
      <c r="R3840" s="9"/>
      <c r="S3840" s="9"/>
      <c r="T3840" s="9"/>
    </row>
    <row r="3841" ht="15.75" customHeight="1">
      <c r="A3841" s="11">
        <f>IFERROR(__xludf.DUMMYFUNCTION("""COMPUTED_VALUE"""),44471.0)</f>
        <v>44471</v>
      </c>
      <c r="B3841" s="9">
        <f>IFERROR(__xludf.DUMMYFUNCTION("""COMPUTED_VALUE"""),1003841.0)</f>
        <v>1003841</v>
      </c>
      <c r="C3841" s="9">
        <f>IFERROR(__xludf.DUMMYFUNCTION("""COMPUTED_VALUE"""),89981.0)</f>
        <v>89981</v>
      </c>
      <c r="D3841" s="10" t="str">
        <f>IFERROR(__xludf.DUMMYFUNCTION("""COMPUTED_VALUE"""),"Offre speciale")</f>
        <v>Offre speciale</v>
      </c>
      <c r="E3841" s="10"/>
      <c r="F3841" s="9">
        <f>IFERROR(__xludf.DUMMYFUNCTION("""COMPUTED_VALUE"""),12.8470588235294)</f>
        <v>12.84705882</v>
      </c>
      <c r="G3841" s="9">
        <f>IFERROR(__xludf.DUMMYFUNCTION("""COMPUTED_VALUE"""),10.92)</f>
        <v>10.92</v>
      </c>
      <c r="H3841" s="9">
        <f>IFERROR(__xludf.DUMMYFUNCTION("""COMPUTED_VALUE"""),2.0)</f>
        <v>2</v>
      </c>
      <c r="I3841" s="9"/>
      <c r="J3841" s="9"/>
      <c r="K3841" s="9"/>
      <c r="L3841" s="9"/>
      <c r="M3841" s="9"/>
      <c r="N3841" s="9"/>
      <c r="O3841" s="9"/>
      <c r="P3841" s="9"/>
      <c r="Q3841" s="9"/>
      <c r="R3841" s="9"/>
      <c r="S3841" s="9"/>
      <c r="T3841" s="9"/>
    </row>
    <row r="3842" ht="15.75" customHeight="1">
      <c r="A3842" s="11">
        <f>IFERROR(__xludf.DUMMYFUNCTION("""COMPUTED_VALUE"""),44471.0)</f>
        <v>44471</v>
      </c>
      <c r="B3842" s="9">
        <f>IFERROR(__xludf.DUMMYFUNCTION("""COMPUTED_VALUE"""),1003842.0)</f>
        <v>1003842</v>
      </c>
      <c r="C3842" s="9">
        <f>IFERROR(__xludf.DUMMYFUNCTION("""COMPUTED_VALUE"""),109309.0)</f>
        <v>109309</v>
      </c>
      <c r="D3842" s="9"/>
      <c r="E3842" s="9"/>
      <c r="F3842" s="9">
        <f>IFERROR(__xludf.DUMMYFUNCTION("""COMPUTED_VALUE"""),8.27)</f>
        <v>8.27</v>
      </c>
      <c r="G3842" s="9">
        <f>IFERROR(__xludf.DUMMYFUNCTION("""COMPUTED_VALUE"""),8.27)</f>
        <v>8.27</v>
      </c>
      <c r="H3842" s="9">
        <f>IFERROR(__xludf.DUMMYFUNCTION("""COMPUTED_VALUE"""),1.0)</f>
        <v>1</v>
      </c>
      <c r="I3842" s="9"/>
      <c r="J3842" s="9"/>
      <c r="K3842" s="9"/>
      <c r="L3842" s="9"/>
      <c r="M3842" s="9"/>
      <c r="N3842" s="9"/>
      <c r="O3842" s="9"/>
      <c r="P3842" s="9"/>
      <c r="Q3842" s="9"/>
      <c r="R3842" s="9"/>
      <c r="S3842" s="9"/>
      <c r="T3842" s="9"/>
    </row>
    <row r="3843" ht="15.75" customHeight="1">
      <c r="A3843" s="11">
        <f>IFERROR(__xludf.DUMMYFUNCTION("""COMPUTED_VALUE"""),44471.0)</f>
        <v>44471</v>
      </c>
      <c r="B3843" s="9">
        <f>IFERROR(__xludf.DUMMYFUNCTION("""COMPUTED_VALUE"""),1003842.0)</f>
        <v>1003842</v>
      </c>
      <c r="C3843" s="9">
        <f>IFERROR(__xludf.DUMMYFUNCTION("""COMPUTED_VALUE"""),87128.0)</f>
        <v>87128</v>
      </c>
      <c r="D3843" s="10" t="str">
        <f>IFERROR(__xludf.DUMMYFUNCTION("""COMPUTED_VALUE"""),"Vive le bio")</f>
        <v>Vive le bio</v>
      </c>
      <c r="E3843" s="10"/>
      <c r="F3843" s="9">
        <f>IFERROR(__xludf.DUMMYFUNCTION("""COMPUTED_VALUE"""),2.61111111111111)</f>
        <v>2.611111111</v>
      </c>
      <c r="G3843" s="9">
        <f>IFERROR(__xludf.DUMMYFUNCTION("""COMPUTED_VALUE"""),2.35)</f>
        <v>2.35</v>
      </c>
      <c r="H3843" s="9">
        <f>IFERROR(__xludf.DUMMYFUNCTION("""COMPUTED_VALUE"""),1.0)</f>
        <v>1</v>
      </c>
      <c r="I3843" s="9"/>
      <c r="J3843" s="9"/>
      <c r="K3843" s="9"/>
      <c r="L3843" s="9"/>
      <c r="M3843" s="9"/>
      <c r="N3843" s="9"/>
      <c r="O3843" s="9"/>
      <c r="P3843" s="9"/>
      <c r="Q3843" s="9"/>
      <c r="R3843" s="9"/>
      <c r="S3843" s="9"/>
      <c r="T3843" s="9"/>
    </row>
    <row r="3844" ht="15.75" customHeight="1">
      <c r="A3844" s="11">
        <f>IFERROR(__xludf.DUMMYFUNCTION("""COMPUTED_VALUE"""),44471.0)</f>
        <v>44471</v>
      </c>
      <c r="B3844" s="9">
        <f>IFERROR(__xludf.DUMMYFUNCTION("""COMPUTED_VALUE"""),1003842.0)</f>
        <v>1003842</v>
      </c>
      <c r="C3844" s="9">
        <f>IFERROR(__xludf.DUMMYFUNCTION("""COMPUTED_VALUE"""),110568.0)</f>
        <v>110568</v>
      </c>
      <c r="D3844" s="9"/>
      <c r="E3844" s="9"/>
      <c r="F3844" s="9">
        <f>IFERROR(__xludf.DUMMYFUNCTION("""COMPUTED_VALUE"""),1.89)</f>
        <v>1.89</v>
      </c>
      <c r="G3844" s="9">
        <f>IFERROR(__xludf.DUMMYFUNCTION("""COMPUTED_VALUE"""),1.89)</f>
        <v>1.89</v>
      </c>
      <c r="H3844" s="9">
        <f>IFERROR(__xludf.DUMMYFUNCTION("""COMPUTED_VALUE"""),1.0)</f>
        <v>1</v>
      </c>
      <c r="I3844" s="9"/>
      <c r="J3844" s="9"/>
      <c r="K3844" s="9"/>
      <c r="L3844" s="9"/>
      <c r="M3844" s="9"/>
      <c r="N3844" s="9"/>
      <c r="O3844" s="9"/>
      <c r="P3844" s="9"/>
      <c r="Q3844" s="9"/>
      <c r="R3844" s="9"/>
      <c r="S3844" s="9"/>
      <c r="T3844" s="9"/>
    </row>
    <row r="3845" ht="15.75" customHeight="1">
      <c r="A3845" s="11">
        <f>IFERROR(__xludf.DUMMYFUNCTION("""COMPUTED_VALUE"""),44471.0)</f>
        <v>44471</v>
      </c>
      <c r="B3845" s="9">
        <f>IFERROR(__xludf.DUMMYFUNCTION("""COMPUTED_VALUE"""),1003842.0)</f>
        <v>1003842</v>
      </c>
      <c r="C3845" s="9">
        <f>IFERROR(__xludf.DUMMYFUNCTION("""COMPUTED_VALUE"""),100395.0)</f>
        <v>100395</v>
      </c>
      <c r="D3845" s="10" t="str">
        <f>IFERROR(__xludf.DUMMYFUNCTION("""COMPUTED_VALUE"""),"Vive le bio")</f>
        <v>Vive le bio</v>
      </c>
      <c r="E3845" s="10"/>
      <c r="F3845" s="9">
        <f>IFERROR(__xludf.DUMMYFUNCTION("""COMPUTED_VALUE"""),2.32222222222222)</f>
        <v>2.322222222</v>
      </c>
      <c r="G3845" s="9">
        <f>IFERROR(__xludf.DUMMYFUNCTION("""COMPUTED_VALUE"""),2.09)</f>
        <v>2.09</v>
      </c>
      <c r="H3845" s="9">
        <f>IFERROR(__xludf.DUMMYFUNCTION("""COMPUTED_VALUE"""),1.0)</f>
        <v>1</v>
      </c>
      <c r="I3845" s="9"/>
      <c r="J3845" s="9"/>
      <c r="K3845" s="9"/>
      <c r="L3845" s="9"/>
      <c r="M3845" s="9"/>
      <c r="N3845" s="9"/>
      <c r="O3845" s="9"/>
      <c r="P3845" s="9"/>
      <c r="Q3845" s="9"/>
      <c r="R3845" s="9"/>
      <c r="S3845" s="9"/>
      <c r="T3845" s="9"/>
    </row>
    <row r="3846" ht="15.75" customHeight="1">
      <c r="A3846" s="11">
        <f>IFERROR(__xludf.DUMMYFUNCTION("""COMPUTED_VALUE"""),44471.0)</f>
        <v>44471</v>
      </c>
      <c r="B3846" s="9">
        <f>IFERROR(__xludf.DUMMYFUNCTION("""COMPUTED_VALUE"""),1003842.0)</f>
        <v>1003842</v>
      </c>
      <c r="C3846" s="9">
        <f>IFERROR(__xludf.DUMMYFUNCTION("""COMPUTED_VALUE"""),68412.0)</f>
        <v>68412</v>
      </c>
      <c r="D3846" s="9"/>
      <c r="E3846" s="9"/>
      <c r="F3846" s="9">
        <f>IFERROR(__xludf.DUMMYFUNCTION("""COMPUTED_VALUE"""),1.83)</f>
        <v>1.83</v>
      </c>
      <c r="G3846" s="9">
        <f>IFERROR(__xludf.DUMMYFUNCTION("""COMPUTED_VALUE"""),1.83)</f>
        <v>1.83</v>
      </c>
      <c r="H3846" s="9">
        <f>IFERROR(__xludf.DUMMYFUNCTION("""COMPUTED_VALUE"""),1.0)</f>
        <v>1</v>
      </c>
      <c r="I3846" s="9"/>
      <c r="J3846" s="9"/>
      <c r="K3846" s="9"/>
      <c r="L3846" s="9"/>
      <c r="M3846" s="9"/>
      <c r="N3846" s="9"/>
      <c r="O3846" s="9"/>
      <c r="P3846" s="9"/>
      <c r="Q3846" s="9"/>
      <c r="R3846" s="9"/>
      <c r="S3846" s="9"/>
      <c r="T3846" s="9"/>
    </row>
    <row r="3847" ht="15.75" customHeight="1">
      <c r="A3847" s="11">
        <f>IFERROR(__xludf.DUMMYFUNCTION("""COMPUTED_VALUE"""),44471.0)</f>
        <v>44471</v>
      </c>
      <c r="B3847" s="9">
        <f>IFERROR(__xludf.DUMMYFUNCTION("""COMPUTED_VALUE"""),1003842.0)</f>
        <v>1003842</v>
      </c>
      <c r="C3847" s="9">
        <f>IFERROR(__xludf.DUMMYFUNCTION("""COMPUTED_VALUE"""),80584.0)</f>
        <v>80584</v>
      </c>
      <c r="D3847" s="9"/>
      <c r="E3847" s="9"/>
      <c r="F3847" s="9">
        <f>IFERROR(__xludf.DUMMYFUNCTION("""COMPUTED_VALUE"""),13.93)</f>
        <v>13.93</v>
      </c>
      <c r="G3847" s="9">
        <f>IFERROR(__xludf.DUMMYFUNCTION("""COMPUTED_VALUE"""),13.93)</f>
        <v>13.93</v>
      </c>
      <c r="H3847" s="9">
        <f>IFERROR(__xludf.DUMMYFUNCTION("""COMPUTED_VALUE"""),1.0)</f>
        <v>1</v>
      </c>
      <c r="I3847" s="9"/>
      <c r="J3847" s="9"/>
      <c r="K3847" s="9"/>
      <c r="L3847" s="9"/>
      <c r="M3847" s="9"/>
      <c r="N3847" s="9"/>
      <c r="O3847" s="9"/>
      <c r="P3847" s="9"/>
      <c r="Q3847" s="9"/>
      <c r="R3847" s="9"/>
      <c r="S3847" s="9"/>
      <c r="T3847" s="9"/>
    </row>
    <row r="3848" ht="15.75" customHeight="1">
      <c r="A3848" s="11">
        <f>IFERROR(__xludf.DUMMYFUNCTION("""COMPUTED_VALUE"""),44471.0)</f>
        <v>44471</v>
      </c>
      <c r="B3848" s="9">
        <f>IFERROR(__xludf.DUMMYFUNCTION("""COMPUTED_VALUE"""),1003842.0)</f>
        <v>1003842</v>
      </c>
      <c r="C3848" s="9">
        <f>IFERROR(__xludf.DUMMYFUNCTION("""COMPUTED_VALUE"""),83599.0)</f>
        <v>83599</v>
      </c>
      <c r="D3848" s="10" t="str">
        <f>IFERROR(__xludf.DUMMYFUNCTION("""COMPUTED_VALUE"""),"Vive le bio")</f>
        <v>Vive le bio</v>
      </c>
      <c r="E3848" s="10"/>
      <c r="F3848" s="9">
        <f>IFERROR(__xludf.DUMMYFUNCTION("""COMPUTED_VALUE"""),5.6)</f>
        <v>5.6</v>
      </c>
      <c r="G3848" s="9">
        <f>IFERROR(__xludf.DUMMYFUNCTION("""COMPUTED_VALUE"""),5.04)</f>
        <v>5.04</v>
      </c>
      <c r="H3848" s="9">
        <f>IFERROR(__xludf.DUMMYFUNCTION("""COMPUTED_VALUE"""),1.0)</f>
        <v>1</v>
      </c>
      <c r="I3848" s="9"/>
      <c r="J3848" s="9"/>
      <c r="K3848" s="9"/>
      <c r="L3848" s="9"/>
      <c r="M3848" s="9"/>
      <c r="N3848" s="9"/>
      <c r="O3848" s="9"/>
      <c r="P3848" s="9"/>
      <c r="Q3848" s="9"/>
      <c r="R3848" s="9"/>
      <c r="S3848" s="9"/>
      <c r="T3848" s="9"/>
    </row>
    <row r="3849" ht="15.75" customHeight="1">
      <c r="A3849" s="11">
        <f>IFERROR(__xludf.DUMMYFUNCTION("""COMPUTED_VALUE"""),44471.0)</f>
        <v>44471</v>
      </c>
      <c r="B3849" s="9">
        <f>IFERROR(__xludf.DUMMYFUNCTION("""COMPUTED_VALUE"""),1003842.0)</f>
        <v>1003842</v>
      </c>
      <c r="C3849" s="9">
        <f>IFERROR(__xludf.DUMMYFUNCTION("""COMPUTED_VALUE"""),5692.0)</f>
        <v>5692</v>
      </c>
      <c r="D3849" s="9"/>
      <c r="E3849" s="9"/>
      <c r="F3849" s="9">
        <f>IFERROR(__xludf.DUMMYFUNCTION("""COMPUTED_VALUE"""),4.43)</f>
        <v>4.43</v>
      </c>
      <c r="G3849" s="9">
        <f>IFERROR(__xludf.DUMMYFUNCTION("""COMPUTED_VALUE"""),4.43)</f>
        <v>4.43</v>
      </c>
      <c r="H3849" s="9">
        <f>IFERROR(__xludf.DUMMYFUNCTION("""COMPUTED_VALUE"""),1.0)</f>
        <v>1</v>
      </c>
      <c r="I3849" s="9"/>
      <c r="J3849" s="9"/>
      <c r="K3849" s="9"/>
      <c r="L3849" s="9"/>
      <c r="M3849" s="9"/>
      <c r="N3849" s="9"/>
      <c r="O3849" s="9"/>
      <c r="P3849" s="9"/>
      <c r="Q3849" s="9"/>
      <c r="R3849" s="9"/>
      <c r="S3849" s="9"/>
      <c r="T3849" s="9"/>
    </row>
    <row r="3850" ht="15.75" customHeight="1">
      <c r="A3850" s="11">
        <f>IFERROR(__xludf.DUMMYFUNCTION("""COMPUTED_VALUE"""),44471.0)</f>
        <v>44471</v>
      </c>
      <c r="B3850" s="9">
        <f>IFERROR(__xludf.DUMMYFUNCTION("""COMPUTED_VALUE"""),1003842.0)</f>
        <v>1003842</v>
      </c>
      <c r="C3850" s="9">
        <f>IFERROR(__xludf.DUMMYFUNCTION("""COMPUTED_VALUE"""),118130.0)</f>
        <v>118130</v>
      </c>
      <c r="D3850" s="9"/>
      <c r="E3850" s="9"/>
      <c r="F3850" s="9">
        <f>IFERROR(__xludf.DUMMYFUNCTION("""COMPUTED_VALUE"""),7.19)</f>
        <v>7.19</v>
      </c>
      <c r="G3850" s="9">
        <f>IFERROR(__xludf.DUMMYFUNCTION("""COMPUTED_VALUE"""),7.19)</f>
        <v>7.19</v>
      </c>
      <c r="H3850" s="9">
        <f>IFERROR(__xludf.DUMMYFUNCTION("""COMPUTED_VALUE"""),1.0)</f>
        <v>1</v>
      </c>
      <c r="I3850" s="9"/>
      <c r="J3850" s="9"/>
      <c r="K3850" s="9"/>
      <c r="L3850" s="9"/>
      <c r="M3850" s="9"/>
      <c r="N3850" s="9"/>
      <c r="O3850" s="9"/>
      <c r="P3850" s="9"/>
      <c r="Q3850" s="9"/>
      <c r="R3850" s="9"/>
      <c r="S3850" s="9"/>
      <c r="T3850" s="9"/>
    </row>
    <row r="3851" ht="15.75" customHeight="1">
      <c r="A3851" s="11">
        <f>IFERROR(__xludf.DUMMYFUNCTION("""COMPUTED_VALUE"""),44471.0)</f>
        <v>44471</v>
      </c>
      <c r="B3851" s="9">
        <f>IFERROR(__xludf.DUMMYFUNCTION("""COMPUTED_VALUE"""),1003842.0)</f>
        <v>1003842</v>
      </c>
      <c r="C3851" s="9">
        <f>IFERROR(__xludf.DUMMYFUNCTION("""COMPUTED_VALUE"""),5804.0)</f>
        <v>5804</v>
      </c>
      <c r="D3851" s="9"/>
      <c r="E3851" s="9"/>
      <c r="F3851" s="9">
        <f>IFERROR(__xludf.DUMMYFUNCTION("""COMPUTED_VALUE"""),4.35)</f>
        <v>4.35</v>
      </c>
      <c r="G3851" s="9">
        <f>IFERROR(__xludf.DUMMYFUNCTION("""COMPUTED_VALUE"""),4.35)</f>
        <v>4.35</v>
      </c>
      <c r="H3851" s="9">
        <f>IFERROR(__xludf.DUMMYFUNCTION("""COMPUTED_VALUE"""),2.0)</f>
        <v>2</v>
      </c>
      <c r="I3851" s="9"/>
      <c r="J3851" s="9"/>
      <c r="K3851" s="9"/>
      <c r="L3851" s="9"/>
      <c r="M3851" s="9"/>
      <c r="N3851" s="9"/>
      <c r="O3851" s="9"/>
      <c r="P3851" s="9"/>
      <c r="Q3851" s="9"/>
      <c r="R3851" s="9"/>
      <c r="S3851" s="9"/>
      <c r="T3851" s="9"/>
    </row>
    <row r="3852" ht="15.75" customHeight="1">
      <c r="A3852" s="11">
        <f>IFERROR(__xludf.DUMMYFUNCTION("""COMPUTED_VALUE"""),44471.0)</f>
        <v>44471</v>
      </c>
      <c r="B3852" s="9">
        <f>IFERROR(__xludf.DUMMYFUNCTION("""COMPUTED_VALUE"""),1003842.0)</f>
        <v>1003842</v>
      </c>
      <c r="C3852" s="9">
        <f>IFERROR(__xludf.DUMMYFUNCTION("""COMPUTED_VALUE"""),117165.0)</f>
        <v>117165</v>
      </c>
      <c r="D3852" s="9"/>
      <c r="E3852" s="9"/>
      <c r="F3852" s="9">
        <f>IFERROR(__xludf.DUMMYFUNCTION("""COMPUTED_VALUE"""),3.85)</f>
        <v>3.85</v>
      </c>
      <c r="G3852" s="9">
        <f>IFERROR(__xludf.DUMMYFUNCTION("""COMPUTED_VALUE"""),3.85)</f>
        <v>3.85</v>
      </c>
      <c r="H3852" s="9">
        <f>IFERROR(__xludf.DUMMYFUNCTION("""COMPUTED_VALUE"""),2.0)</f>
        <v>2</v>
      </c>
      <c r="I3852" s="9"/>
      <c r="J3852" s="9"/>
      <c r="K3852" s="9"/>
      <c r="L3852" s="9"/>
      <c r="M3852" s="9"/>
      <c r="N3852" s="9"/>
      <c r="O3852" s="9"/>
      <c r="P3852" s="9"/>
      <c r="Q3852" s="9"/>
      <c r="R3852" s="9"/>
      <c r="S3852" s="9"/>
      <c r="T3852" s="9"/>
    </row>
    <row r="3853" ht="15.75" customHeight="1">
      <c r="A3853" s="11">
        <f>IFERROR(__xludf.DUMMYFUNCTION("""COMPUTED_VALUE"""),44471.0)</f>
        <v>44471</v>
      </c>
      <c r="B3853" s="9">
        <f>IFERROR(__xludf.DUMMYFUNCTION("""COMPUTED_VALUE"""),1003842.0)</f>
        <v>1003842</v>
      </c>
      <c r="C3853" s="9">
        <f>IFERROR(__xludf.DUMMYFUNCTION("""COMPUTED_VALUE"""),78834.0)</f>
        <v>78834</v>
      </c>
      <c r="D3853" s="9"/>
      <c r="E3853" s="9"/>
      <c r="F3853" s="9">
        <f>IFERROR(__xludf.DUMMYFUNCTION("""COMPUTED_VALUE"""),10.26)</f>
        <v>10.26</v>
      </c>
      <c r="G3853" s="9">
        <f>IFERROR(__xludf.DUMMYFUNCTION("""COMPUTED_VALUE"""),10.26)</f>
        <v>10.26</v>
      </c>
      <c r="H3853" s="9">
        <f>IFERROR(__xludf.DUMMYFUNCTION("""COMPUTED_VALUE"""),3.0)</f>
        <v>3</v>
      </c>
      <c r="I3853" s="9"/>
      <c r="J3853" s="9"/>
      <c r="K3853" s="9"/>
      <c r="L3853" s="9"/>
      <c r="M3853" s="9"/>
      <c r="N3853" s="9"/>
      <c r="O3853" s="9"/>
      <c r="P3853" s="9"/>
      <c r="Q3853" s="9"/>
      <c r="R3853" s="9"/>
      <c r="S3853" s="9"/>
      <c r="T3853" s="9"/>
    </row>
    <row r="3854" ht="15.75" customHeight="1">
      <c r="A3854" s="11">
        <f>IFERROR(__xludf.DUMMYFUNCTION("""COMPUTED_VALUE"""),44471.0)</f>
        <v>44471</v>
      </c>
      <c r="B3854" s="9">
        <f>IFERROR(__xludf.DUMMYFUNCTION("""COMPUTED_VALUE"""),1003842.0)</f>
        <v>1003842</v>
      </c>
      <c r="C3854" s="9">
        <f>IFERROR(__xludf.DUMMYFUNCTION("""COMPUTED_VALUE"""),116181.0)</f>
        <v>116181</v>
      </c>
      <c r="D3854" s="9"/>
      <c r="E3854" s="9"/>
      <c r="F3854" s="9">
        <f>IFERROR(__xludf.DUMMYFUNCTION("""COMPUTED_VALUE"""),5.17)</f>
        <v>5.17</v>
      </c>
      <c r="G3854" s="9">
        <f>IFERROR(__xludf.DUMMYFUNCTION("""COMPUTED_VALUE"""),5.17)</f>
        <v>5.17</v>
      </c>
      <c r="H3854" s="9">
        <f>IFERROR(__xludf.DUMMYFUNCTION("""COMPUTED_VALUE"""),3.0)</f>
        <v>3</v>
      </c>
      <c r="I3854" s="9"/>
      <c r="J3854" s="9"/>
      <c r="K3854" s="9"/>
      <c r="L3854" s="9"/>
      <c r="M3854" s="9"/>
      <c r="N3854" s="9"/>
      <c r="O3854" s="9"/>
      <c r="P3854" s="9"/>
      <c r="Q3854" s="9"/>
      <c r="R3854" s="9"/>
      <c r="S3854" s="9"/>
      <c r="T3854" s="9"/>
    </row>
    <row r="3855" ht="15.75" customHeight="1">
      <c r="A3855" s="11">
        <f>IFERROR(__xludf.DUMMYFUNCTION("""COMPUTED_VALUE"""),44471.0)</f>
        <v>44471</v>
      </c>
      <c r="B3855" s="9">
        <f>IFERROR(__xludf.DUMMYFUNCTION("""COMPUTED_VALUE"""),1003842.0)</f>
        <v>1003842</v>
      </c>
      <c r="C3855" s="9">
        <f>IFERROR(__xludf.DUMMYFUNCTION("""COMPUTED_VALUE"""),73222.0)</f>
        <v>73222</v>
      </c>
      <c r="D3855" s="10" t="str">
        <f>IFERROR(__xludf.DUMMYFUNCTION("""COMPUTED_VALUE"""),"Vive le bio")</f>
        <v>Vive le bio</v>
      </c>
      <c r="E3855" s="10"/>
      <c r="F3855" s="9">
        <f>IFERROR(__xludf.DUMMYFUNCTION("""COMPUTED_VALUE"""),15.5222222222222)</f>
        <v>15.52222222</v>
      </c>
      <c r="G3855" s="9">
        <f>IFERROR(__xludf.DUMMYFUNCTION("""COMPUTED_VALUE"""),13.97)</f>
        <v>13.97</v>
      </c>
      <c r="H3855" s="9">
        <f>IFERROR(__xludf.DUMMYFUNCTION("""COMPUTED_VALUE"""),3.0)</f>
        <v>3</v>
      </c>
      <c r="I3855" s="9"/>
      <c r="J3855" s="9"/>
      <c r="K3855" s="9"/>
      <c r="L3855" s="9"/>
      <c r="M3855" s="9"/>
      <c r="N3855" s="9"/>
      <c r="O3855" s="9"/>
      <c r="P3855" s="9"/>
      <c r="Q3855" s="9"/>
      <c r="R3855" s="9"/>
      <c r="S3855" s="9"/>
      <c r="T3855" s="9"/>
    </row>
    <row r="3856" ht="15.75" customHeight="1">
      <c r="A3856" s="11">
        <f>IFERROR(__xludf.DUMMYFUNCTION("""COMPUTED_VALUE"""),44471.0)</f>
        <v>44471</v>
      </c>
      <c r="B3856" s="9">
        <f>IFERROR(__xludf.DUMMYFUNCTION("""COMPUTED_VALUE"""),1003842.0)</f>
        <v>1003842</v>
      </c>
      <c r="C3856" s="9">
        <f>IFERROR(__xludf.DUMMYFUNCTION("""COMPUTED_VALUE"""),8697.0)</f>
        <v>8697</v>
      </c>
      <c r="D3856" s="10" t="str">
        <f>IFERROR(__xludf.DUMMYFUNCTION("""COMPUTED_VALUE"""),"Offre speciale")</f>
        <v>Offre speciale</v>
      </c>
      <c r="E3856" s="10"/>
      <c r="F3856" s="9">
        <f>IFERROR(__xludf.DUMMYFUNCTION("""COMPUTED_VALUE"""),13.2117647058823)</f>
        <v>13.21176471</v>
      </c>
      <c r="G3856" s="9">
        <f>IFERROR(__xludf.DUMMYFUNCTION("""COMPUTED_VALUE"""),11.23)</f>
        <v>11.23</v>
      </c>
      <c r="H3856" s="9">
        <f>IFERROR(__xludf.DUMMYFUNCTION("""COMPUTED_VALUE"""),6.0)</f>
        <v>6</v>
      </c>
      <c r="I3856" s="9"/>
      <c r="J3856" s="9"/>
      <c r="K3856" s="9"/>
      <c r="L3856" s="9"/>
      <c r="M3856" s="9"/>
      <c r="N3856" s="9"/>
      <c r="O3856" s="9"/>
      <c r="P3856" s="9"/>
      <c r="Q3856" s="9"/>
      <c r="R3856" s="9"/>
      <c r="S3856" s="9"/>
      <c r="T3856" s="9"/>
    </row>
    <row r="3857" ht="15.75" customHeight="1">
      <c r="A3857" s="11">
        <f>IFERROR(__xludf.DUMMYFUNCTION("""COMPUTED_VALUE"""),44471.0)</f>
        <v>44471</v>
      </c>
      <c r="B3857" s="9">
        <f>IFERROR(__xludf.DUMMYFUNCTION("""COMPUTED_VALUE"""),1003844.0)</f>
        <v>1003844</v>
      </c>
      <c r="C3857" s="9">
        <f>IFERROR(__xludf.DUMMYFUNCTION("""COMPUTED_VALUE"""),113096.0)</f>
        <v>113096</v>
      </c>
      <c r="D3857" s="9"/>
      <c r="E3857" s="9"/>
      <c r="F3857" s="9">
        <f>IFERROR(__xludf.DUMMYFUNCTION("""COMPUTED_VALUE"""),6.57)</f>
        <v>6.57</v>
      </c>
      <c r="G3857" s="9">
        <f>IFERROR(__xludf.DUMMYFUNCTION("""COMPUTED_VALUE"""),6.57)</f>
        <v>6.57</v>
      </c>
      <c r="H3857" s="9">
        <f>IFERROR(__xludf.DUMMYFUNCTION("""COMPUTED_VALUE"""),2.0)</f>
        <v>2</v>
      </c>
      <c r="I3857" s="9"/>
      <c r="J3857" s="9"/>
      <c r="K3857" s="9"/>
      <c r="L3857" s="9"/>
      <c r="M3857" s="9"/>
      <c r="N3857" s="9"/>
      <c r="O3857" s="9"/>
      <c r="P3857" s="9"/>
      <c r="Q3857" s="9"/>
      <c r="R3857" s="9"/>
      <c r="S3857" s="9"/>
      <c r="T3857" s="9"/>
    </row>
    <row r="3858" ht="15.75" customHeight="1">
      <c r="A3858" s="11">
        <f>IFERROR(__xludf.DUMMYFUNCTION("""COMPUTED_VALUE"""),44471.0)</f>
        <v>44471</v>
      </c>
      <c r="B3858" s="9">
        <f>IFERROR(__xludf.DUMMYFUNCTION("""COMPUTED_VALUE"""),1003844.0)</f>
        <v>1003844</v>
      </c>
      <c r="C3858" s="9">
        <f>IFERROR(__xludf.DUMMYFUNCTION("""COMPUTED_VALUE"""),122446.0)</f>
        <v>122446</v>
      </c>
      <c r="D3858" s="9"/>
      <c r="E3858" s="9"/>
      <c r="F3858" s="9">
        <f>IFERROR(__xludf.DUMMYFUNCTION("""COMPUTED_VALUE"""),10.67)</f>
        <v>10.67</v>
      </c>
      <c r="G3858" s="9">
        <f>IFERROR(__xludf.DUMMYFUNCTION("""COMPUTED_VALUE"""),10.67)</f>
        <v>10.67</v>
      </c>
      <c r="H3858" s="9">
        <f>IFERROR(__xludf.DUMMYFUNCTION("""COMPUTED_VALUE"""),2.0)</f>
        <v>2</v>
      </c>
      <c r="I3858" s="9"/>
      <c r="J3858" s="9"/>
      <c r="K3858" s="9"/>
      <c r="L3858" s="9"/>
      <c r="M3858" s="9"/>
      <c r="N3858" s="9"/>
      <c r="O3858" s="9"/>
      <c r="P3858" s="9"/>
      <c r="Q3858" s="9"/>
      <c r="R3858" s="9"/>
      <c r="S3858" s="9"/>
      <c r="T3858" s="9"/>
    </row>
    <row r="3859" ht="15.75" customHeight="1">
      <c r="A3859" s="11">
        <f>IFERROR(__xludf.DUMMYFUNCTION("""COMPUTED_VALUE"""),44471.0)</f>
        <v>44471</v>
      </c>
      <c r="B3859" s="9">
        <f>IFERROR(__xludf.DUMMYFUNCTION("""COMPUTED_VALUE"""),1003844.0)</f>
        <v>1003844</v>
      </c>
      <c r="C3859" s="9">
        <f>IFERROR(__xludf.DUMMYFUNCTION("""COMPUTED_VALUE"""),90643.0)</f>
        <v>90643</v>
      </c>
      <c r="D3859" s="9"/>
      <c r="E3859" s="9"/>
      <c r="F3859" s="9">
        <f>IFERROR(__xludf.DUMMYFUNCTION("""COMPUTED_VALUE"""),14.5)</f>
        <v>14.5</v>
      </c>
      <c r="G3859" s="9">
        <f>IFERROR(__xludf.DUMMYFUNCTION("""COMPUTED_VALUE"""),14.5)</f>
        <v>14.5</v>
      </c>
      <c r="H3859" s="9">
        <f>IFERROR(__xludf.DUMMYFUNCTION("""COMPUTED_VALUE"""),3.0)</f>
        <v>3</v>
      </c>
      <c r="I3859" s="9"/>
      <c r="J3859" s="9"/>
      <c r="K3859" s="9"/>
      <c r="L3859" s="9"/>
      <c r="M3859" s="9"/>
      <c r="N3859" s="9"/>
      <c r="O3859" s="9"/>
      <c r="P3859" s="9"/>
      <c r="Q3859" s="9"/>
      <c r="R3859" s="9"/>
      <c r="S3859" s="9"/>
      <c r="T3859" s="9"/>
    </row>
    <row r="3860" ht="15.75" customHeight="1">
      <c r="A3860" s="11">
        <f>IFERROR(__xludf.DUMMYFUNCTION("""COMPUTED_VALUE"""),44471.0)</f>
        <v>44471</v>
      </c>
      <c r="B3860" s="9">
        <f>IFERROR(__xludf.DUMMYFUNCTION("""COMPUTED_VALUE"""),1003844.0)</f>
        <v>1003844</v>
      </c>
      <c r="C3860" s="9">
        <f>IFERROR(__xludf.DUMMYFUNCTION("""COMPUTED_VALUE"""),5709.0)</f>
        <v>5709</v>
      </c>
      <c r="D3860" s="9"/>
      <c r="E3860" s="9"/>
      <c r="F3860" s="9">
        <f>IFERROR(__xludf.DUMMYFUNCTION("""COMPUTED_VALUE"""),11.41)</f>
        <v>11.41</v>
      </c>
      <c r="G3860" s="9">
        <f>IFERROR(__xludf.DUMMYFUNCTION("""COMPUTED_VALUE"""),11.41)</f>
        <v>11.41</v>
      </c>
      <c r="H3860" s="9">
        <f>IFERROR(__xludf.DUMMYFUNCTION("""COMPUTED_VALUE"""),5.0)</f>
        <v>5</v>
      </c>
      <c r="I3860" s="9"/>
      <c r="J3860" s="9"/>
      <c r="K3860" s="9"/>
      <c r="L3860" s="9"/>
      <c r="M3860" s="9"/>
      <c r="N3860" s="9"/>
      <c r="O3860" s="9"/>
      <c r="P3860" s="9"/>
      <c r="Q3860" s="9"/>
      <c r="R3860" s="9"/>
      <c r="S3860" s="9"/>
      <c r="T3860" s="9"/>
    </row>
    <row r="3861" ht="15.75" customHeight="1">
      <c r="A3861" s="11">
        <f>IFERROR(__xludf.DUMMYFUNCTION("""COMPUTED_VALUE"""),44471.0)</f>
        <v>44471</v>
      </c>
      <c r="B3861" s="9">
        <f>IFERROR(__xludf.DUMMYFUNCTION("""COMPUTED_VALUE"""),1003845.0)</f>
        <v>1003845</v>
      </c>
      <c r="C3861" s="9">
        <f>IFERROR(__xludf.DUMMYFUNCTION("""COMPUTED_VALUE"""),46991.0)</f>
        <v>46991</v>
      </c>
      <c r="D3861" s="9"/>
      <c r="E3861" s="10" t="str">
        <f>IFERROR(__xludf.DUMMYFUNCTION("""COMPUTED_VALUE"""),"GREENRELAIS")</f>
        <v>GREENRELAIS</v>
      </c>
      <c r="F3861" s="10">
        <f>IFERROR(__xludf.DUMMYFUNCTION("""COMPUTED_VALUE"""),6.02)</f>
        <v>6.02</v>
      </c>
      <c r="G3861" s="9">
        <f>IFERROR(__xludf.DUMMYFUNCTION("""COMPUTED_VALUE"""),6.02)</f>
        <v>6.02</v>
      </c>
      <c r="H3861" s="9">
        <f>IFERROR(__xludf.DUMMYFUNCTION("""COMPUTED_VALUE"""),1.0)</f>
        <v>1</v>
      </c>
      <c r="I3861" s="9"/>
      <c r="J3861" s="9"/>
      <c r="K3861" s="9"/>
      <c r="L3861" s="9"/>
      <c r="M3861" s="9"/>
      <c r="N3861" s="9"/>
      <c r="O3861" s="9"/>
      <c r="P3861" s="9"/>
      <c r="Q3861" s="9"/>
      <c r="R3861" s="9"/>
      <c r="S3861" s="9"/>
      <c r="T3861" s="9"/>
    </row>
    <row r="3862" ht="15.75" customHeight="1">
      <c r="A3862" s="11">
        <f>IFERROR(__xludf.DUMMYFUNCTION("""COMPUTED_VALUE"""),44471.0)</f>
        <v>44471</v>
      </c>
      <c r="B3862" s="9">
        <f>IFERROR(__xludf.DUMMYFUNCTION("""COMPUTED_VALUE"""),1003845.0)</f>
        <v>1003845</v>
      </c>
      <c r="C3862" s="9">
        <f>IFERROR(__xludf.DUMMYFUNCTION("""COMPUTED_VALUE"""),129133.0)</f>
        <v>129133</v>
      </c>
      <c r="D3862" s="9"/>
      <c r="E3862" s="10" t="str">
        <f>IFERROR(__xludf.DUMMYFUNCTION("""COMPUTED_VALUE"""),"GREENRELAIS")</f>
        <v>GREENRELAIS</v>
      </c>
      <c r="F3862" s="10">
        <f>IFERROR(__xludf.DUMMYFUNCTION("""COMPUTED_VALUE"""),7.27)</f>
        <v>7.27</v>
      </c>
      <c r="G3862" s="9">
        <f>IFERROR(__xludf.DUMMYFUNCTION("""COMPUTED_VALUE"""),7.27)</f>
        <v>7.27</v>
      </c>
      <c r="H3862" s="9">
        <f>IFERROR(__xludf.DUMMYFUNCTION("""COMPUTED_VALUE"""),1.0)</f>
        <v>1</v>
      </c>
      <c r="I3862" s="9"/>
      <c r="J3862" s="9"/>
      <c r="K3862" s="9"/>
      <c r="L3862" s="9"/>
      <c r="M3862" s="9"/>
      <c r="N3862" s="9"/>
      <c r="O3862" s="9"/>
      <c r="P3862" s="9"/>
      <c r="Q3862" s="9"/>
      <c r="R3862" s="9"/>
      <c r="S3862" s="9"/>
      <c r="T3862" s="9"/>
    </row>
    <row r="3863" ht="15.75" customHeight="1">
      <c r="A3863" s="11">
        <f>IFERROR(__xludf.DUMMYFUNCTION("""COMPUTED_VALUE"""),44471.0)</f>
        <v>44471</v>
      </c>
      <c r="B3863" s="9">
        <f>IFERROR(__xludf.DUMMYFUNCTION("""COMPUTED_VALUE"""),1003845.0)</f>
        <v>1003845</v>
      </c>
      <c r="C3863" s="9">
        <f>IFERROR(__xludf.DUMMYFUNCTION("""COMPUTED_VALUE"""),79807.0)</f>
        <v>79807</v>
      </c>
      <c r="D3863" s="9"/>
      <c r="E3863" s="10" t="str">
        <f>IFERROR(__xludf.DUMMYFUNCTION("""COMPUTED_VALUE"""),"GREENRELAIS")</f>
        <v>GREENRELAIS</v>
      </c>
      <c r="F3863" s="10">
        <f>IFERROR(__xludf.DUMMYFUNCTION("""COMPUTED_VALUE"""),5.78)</f>
        <v>5.78</v>
      </c>
      <c r="G3863" s="9">
        <f>IFERROR(__xludf.DUMMYFUNCTION("""COMPUTED_VALUE"""),5.78)</f>
        <v>5.78</v>
      </c>
      <c r="H3863" s="9">
        <f>IFERROR(__xludf.DUMMYFUNCTION("""COMPUTED_VALUE"""),1.0)</f>
        <v>1</v>
      </c>
      <c r="I3863" s="9"/>
      <c r="J3863" s="9"/>
      <c r="K3863" s="9"/>
      <c r="L3863" s="9"/>
      <c r="M3863" s="9"/>
      <c r="N3863" s="9"/>
      <c r="O3863" s="9"/>
      <c r="P3863" s="9"/>
      <c r="Q3863" s="9"/>
      <c r="R3863" s="9"/>
      <c r="S3863" s="9"/>
      <c r="T3863" s="9"/>
    </row>
    <row r="3864" ht="15.75" customHeight="1">
      <c r="A3864" s="11">
        <f>IFERROR(__xludf.DUMMYFUNCTION("""COMPUTED_VALUE"""),44471.0)</f>
        <v>44471</v>
      </c>
      <c r="B3864" s="9">
        <f>IFERROR(__xludf.DUMMYFUNCTION("""COMPUTED_VALUE"""),1003845.0)</f>
        <v>1003845</v>
      </c>
      <c r="C3864" s="9">
        <f>IFERROR(__xludf.DUMMYFUNCTION("""COMPUTED_VALUE"""),108039.0)</f>
        <v>108039</v>
      </c>
      <c r="D3864" s="9"/>
      <c r="E3864" s="10" t="str">
        <f>IFERROR(__xludf.DUMMYFUNCTION("""COMPUTED_VALUE"""),"GREENRELAIS")</f>
        <v>GREENRELAIS</v>
      </c>
      <c r="F3864" s="10">
        <f>IFERROR(__xludf.DUMMYFUNCTION("""COMPUTED_VALUE"""),2.78)</f>
        <v>2.78</v>
      </c>
      <c r="G3864" s="9">
        <f>IFERROR(__xludf.DUMMYFUNCTION("""COMPUTED_VALUE"""),2.78)</f>
        <v>2.78</v>
      </c>
      <c r="H3864" s="9">
        <f>IFERROR(__xludf.DUMMYFUNCTION("""COMPUTED_VALUE"""),1.0)</f>
        <v>1</v>
      </c>
      <c r="I3864" s="9"/>
      <c r="J3864" s="9"/>
      <c r="K3864" s="9"/>
      <c r="L3864" s="9"/>
      <c r="M3864" s="9"/>
      <c r="N3864" s="9"/>
      <c r="O3864" s="9"/>
      <c r="P3864" s="9"/>
      <c r="Q3864" s="9"/>
      <c r="R3864" s="9"/>
      <c r="S3864" s="9"/>
      <c r="T3864" s="9"/>
    </row>
    <row r="3865" ht="15.75" customHeight="1">
      <c r="A3865" s="11">
        <f>IFERROR(__xludf.DUMMYFUNCTION("""COMPUTED_VALUE"""),44471.0)</f>
        <v>44471</v>
      </c>
      <c r="B3865" s="9">
        <f>IFERROR(__xludf.DUMMYFUNCTION("""COMPUTED_VALUE"""),1003845.0)</f>
        <v>1003845</v>
      </c>
      <c r="C3865" s="9">
        <f>IFERROR(__xludf.DUMMYFUNCTION("""COMPUTED_VALUE"""),129135.0)</f>
        <v>129135</v>
      </c>
      <c r="D3865" s="9"/>
      <c r="E3865" s="10" t="str">
        <f>IFERROR(__xludf.DUMMYFUNCTION("""COMPUTED_VALUE"""),"GREENRELAIS")</f>
        <v>GREENRELAIS</v>
      </c>
      <c r="F3865" s="10">
        <f>IFERROR(__xludf.DUMMYFUNCTION("""COMPUTED_VALUE"""),6.06)</f>
        <v>6.06</v>
      </c>
      <c r="G3865" s="9">
        <f>IFERROR(__xludf.DUMMYFUNCTION("""COMPUTED_VALUE"""),6.06)</f>
        <v>6.06</v>
      </c>
      <c r="H3865" s="9">
        <f>IFERROR(__xludf.DUMMYFUNCTION("""COMPUTED_VALUE"""),1.0)</f>
        <v>1</v>
      </c>
      <c r="I3865" s="9"/>
      <c r="J3865" s="9"/>
      <c r="K3865" s="9"/>
      <c r="L3865" s="9"/>
      <c r="M3865" s="9"/>
      <c r="N3865" s="9"/>
      <c r="O3865" s="9"/>
      <c r="P3865" s="9"/>
      <c r="Q3865" s="9"/>
      <c r="R3865" s="9"/>
      <c r="S3865" s="9"/>
      <c r="T3865" s="9"/>
    </row>
    <row r="3866" ht="15.75" customHeight="1">
      <c r="A3866" s="11">
        <f>IFERROR(__xludf.DUMMYFUNCTION("""COMPUTED_VALUE"""),44471.0)</f>
        <v>44471</v>
      </c>
      <c r="B3866" s="9">
        <f>IFERROR(__xludf.DUMMYFUNCTION("""COMPUTED_VALUE"""),1003845.0)</f>
        <v>1003845</v>
      </c>
      <c r="C3866" s="9">
        <f>IFERROR(__xludf.DUMMYFUNCTION("""COMPUTED_VALUE"""),112885.0)</f>
        <v>112885</v>
      </c>
      <c r="D3866" s="10" t="str">
        <f>IFERROR(__xludf.DUMMYFUNCTION("""COMPUTED_VALUE"""),"Vive le bio")</f>
        <v>Vive le bio</v>
      </c>
      <c r="E3866" s="10" t="str">
        <f>IFERROR(__xludf.DUMMYFUNCTION("""COMPUTED_VALUE"""),"GREENRELAIS")</f>
        <v>GREENRELAIS</v>
      </c>
      <c r="F3866" s="10">
        <f>IFERROR(__xludf.DUMMYFUNCTION("""COMPUTED_VALUE"""),12.2)</f>
        <v>12.2</v>
      </c>
      <c r="G3866" s="9">
        <f>IFERROR(__xludf.DUMMYFUNCTION("""COMPUTED_VALUE"""),11.59)</f>
        <v>11.59</v>
      </c>
      <c r="H3866" s="9">
        <f>IFERROR(__xludf.DUMMYFUNCTION("""COMPUTED_VALUE"""),1.0)</f>
        <v>1</v>
      </c>
      <c r="I3866" s="9"/>
      <c r="J3866" s="9"/>
      <c r="K3866" s="9"/>
      <c r="L3866" s="9"/>
      <c r="M3866" s="9"/>
      <c r="N3866" s="9"/>
      <c r="O3866" s="9"/>
      <c r="P3866" s="9"/>
      <c r="Q3866" s="9"/>
      <c r="R3866" s="9"/>
      <c r="S3866" s="9"/>
      <c r="T3866" s="9"/>
    </row>
    <row r="3867" ht="15.75" customHeight="1">
      <c r="A3867" s="11">
        <f>IFERROR(__xludf.DUMMYFUNCTION("""COMPUTED_VALUE"""),44471.0)</f>
        <v>44471</v>
      </c>
      <c r="B3867" s="9">
        <f>IFERROR(__xludf.DUMMYFUNCTION("""COMPUTED_VALUE"""),1003845.0)</f>
        <v>1003845</v>
      </c>
      <c r="C3867" s="9">
        <f>IFERROR(__xludf.DUMMYFUNCTION("""COMPUTED_VALUE"""),49355.0)</f>
        <v>49355</v>
      </c>
      <c r="D3867" s="10" t="str">
        <f>IFERROR(__xludf.DUMMYFUNCTION("""COMPUTED_VALUE"""),"Vive le bio")</f>
        <v>Vive le bio</v>
      </c>
      <c r="E3867" s="10" t="str">
        <f>IFERROR(__xludf.DUMMYFUNCTION("""COMPUTED_VALUE"""),"GREENRELAIS")</f>
        <v>GREENRELAIS</v>
      </c>
      <c r="F3867" s="10">
        <f>IFERROR(__xludf.DUMMYFUNCTION("""COMPUTED_VALUE"""),4.39999999999999)</f>
        <v>4.4</v>
      </c>
      <c r="G3867" s="9">
        <f>IFERROR(__xludf.DUMMYFUNCTION("""COMPUTED_VALUE"""),3.96)</f>
        <v>3.96</v>
      </c>
      <c r="H3867" s="9">
        <f>IFERROR(__xludf.DUMMYFUNCTION("""COMPUTED_VALUE"""),1.0)</f>
        <v>1</v>
      </c>
      <c r="I3867" s="9"/>
      <c r="J3867" s="9"/>
      <c r="K3867" s="9"/>
      <c r="L3867" s="9"/>
      <c r="M3867" s="9"/>
      <c r="N3867" s="9"/>
      <c r="O3867" s="9"/>
      <c r="P3867" s="9"/>
      <c r="Q3867" s="9"/>
      <c r="R3867" s="9"/>
      <c r="S3867" s="9"/>
      <c r="T3867" s="9"/>
    </row>
    <row r="3868" ht="15.75" customHeight="1">
      <c r="A3868" s="11">
        <f>IFERROR(__xludf.DUMMYFUNCTION("""COMPUTED_VALUE"""),44471.0)</f>
        <v>44471</v>
      </c>
      <c r="B3868" s="9">
        <f>IFERROR(__xludf.DUMMYFUNCTION("""COMPUTED_VALUE"""),1003845.0)</f>
        <v>1003845</v>
      </c>
      <c r="C3868" s="9">
        <f>IFERROR(__xludf.DUMMYFUNCTION("""COMPUTED_VALUE"""),82464.0)</f>
        <v>82464</v>
      </c>
      <c r="D3868" s="9"/>
      <c r="E3868" s="10" t="str">
        <f>IFERROR(__xludf.DUMMYFUNCTION("""COMPUTED_VALUE"""),"GREENRELAIS")</f>
        <v>GREENRELAIS</v>
      </c>
      <c r="F3868" s="10">
        <f>IFERROR(__xludf.DUMMYFUNCTION("""COMPUTED_VALUE"""),4.44)</f>
        <v>4.44</v>
      </c>
      <c r="G3868" s="9">
        <f>IFERROR(__xludf.DUMMYFUNCTION("""COMPUTED_VALUE"""),4.44)</f>
        <v>4.44</v>
      </c>
      <c r="H3868" s="9">
        <f>IFERROR(__xludf.DUMMYFUNCTION("""COMPUTED_VALUE"""),1.0)</f>
        <v>1</v>
      </c>
      <c r="I3868" s="9"/>
      <c r="J3868" s="9"/>
      <c r="K3868" s="9"/>
      <c r="L3868" s="9"/>
      <c r="M3868" s="9"/>
      <c r="N3868" s="9"/>
      <c r="O3868" s="9"/>
      <c r="P3868" s="9"/>
      <c r="Q3868" s="9"/>
      <c r="R3868" s="9"/>
      <c r="S3868" s="9"/>
      <c r="T3868" s="9"/>
    </row>
    <row r="3869" ht="15.75" customHeight="1">
      <c r="A3869" s="11">
        <f>IFERROR(__xludf.DUMMYFUNCTION("""COMPUTED_VALUE"""),44471.0)</f>
        <v>44471</v>
      </c>
      <c r="B3869" s="9">
        <f>IFERROR(__xludf.DUMMYFUNCTION("""COMPUTED_VALUE"""),1003845.0)</f>
        <v>1003845</v>
      </c>
      <c r="C3869" s="9">
        <f>IFERROR(__xludf.DUMMYFUNCTION("""COMPUTED_VALUE"""),79806.0)</f>
        <v>79806</v>
      </c>
      <c r="D3869" s="9"/>
      <c r="E3869" s="10" t="str">
        <f>IFERROR(__xludf.DUMMYFUNCTION("""COMPUTED_VALUE"""),"GREENRELAIS")</f>
        <v>GREENRELAIS</v>
      </c>
      <c r="F3869" s="10">
        <f>IFERROR(__xludf.DUMMYFUNCTION("""COMPUTED_VALUE"""),7.2)</f>
        <v>7.2</v>
      </c>
      <c r="G3869" s="9">
        <f>IFERROR(__xludf.DUMMYFUNCTION("""COMPUTED_VALUE"""),7.2)</f>
        <v>7.2</v>
      </c>
      <c r="H3869" s="9">
        <f>IFERROR(__xludf.DUMMYFUNCTION("""COMPUTED_VALUE"""),1.0)</f>
        <v>1</v>
      </c>
      <c r="I3869" s="9"/>
      <c r="J3869" s="9"/>
      <c r="K3869" s="9"/>
      <c r="L3869" s="9"/>
      <c r="M3869" s="9"/>
      <c r="N3869" s="9"/>
      <c r="O3869" s="9"/>
      <c r="P3869" s="9"/>
      <c r="Q3869" s="9"/>
      <c r="R3869" s="9"/>
      <c r="S3869" s="9"/>
      <c r="T3869" s="9"/>
    </row>
    <row r="3870" ht="15.75" customHeight="1">
      <c r="A3870" s="11">
        <f>IFERROR(__xludf.DUMMYFUNCTION("""COMPUTED_VALUE"""),44471.0)</f>
        <v>44471</v>
      </c>
      <c r="B3870" s="9">
        <f>IFERROR(__xludf.DUMMYFUNCTION("""COMPUTED_VALUE"""),1003846.0)</f>
        <v>1003846</v>
      </c>
      <c r="C3870" s="9">
        <f>IFERROR(__xludf.DUMMYFUNCTION("""COMPUTED_VALUE"""),78983.0)</f>
        <v>78983</v>
      </c>
      <c r="D3870" s="9"/>
      <c r="E3870" s="9"/>
      <c r="F3870" s="9">
        <f>IFERROR(__xludf.DUMMYFUNCTION("""COMPUTED_VALUE"""),2.75)</f>
        <v>2.75</v>
      </c>
      <c r="G3870" s="9">
        <f>IFERROR(__xludf.DUMMYFUNCTION("""COMPUTED_VALUE"""),2.75)</f>
        <v>2.75</v>
      </c>
      <c r="H3870" s="9">
        <f>IFERROR(__xludf.DUMMYFUNCTION("""COMPUTED_VALUE"""),1.0)</f>
        <v>1</v>
      </c>
      <c r="I3870" s="9"/>
      <c r="J3870" s="9"/>
      <c r="K3870" s="9"/>
      <c r="L3870" s="9"/>
      <c r="M3870" s="9"/>
      <c r="N3870" s="9"/>
      <c r="O3870" s="9"/>
      <c r="P3870" s="9"/>
      <c r="Q3870" s="9"/>
      <c r="R3870" s="9"/>
      <c r="S3870" s="9"/>
      <c r="T3870" s="9"/>
    </row>
    <row r="3871" ht="15.75" customHeight="1">
      <c r="A3871" s="11">
        <f>IFERROR(__xludf.DUMMYFUNCTION("""COMPUTED_VALUE"""),44471.0)</f>
        <v>44471</v>
      </c>
      <c r="B3871" s="9">
        <f>IFERROR(__xludf.DUMMYFUNCTION("""COMPUTED_VALUE"""),1003846.0)</f>
        <v>1003846</v>
      </c>
      <c r="C3871" s="9">
        <f>IFERROR(__xludf.DUMMYFUNCTION("""COMPUTED_VALUE"""),83948.0)</f>
        <v>83948</v>
      </c>
      <c r="D3871" s="9"/>
      <c r="E3871" s="9"/>
      <c r="F3871" s="9">
        <f>IFERROR(__xludf.DUMMYFUNCTION("""COMPUTED_VALUE"""),1.5)</f>
        <v>1.5</v>
      </c>
      <c r="G3871" s="9">
        <f>IFERROR(__xludf.DUMMYFUNCTION("""COMPUTED_VALUE"""),1.5)</f>
        <v>1.5</v>
      </c>
      <c r="H3871" s="9">
        <f>IFERROR(__xludf.DUMMYFUNCTION("""COMPUTED_VALUE"""),1.0)</f>
        <v>1</v>
      </c>
      <c r="I3871" s="9"/>
      <c r="J3871" s="9"/>
      <c r="K3871" s="9"/>
      <c r="L3871" s="9"/>
      <c r="M3871" s="9"/>
      <c r="N3871" s="9"/>
      <c r="O3871" s="9"/>
      <c r="P3871" s="9"/>
      <c r="Q3871" s="9"/>
      <c r="R3871" s="9"/>
      <c r="S3871" s="9"/>
      <c r="T3871" s="9"/>
    </row>
    <row r="3872" ht="15.75" customHeight="1">
      <c r="A3872" s="11">
        <f>IFERROR(__xludf.DUMMYFUNCTION("""COMPUTED_VALUE"""),44471.0)</f>
        <v>44471</v>
      </c>
      <c r="B3872" s="9">
        <f>IFERROR(__xludf.DUMMYFUNCTION("""COMPUTED_VALUE"""),1003846.0)</f>
        <v>1003846</v>
      </c>
      <c r="C3872" s="9">
        <f>IFERROR(__xludf.DUMMYFUNCTION("""COMPUTED_VALUE"""),95063.0)</f>
        <v>95063</v>
      </c>
      <c r="D3872" s="10" t="str">
        <f>IFERROR(__xludf.DUMMYFUNCTION("""COMPUTED_VALUE"""),"Offre Speciale")</f>
        <v>Offre Speciale</v>
      </c>
      <c r="E3872" s="10"/>
      <c r="F3872" s="9">
        <f>IFERROR(__xludf.DUMMYFUNCTION("""COMPUTED_VALUE"""),3.37647058823529)</f>
        <v>3.376470588</v>
      </c>
      <c r="G3872" s="9">
        <f>IFERROR(__xludf.DUMMYFUNCTION("""COMPUTED_VALUE"""),2.87)</f>
        <v>2.87</v>
      </c>
      <c r="H3872" s="9">
        <f>IFERROR(__xludf.DUMMYFUNCTION("""COMPUTED_VALUE"""),1.0)</f>
        <v>1</v>
      </c>
      <c r="I3872" s="9"/>
      <c r="J3872" s="9"/>
      <c r="K3872" s="9"/>
      <c r="L3872" s="9"/>
      <c r="M3872" s="9"/>
      <c r="N3872" s="9"/>
      <c r="O3872" s="9"/>
      <c r="P3872" s="9"/>
      <c r="Q3872" s="9"/>
      <c r="R3872" s="9"/>
      <c r="S3872" s="9"/>
      <c r="T3872" s="9"/>
    </row>
    <row r="3873" ht="15.75" customHeight="1">
      <c r="A3873" s="11">
        <f>IFERROR(__xludf.DUMMYFUNCTION("""COMPUTED_VALUE"""),44471.0)</f>
        <v>44471</v>
      </c>
      <c r="B3873" s="9">
        <f>IFERROR(__xludf.DUMMYFUNCTION("""COMPUTED_VALUE"""),1003846.0)</f>
        <v>1003846</v>
      </c>
      <c r="C3873" s="9">
        <f>IFERROR(__xludf.DUMMYFUNCTION("""COMPUTED_VALUE"""),46043.0)</f>
        <v>46043</v>
      </c>
      <c r="D3873" s="10" t="str">
        <f>IFERROR(__xludf.DUMMYFUNCTION("""COMPUTED_VALUE"""),"Offre speciale")</f>
        <v>Offre speciale</v>
      </c>
      <c r="E3873" s="10"/>
      <c r="F3873" s="9">
        <f>IFERROR(__xludf.DUMMYFUNCTION("""COMPUTED_VALUE"""),3.42222222222222)</f>
        <v>3.422222222</v>
      </c>
      <c r="G3873" s="9">
        <f>IFERROR(__xludf.DUMMYFUNCTION("""COMPUTED_VALUE"""),3.08)</f>
        <v>3.08</v>
      </c>
      <c r="H3873" s="9">
        <f>IFERROR(__xludf.DUMMYFUNCTION("""COMPUTED_VALUE"""),1.0)</f>
        <v>1</v>
      </c>
      <c r="I3873" s="9"/>
      <c r="J3873" s="9"/>
      <c r="K3873" s="9"/>
      <c r="L3873" s="9"/>
      <c r="M3873" s="9"/>
      <c r="N3873" s="9"/>
      <c r="O3873" s="9"/>
      <c r="P3873" s="9"/>
      <c r="Q3873" s="9"/>
      <c r="R3873" s="9"/>
      <c r="S3873" s="9"/>
      <c r="T3873" s="9"/>
    </row>
    <row r="3874" ht="15.75" customHeight="1">
      <c r="A3874" s="11">
        <f>IFERROR(__xludf.DUMMYFUNCTION("""COMPUTED_VALUE"""),44471.0)</f>
        <v>44471</v>
      </c>
      <c r="B3874" s="9">
        <f>IFERROR(__xludf.DUMMYFUNCTION("""COMPUTED_VALUE"""),1003846.0)</f>
        <v>1003846</v>
      </c>
      <c r="C3874" s="9">
        <f>IFERROR(__xludf.DUMMYFUNCTION("""COMPUTED_VALUE"""),15090.0)</f>
        <v>15090</v>
      </c>
      <c r="D3874" s="9"/>
      <c r="E3874" s="9"/>
      <c r="F3874" s="9">
        <f>IFERROR(__xludf.DUMMYFUNCTION("""COMPUTED_VALUE"""),4.02)</f>
        <v>4.02</v>
      </c>
      <c r="G3874" s="9">
        <f>IFERROR(__xludf.DUMMYFUNCTION("""COMPUTED_VALUE"""),4.02)</f>
        <v>4.02</v>
      </c>
      <c r="H3874" s="9">
        <f>IFERROR(__xludf.DUMMYFUNCTION("""COMPUTED_VALUE"""),1.0)</f>
        <v>1</v>
      </c>
      <c r="I3874" s="9"/>
      <c r="J3874" s="9"/>
      <c r="K3874" s="9"/>
      <c r="L3874" s="9"/>
      <c r="M3874" s="9"/>
      <c r="N3874" s="9"/>
      <c r="O3874" s="9"/>
      <c r="P3874" s="9"/>
      <c r="Q3874" s="9"/>
      <c r="R3874" s="9"/>
      <c r="S3874" s="9"/>
      <c r="T3874" s="9"/>
    </row>
    <row r="3875" ht="15.75" customHeight="1">
      <c r="A3875" s="11">
        <f>IFERROR(__xludf.DUMMYFUNCTION("""COMPUTED_VALUE"""),44471.0)</f>
        <v>44471</v>
      </c>
      <c r="B3875" s="9">
        <f>IFERROR(__xludf.DUMMYFUNCTION("""COMPUTED_VALUE"""),1003846.0)</f>
        <v>1003846</v>
      </c>
      <c r="C3875" s="9">
        <f>IFERROR(__xludf.DUMMYFUNCTION("""COMPUTED_VALUE"""),88604.0)</f>
        <v>88604</v>
      </c>
      <c r="D3875" s="10" t="str">
        <f>IFERROR(__xludf.DUMMYFUNCTION("""COMPUTED_VALUE"""),"Vive le bio")</f>
        <v>Vive le bio</v>
      </c>
      <c r="E3875" s="10"/>
      <c r="F3875" s="9">
        <f>IFERROR(__xludf.DUMMYFUNCTION("""COMPUTED_VALUE"""),4.11111111111111)</f>
        <v>4.111111111</v>
      </c>
      <c r="G3875" s="9">
        <f>IFERROR(__xludf.DUMMYFUNCTION("""COMPUTED_VALUE"""),3.7)</f>
        <v>3.7</v>
      </c>
      <c r="H3875" s="9">
        <f>IFERROR(__xludf.DUMMYFUNCTION("""COMPUTED_VALUE"""),1.0)</f>
        <v>1</v>
      </c>
      <c r="I3875" s="9"/>
      <c r="J3875" s="9"/>
      <c r="K3875" s="9"/>
      <c r="L3875" s="9"/>
      <c r="M3875" s="9"/>
      <c r="N3875" s="9"/>
      <c r="O3875" s="9"/>
      <c r="P3875" s="9"/>
      <c r="Q3875" s="9"/>
      <c r="R3875" s="9"/>
      <c r="S3875" s="9"/>
      <c r="T3875" s="9"/>
    </row>
    <row r="3876" ht="15.75" customHeight="1">
      <c r="A3876" s="11">
        <f>IFERROR(__xludf.DUMMYFUNCTION("""COMPUTED_VALUE"""),44471.0)</f>
        <v>44471</v>
      </c>
      <c r="B3876" s="9">
        <f>IFERROR(__xludf.DUMMYFUNCTION("""COMPUTED_VALUE"""),1003846.0)</f>
        <v>1003846</v>
      </c>
      <c r="C3876" s="9">
        <f>IFERROR(__xludf.DUMMYFUNCTION("""COMPUTED_VALUE"""),113933.0)</f>
        <v>113933</v>
      </c>
      <c r="D3876" s="9"/>
      <c r="E3876" s="9"/>
      <c r="F3876" s="9">
        <f>IFERROR(__xludf.DUMMYFUNCTION("""COMPUTED_VALUE"""),2.89)</f>
        <v>2.89</v>
      </c>
      <c r="G3876" s="9">
        <f>IFERROR(__xludf.DUMMYFUNCTION("""COMPUTED_VALUE"""),2.89)</f>
        <v>2.89</v>
      </c>
      <c r="H3876" s="9">
        <f>IFERROR(__xludf.DUMMYFUNCTION("""COMPUTED_VALUE"""),1.0)</f>
        <v>1</v>
      </c>
      <c r="I3876" s="9"/>
      <c r="J3876" s="9"/>
      <c r="K3876" s="9"/>
      <c r="L3876" s="9"/>
      <c r="M3876" s="9"/>
      <c r="N3876" s="9"/>
      <c r="O3876" s="9"/>
      <c r="P3876" s="9"/>
      <c r="Q3876" s="9"/>
      <c r="R3876" s="9"/>
      <c r="S3876" s="9"/>
      <c r="T3876" s="9"/>
    </row>
    <row r="3877" ht="15.75" customHeight="1">
      <c r="A3877" s="11">
        <f>IFERROR(__xludf.DUMMYFUNCTION("""COMPUTED_VALUE"""),44471.0)</f>
        <v>44471</v>
      </c>
      <c r="B3877" s="9">
        <f>IFERROR(__xludf.DUMMYFUNCTION("""COMPUTED_VALUE"""),1003846.0)</f>
        <v>1003846</v>
      </c>
      <c r="C3877" s="9">
        <f>IFERROR(__xludf.DUMMYFUNCTION("""COMPUTED_VALUE"""),9132.0)</f>
        <v>9132</v>
      </c>
      <c r="D3877" s="10" t="str">
        <f>IFERROR(__xludf.DUMMYFUNCTION("""COMPUTED_VALUE"""),"Offre speciale")</f>
        <v>Offre speciale</v>
      </c>
      <c r="E3877" s="10"/>
      <c r="F3877" s="9">
        <f>IFERROR(__xludf.DUMMYFUNCTION("""COMPUTED_VALUE"""),2.47777777777777)</f>
        <v>2.477777778</v>
      </c>
      <c r="G3877" s="9">
        <f>IFERROR(__xludf.DUMMYFUNCTION("""COMPUTED_VALUE"""),2.23)</f>
        <v>2.23</v>
      </c>
      <c r="H3877" s="9">
        <f>IFERROR(__xludf.DUMMYFUNCTION("""COMPUTED_VALUE"""),1.0)</f>
        <v>1</v>
      </c>
      <c r="I3877" s="9"/>
      <c r="J3877" s="9"/>
      <c r="K3877" s="9"/>
      <c r="L3877" s="9"/>
      <c r="M3877" s="9"/>
      <c r="N3877" s="9"/>
      <c r="O3877" s="9"/>
      <c r="P3877" s="9"/>
      <c r="Q3877" s="9"/>
      <c r="R3877" s="9"/>
      <c r="S3877" s="9"/>
      <c r="T3877" s="9"/>
    </row>
    <row r="3878" ht="15.75" customHeight="1">
      <c r="A3878" s="11">
        <f>IFERROR(__xludf.DUMMYFUNCTION("""COMPUTED_VALUE"""),44471.0)</f>
        <v>44471</v>
      </c>
      <c r="B3878" s="9">
        <f>IFERROR(__xludf.DUMMYFUNCTION("""COMPUTED_VALUE"""),1003846.0)</f>
        <v>1003846</v>
      </c>
      <c r="C3878" s="9">
        <f>IFERROR(__xludf.DUMMYFUNCTION("""COMPUTED_VALUE"""),72131.0)</f>
        <v>72131</v>
      </c>
      <c r="D3878" s="9"/>
      <c r="E3878" s="9"/>
      <c r="F3878" s="9">
        <f>IFERROR(__xludf.DUMMYFUNCTION("""COMPUTED_VALUE"""),1.26)</f>
        <v>1.26</v>
      </c>
      <c r="G3878" s="9">
        <f>IFERROR(__xludf.DUMMYFUNCTION("""COMPUTED_VALUE"""),1.26)</f>
        <v>1.26</v>
      </c>
      <c r="H3878" s="9">
        <f>IFERROR(__xludf.DUMMYFUNCTION("""COMPUTED_VALUE"""),1.0)</f>
        <v>1</v>
      </c>
      <c r="I3878" s="9"/>
      <c r="J3878" s="9"/>
      <c r="K3878" s="9"/>
      <c r="L3878" s="9"/>
      <c r="M3878" s="9"/>
      <c r="N3878" s="9"/>
      <c r="O3878" s="9"/>
      <c r="P3878" s="9"/>
      <c r="Q3878" s="9"/>
      <c r="R3878" s="9"/>
      <c r="S3878" s="9"/>
      <c r="T3878" s="9"/>
    </row>
    <row r="3879" ht="15.75" customHeight="1">
      <c r="A3879" s="11">
        <f>IFERROR(__xludf.DUMMYFUNCTION("""COMPUTED_VALUE"""),44471.0)</f>
        <v>44471</v>
      </c>
      <c r="B3879" s="9">
        <f>IFERROR(__xludf.DUMMYFUNCTION("""COMPUTED_VALUE"""),1003846.0)</f>
        <v>1003846</v>
      </c>
      <c r="C3879" s="9">
        <f>IFERROR(__xludf.DUMMYFUNCTION("""COMPUTED_VALUE"""),5782.0)</f>
        <v>5782</v>
      </c>
      <c r="D3879" s="9"/>
      <c r="E3879" s="9"/>
      <c r="F3879" s="9">
        <f>IFERROR(__xludf.DUMMYFUNCTION("""COMPUTED_VALUE"""),0.85)</f>
        <v>0.85</v>
      </c>
      <c r="G3879" s="9">
        <f>IFERROR(__xludf.DUMMYFUNCTION("""COMPUTED_VALUE"""),0.85)</f>
        <v>0.85</v>
      </c>
      <c r="H3879" s="9">
        <f>IFERROR(__xludf.DUMMYFUNCTION("""COMPUTED_VALUE"""),1.0)</f>
        <v>1</v>
      </c>
      <c r="I3879" s="9"/>
      <c r="J3879" s="9"/>
      <c r="K3879" s="9"/>
      <c r="L3879" s="9"/>
      <c r="M3879" s="9"/>
      <c r="N3879" s="9"/>
      <c r="O3879" s="9"/>
      <c r="P3879" s="9"/>
      <c r="Q3879" s="9"/>
      <c r="R3879" s="9"/>
      <c r="S3879" s="9"/>
      <c r="T3879" s="9"/>
    </row>
    <row r="3880" ht="15.75" customHeight="1">
      <c r="A3880" s="11">
        <f>IFERROR(__xludf.DUMMYFUNCTION("""COMPUTED_VALUE"""),44471.0)</f>
        <v>44471</v>
      </c>
      <c r="B3880" s="9">
        <f>IFERROR(__xludf.DUMMYFUNCTION("""COMPUTED_VALUE"""),1003846.0)</f>
        <v>1003846</v>
      </c>
      <c r="C3880" s="9">
        <f>IFERROR(__xludf.DUMMYFUNCTION("""COMPUTED_VALUE"""),120875.0)</f>
        <v>120875</v>
      </c>
      <c r="D3880" s="10" t="str">
        <f>IFERROR(__xludf.DUMMYFUNCTION("""COMPUTED_VALUE"""),"Vive le bio")</f>
        <v>Vive le bio</v>
      </c>
      <c r="E3880" s="10"/>
      <c r="F3880" s="9">
        <f>IFERROR(__xludf.DUMMYFUNCTION("""COMPUTED_VALUE"""),3.08888888888888)</f>
        <v>3.088888889</v>
      </c>
      <c r="G3880" s="9">
        <f>IFERROR(__xludf.DUMMYFUNCTION("""COMPUTED_VALUE"""),2.78)</f>
        <v>2.78</v>
      </c>
      <c r="H3880" s="9">
        <f>IFERROR(__xludf.DUMMYFUNCTION("""COMPUTED_VALUE"""),1.0)</f>
        <v>1</v>
      </c>
      <c r="I3880" s="9"/>
      <c r="J3880" s="9"/>
      <c r="K3880" s="9"/>
      <c r="L3880" s="9"/>
      <c r="M3880" s="9"/>
      <c r="N3880" s="9"/>
      <c r="O3880" s="9"/>
      <c r="P3880" s="9"/>
      <c r="Q3880" s="9"/>
      <c r="R3880" s="9"/>
      <c r="S3880" s="9"/>
      <c r="T3880" s="9"/>
    </row>
    <row r="3881" ht="15.75" customHeight="1">
      <c r="A3881" s="11">
        <f>IFERROR(__xludf.DUMMYFUNCTION("""COMPUTED_VALUE"""),44471.0)</f>
        <v>44471</v>
      </c>
      <c r="B3881" s="9">
        <f>IFERROR(__xludf.DUMMYFUNCTION("""COMPUTED_VALUE"""),1003846.0)</f>
        <v>1003846</v>
      </c>
      <c r="C3881" s="9">
        <f>IFERROR(__xludf.DUMMYFUNCTION("""COMPUTED_VALUE"""),44718.0)</f>
        <v>44718</v>
      </c>
      <c r="D3881" s="10" t="str">
        <f>IFERROR(__xludf.DUMMYFUNCTION("""COMPUTED_VALUE"""),"Offre speciale")</f>
        <v>Offre speciale</v>
      </c>
      <c r="E3881" s="10"/>
      <c r="F3881" s="9">
        <f>IFERROR(__xludf.DUMMYFUNCTION("""COMPUTED_VALUE"""),1.89130434782608)</f>
        <v>1.891304348</v>
      </c>
      <c r="G3881" s="9">
        <f>IFERROR(__xludf.DUMMYFUNCTION("""COMPUTED_VALUE"""),1.74)</f>
        <v>1.74</v>
      </c>
      <c r="H3881" s="9">
        <f>IFERROR(__xludf.DUMMYFUNCTION("""COMPUTED_VALUE"""),1.0)</f>
        <v>1</v>
      </c>
      <c r="I3881" s="9"/>
      <c r="J3881" s="9"/>
      <c r="K3881" s="9"/>
      <c r="L3881" s="9"/>
      <c r="M3881" s="9"/>
      <c r="N3881" s="9"/>
      <c r="O3881" s="9"/>
      <c r="P3881" s="9"/>
      <c r="Q3881" s="9"/>
      <c r="R3881" s="9"/>
      <c r="S3881" s="9"/>
      <c r="T3881" s="9"/>
    </row>
    <row r="3882" ht="15.75" customHeight="1">
      <c r="A3882" s="11">
        <f>IFERROR(__xludf.DUMMYFUNCTION("""COMPUTED_VALUE"""),44471.0)</f>
        <v>44471</v>
      </c>
      <c r="B3882" s="9">
        <f>IFERROR(__xludf.DUMMYFUNCTION("""COMPUTED_VALUE"""),1003846.0)</f>
        <v>1003846</v>
      </c>
      <c r="C3882" s="9">
        <f>IFERROR(__xludf.DUMMYFUNCTION("""COMPUTED_VALUE"""),94055.0)</f>
        <v>94055</v>
      </c>
      <c r="D3882" s="10" t="str">
        <f>IFERROR(__xludf.DUMMYFUNCTION("""COMPUTED_VALUE"""),"dlc courte")</f>
        <v>dlc courte</v>
      </c>
      <c r="E3882" s="10"/>
      <c r="F3882" s="9">
        <f>IFERROR(__xludf.DUMMYFUNCTION("""COMPUTED_VALUE"""),6.12)</f>
        <v>6.12</v>
      </c>
      <c r="G3882" s="9">
        <f>IFERROR(__xludf.DUMMYFUNCTION("""COMPUTED_VALUE"""),3.06)</f>
        <v>3.06</v>
      </c>
      <c r="H3882" s="9">
        <f>IFERROR(__xludf.DUMMYFUNCTION("""COMPUTED_VALUE"""),1.0)</f>
        <v>1</v>
      </c>
      <c r="I3882" s="9"/>
      <c r="J3882" s="9"/>
      <c r="K3882" s="9"/>
      <c r="L3882" s="9"/>
      <c r="M3882" s="9"/>
      <c r="N3882" s="9"/>
      <c r="O3882" s="9"/>
      <c r="P3882" s="9"/>
      <c r="Q3882" s="9"/>
      <c r="R3882" s="9"/>
      <c r="S3882" s="9"/>
      <c r="T3882" s="9"/>
    </row>
    <row r="3883" ht="15.75" customHeight="1">
      <c r="A3883" s="11">
        <f>IFERROR(__xludf.DUMMYFUNCTION("""COMPUTED_VALUE"""),44471.0)</f>
        <v>44471</v>
      </c>
      <c r="B3883" s="9">
        <f>IFERROR(__xludf.DUMMYFUNCTION("""COMPUTED_VALUE"""),1003846.0)</f>
        <v>1003846</v>
      </c>
      <c r="C3883" s="9">
        <f>IFERROR(__xludf.DUMMYFUNCTION("""COMPUTED_VALUE"""),48706.0)</f>
        <v>48706</v>
      </c>
      <c r="D3883" s="10" t="str">
        <f>IFERROR(__xludf.DUMMYFUNCTION("""COMPUTED_VALUE"""),"Vive le bio")</f>
        <v>Vive le bio</v>
      </c>
      <c r="E3883" s="10"/>
      <c r="F3883" s="9">
        <f>IFERROR(__xludf.DUMMYFUNCTION("""COMPUTED_VALUE"""),5.89999999999999)</f>
        <v>5.9</v>
      </c>
      <c r="G3883" s="9">
        <f>IFERROR(__xludf.DUMMYFUNCTION("""COMPUTED_VALUE"""),5.31)</f>
        <v>5.31</v>
      </c>
      <c r="H3883" s="9">
        <f>IFERROR(__xludf.DUMMYFUNCTION("""COMPUTED_VALUE"""),1.0)</f>
        <v>1</v>
      </c>
      <c r="I3883" s="9"/>
      <c r="J3883" s="9"/>
      <c r="K3883" s="9"/>
      <c r="L3883" s="9"/>
      <c r="M3883" s="9"/>
      <c r="N3883" s="9"/>
      <c r="O3883" s="9"/>
      <c r="P3883" s="9"/>
      <c r="Q3883" s="9"/>
      <c r="R3883" s="9"/>
      <c r="S3883" s="9"/>
      <c r="T3883" s="9"/>
    </row>
    <row r="3884" ht="15.75" customHeight="1">
      <c r="A3884" s="11">
        <f>IFERROR(__xludf.DUMMYFUNCTION("""COMPUTED_VALUE"""),44471.0)</f>
        <v>44471</v>
      </c>
      <c r="B3884" s="9">
        <f>IFERROR(__xludf.DUMMYFUNCTION("""COMPUTED_VALUE"""),1003846.0)</f>
        <v>1003846</v>
      </c>
      <c r="C3884" s="9">
        <f>IFERROR(__xludf.DUMMYFUNCTION("""COMPUTED_VALUE"""),121604.0)</f>
        <v>121604</v>
      </c>
      <c r="D3884" s="9"/>
      <c r="E3884" s="9"/>
      <c r="F3884" s="9">
        <f>IFERROR(__xludf.DUMMYFUNCTION("""COMPUTED_VALUE"""),2.7)</f>
        <v>2.7</v>
      </c>
      <c r="G3884" s="9">
        <f>IFERROR(__xludf.DUMMYFUNCTION("""COMPUTED_VALUE"""),2.7)</f>
        <v>2.7</v>
      </c>
      <c r="H3884" s="9">
        <f>IFERROR(__xludf.DUMMYFUNCTION("""COMPUTED_VALUE"""),1.0)</f>
        <v>1</v>
      </c>
      <c r="I3884" s="9"/>
      <c r="J3884" s="9"/>
      <c r="K3884" s="9"/>
      <c r="L3884" s="9"/>
      <c r="M3884" s="9"/>
      <c r="N3884" s="9"/>
      <c r="O3884" s="9"/>
      <c r="P3884" s="9"/>
      <c r="Q3884" s="9"/>
      <c r="R3884" s="9"/>
      <c r="S3884" s="9"/>
      <c r="T3884" s="9"/>
    </row>
    <row r="3885" ht="15.75" customHeight="1">
      <c r="A3885" s="11">
        <f>IFERROR(__xludf.DUMMYFUNCTION("""COMPUTED_VALUE"""),44471.0)</f>
        <v>44471</v>
      </c>
      <c r="B3885" s="9">
        <f>IFERROR(__xludf.DUMMYFUNCTION("""COMPUTED_VALUE"""),1003846.0)</f>
        <v>1003846</v>
      </c>
      <c r="C3885" s="9">
        <f>IFERROR(__xludf.DUMMYFUNCTION("""COMPUTED_VALUE"""),46056.0)</f>
        <v>46056</v>
      </c>
      <c r="D3885" s="9"/>
      <c r="E3885" s="9"/>
      <c r="F3885" s="9">
        <f>IFERROR(__xludf.DUMMYFUNCTION("""COMPUTED_VALUE"""),3.58)</f>
        <v>3.58</v>
      </c>
      <c r="G3885" s="9">
        <f>IFERROR(__xludf.DUMMYFUNCTION("""COMPUTED_VALUE"""),3.58)</f>
        <v>3.58</v>
      </c>
      <c r="H3885" s="9">
        <f>IFERROR(__xludf.DUMMYFUNCTION("""COMPUTED_VALUE"""),1.0)</f>
        <v>1</v>
      </c>
      <c r="I3885" s="9"/>
      <c r="J3885" s="9"/>
      <c r="K3885" s="9"/>
      <c r="L3885" s="9"/>
      <c r="M3885" s="9"/>
      <c r="N3885" s="9"/>
      <c r="O3885" s="9"/>
      <c r="P3885" s="9"/>
      <c r="Q3885" s="9"/>
      <c r="R3885" s="9"/>
      <c r="S3885" s="9"/>
      <c r="T3885" s="9"/>
    </row>
    <row r="3886" ht="15.75" customHeight="1">
      <c r="A3886" s="11">
        <f>IFERROR(__xludf.DUMMYFUNCTION("""COMPUTED_VALUE"""),44471.0)</f>
        <v>44471</v>
      </c>
      <c r="B3886" s="9">
        <f>IFERROR(__xludf.DUMMYFUNCTION("""COMPUTED_VALUE"""),1003846.0)</f>
        <v>1003846</v>
      </c>
      <c r="C3886" s="9">
        <f>IFERROR(__xludf.DUMMYFUNCTION("""COMPUTED_VALUE"""),78421.0)</f>
        <v>78421</v>
      </c>
      <c r="D3886" s="9"/>
      <c r="E3886" s="9"/>
      <c r="F3886" s="9">
        <f>IFERROR(__xludf.DUMMYFUNCTION("""COMPUTED_VALUE"""),2.34)</f>
        <v>2.34</v>
      </c>
      <c r="G3886" s="9">
        <f>IFERROR(__xludf.DUMMYFUNCTION("""COMPUTED_VALUE"""),2.34)</f>
        <v>2.34</v>
      </c>
      <c r="H3886" s="9">
        <f>IFERROR(__xludf.DUMMYFUNCTION("""COMPUTED_VALUE"""),1.0)</f>
        <v>1</v>
      </c>
      <c r="I3886" s="9"/>
      <c r="J3886" s="9"/>
      <c r="K3886" s="9"/>
      <c r="L3886" s="9"/>
      <c r="M3886" s="9"/>
      <c r="N3886" s="9"/>
      <c r="O3886" s="9"/>
      <c r="P3886" s="9"/>
      <c r="Q3886" s="9"/>
      <c r="R3886" s="9"/>
      <c r="S3886" s="9"/>
      <c r="T3886" s="9"/>
    </row>
    <row r="3887" ht="15.75" customHeight="1">
      <c r="A3887" s="11">
        <f>IFERROR(__xludf.DUMMYFUNCTION("""COMPUTED_VALUE"""),44471.0)</f>
        <v>44471</v>
      </c>
      <c r="B3887" s="9">
        <f>IFERROR(__xludf.DUMMYFUNCTION("""COMPUTED_VALUE"""),1003846.0)</f>
        <v>1003846</v>
      </c>
      <c r="C3887" s="9">
        <f>IFERROR(__xludf.DUMMYFUNCTION("""COMPUTED_VALUE"""),118374.0)</f>
        <v>118374</v>
      </c>
      <c r="D3887" s="9"/>
      <c r="E3887" s="9"/>
      <c r="F3887" s="9">
        <f>IFERROR(__xludf.DUMMYFUNCTION("""COMPUTED_VALUE"""),2.85)</f>
        <v>2.85</v>
      </c>
      <c r="G3887" s="9">
        <f>IFERROR(__xludf.DUMMYFUNCTION("""COMPUTED_VALUE"""),2.85)</f>
        <v>2.85</v>
      </c>
      <c r="H3887" s="9">
        <f>IFERROR(__xludf.DUMMYFUNCTION("""COMPUTED_VALUE"""),1.0)</f>
        <v>1</v>
      </c>
      <c r="I3887" s="9"/>
      <c r="J3887" s="9"/>
      <c r="K3887" s="9"/>
      <c r="L3887" s="9"/>
      <c r="M3887" s="9"/>
      <c r="N3887" s="9"/>
      <c r="O3887" s="9"/>
      <c r="P3887" s="9"/>
      <c r="Q3887" s="9"/>
      <c r="R3887" s="9"/>
      <c r="S3887" s="9"/>
      <c r="T3887" s="9"/>
    </row>
    <row r="3888" ht="15.75" customHeight="1">
      <c r="A3888" s="11">
        <f>IFERROR(__xludf.DUMMYFUNCTION("""COMPUTED_VALUE"""),44471.0)</f>
        <v>44471</v>
      </c>
      <c r="B3888" s="9">
        <f>IFERROR(__xludf.DUMMYFUNCTION("""COMPUTED_VALUE"""),1003846.0)</f>
        <v>1003846</v>
      </c>
      <c r="C3888" s="9">
        <f>IFERROR(__xludf.DUMMYFUNCTION("""COMPUTED_VALUE"""),114278.0)</f>
        <v>114278</v>
      </c>
      <c r="D3888" s="9"/>
      <c r="E3888" s="9"/>
      <c r="F3888" s="9">
        <f>IFERROR(__xludf.DUMMYFUNCTION("""COMPUTED_VALUE"""),2.61)</f>
        <v>2.61</v>
      </c>
      <c r="G3888" s="9">
        <f>IFERROR(__xludf.DUMMYFUNCTION("""COMPUTED_VALUE"""),2.61)</f>
        <v>2.61</v>
      </c>
      <c r="H3888" s="9">
        <f>IFERROR(__xludf.DUMMYFUNCTION("""COMPUTED_VALUE"""),1.0)</f>
        <v>1</v>
      </c>
      <c r="I3888" s="9"/>
      <c r="J3888" s="9"/>
      <c r="K3888" s="9"/>
      <c r="L3888" s="9"/>
      <c r="M3888" s="9"/>
      <c r="N3888" s="9"/>
      <c r="O3888" s="9"/>
      <c r="P3888" s="9"/>
      <c r="Q3888" s="9"/>
      <c r="R3888" s="9"/>
      <c r="S3888" s="9"/>
      <c r="T3888" s="9"/>
    </row>
    <row r="3889" ht="15.75" customHeight="1">
      <c r="A3889" s="11">
        <f>IFERROR(__xludf.DUMMYFUNCTION("""COMPUTED_VALUE"""),44471.0)</f>
        <v>44471</v>
      </c>
      <c r="B3889" s="9">
        <f>IFERROR(__xludf.DUMMYFUNCTION("""COMPUTED_VALUE"""),1003846.0)</f>
        <v>1003846</v>
      </c>
      <c r="C3889" s="9">
        <f>IFERROR(__xludf.DUMMYFUNCTION("""COMPUTED_VALUE"""),81937.0)</f>
        <v>81937</v>
      </c>
      <c r="D3889" s="9"/>
      <c r="E3889" s="9"/>
      <c r="F3889" s="9">
        <f>IFERROR(__xludf.DUMMYFUNCTION("""COMPUTED_VALUE"""),13.73)</f>
        <v>13.73</v>
      </c>
      <c r="G3889" s="9">
        <f>IFERROR(__xludf.DUMMYFUNCTION("""COMPUTED_VALUE"""),13.73)</f>
        <v>13.73</v>
      </c>
      <c r="H3889" s="9">
        <f>IFERROR(__xludf.DUMMYFUNCTION("""COMPUTED_VALUE"""),1.0)</f>
        <v>1</v>
      </c>
      <c r="I3889" s="9"/>
      <c r="J3889" s="9"/>
      <c r="K3889" s="9"/>
      <c r="L3889" s="9"/>
      <c r="M3889" s="9"/>
      <c r="N3889" s="9"/>
      <c r="O3889" s="9"/>
      <c r="P3889" s="9"/>
      <c r="Q3889" s="9"/>
      <c r="R3889" s="9"/>
      <c r="S3889" s="9"/>
      <c r="T3889" s="9"/>
    </row>
    <row r="3890" ht="15.75" customHeight="1">
      <c r="A3890" s="11">
        <f>IFERROR(__xludf.DUMMYFUNCTION("""COMPUTED_VALUE"""),44471.0)</f>
        <v>44471</v>
      </c>
      <c r="B3890" s="9">
        <f>IFERROR(__xludf.DUMMYFUNCTION("""COMPUTED_VALUE"""),1003846.0)</f>
        <v>1003846</v>
      </c>
      <c r="C3890" s="9">
        <f>IFERROR(__xludf.DUMMYFUNCTION("""COMPUTED_VALUE"""),8868.0)</f>
        <v>8868</v>
      </c>
      <c r="D3890" s="9"/>
      <c r="E3890" s="9"/>
      <c r="F3890" s="9">
        <f>IFERROR(__xludf.DUMMYFUNCTION("""COMPUTED_VALUE"""),4.74)</f>
        <v>4.74</v>
      </c>
      <c r="G3890" s="9">
        <f>IFERROR(__xludf.DUMMYFUNCTION("""COMPUTED_VALUE"""),4.74)</f>
        <v>4.74</v>
      </c>
      <c r="H3890" s="9">
        <f>IFERROR(__xludf.DUMMYFUNCTION("""COMPUTED_VALUE"""),1.0)</f>
        <v>1</v>
      </c>
      <c r="I3890" s="9"/>
      <c r="J3890" s="9"/>
      <c r="K3890" s="9"/>
      <c r="L3890" s="9"/>
      <c r="M3890" s="9"/>
      <c r="N3890" s="9"/>
      <c r="O3890" s="9"/>
      <c r="P3890" s="9"/>
      <c r="Q3890" s="9"/>
      <c r="R3890" s="9"/>
      <c r="S3890" s="9"/>
      <c r="T3890" s="9"/>
    </row>
    <row r="3891" ht="15.75" customHeight="1">
      <c r="A3891" s="11">
        <f>IFERROR(__xludf.DUMMYFUNCTION("""COMPUTED_VALUE"""),44471.0)</f>
        <v>44471</v>
      </c>
      <c r="B3891" s="9">
        <f>IFERROR(__xludf.DUMMYFUNCTION("""COMPUTED_VALUE"""),1003847.0)</f>
        <v>1003847</v>
      </c>
      <c r="C3891" s="9">
        <f>IFERROR(__xludf.DUMMYFUNCTION("""COMPUTED_VALUE"""),103592.0)</f>
        <v>103592</v>
      </c>
      <c r="D3891" s="10" t="str">
        <f>IFERROR(__xludf.DUMMYFUNCTION("""COMPUTED_VALUE"""),"Love &amp; Green Couches et Culottes sept 2021")</f>
        <v>Love &amp; Green Couches et Culottes sept 2021</v>
      </c>
      <c r="E3891" s="10" t="str">
        <f>IFERROR(__xludf.DUMMYFUNCTION("""COMPUTED_VALUE"""),"PREMIERE")</f>
        <v>PREMIERE</v>
      </c>
      <c r="F3891" s="10">
        <f>IFERROR(__xludf.DUMMYFUNCTION("""COMPUTED_VALUE"""),93.9714285714285)</f>
        <v>93.97142857</v>
      </c>
      <c r="G3891" s="9">
        <f>IFERROR(__xludf.DUMMYFUNCTION("""COMPUTED_VALUE"""),65.78)</f>
        <v>65.78</v>
      </c>
      <c r="H3891" s="9">
        <f>IFERROR(__xludf.DUMMYFUNCTION("""COMPUTED_VALUE"""),6.0)</f>
        <v>6</v>
      </c>
      <c r="I3891" s="9"/>
      <c r="J3891" s="9"/>
      <c r="K3891" s="9"/>
      <c r="L3891" s="9"/>
      <c r="M3891" s="9"/>
      <c r="N3891" s="9"/>
      <c r="O3891" s="9"/>
      <c r="P3891" s="9"/>
      <c r="Q3891" s="9"/>
      <c r="R3891" s="9"/>
      <c r="S3891" s="9"/>
      <c r="T3891" s="9"/>
    </row>
    <row r="3892" ht="15.75" customHeight="1">
      <c r="A3892" s="11">
        <f>IFERROR(__xludf.DUMMYFUNCTION("""COMPUTED_VALUE"""),44471.0)</f>
        <v>44471</v>
      </c>
      <c r="B3892" s="9">
        <f>IFERROR(__xludf.DUMMYFUNCTION("""COMPUTED_VALUE"""),1003849.0)</f>
        <v>1003849</v>
      </c>
      <c r="C3892" s="9">
        <f>IFERROR(__xludf.DUMMYFUNCTION("""COMPUTED_VALUE"""),90201.0)</f>
        <v>90201</v>
      </c>
      <c r="D3892" s="9"/>
      <c r="E3892" s="9"/>
      <c r="F3892" s="9">
        <f>IFERROR(__xludf.DUMMYFUNCTION("""COMPUTED_VALUE"""),8.77)</f>
        <v>8.77</v>
      </c>
      <c r="G3892" s="9">
        <f>IFERROR(__xludf.DUMMYFUNCTION("""COMPUTED_VALUE"""),8.77)</f>
        <v>8.77</v>
      </c>
      <c r="H3892" s="9">
        <f>IFERROR(__xludf.DUMMYFUNCTION("""COMPUTED_VALUE"""),1.0)</f>
        <v>1</v>
      </c>
      <c r="I3892" s="9"/>
      <c r="J3892" s="9"/>
      <c r="K3892" s="9"/>
      <c r="L3892" s="9"/>
      <c r="M3892" s="9"/>
      <c r="N3892" s="9"/>
      <c r="O3892" s="9"/>
      <c r="P3892" s="9"/>
      <c r="Q3892" s="9"/>
      <c r="R3892" s="9"/>
      <c r="S3892" s="9"/>
      <c r="T3892" s="9"/>
    </row>
    <row r="3893" ht="15.75" customHeight="1">
      <c r="A3893" s="11">
        <f>IFERROR(__xludf.DUMMYFUNCTION("""COMPUTED_VALUE"""),44471.0)</f>
        <v>44471</v>
      </c>
      <c r="B3893" s="9">
        <f>IFERROR(__xludf.DUMMYFUNCTION("""COMPUTED_VALUE"""),1003849.0)</f>
        <v>1003849</v>
      </c>
      <c r="C3893" s="9">
        <f>IFERROR(__xludf.DUMMYFUNCTION("""COMPUTED_VALUE"""),93884.0)</f>
        <v>93884</v>
      </c>
      <c r="D3893" s="10" t="str">
        <f>IFERROR(__xludf.DUMMYFUNCTION("""COMPUTED_VALUE"""),"Vive le bio")</f>
        <v>Vive le bio</v>
      </c>
      <c r="E3893" s="10"/>
      <c r="F3893" s="9">
        <f>IFERROR(__xludf.DUMMYFUNCTION("""COMPUTED_VALUE"""),8.41111111111111)</f>
        <v>8.411111111</v>
      </c>
      <c r="G3893" s="9">
        <f>IFERROR(__xludf.DUMMYFUNCTION("""COMPUTED_VALUE"""),7.57)</f>
        <v>7.57</v>
      </c>
      <c r="H3893" s="9">
        <f>IFERROR(__xludf.DUMMYFUNCTION("""COMPUTED_VALUE"""),1.0)</f>
        <v>1</v>
      </c>
      <c r="I3893" s="9"/>
      <c r="J3893" s="9"/>
      <c r="K3893" s="9"/>
      <c r="L3893" s="9"/>
      <c r="M3893" s="9"/>
      <c r="N3893" s="9"/>
      <c r="O3893" s="9"/>
      <c r="P3893" s="9"/>
      <c r="Q3893" s="9"/>
      <c r="R3893" s="9"/>
      <c r="S3893" s="9"/>
      <c r="T3893" s="9"/>
    </row>
    <row r="3894" ht="15.75" customHeight="1">
      <c r="A3894" s="11">
        <f>IFERROR(__xludf.DUMMYFUNCTION("""COMPUTED_VALUE"""),44471.0)</f>
        <v>44471</v>
      </c>
      <c r="B3894" s="9">
        <f>IFERROR(__xludf.DUMMYFUNCTION("""COMPUTED_VALUE"""),1003849.0)</f>
        <v>1003849</v>
      </c>
      <c r="C3894" s="9">
        <f>IFERROR(__xludf.DUMMYFUNCTION("""COMPUTED_VALUE"""),128412.0)</f>
        <v>128412</v>
      </c>
      <c r="D3894" s="9"/>
      <c r="E3894" s="9"/>
      <c r="F3894" s="9">
        <f>IFERROR(__xludf.DUMMYFUNCTION("""COMPUTED_VALUE"""),3.31)</f>
        <v>3.31</v>
      </c>
      <c r="G3894" s="9">
        <f>IFERROR(__xludf.DUMMYFUNCTION("""COMPUTED_VALUE"""),3.31)</f>
        <v>3.31</v>
      </c>
      <c r="H3894" s="9">
        <f>IFERROR(__xludf.DUMMYFUNCTION("""COMPUTED_VALUE"""),1.0)</f>
        <v>1</v>
      </c>
      <c r="I3894" s="9"/>
      <c r="J3894" s="9"/>
      <c r="K3894" s="9"/>
      <c r="L3894" s="9"/>
      <c r="M3894" s="9"/>
      <c r="N3894" s="9"/>
      <c r="O3894" s="9"/>
      <c r="P3894" s="9"/>
      <c r="Q3894" s="9"/>
      <c r="R3894" s="9"/>
      <c r="S3894" s="9"/>
      <c r="T3894" s="9"/>
    </row>
    <row r="3895" ht="15.75" customHeight="1">
      <c r="A3895" s="11">
        <f>IFERROR(__xludf.DUMMYFUNCTION("""COMPUTED_VALUE"""),44471.0)</f>
        <v>44471</v>
      </c>
      <c r="B3895" s="9">
        <f>IFERROR(__xludf.DUMMYFUNCTION("""COMPUTED_VALUE"""),1003849.0)</f>
        <v>1003849</v>
      </c>
      <c r="C3895" s="9">
        <f>IFERROR(__xludf.DUMMYFUNCTION("""COMPUTED_VALUE"""),118929.0)</f>
        <v>118929</v>
      </c>
      <c r="D3895" s="9"/>
      <c r="E3895" s="9"/>
      <c r="F3895" s="9">
        <f>IFERROR(__xludf.DUMMYFUNCTION("""COMPUTED_VALUE"""),6.87)</f>
        <v>6.87</v>
      </c>
      <c r="G3895" s="9">
        <f>IFERROR(__xludf.DUMMYFUNCTION("""COMPUTED_VALUE"""),6.87)</f>
        <v>6.87</v>
      </c>
      <c r="H3895" s="9">
        <f>IFERROR(__xludf.DUMMYFUNCTION("""COMPUTED_VALUE"""),1.0)</f>
        <v>1</v>
      </c>
      <c r="I3895" s="9"/>
      <c r="J3895" s="9"/>
      <c r="K3895" s="9"/>
      <c r="L3895" s="9"/>
      <c r="M3895" s="9"/>
      <c r="N3895" s="9"/>
      <c r="O3895" s="9"/>
      <c r="P3895" s="9"/>
      <c r="Q3895" s="9"/>
      <c r="R3895" s="9"/>
      <c r="S3895" s="9"/>
      <c r="T3895" s="9"/>
    </row>
    <row r="3896" ht="15.75" customHeight="1">
      <c r="A3896" s="11">
        <f>IFERROR(__xludf.DUMMYFUNCTION("""COMPUTED_VALUE"""),44471.0)</f>
        <v>44471</v>
      </c>
      <c r="B3896" s="9">
        <f>IFERROR(__xludf.DUMMYFUNCTION("""COMPUTED_VALUE"""),1003849.0)</f>
        <v>1003849</v>
      </c>
      <c r="C3896" s="9">
        <f>IFERROR(__xludf.DUMMYFUNCTION("""COMPUTED_VALUE"""),160744.0)</f>
        <v>160744</v>
      </c>
      <c r="D3896" s="9"/>
      <c r="E3896" s="9"/>
      <c r="F3896" s="9">
        <f>IFERROR(__xludf.DUMMYFUNCTION("""COMPUTED_VALUE"""),3.96)</f>
        <v>3.96</v>
      </c>
      <c r="G3896" s="9">
        <f>IFERROR(__xludf.DUMMYFUNCTION("""COMPUTED_VALUE"""),3.96)</f>
        <v>3.96</v>
      </c>
      <c r="H3896" s="9">
        <f>IFERROR(__xludf.DUMMYFUNCTION("""COMPUTED_VALUE"""),1.0)</f>
        <v>1</v>
      </c>
      <c r="I3896" s="9"/>
      <c r="J3896" s="9"/>
      <c r="K3896" s="9"/>
      <c r="L3896" s="9"/>
      <c r="M3896" s="9"/>
      <c r="N3896" s="9"/>
      <c r="O3896" s="9"/>
      <c r="P3896" s="9"/>
      <c r="Q3896" s="9"/>
      <c r="R3896" s="9"/>
      <c r="S3896" s="9"/>
      <c r="T3896" s="9"/>
    </row>
    <row r="3897" ht="15.75" customHeight="1">
      <c r="A3897" s="11">
        <f>IFERROR(__xludf.DUMMYFUNCTION("""COMPUTED_VALUE"""),44471.0)</f>
        <v>44471</v>
      </c>
      <c r="B3897" s="9">
        <f>IFERROR(__xludf.DUMMYFUNCTION("""COMPUTED_VALUE"""),1003849.0)</f>
        <v>1003849</v>
      </c>
      <c r="C3897" s="9">
        <f>IFERROR(__xludf.DUMMYFUNCTION("""COMPUTED_VALUE"""),78631.0)</f>
        <v>78631</v>
      </c>
      <c r="D3897" s="9"/>
      <c r="E3897" s="9"/>
      <c r="F3897" s="9">
        <f>IFERROR(__xludf.DUMMYFUNCTION("""COMPUTED_VALUE"""),12.13)</f>
        <v>12.13</v>
      </c>
      <c r="G3897" s="9">
        <f>IFERROR(__xludf.DUMMYFUNCTION("""COMPUTED_VALUE"""),12.13)</f>
        <v>12.13</v>
      </c>
      <c r="H3897" s="9">
        <f>IFERROR(__xludf.DUMMYFUNCTION("""COMPUTED_VALUE"""),1.0)</f>
        <v>1</v>
      </c>
      <c r="I3897" s="9"/>
      <c r="J3897" s="9"/>
      <c r="K3897" s="9"/>
      <c r="L3897" s="9"/>
      <c r="M3897" s="9"/>
      <c r="N3897" s="9"/>
      <c r="O3897" s="9"/>
      <c r="P3897" s="9"/>
      <c r="Q3897" s="9"/>
      <c r="R3897" s="9"/>
      <c r="S3897" s="9"/>
      <c r="T3897" s="9"/>
    </row>
    <row r="3898" ht="15.75" customHeight="1">
      <c r="A3898" s="11">
        <f>IFERROR(__xludf.DUMMYFUNCTION("""COMPUTED_VALUE"""),44471.0)</f>
        <v>44471</v>
      </c>
      <c r="B3898" s="9">
        <f>IFERROR(__xludf.DUMMYFUNCTION("""COMPUTED_VALUE"""),1003849.0)</f>
        <v>1003849</v>
      </c>
      <c r="C3898" s="9">
        <f>IFERROR(__xludf.DUMMYFUNCTION("""COMPUTED_VALUE"""),7267.0)</f>
        <v>7267</v>
      </c>
      <c r="D3898" s="9"/>
      <c r="E3898" s="9"/>
      <c r="F3898" s="9">
        <f>IFERROR(__xludf.DUMMYFUNCTION("""COMPUTED_VALUE"""),2.48)</f>
        <v>2.48</v>
      </c>
      <c r="G3898" s="9">
        <f>IFERROR(__xludf.DUMMYFUNCTION("""COMPUTED_VALUE"""),2.48)</f>
        <v>2.48</v>
      </c>
      <c r="H3898" s="9">
        <f>IFERROR(__xludf.DUMMYFUNCTION("""COMPUTED_VALUE"""),1.0)</f>
        <v>1</v>
      </c>
      <c r="I3898" s="9"/>
      <c r="J3898" s="9"/>
      <c r="K3898" s="9"/>
      <c r="L3898" s="9"/>
      <c r="M3898" s="9"/>
      <c r="N3898" s="9"/>
      <c r="O3898" s="9"/>
      <c r="P3898" s="9"/>
      <c r="Q3898" s="9"/>
      <c r="R3898" s="9"/>
      <c r="S3898" s="9"/>
      <c r="T3898" s="9"/>
    </row>
    <row r="3899" ht="15.75" customHeight="1">
      <c r="A3899" s="11">
        <f>IFERROR(__xludf.DUMMYFUNCTION("""COMPUTED_VALUE"""),44471.0)</f>
        <v>44471</v>
      </c>
      <c r="B3899" s="9">
        <f>IFERROR(__xludf.DUMMYFUNCTION("""COMPUTED_VALUE"""),1003849.0)</f>
        <v>1003849</v>
      </c>
      <c r="C3899" s="9">
        <f>IFERROR(__xludf.DUMMYFUNCTION("""COMPUTED_VALUE"""),105178.0)</f>
        <v>105178</v>
      </c>
      <c r="D3899" s="9"/>
      <c r="E3899" s="9"/>
      <c r="F3899" s="9">
        <f>IFERROR(__xludf.DUMMYFUNCTION("""COMPUTED_VALUE"""),2.37)</f>
        <v>2.37</v>
      </c>
      <c r="G3899" s="9">
        <f>IFERROR(__xludf.DUMMYFUNCTION("""COMPUTED_VALUE"""),2.37)</f>
        <v>2.37</v>
      </c>
      <c r="H3899" s="9">
        <f>IFERROR(__xludf.DUMMYFUNCTION("""COMPUTED_VALUE"""),1.0)</f>
        <v>1</v>
      </c>
      <c r="I3899" s="9"/>
      <c r="J3899" s="9"/>
      <c r="K3899" s="9"/>
      <c r="L3899" s="9"/>
      <c r="M3899" s="9"/>
      <c r="N3899" s="9"/>
      <c r="O3899" s="9"/>
      <c r="P3899" s="9"/>
      <c r="Q3899" s="9"/>
      <c r="R3899" s="9"/>
      <c r="S3899" s="9"/>
      <c r="T3899" s="9"/>
    </row>
    <row r="3900" ht="15.75" customHeight="1">
      <c r="A3900" s="11">
        <f>IFERROR(__xludf.DUMMYFUNCTION("""COMPUTED_VALUE"""),44471.0)</f>
        <v>44471</v>
      </c>
      <c r="B3900" s="9">
        <f>IFERROR(__xludf.DUMMYFUNCTION("""COMPUTED_VALUE"""),1003849.0)</f>
        <v>1003849</v>
      </c>
      <c r="C3900" s="9">
        <f>IFERROR(__xludf.DUMMYFUNCTION("""COMPUTED_VALUE"""),79107.0)</f>
        <v>79107</v>
      </c>
      <c r="D3900" s="9"/>
      <c r="E3900" s="9"/>
      <c r="F3900" s="9">
        <f>IFERROR(__xludf.DUMMYFUNCTION("""COMPUTED_VALUE"""),9.85)</f>
        <v>9.85</v>
      </c>
      <c r="G3900" s="9">
        <f>IFERROR(__xludf.DUMMYFUNCTION("""COMPUTED_VALUE"""),9.85)</f>
        <v>9.85</v>
      </c>
      <c r="H3900" s="9">
        <f>IFERROR(__xludf.DUMMYFUNCTION("""COMPUTED_VALUE"""),3.0)</f>
        <v>3</v>
      </c>
      <c r="I3900" s="9"/>
      <c r="J3900" s="9"/>
      <c r="K3900" s="9"/>
      <c r="L3900" s="9"/>
      <c r="M3900" s="9"/>
      <c r="N3900" s="9"/>
      <c r="O3900" s="9"/>
      <c r="P3900" s="9"/>
      <c r="Q3900" s="9"/>
      <c r="R3900" s="9"/>
      <c r="S3900" s="9"/>
      <c r="T3900" s="9"/>
    </row>
    <row r="3901" ht="15.75" customHeight="1">
      <c r="A3901" s="11">
        <f>IFERROR(__xludf.DUMMYFUNCTION("""COMPUTED_VALUE"""),44471.0)</f>
        <v>44471</v>
      </c>
      <c r="B3901" s="9">
        <f>IFERROR(__xludf.DUMMYFUNCTION("""COMPUTED_VALUE"""),1003850.0)</f>
        <v>1003850</v>
      </c>
      <c r="C3901" s="9">
        <f>IFERROR(__xludf.DUMMYFUNCTION("""COMPUTED_VALUE"""),88105.0)</f>
        <v>88105</v>
      </c>
      <c r="D3901" s="9"/>
      <c r="E3901" s="9"/>
      <c r="F3901" s="9">
        <f>IFERROR(__xludf.DUMMYFUNCTION("""COMPUTED_VALUE"""),22.16)</f>
        <v>22.16</v>
      </c>
      <c r="G3901" s="9">
        <f>IFERROR(__xludf.DUMMYFUNCTION("""COMPUTED_VALUE"""),22.16)</f>
        <v>22.16</v>
      </c>
      <c r="H3901" s="9">
        <f>IFERROR(__xludf.DUMMYFUNCTION("""COMPUTED_VALUE"""),1.0)</f>
        <v>1</v>
      </c>
      <c r="I3901" s="9"/>
      <c r="J3901" s="9"/>
      <c r="K3901" s="9"/>
      <c r="L3901" s="9"/>
      <c r="M3901" s="9"/>
      <c r="N3901" s="9"/>
      <c r="O3901" s="9"/>
      <c r="P3901" s="9"/>
      <c r="Q3901" s="9"/>
      <c r="R3901" s="9"/>
      <c r="S3901" s="9"/>
      <c r="T3901" s="9"/>
    </row>
    <row r="3902" ht="15.75" customHeight="1">
      <c r="A3902" s="11">
        <f>IFERROR(__xludf.DUMMYFUNCTION("""COMPUTED_VALUE"""),44471.0)</f>
        <v>44471</v>
      </c>
      <c r="B3902" s="9">
        <f>IFERROR(__xludf.DUMMYFUNCTION("""COMPUTED_VALUE"""),1003851.0)</f>
        <v>1003851</v>
      </c>
      <c r="C3902" s="9">
        <f>IFERROR(__xludf.DUMMYFUNCTION("""COMPUTED_VALUE"""),113960.0)</f>
        <v>113960</v>
      </c>
      <c r="D3902" s="9"/>
      <c r="E3902" s="10" t="str">
        <f>IFERROR(__xludf.DUMMYFUNCTION("""COMPUTED_VALUE"""),"PREMIERE")</f>
        <v>PREMIERE</v>
      </c>
      <c r="F3902" s="10">
        <f>IFERROR(__xludf.DUMMYFUNCTION("""COMPUTED_VALUE"""),2.13)</f>
        <v>2.13</v>
      </c>
      <c r="G3902" s="9">
        <f>IFERROR(__xludf.DUMMYFUNCTION("""COMPUTED_VALUE"""),2.13)</f>
        <v>2.13</v>
      </c>
      <c r="H3902" s="9">
        <f>IFERROR(__xludf.DUMMYFUNCTION("""COMPUTED_VALUE"""),1.0)</f>
        <v>1</v>
      </c>
      <c r="I3902" s="9"/>
      <c r="J3902" s="9"/>
      <c r="K3902" s="9"/>
      <c r="L3902" s="9"/>
      <c r="M3902" s="9"/>
      <c r="N3902" s="9"/>
      <c r="O3902" s="9"/>
      <c r="P3902" s="9"/>
      <c r="Q3902" s="9"/>
      <c r="R3902" s="9"/>
      <c r="S3902" s="9"/>
      <c r="T3902" s="9"/>
    </row>
    <row r="3903" ht="15.75" customHeight="1">
      <c r="A3903" s="11">
        <f>IFERROR(__xludf.DUMMYFUNCTION("""COMPUTED_VALUE"""),44471.0)</f>
        <v>44471</v>
      </c>
      <c r="B3903" s="9">
        <f>IFERROR(__xludf.DUMMYFUNCTION("""COMPUTED_VALUE"""),1003851.0)</f>
        <v>1003851</v>
      </c>
      <c r="C3903" s="9">
        <f>IFERROR(__xludf.DUMMYFUNCTION("""COMPUTED_VALUE"""),77790.0)</f>
        <v>77790</v>
      </c>
      <c r="D3903" s="9"/>
      <c r="E3903" s="10" t="str">
        <f>IFERROR(__xludf.DUMMYFUNCTION("""COMPUTED_VALUE"""),"PREMIERE")</f>
        <v>PREMIERE</v>
      </c>
      <c r="F3903" s="10">
        <f>IFERROR(__xludf.DUMMYFUNCTION("""COMPUTED_VALUE"""),12.04)</f>
        <v>12.04</v>
      </c>
      <c r="G3903" s="9">
        <f>IFERROR(__xludf.DUMMYFUNCTION("""COMPUTED_VALUE"""),12.04)</f>
        <v>12.04</v>
      </c>
      <c r="H3903" s="9">
        <f>IFERROR(__xludf.DUMMYFUNCTION("""COMPUTED_VALUE"""),1.0)</f>
        <v>1</v>
      </c>
      <c r="I3903" s="9"/>
      <c r="J3903" s="9"/>
      <c r="K3903" s="9"/>
      <c r="L3903" s="9"/>
      <c r="M3903" s="9"/>
      <c r="N3903" s="9"/>
      <c r="O3903" s="9"/>
      <c r="P3903" s="9"/>
      <c r="Q3903" s="9"/>
      <c r="R3903" s="9"/>
      <c r="S3903" s="9"/>
      <c r="T3903" s="9"/>
    </row>
    <row r="3904" ht="15.75" customHeight="1">
      <c r="A3904" s="11">
        <f>IFERROR(__xludf.DUMMYFUNCTION("""COMPUTED_VALUE"""),44471.0)</f>
        <v>44471</v>
      </c>
      <c r="B3904" s="9">
        <f>IFERROR(__xludf.DUMMYFUNCTION("""COMPUTED_VALUE"""),1003851.0)</f>
        <v>1003851</v>
      </c>
      <c r="C3904" s="9">
        <f>IFERROR(__xludf.DUMMYFUNCTION("""COMPUTED_VALUE"""),76584.0)</f>
        <v>76584</v>
      </c>
      <c r="D3904" s="9"/>
      <c r="E3904" s="10" t="str">
        <f>IFERROR(__xludf.DUMMYFUNCTION("""COMPUTED_VALUE"""),"PREMIERE")</f>
        <v>PREMIERE</v>
      </c>
      <c r="F3904" s="10">
        <f>IFERROR(__xludf.DUMMYFUNCTION("""COMPUTED_VALUE"""),1.83)</f>
        <v>1.83</v>
      </c>
      <c r="G3904" s="9">
        <f>IFERROR(__xludf.DUMMYFUNCTION("""COMPUTED_VALUE"""),1.83)</f>
        <v>1.83</v>
      </c>
      <c r="H3904" s="9">
        <f>IFERROR(__xludf.DUMMYFUNCTION("""COMPUTED_VALUE"""),1.0)</f>
        <v>1</v>
      </c>
      <c r="I3904" s="9"/>
      <c r="J3904" s="9"/>
      <c r="K3904" s="9"/>
      <c r="L3904" s="9"/>
      <c r="M3904" s="9"/>
      <c r="N3904" s="9"/>
      <c r="O3904" s="9"/>
      <c r="P3904" s="9"/>
      <c r="Q3904" s="9"/>
      <c r="R3904" s="9"/>
      <c r="S3904" s="9"/>
      <c r="T3904" s="9"/>
    </row>
    <row r="3905" ht="15.75" customHeight="1">
      <c r="A3905" s="11">
        <f>IFERROR(__xludf.DUMMYFUNCTION("""COMPUTED_VALUE"""),44471.0)</f>
        <v>44471</v>
      </c>
      <c r="B3905" s="9">
        <f>IFERROR(__xludf.DUMMYFUNCTION("""COMPUTED_VALUE"""),1003851.0)</f>
        <v>1003851</v>
      </c>
      <c r="C3905" s="9">
        <f>IFERROR(__xludf.DUMMYFUNCTION("""COMPUTED_VALUE"""),16958.0)</f>
        <v>16958</v>
      </c>
      <c r="D3905" s="9"/>
      <c r="E3905" s="10" t="str">
        <f>IFERROR(__xludf.DUMMYFUNCTION("""COMPUTED_VALUE"""),"PREMIERE")</f>
        <v>PREMIERE</v>
      </c>
      <c r="F3905" s="10">
        <f>IFERROR(__xludf.DUMMYFUNCTION("""COMPUTED_VALUE"""),6.15)</f>
        <v>6.15</v>
      </c>
      <c r="G3905" s="9">
        <f>IFERROR(__xludf.DUMMYFUNCTION("""COMPUTED_VALUE"""),6.15)</f>
        <v>6.15</v>
      </c>
      <c r="H3905" s="9">
        <f>IFERROR(__xludf.DUMMYFUNCTION("""COMPUTED_VALUE"""),1.0)</f>
        <v>1</v>
      </c>
      <c r="I3905" s="9"/>
      <c r="J3905" s="9"/>
      <c r="K3905" s="9"/>
      <c r="L3905" s="9"/>
      <c r="M3905" s="9"/>
      <c r="N3905" s="9"/>
      <c r="O3905" s="9"/>
      <c r="P3905" s="9"/>
      <c r="Q3905" s="9"/>
      <c r="R3905" s="9"/>
      <c r="S3905" s="9"/>
      <c r="T3905" s="9"/>
    </row>
    <row r="3906" ht="15.75" customHeight="1">
      <c r="A3906" s="11">
        <f>IFERROR(__xludf.DUMMYFUNCTION("""COMPUTED_VALUE"""),44471.0)</f>
        <v>44471</v>
      </c>
      <c r="B3906" s="9">
        <f>IFERROR(__xludf.DUMMYFUNCTION("""COMPUTED_VALUE"""),1003851.0)</f>
        <v>1003851</v>
      </c>
      <c r="C3906" s="9">
        <f>IFERROR(__xludf.DUMMYFUNCTION("""COMPUTED_VALUE"""),81647.0)</f>
        <v>81647</v>
      </c>
      <c r="D3906" s="9"/>
      <c r="E3906" s="10" t="str">
        <f>IFERROR(__xludf.DUMMYFUNCTION("""COMPUTED_VALUE"""),"PREMIERE")</f>
        <v>PREMIERE</v>
      </c>
      <c r="F3906" s="10">
        <f>IFERROR(__xludf.DUMMYFUNCTION("""COMPUTED_VALUE"""),12.59)</f>
        <v>12.59</v>
      </c>
      <c r="G3906" s="9">
        <f>IFERROR(__xludf.DUMMYFUNCTION("""COMPUTED_VALUE"""),12.59)</f>
        <v>12.59</v>
      </c>
      <c r="H3906" s="9">
        <f>IFERROR(__xludf.DUMMYFUNCTION("""COMPUTED_VALUE"""),1.0)</f>
        <v>1</v>
      </c>
      <c r="I3906" s="9"/>
      <c r="J3906" s="9"/>
      <c r="K3906" s="9"/>
      <c r="L3906" s="9"/>
      <c r="M3906" s="9"/>
      <c r="N3906" s="9"/>
      <c r="O3906" s="9"/>
      <c r="P3906" s="9"/>
      <c r="Q3906" s="9"/>
      <c r="R3906" s="9"/>
      <c r="S3906" s="9"/>
      <c r="T3906" s="9"/>
    </row>
    <row r="3907" ht="15.75" customHeight="1">
      <c r="A3907" s="11">
        <f>IFERROR(__xludf.DUMMYFUNCTION("""COMPUTED_VALUE"""),44471.0)</f>
        <v>44471</v>
      </c>
      <c r="B3907" s="9">
        <f>IFERROR(__xludf.DUMMYFUNCTION("""COMPUTED_VALUE"""),1003851.0)</f>
        <v>1003851</v>
      </c>
      <c r="C3907" s="9">
        <f>IFERROR(__xludf.DUMMYFUNCTION("""COMPUTED_VALUE"""),147301.0)</f>
        <v>147301</v>
      </c>
      <c r="D3907" s="9"/>
      <c r="E3907" s="10" t="str">
        <f>IFERROR(__xludf.DUMMYFUNCTION("""COMPUTED_VALUE"""),"PREMIERE")</f>
        <v>PREMIERE</v>
      </c>
      <c r="F3907" s="10">
        <f>IFERROR(__xludf.DUMMYFUNCTION("""COMPUTED_VALUE"""),1.55)</f>
        <v>1.55</v>
      </c>
      <c r="G3907" s="9">
        <f>IFERROR(__xludf.DUMMYFUNCTION("""COMPUTED_VALUE"""),1.55)</f>
        <v>1.55</v>
      </c>
      <c r="H3907" s="9">
        <f>IFERROR(__xludf.DUMMYFUNCTION("""COMPUTED_VALUE"""),1.0)</f>
        <v>1</v>
      </c>
      <c r="I3907" s="9"/>
      <c r="J3907" s="9"/>
      <c r="K3907" s="9"/>
      <c r="L3907" s="9"/>
      <c r="M3907" s="9"/>
      <c r="N3907" s="9"/>
      <c r="O3907" s="9"/>
      <c r="P3907" s="9"/>
      <c r="Q3907" s="9"/>
      <c r="R3907" s="9"/>
      <c r="S3907" s="9"/>
      <c r="T3907" s="9"/>
    </row>
    <row r="3908" ht="15.75" customHeight="1">
      <c r="A3908" s="11">
        <f>IFERROR(__xludf.DUMMYFUNCTION("""COMPUTED_VALUE"""),44471.0)</f>
        <v>44471</v>
      </c>
      <c r="B3908" s="9">
        <f>IFERROR(__xludf.DUMMYFUNCTION("""COMPUTED_VALUE"""),1003851.0)</f>
        <v>1003851</v>
      </c>
      <c r="C3908" s="9">
        <f>IFERROR(__xludf.DUMMYFUNCTION("""COMPUTED_VALUE"""),113739.0)</f>
        <v>113739</v>
      </c>
      <c r="D3908" s="9"/>
      <c r="E3908" s="10" t="str">
        <f>IFERROR(__xludf.DUMMYFUNCTION("""COMPUTED_VALUE"""),"PREMIERE")</f>
        <v>PREMIERE</v>
      </c>
      <c r="F3908" s="10">
        <f>IFERROR(__xludf.DUMMYFUNCTION("""COMPUTED_VALUE"""),3.48)</f>
        <v>3.48</v>
      </c>
      <c r="G3908" s="9">
        <f>IFERROR(__xludf.DUMMYFUNCTION("""COMPUTED_VALUE"""),3.48)</f>
        <v>3.48</v>
      </c>
      <c r="H3908" s="9">
        <f>IFERROR(__xludf.DUMMYFUNCTION("""COMPUTED_VALUE"""),1.0)</f>
        <v>1</v>
      </c>
      <c r="I3908" s="9"/>
      <c r="J3908" s="9"/>
      <c r="K3908" s="9"/>
      <c r="L3908" s="9"/>
      <c r="M3908" s="9"/>
      <c r="N3908" s="9"/>
      <c r="O3908" s="9"/>
      <c r="P3908" s="9"/>
      <c r="Q3908" s="9"/>
      <c r="R3908" s="9"/>
      <c r="S3908" s="9"/>
      <c r="T3908" s="9"/>
    </row>
    <row r="3909" ht="15.75" customHeight="1">
      <c r="A3909" s="11">
        <f>IFERROR(__xludf.DUMMYFUNCTION("""COMPUTED_VALUE"""),44471.0)</f>
        <v>44471</v>
      </c>
      <c r="B3909" s="9">
        <f>IFERROR(__xludf.DUMMYFUNCTION("""COMPUTED_VALUE"""),1003851.0)</f>
        <v>1003851</v>
      </c>
      <c r="C3909" s="9">
        <f>IFERROR(__xludf.DUMMYFUNCTION("""COMPUTED_VALUE"""),109060.0)</f>
        <v>109060</v>
      </c>
      <c r="D3909" s="9"/>
      <c r="E3909" s="10" t="str">
        <f>IFERROR(__xludf.DUMMYFUNCTION("""COMPUTED_VALUE"""),"PREMIERE")</f>
        <v>PREMIERE</v>
      </c>
      <c r="F3909" s="10">
        <f>IFERROR(__xludf.DUMMYFUNCTION("""COMPUTED_VALUE"""),6.73)</f>
        <v>6.73</v>
      </c>
      <c r="G3909" s="9">
        <f>IFERROR(__xludf.DUMMYFUNCTION("""COMPUTED_VALUE"""),6.73)</f>
        <v>6.73</v>
      </c>
      <c r="H3909" s="9">
        <f>IFERROR(__xludf.DUMMYFUNCTION("""COMPUTED_VALUE"""),1.0)</f>
        <v>1</v>
      </c>
      <c r="I3909" s="9"/>
      <c r="J3909" s="9"/>
      <c r="K3909" s="9"/>
      <c r="L3909" s="9"/>
      <c r="M3909" s="9"/>
      <c r="N3909" s="9"/>
      <c r="O3909" s="9"/>
      <c r="P3909" s="9"/>
      <c r="Q3909" s="9"/>
      <c r="R3909" s="9"/>
      <c r="S3909" s="9"/>
      <c r="T3909" s="9"/>
    </row>
    <row r="3910" ht="15.75" customHeight="1">
      <c r="A3910" s="11">
        <f>IFERROR(__xludf.DUMMYFUNCTION("""COMPUTED_VALUE"""),44471.0)</f>
        <v>44471</v>
      </c>
      <c r="B3910" s="9">
        <f>IFERROR(__xludf.DUMMYFUNCTION("""COMPUTED_VALUE"""),1003851.0)</f>
        <v>1003851</v>
      </c>
      <c r="C3910" s="9">
        <f>IFERROR(__xludf.DUMMYFUNCTION("""COMPUTED_VALUE"""),80412.0)</f>
        <v>80412</v>
      </c>
      <c r="D3910" s="9"/>
      <c r="E3910" s="10" t="str">
        <f>IFERROR(__xludf.DUMMYFUNCTION("""COMPUTED_VALUE"""),"PREMIERE")</f>
        <v>PREMIERE</v>
      </c>
      <c r="F3910" s="10">
        <f>IFERROR(__xludf.DUMMYFUNCTION("""COMPUTED_VALUE"""),1.06)</f>
        <v>1.06</v>
      </c>
      <c r="G3910" s="9">
        <f>IFERROR(__xludf.DUMMYFUNCTION("""COMPUTED_VALUE"""),1.06)</f>
        <v>1.06</v>
      </c>
      <c r="H3910" s="9">
        <f>IFERROR(__xludf.DUMMYFUNCTION("""COMPUTED_VALUE"""),1.0)</f>
        <v>1</v>
      </c>
      <c r="I3910" s="9"/>
      <c r="J3910" s="9"/>
      <c r="K3910" s="9"/>
      <c r="L3910" s="9"/>
      <c r="M3910" s="9"/>
      <c r="N3910" s="9"/>
      <c r="O3910" s="9"/>
      <c r="P3910" s="9"/>
      <c r="Q3910" s="9"/>
      <c r="R3910" s="9"/>
      <c r="S3910" s="9"/>
      <c r="T3910" s="9"/>
    </row>
    <row r="3911" ht="15.75" customHeight="1">
      <c r="A3911" s="11">
        <f>IFERROR(__xludf.DUMMYFUNCTION("""COMPUTED_VALUE"""),44471.0)</f>
        <v>44471</v>
      </c>
      <c r="B3911" s="9">
        <f>IFERROR(__xludf.DUMMYFUNCTION("""COMPUTED_VALUE"""),1003852.0)</f>
        <v>1003852</v>
      </c>
      <c r="C3911" s="9">
        <f>IFERROR(__xludf.DUMMYFUNCTION("""COMPUTED_VALUE"""),70339.0)</f>
        <v>70339</v>
      </c>
      <c r="D3911" s="9"/>
      <c r="E3911" s="10" t="str">
        <f>IFERROR(__xludf.DUMMYFUNCTION("""COMPUTED_VALUE"""),"PREMIERE")</f>
        <v>PREMIERE</v>
      </c>
      <c r="F3911" s="10">
        <f>IFERROR(__xludf.DUMMYFUNCTION("""COMPUTED_VALUE"""),28.64)</f>
        <v>28.64</v>
      </c>
      <c r="G3911" s="9">
        <f>IFERROR(__xludf.DUMMYFUNCTION("""COMPUTED_VALUE"""),28.64)</f>
        <v>28.64</v>
      </c>
      <c r="H3911" s="9">
        <f>IFERROR(__xludf.DUMMYFUNCTION("""COMPUTED_VALUE"""),1.0)</f>
        <v>1</v>
      </c>
      <c r="I3911" s="9"/>
      <c r="J3911" s="9"/>
      <c r="K3911" s="9"/>
      <c r="L3911" s="9"/>
      <c r="M3911" s="9"/>
      <c r="N3911" s="9"/>
      <c r="O3911" s="9"/>
      <c r="P3911" s="9"/>
      <c r="Q3911" s="9"/>
      <c r="R3911" s="9"/>
      <c r="S3911" s="9"/>
      <c r="T3911" s="9"/>
    </row>
    <row r="3912" ht="15.75" customHeight="1">
      <c r="A3912" s="11">
        <f>IFERROR(__xludf.DUMMYFUNCTION("""COMPUTED_VALUE"""),44471.0)</f>
        <v>44471</v>
      </c>
      <c r="B3912" s="9">
        <f>IFERROR(__xludf.DUMMYFUNCTION("""COMPUTED_VALUE"""),1003852.0)</f>
        <v>1003852</v>
      </c>
      <c r="C3912" s="9">
        <f>IFERROR(__xludf.DUMMYFUNCTION("""COMPUTED_VALUE"""),188367.0)</f>
        <v>188367</v>
      </c>
      <c r="D3912" s="9"/>
      <c r="E3912" s="10" t="str">
        <f>IFERROR(__xludf.DUMMYFUNCTION("""COMPUTED_VALUE"""),"PREMIERE")</f>
        <v>PREMIERE</v>
      </c>
      <c r="F3912" s="10">
        <f>IFERROR(__xludf.DUMMYFUNCTION("""COMPUTED_VALUE"""),7.68)</f>
        <v>7.68</v>
      </c>
      <c r="G3912" s="9">
        <f>IFERROR(__xludf.DUMMYFUNCTION("""COMPUTED_VALUE"""),7.68)</f>
        <v>7.68</v>
      </c>
      <c r="H3912" s="9">
        <f>IFERROR(__xludf.DUMMYFUNCTION("""COMPUTED_VALUE"""),1.0)</f>
        <v>1</v>
      </c>
      <c r="I3912" s="9"/>
      <c r="J3912" s="9"/>
      <c r="K3912" s="9"/>
      <c r="L3912" s="9"/>
      <c r="M3912" s="9"/>
      <c r="N3912" s="9"/>
      <c r="O3912" s="9"/>
      <c r="P3912" s="9"/>
      <c r="Q3912" s="9"/>
      <c r="R3912" s="9"/>
      <c r="S3912" s="9"/>
      <c r="T3912" s="9"/>
    </row>
    <row r="3913" ht="15.75" customHeight="1">
      <c r="A3913" s="11">
        <f>IFERROR(__xludf.DUMMYFUNCTION("""COMPUTED_VALUE"""),44471.0)</f>
        <v>44471</v>
      </c>
      <c r="B3913" s="9">
        <f>IFERROR(__xludf.DUMMYFUNCTION("""COMPUTED_VALUE"""),1003853.0)</f>
        <v>1003853</v>
      </c>
      <c r="C3913" s="9">
        <f>IFERROR(__xludf.DUMMYFUNCTION("""COMPUTED_VALUE"""),99040.0)</f>
        <v>99040</v>
      </c>
      <c r="D3913" s="9"/>
      <c r="E3913" s="10" t="str">
        <f>IFERROR(__xludf.DUMMYFUNCTION("""COMPUTED_VALUE"""),"GREENRELAIS")</f>
        <v>GREENRELAIS</v>
      </c>
      <c r="F3913" s="10">
        <f>IFERROR(__xludf.DUMMYFUNCTION("""COMPUTED_VALUE"""),3.5)</f>
        <v>3.5</v>
      </c>
      <c r="G3913" s="9">
        <f>IFERROR(__xludf.DUMMYFUNCTION("""COMPUTED_VALUE"""),3.5)</f>
        <v>3.5</v>
      </c>
      <c r="H3913" s="9">
        <f>IFERROR(__xludf.DUMMYFUNCTION("""COMPUTED_VALUE"""),1.0)</f>
        <v>1</v>
      </c>
      <c r="I3913" s="9"/>
      <c r="J3913" s="9"/>
      <c r="K3913" s="9"/>
      <c r="L3913" s="9"/>
      <c r="M3913" s="9"/>
      <c r="N3913" s="9"/>
      <c r="O3913" s="9"/>
      <c r="P3913" s="9"/>
      <c r="Q3913" s="9"/>
      <c r="R3913" s="9"/>
      <c r="S3913" s="9"/>
      <c r="T3913" s="9"/>
    </row>
    <row r="3914" ht="15.75" customHeight="1">
      <c r="A3914" s="11">
        <f>IFERROR(__xludf.DUMMYFUNCTION("""COMPUTED_VALUE"""),44471.0)</f>
        <v>44471</v>
      </c>
      <c r="B3914" s="9">
        <f>IFERROR(__xludf.DUMMYFUNCTION("""COMPUTED_VALUE"""),1003853.0)</f>
        <v>1003853</v>
      </c>
      <c r="C3914" s="9">
        <f>IFERROR(__xludf.DUMMYFUNCTION("""COMPUTED_VALUE"""),7358.0)</f>
        <v>7358</v>
      </c>
      <c r="D3914" s="9"/>
      <c r="E3914" s="10" t="str">
        <f>IFERROR(__xludf.DUMMYFUNCTION("""COMPUTED_VALUE"""),"GREENRELAIS")</f>
        <v>GREENRELAIS</v>
      </c>
      <c r="F3914" s="10">
        <f>IFERROR(__xludf.DUMMYFUNCTION("""COMPUTED_VALUE"""),4.25)</f>
        <v>4.25</v>
      </c>
      <c r="G3914" s="9">
        <f>IFERROR(__xludf.DUMMYFUNCTION("""COMPUTED_VALUE"""),4.25)</f>
        <v>4.25</v>
      </c>
      <c r="H3914" s="9">
        <f>IFERROR(__xludf.DUMMYFUNCTION("""COMPUTED_VALUE"""),1.0)</f>
        <v>1</v>
      </c>
      <c r="I3914" s="9"/>
      <c r="J3914" s="9"/>
      <c r="K3914" s="9"/>
      <c r="L3914" s="9"/>
      <c r="M3914" s="9"/>
      <c r="N3914" s="9"/>
      <c r="O3914" s="9"/>
      <c r="P3914" s="9"/>
      <c r="Q3914" s="9"/>
      <c r="R3914" s="9"/>
      <c r="S3914" s="9"/>
      <c r="T3914" s="9"/>
    </row>
    <row r="3915" ht="15.75" customHeight="1">
      <c r="A3915" s="11">
        <f>IFERROR(__xludf.DUMMYFUNCTION("""COMPUTED_VALUE"""),44471.0)</f>
        <v>44471</v>
      </c>
      <c r="B3915" s="9">
        <f>IFERROR(__xludf.DUMMYFUNCTION("""COMPUTED_VALUE"""),1003853.0)</f>
        <v>1003853</v>
      </c>
      <c r="C3915" s="9">
        <f>IFERROR(__xludf.DUMMYFUNCTION("""COMPUTED_VALUE"""),103589.0)</f>
        <v>103589</v>
      </c>
      <c r="D3915" s="10" t="str">
        <f>IFERROR(__xludf.DUMMYFUNCTION("""COMPUTED_VALUE"""),"Love &amp; Green Couches et Culottes sept 2021")</f>
        <v>Love &amp; Green Couches et Culottes sept 2021</v>
      </c>
      <c r="E3915" s="10" t="str">
        <f>IFERROR(__xludf.DUMMYFUNCTION("""COMPUTED_VALUE"""),"GREENRELAIS")</f>
        <v>GREENRELAIS</v>
      </c>
      <c r="F3915" s="10">
        <f>IFERROR(__xludf.DUMMYFUNCTION("""COMPUTED_VALUE"""),15.6571428571428)</f>
        <v>15.65714286</v>
      </c>
      <c r="G3915" s="9">
        <f>IFERROR(__xludf.DUMMYFUNCTION("""COMPUTED_VALUE"""),10.96)</f>
        <v>10.96</v>
      </c>
      <c r="H3915" s="9">
        <f>IFERROR(__xludf.DUMMYFUNCTION("""COMPUTED_VALUE"""),1.0)</f>
        <v>1</v>
      </c>
      <c r="I3915" s="9"/>
      <c r="J3915" s="9"/>
      <c r="K3915" s="9"/>
      <c r="L3915" s="9"/>
      <c r="M3915" s="9"/>
      <c r="N3915" s="9"/>
      <c r="O3915" s="9"/>
      <c r="P3915" s="9"/>
      <c r="Q3915" s="9"/>
      <c r="R3915" s="9"/>
      <c r="S3915" s="9"/>
      <c r="T3915" s="9"/>
    </row>
    <row r="3916" ht="15.75" customHeight="1">
      <c r="A3916" s="11">
        <f>IFERROR(__xludf.DUMMYFUNCTION("""COMPUTED_VALUE"""),44471.0)</f>
        <v>44471</v>
      </c>
      <c r="B3916" s="9">
        <f>IFERROR(__xludf.DUMMYFUNCTION("""COMPUTED_VALUE"""),1003853.0)</f>
        <v>1003853</v>
      </c>
      <c r="C3916" s="9">
        <f>IFERROR(__xludf.DUMMYFUNCTION("""COMPUTED_VALUE"""),108068.0)</f>
        <v>108068</v>
      </c>
      <c r="D3916" s="9"/>
      <c r="E3916" s="10" t="str">
        <f>IFERROR(__xludf.DUMMYFUNCTION("""COMPUTED_VALUE"""),"GREENRELAIS")</f>
        <v>GREENRELAIS</v>
      </c>
      <c r="F3916" s="10">
        <f>IFERROR(__xludf.DUMMYFUNCTION("""COMPUTED_VALUE"""),1.19)</f>
        <v>1.19</v>
      </c>
      <c r="G3916" s="9">
        <f>IFERROR(__xludf.DUMMYFUNCTION("""COMPUTED_VALUE"""),1.19)</f>
        <v>1.19</v>
      </c>
      <c r="H3916" s="9">
        <f>IFERROR(__xludf.DUMMYFUNCTION("""COMPUTED_VALUE"""),1.0)</f>
        <v>1</v>
      </c>
      <c r="I3916" s="9"/>
      <c r="J3916" s="9"/>
      <c r="K3916" s="9"/>
      <c r="L3916" s="9"/>
      <c r="M3916" s="9"/>
      <c r="N3916" s="9"/>
      <c r="O3916" s="9"/>
      <c r="P3916" s="9"/>
      <c r="Q3916" s="9"/>
      <c r="R3916" s="9"/>
      <c r="S3916" s="9"/>
      <c r="T3916" s="9"/>
    </row>
    <row r="3917" ht="15.75" customHeight="1">
      <c r="A3917" s="11">
        <f>IFERROR(__xludf.DUMMYFUNCTION("""COMPUTED_VALUE"""),44471.0)</f>
        <v>44471</v>
      </c>
      <c r="B3917" s="9">
        <f>IFERROR(__xludf.DUMMYFUNCTION("""COMPUTED_VALUE"""),1003853.0)</f>
        <v>1003853</v>
      </c>
      <c r="C3917" s="9">
        <f>IFERROR(__xludf.DUMMYFUNCTION("""COMPUTED_VALUE"""),42008.0)</f>
        <v>42008</v>
      </c>
      <c r="D3917" s="9"/>
      <c r="E3917" s="10" t="str">
        <f>IFERROR(__xludf.DUMMYFUNCTION("""COMPUTED_VALUE"""),"GREENRELAIS")</f>
        <v>GREENRELAIS</v>
      </c>
      <c r="F3917" s="10">
        <f>IFERROR(__xludf.DUMMYFUNCTION("""COMPUTED_VALUE"""),2.89)</f>
        <v>2.89</v>
      </c>
      <c r="G3917" s="9">
        <f>IFERROR(__xludf.DUMMYFUNCTION("""COMPUTED_VALUE"""),2.89)</f>
        <v>2.89</v>
      </c>
      <c r="H3917" s="9">
        <f>IFERROR(__xludf.DUMMYFUNCTION("""COMPUTED_VALUE"""),1.0)</f>
        <v>1</v>
      </c>
      <c r="I3917" s="9"/>
      <c r="J3917" s="9"/>
      <c r="K3917" s="9"/>
      <c r="L3917" s="9"/>
      <c r="M3917" s="9"/>
      <c r="N3917" s="9"/>
      <c r="O3917" s="9"/>
      <c r="P3917" s="9"/>
      <c r="Q3917" s="9"/>
      <c r="R3917" s="9"/>
      <c r="S3917" s="9"/>
      <c r="T3917" s="9"/>
    </row>
    <row r="3918" ht="15.75" customHeight="1">
      <c r="A3918" s="11">
        <f>IFERROR(__xludf.DUMMYFUNCTION("""COMPUTED_VALUE"""),44471.0)</f>
        <v>44471</v>
      </c>
      <c r="B3918" s="9">
        <f>IFERROR(__xludf.DUMMYFUNCTION("""COMPUTED_VALUE"""),1003853.0)</f>
        <v>1003853</v>
      </c>
      <c r="C3918" s="9">
        <f>IFERROR(__xludf.DUMMYFUNCTION("""COMPUTED_VALUE"""),133910.0)</f>
        <v>133910</v>
      </c>
      <c r="D3918" s="9"/>
      <c r="E3918" s="10" t="str">
        <f>IFERROR(__xludf.DUMMYFUNCTION("""COMPUTED_VALUE"""),"GREENRELAIS")</f>
        <v>GREENRELAIS</v>
      </c>
      <c r="F3918" s="10">
        <f>IFERROR(__xludf.DUMMYFUNCTION("""COMPUTED_VALUE"""),2.89)</f>
        <v>2.89</v>
      </c>
      <c r="G3918" s="9">
        <f>IFERROR(__xludf.DUMMYFUNCTION("""COMPUTED_VALUE"""),2.89)</f>
        <v>2.89</v>
      </c>
      <c r="H3918" s="9">
        <f>IFERROR(__xludf.DUMMYFUNCTION("""COMPUTED_VALUE"""),1.0)</f>
        <v>1</v>
      </c>
      <c r="I3918" s="9"/>
      <c r="J3918" s="9"/>
      <c r="K3918" s="9"/>
      <c r="L3918" s="9"/>
      <c r="M3918" s="9"/>
      <c r="N3918" s="9"/>
      <c r="O3918" s="9"/>
      <c r="P3918" s="9"/>
      <c r="Q3918" s="9"/>
      <c r="R3918" s="9"/>
      <c r="S3918" s="9"/>
      <c r="T3918" s="9"/>
    </row>
    <row r="3919" ht="15.75" customHeight="1">
      <c r="A3919" s="11">
        <f>IFERROR(__xludf.DUMMYFUNCTION("""COMPUTED_VALUE"""),44471.0)</f>
        <v>44471</v>
      </c>
      <c r="B3919" s="9">
        <f>IFERROR(__xludf.DUMMYFUNCTION("""COMPUTED_VALUE"""),1003853.0)</f>
        <v>1003853</v>
      </c>
      <c r="C3919" s="9">
        <f>IFERROR(__xludf.DUMMYFUNCTION("""COMPUTED_VALUE"""),133908.0)</f>
        <v>133908</v>
      </c>
      <c r="D3919" s="9"/>
      <c r="E3919" s="10" t="str">
        <f>IFERROR(__xludf.DUMMYFUNCTION("""COMPUTED_VALUE"""),"GREENRELAIS")</f>
        <v>GREENRELAIS</v>
      </c>
      <c r="F3919" s="10">
        <f>IFERROR(__xludf.DUMMYFUNCTION("""COMPUTED_VALUE"""),2.89)</f>
        <v>2.89</v>
      </c>
      <c r="G3919" s="9">
        <f>IFERROR(__xludf.DUMMYFUNCTION("""COMPUTED_VALUE"""),2.89)</f>
        <v>2.89</v>
      </c>
      <c r="H3919" s="9">
        <f>IFERROR(__xludf.DUMMYFUNCTION("""COMPUTED_VALUE"""),1.0)</f>
        <v>1</v>
      </c>
      <c r="I3919" s="9"/>
      <c r="J3919" s="9"/>
      <c r="K3919" s="9"/>
      <c r="L3919" s="9"/>
      <c r="M3919" s="9"/>
      <c r="N3919" s="9"/>
      <c r="O3919" s="9"/>
      <c r="P3919" s="9"/>
      <c r="Q3919" s="9"/>
      <c r="R3919" s="9"/>
      <c r="S3919" s="9"/>
      <c r="T3919" s="9"/>
    </row>
    <row r="3920" ht="15.75" customHeight="1">
      <c r="A3920" s="11">
        <f>IFERROR(__xludf.DUMMYFUNCTION("""COMPUTED_VALUE"""),44471.0)</f>
        <v>44471</v>
      </c>
      <c r="B3920" s="9">
        <f>IFERROR(__xludf.DUMMYFUNCTION("""COMPUTED_VALUE"""),1003853.0)</f>
        <v>1003853</v>
      </c>
      <c r="C3920" s="9">
        <f>IFERROR(__xludf.DUMMYFUNCTION("""COMPUTED_VALUE"""),133907.0)</f>
        <v>133907</v>
      </c>
      <c r="D3920" s="9"/>
      <c r="E3920" s="10" t="str">
        <f>IFERROR(__xludf.DUMMYFUNCTION("""COMPUTED_VALUE"""),"GREENRELAIS")</f>
        <v>GREENRELAIS</v>
      </c>
      <c r="F3920" s="10">
        <f>IFERROR(__xludf.DUMMYFUNCTION("""COMPUTED_VALUE"""),2.89)</f>
        <v>2.89</v>
      </c>
      <c r="G3920" s="9">
        <f>IFERROR(__xludf.DUMMYFUNCTION("""COMPUTED_VALUE"""),2.89)</f>
        <v>2.89</v>
      </c>
      <c r="H3920" s="9">
        <f>IFERROR(__xludf.DUMMYFUNCTION("""COMPUTED_VALUE"""),1.0)</f>
        <v>1</v>
      </c>
      <c r="I3920" s="9"/>
      <c r="J3920" s="9"/>
      <c r="K3920" s="9"/>
      <c r="L3920" s="9"/>
      <c r="M3920" s="9"/>
      <c r="N3920" s="9"/>
      <c r="O3920" s="9"/>
      <c r="P3920" s="9"/>
      <c r="Q3920" s="9"/>
      <c r="R3920" s="9"/>
      <c r="S3920" s="9"/>
      <c r="T3920" s="9"/>
    </row>
    <row r="3921" ht="15.75" customHeight="1">
      <c r="A3921" s="11">
        <f>IFERROR(__xludf.DUMMYFUNCTION("""COMPUTED_VALUE"""),44471.0)</f>
        <v>44471</v>
      </c>
      <c r="B3921" s="9">
        <f>IFERROR(__xludf.DUMMYFUNCTION("""COMPUTED_VALUE"""),1003853.0)</f>
        <v>1003853</v>
      </c>
      <c r="C3921" s="9">
        <f>IFERROR(__xludf.DUMMYFUNCTION("""COMPUTED_VALUE"""),122295.0)</f>
        <v>122295</v>
      </c>
      <c r="D3921" s="9"/>
      <c r="E3921" s="10" t="str">
        <f>IFERROR(__xludf.DUMMYFUNCTION("""COMPUTED_VALUE"""),"GREENRELAIS")</f>
        <v>GREENRELAIS</v>
      </c>
      <c r="F3921" s="10">
        <f>IFERROR(__xludf.DUMMYFUNCTION("""COMPUTED_VALUE"""),2.19)</f>
        <v>2.19</v>
      </c>
      <c r="G3921" s="9">
        <f>IFERROR(__xludf.DUMMYFUNCTION("""COMPUTED_VALUE"""),2.19)</f>
        <v>2.19</v>
      </c>
      <c r="H3921" s="9">
        <f>IFERROR(__xludf.DUMMYFUNCTION("""COMPUTED_VALUE"""),1.0)</f>
        <v>1</v>
      </c>
      <c r="I3921" s="9"/>
      <c r="J3921" s="9"/>
      <c r="K3921" s="9"/>
      <c r="L3921" s="9"/>
      <c r="M3921" s="9"/>
      <c r="N3921" s="9"/>
      <c r="O3921" s="9"/>
      <c r="P3921" s="9"/>
      <c r="Q3921" s="9"/>
      <c r="R3921" s="9"/>
      <c r="S3921" s="9"/>
      <c r="T3921" s="9"/>
    </row>
    <row r="3922" ht="15.75" customHeight="1">
      <c r="A3922" s="11">
        <f>IFERROR(__xludf.DUMMYFUNCTION("""COMPUTED_VALUE"""),44471.0)</f>
        <v>44471</v>
      </c>
      <c r="B3922" s="9">
        <f>IFERROR(__xludf.DUMMYFUNCTION("""COMPUTED_VALUE"""),1003853.0)</f>
        <v>1003853</v>
      </c>
      <c r="C3922" s="9">
        <f>IFERROR(__xludf.DUMMYFUNCTION("""COMPUTED_VALUE"""),118242.0)</f>
        <v>118242</v>
      </c>
      <c r="D3922" s="10" t="str">
        <f>IFERROR(__xludf.DUMMYFUNCTION("""COMPUTED_VALUE"""),"Natur'vox Carryboo couches Sept 21")</f>
        <v>Natur'vox Carryboo couches Sept 21</v>
      </c>
      <c r="E3922" s="10" t="str">
        <f>IFERROR(__xludf.DUMMYFUNCTION("""COMPUTED_VALUE"""),"GREENRELAIS")</f>
        <v>GREENRELAIS</v>
      </c>
      <c r="F3922" s="10">
        <f>IFERROR(__xludf.DUMMYFUNCTION("""COMPUTED_VALUE"""),16.5333333333333)</f>
        <v>16.53333333</v>
      </c>
      <c r="G3922" s="9">
        <f>IFERROR(__xludf.DUMMYFUNCTION("""COMPUTED_VALUE"""),12.4)</f>
        <v>12.4</v>
      </c>
      <c r="H3922" s="9">
        <f>IFERROR(__xludf.DUMMYFUNCTION("""COMPUTED_VALUE"""),1.0)</f>
        <v>1</v>
      </c>
      <c r="I3922" s="9"/>
      <c r="J3922" s="9"/>
      <c r="K3922" s="9"/>
      <c r="L3922" s="9"/>
      <c r="M3922" s="9"/>
      <c r="N3922" s="9"/>
      <c r="O3922" s="9"/>
      <c r="P3922" s="9"/>
      <c r="Q3922" s="9"/>
      <c r="R3922" s="9"/>
      <c r="S3922" s="9"/>
      <c r="T3922" s="9"/>
    </row>
    <row r="3923" ht="15.75" customHeight="1">
      <c r="A3923" s="11">
        <f>IFERROR(__xludf.DUMMYFUNCTION("""COMPUTED_VALUE"""),44471.0)</f>
        <v>44471</v>
      </c>
      <c r="B3923" s="9">
        <f>IFERROR(__xludf.DUMMYFUNCTION("""COMPUTED_VALUE"""),1003853.0)</f>
        <v>1003853</v>
      </c>
      <c r="C3923" s="9">
        <f>IFERROR(__xludf.DUMMYFUNCTION("""COMPUTED_VALUE"""),79419.0)</f>
        <v>79419</v>
      </c>
      <c r="D3923" s="9"/>
      <c r="E3923" s="10" t="str">
        <f>IFERROR(__xludf.DUMMYFUNCTION("""COMPUTED_VALUE"""),"GREENRELAIS")</f>
        <v>GREENRELAIS</v>
      </c>
      <c r="F3923" s="10">
        <f>IFERROR(__xludf.DUMMYFUNCTION("""COMPUTED_VALUE"""),2.21)</f>
        <v>2.21</v>
      </c>
      <c r="G3923" s="9">
        <f>IFERROR(__xludf.DUMMYFUNCTION("""COMPUTED_VALUE"""),2.21)</f>
        <v>2.21</v>
      </c>
      <c r="H3923" s="9">
        <f>IFERROR(__xludf.DUMMYFUNCTION("""COMPUTED_VALUE"""),1.0)</f>
        <v>1</v>
      </c>
      <c r="I3923" s="9"/>
      <c r="J3923" s="9"/>
      <c r="K3923" s="9"/>
      <c r="L3923" s="9"/>
      <c r="M3923" s="9"/>
      <c r="N3923" s="9"/>
      <c r="O3923" s="9"/>
      <c r="P3923" s="9"/>
      <c r="Q3923" s="9"/>
      <c r="R3923" s="9"/>
      <c r="S3923" s="9"/>
      <c r="T3923" s="9"/>
    </row>
    <row r="3924" ht="15.75" customHeight="1">
      <c r="A3924" s="11">
        <f>IFERROR(__xludf.DUMMYFUNCTION("""COMPUTED_VALUE"""),44471.0)</f>
        <v>44471</v>
      </c>
      <c r="B3924" s="9">
        <f>IFERROR(__xludf.DUMMYFUNCTION("""COMPUTED_VALUE"""),1003853.0)</f>
        <v>1003853</v>
      </c>
      <c r="C3924" s="9">
        <f>IFERROR(__xludf.DUMMYFUNCTION("""COMPUTED_VALUE"""),108070.0)</f>
        <v>108070</v>
      </c>
      <c r="D3924" s="9"/>
      <c r="E3924" s="10" t="str">
        <f>IFERROR(__xludf.DUMMYFUNCTION("""COMPUTED_VALUE"""),"GREENRELAIS")</f>
        <v>GREENRELAIS</v>
      </c>
      <c r="F3924" s="10">
        <f>IFERROR(__xludf.DUMMYFUNCTION("""COMPUTED_VALUE"""),0.99)</f>
        <v>0.99</v>
      </c>
      <c r="G3924" s="9">
        <f>IFERROR(__xludf.DUMMYFUNCTION("""COMPUTED_VALUE"""),0.99)</f>
        <v>0.99</v>
      </c>
      <c r="H3924" s="9">
        <f>IFERROR(__xludf.DUMMYFUNCTION("""COMPUTED_VALUE"""),1.0)</f>
        <v>1</v>
      </c>
      <c r="I3924" s="9"/>
      <c r="J3924" s="9"/>
      <c r="K3924" s="9"/>
      <c r="L3924" s="9"/>
      <c r="M3924" s="9"/>
      <c r="N3924" s="9"/>
      <c r="O3924" s="9"/>
      <c r="P3924" s="9"/>
      <c r="Q3924" s="9"/>
      <c r="R3924" s="9"/>
      <c r="S3924" s="9"/>
      <c r="T3924" s="9"/>
    </row>
    <row r="3925" ht="15.75" customHeight="1">
      <c r="A3925" s="11">
        <f>IFERROR(__xludf.DUMMYFUNCTION("""COMPUTED_VALUE"""),44471.0)</f>
        <v>44471</v>
      </c>
      <c r="B3925" s="9">
        <f>IFERROR(__xludf.DUMMYFUNCTION("""COMPUTED_VALUE"""),1003853.0)</f>
        <v>1003853</v>
      </c>
      <c r="C3925" s="9">
        <f>IFERROR(__xludf.DUMMYFUNCTION("""COMPUTED_VALUE"""),108069.0)</f>
        <v>108069</v>
      </c>
      <c r="D3925" s="9"/>
      <c r="E3925" s="10" t="str">
        <f>IFERROR(__xludf.DUMMYFUNCTION("""COMPUTED_VALUE"""),"GREENRELAIS")</f>
        <v>GREENRELAIS</v>
      </c>
      <c r="F3925" s="10">
        <f>IFERROR(__xludf.DUMMYFUNCTION("""COMPUTED_VALUE"""),0.99)</f>
        <v>0.99</v>
      </c>
      <c r="G3925" s="9">
        <f>IFERROR(__xludf.DUMMYFUNCTION("""COMPUTED_VALUE"""),0.99)</f>
        <v>0.99</v>
      </c>
      <c r="H3925" s="9">
        <f>IFERROR(__xludf.DUMMYFUNCTION("""COMPUTED_VALUE"""),1.0)</f>
        <v>1</v>
      </c>
      <c r="I3925" s="9"/>
      <c r="J3925" s="9"/>
      <c r="K3925" s="9"/>
      <c r="L3925" s="9"/>
      <c r="M3925" s="9"/>
      <c r="N3925" s="9"/>
      <c r="O3925" s="9"/>
      <c r="P3925" s="9"/>
      <c r="Q3925" s="9"/>
      <c r="R3925" s="9"/>
      <c r="S3925" s="9"/>
      <c r="T3925" s="9"/>
    </row>
    <row r="3926" ht="15.75" customHeight="1">
      <c r="A3926" s="11">
        <f>IFERROR(__xludf.DUMMYFUNCTION("""COMPUTED_VALUE"""),44471.0)</f>
        <v>44471</v>
      </c>
      <c r="B3926" s="9">
        <f>IFERROR(__xludf.DUMMYFUNCTION("""COMPUTED_VALUE"""),1003853.0)</f>
        <v>1003853</v>
      </c>
      <c r="C3926" s="9">
        <f>IFERROR(__xludf.DUMMYFUNCTION("""COMPUTED_VALUE"""),9664.0)</f>
        <v>9664</v>
      </c>
      <c r="D3926" s="9"/>
      <c r="E3926" s="10" t="str">
        <f>IFERROR(__xludf.DUMMYFUNCTION("""COMPUTED_VALUE"""),"GREENRELAIS")</f>
        <v>GREENRELAIS</v>
      </c>
      <c r="F3926" s="10">
        <f>IFERROR(__xludf.DUMMYFUNCTION("""COMPUTED_VALUE"""),1.73)</f>
        <v>1.73</v>
      </c>
      <c r="G3926" s="9">
        <f>IFERROR(__xludf.DUMMYFUNCTION("""COMPUTED_VALUE"""),1.73)</f>
        <v>1.73</v>
      </c>
      <c r="H3926" s="9">
        <f>IFERROR(__xludf.DUMMYFUNCTION("""COMPUTED_VALUE"""),1.0)</f>
        <v>1</v>
      </c>
      <c r="I3926" s="9"/>
      <c r="J3926" s="9"/>
      <c r="K3926" s="9"/>
      <c r="L3926" s="9"/>
      <c r="M3926" s="9"/>
      <c r="N3926" s="9"/>
      <c r="O3926" s="9"/>
      <c r="P3926" s="9"/>
      <c r="Q3926" s="9"/>
      <c r="R3926" s="9"/>
      <c r="S3926" s="9"/>
      <c r="T3926" s="9"/>
    </row>
    <row r="3927" ht="15.75" customHeight="1">
      <c r="A3927" s="11">
        <f>IFERROR(__xludf.DUMMYFUNCTION("""COMPUTED_VALUE"""),44471.0)</f>
        <v>44471</v>
      </c>
      <c r="B3927" s="9">
        <f>IFERROR(__xludf.DUMMYFUNCTION("""COMPUTED_VALUE"""),1003853.0)</f>
        <v>1003853</v>
      </c>
      <c r="C3927" s="9">
        <f>IFERROR(__xludf.DUMMYFUNCTION("""COMPUTED_VALUE"""),133912.0)</f>
        <v>133912</v>
      </c>
      <c r="D3927" s="9"/>
      <c r="E3927" s="10" t="str">
        <f>IFERROR(__xludf.DUMMYFUNCTION("""COMPUTED_VALUE"""),"GREENRELAIS")</f>
        <v>GREENRELAIS</v>
      </c>
      <c r="F3927" s="10">
        <f>IFERROR(__xludf.DUMMYFUNCTION("""COMPUTED_VALUE"""),3.09)</f>
        <v>3.09</v>
      </c>
      <c r="G3927" s="9">
        <f>IFERROR(__xludf.DUMMYFUNCTION("""COMPUTED_VALUE"""),3.09)</f>
        <v>3.09</v>
      </c>
      <c r="H3927" s="9">
        <f>IFERROR(__xludf.DUMMYFUNCTION("""COMPUTED_VALUE"""),1.0)</f>
        <v>1</v>
      </c>
      <c r="I3927" s="9"/>
      <c r="J3927" s="9"/>
      <c r="K3927" s="9"/>
      <c r="L3927" s="9"/>
      <c r="M3927" s="9"/>
      <c r="N3927" s="9"/>
      <c r="O3927" s="9"/>
      <c r="P3927" s="9"/>
      <c r="Q3927" s="9"/>
      <c r="R3927" s="9"/>
      <c r="S3927" s="9"/>
      <c r="T3927" s="9"/>
    </row>
    <row r="3928" ht="15.75" customHeight="1">
      <c r="A3928" s="11">
        <f>IFERROR(__xludf.DUMMYFUNCTION("""COMPUTED_VALUE"""),44471.0)</f>
        <v>44471</v>
      </c>
      <c r="B3928" s="9">
        <f>IFERROR(__xludf.DUMMYFUNCTION("""COMPUTED_VALUE"""),1003853.0)</f>
        <v>1003853</v>
      </c>
      <c r="C3928" s="9">
        <f>IFERROR(__xludf.DUMMYFUNCTION("""COMPUTED_VALUE"""),5869.0)</f>
        <v>5869</v>
      </c>
      <c r="D3928" s="9"/>
      <c r="E3928" s="10" t="str">
        <f>IFERROR(__xludf.DUMMYFUNCTION("""COMPUTED_VALUE"""),"GREENRELAIS")</f>
        <v>GREENRELAIS</v>
      </c>
      <c r="F3928" s="10">
        <f>IFERROR(__xludf.DUMMYFUNCTION("""COMPUTED_VALUE"""),2.85)</f>
        <v>2.85</v>
      </c>
      <c r="G3928" s="9">
        <f>IFERROR(__xludf.DUMMYFUNCTION("""COMPUTED_VALUE"""),2.85)</f>
        <v>2.85</v>
      </c>
      <c r="H3928" s="9">
        <f>IFERROR(__xludf.DUMMYFUNCTION("""COMPUTED_VALUE"""),1.0)</f>
        <v>1</v>
      </c>
      <c r="I3928" s="9"/>
      <c r="J3928" s="9"/>
      <c r="K3928" s="9"/>
      <c r="L3928" s="9"/>
      <c r="M3928" s="9"/>
      <c r="N3928" s="9"/>
      <c r="O3928" s="9"/>
      <c r="P3928" s="9"/>
      <c r="Q3928" s="9"/>
      <c r="R3928" s="9"/>
      <c r="S3928" s="9"/>
      <c r="T3928" s="9"/>
    </row>
    <row r="3929" ht="15.75" customHeight="1">
      <c r="A3929" s="11">
        <f>IFERROR(__xludf.DUMMYFUNCTION("""COMPUTED_VALUE"""),44471.0)</f>
        <v>44471</v>
      </c>
      <c r="B3929" s="9">
        <f>IFERROR(__xludf.DUMMYFUNCTION("""COMPUTED_VALUE"""),1003853.0)</f>
        <v>1003853</v>
      </c>
      <c r="C3929" s="9">
        <f>IFERROR(__xludf.DUMMYFUNCTION("""COMPUTED_VALUE"""),108087.0)</f>
        <v>108087</v>
      </c>
      <c r="D3929" s="9"/>
      <c r="E3929" s="10" t="str">
        <f>IFERROR(__xludf.DUMMYFUNCTION("""COMPUTED_VALUE"""),"GREENRELAIS")</f>
        <v>GREENRELAIS</v>
      </c>
      <c r="F3929" s="10">
        <f>IFERROR(__xludf.DUMMYFUNCTION("""COMPUTED_VALUE"""),1.24)</f>
        <v>1.24</v>
      </c>
      <c r="G3929" s="9">
        <f>IFERROR(__xludf.DUMMYFUNCTION("""COMPUTED_VALUE"""),1.24)</f>
        <v>1.24</v>
      </c>
      <c r="H3929" s="9">
        <f>IFERROR(__xludf.DUMMYFUNCTION("""COMPUTED_VALUE"""),1.0)</f>
        <v>1</v>
      </c>
      <c r="I3929" s="9"/>
      <c r="J3929" s="9"/>
      <c r="K3929" s="9"/>
      <c r="L3929" s="9"/>
      <c r="M3929" s="9"/>
      <c r="N3929" s="9"/>
      <c r="O3929" s="9"/>
      <c r="P3929" s="9"/>
      <c r="Q3929" s="9"/>
      <c r="R3929" s="9"/>
      <c r="S3929" s="9"/>
      <c r="T3929" s="9"/>
    </row>
    <row r="3930" ht="15.75" customHeight="1">
      <c r="A3930" s="11">
        <f>IFERROR(__xludf.DUMMYFUNCTION("""COMPUTED_VALUE"""),44471.0)</f>
        <v>44471</v>
      </c>
      <c r="B3930" s="9">
        <f>IFERROR(__xludf.DUMMYFUNCTION("""COMPUTED_VALUE"""),1003853.0)</f>
        <v>1003853</v>
      </c>
      <c r="C3930" s="9">
        <f>IFERROR(__xludf.DUMMYFUNCTION("""COMPUTED_VALUE"""),108085.0)</f>
        <v>108085</v>
      </c>
      <c r="D3930" s="9"/>
      <c r="E3930" s="10" t="str">
        <f>IFERROR(__xludf.DUMMYFUNCTION("""COMPUTED_VALUE"""),"GREENRELAIS")</f>
        <v>GREENRELAIS</v>
      </c>
      <c r="F3930" s="10">
        <f>IFERROR(__xludf.DUMMYFUNCTION("""COMPUTED_VALUE"""),1.49)</f>
        <v>1.49</v>
      </c>
      <c r="G3930" s="9">
        <f>IFERROR(__xludf.DUMMYFUNCTION("""COMPUTED_VALUE"""),1.49)</f>
        <v>1.49</v>
      </c>
      <c r="H3930" s="9">
        <f>IFERROR(__xludf.DUMMYFUNCTION("""COMPUTED_VALUE"""),1.0)</f>
        <v>1</v>
      </c>
      <c r="I3930" s="9"/>
      <c r="J3930" s="9"/>
      <c r="K3930" s="9"/>
      <c r="L3930" s="9"/>
      <c r="M3930" s="9"/>
      <c r="N3930" s="9"/>
      <c r="O3930" s="9"/>
      <c r="P3930" s="9"/>
      <c r="Q3930" s="9"/>
      <c r="R3930" s="9"/>
      <c r="S3930" s="9"/>
      <c r="T3930" s="9"/>
    </row>
    <row r="3931" ht="15.75" customHeight="1">
      <c r="A3931" s="11">
        <f>IFERROR(__xludf.DUMMYFUNCTION("""COMPUTED_VALUE"""),44471.0)</f>
        <v>44471</v>
      </c>
      <c r="B3931" s="9">
        <f>IFERROR(__xludf.DUMMYFUNCTION("""COMPUTED_VALUE"""),1003853.0)</f>
        <v>1003853</v>
      </c>
      <c r="C3931" s="9">
        <f>IFERROR(__xludf.DUMMYFUNCTION("""COMPUTED_VALUE"""),108084.0)</f>
        <v>108084</v>
      </c>
      <c r="D3931" s="9"/>
      <c r="E3931" s="10" t="str">
        <f>IFERROR(__xludf.DUMMYFUNCTION("""COMPUTED_VALUE"""),"GREENRELAIS")</f>
        <v>GREENRELAIS</v>
      </c>
      <c r="F3931" s="10">
        <f>IFERROR(__xludf.DUMMYFUNCTION("""COMPUTED_VALUE"""),1.18)</f>
        <v>1.18</v>
      </c>
      <c r="G3931" s="9">
        <f>IFERROR(__xludf.DUMMYFUNCTION("""COMPUTED_VALUE"""),1.18)</f>
        <v>1.18</v>
      </c>
      <c r="H3931" s="9">
        <f>IFERROR(__xludf.DUMMYFUNCTION("""COMPUTED_VALUE"""),1.0)</f>
        <v>1</v>
      </c>
      <c r="I3931" s="9"/>
      <c r="J3931" s="9"/>
      <c r="K3931" s="9"/>
      <c r="L3931" s="9"/>
      <c r="M3931" s="9"/>
      <c r="N3931" s="9"/>
      <c r="O3931" s="9"/>
      <c r="P3931" s="9"/>
      <c r="Q3931" s="9"/>
      <c r="R3931" s="9"/>
      <c r="S3931" s="9"/>
      <c r="T3931" s="9"/>
    </row>
    <row r="3932" ht="15.75" customHeight="1">
      <c r="A3932" s="11">
        <f>IFERROR(__xludf.DUMMYFUNCTION("""COMPUTED_VALUE"""),44471.0)</f>
        <v>44471</v>
      </c>
      <c r="B3932" s="9">
        <f>IFERROR(__xludf.DUMMYFUNCTION("""COMPUTED_VALUE"""),1003853.0)</f>
        <v>1003853</v>
      </c>
      <c r="C3932" s="9">
        <f>IFERROR(__xludf.DUMMYFUNCTION("""COMPUTED_VALUE"""),110768.0)</f>
        <v>110768</v>
      </c>
      <c r="D3932" s="9"/>
      <c r="E3932" s="10" t="str">
        <f>IFERROR(__xludf.DUMMYFUNCTION("""COMPUTED_VALUE"""),"GREENRELAIS")</f>
        <v>GREENRELAIS</v>
      </c>
      <c r="F3932" s="10">
        <f>IFERROR(__xludf.DUMMYFUNCTION("""COMPUTED_VALUE"""),2.53)</f>
        <v>2.53</v>
      </c>
      <c r="G3932" s="9">
        <f>IFERROR(__xludf.DUMMYFUNCTION("""COMPUTED_VALUE"""),2.53)</f>
        <v>2.53</v>
      </c>
      <c r="H3932" s="9">
        <f>IFERROR(__xludf.DUMMYFUNCTION("""COMPUTED_VALUE"""),2.0)</f>
        <v>2</v>
      </c>
      <c r="I3932" s="9"/>
      <c r="J3932" s="9"/>
      <c r="K3932" s="9"/>
      <c r="L3932" s="9"/>
      <c r="M3932" s="9"/>
      <c r="N3932" s="9"/>
      <c r="O3932" s="9"/>
      <c r="P3932" s="9"/>
      <c r="Q3932" s="9"/>
      <c r="R3932" s="9"/>
      <c r="S3932" s="9"/>
      <c r="T3932" s="9"/>
    </row>
    <row r="3933" ht="15.75" customHeight="1">
      <c r="A3933" s="11">
        <f>IFERROR(__xludf.DUMMYFUNCTION("""COMPUTED_VALUE"""),44471.0)</f>
        <v>44471</v>
      </c>
      <c r="B3933" s="9">
        <f>IFERROR(__xludf.DUMMYFUNCTION("""COMPUTED_VALUE"""),1003853.0)</f>
        <v>1003853</v>
      </c>
      <c r="C3933" s="9">
        <f>IFERROR(__xludf.DUMMYFUNCTION("""COMPUTED_VALUE"""),112855.0)</f>
        <v>112855</v>
      </c>
      <c r="D3933" s="9"/>
      <c r="E3933" s="10" t="str">
        <f>IFERROR(__xludf.DUMMYFUNCTION("""COMPUTED_VALUE"""),"GREENRELAIS")</f>
        <v>GREENRELAIS</v>
      </c>
      <c r="F3933" s="10">
        <f>IFERROR(__xludf.DUMMYFUNCTION("""COMPUTED_VALUE"""),2.53)</f>
        <v>2.53</v>
      </c>
      <c r="G3933" s="9">
        <f>IFERROR(__xludf.DUMMYFUNCTION("""COMPUTED_VALUE"""),2.53)</f>
        <v>2.53</v>
      </c>
      <c r="H3933" s="9">
        <f>IFERROR(__xludf.DUMMYFUNCTION("""COMPUTED_VALUE"""),2.0)</f>
        <v>2</v>
      </c>
      <c r="I3933" s="9"/>
      <c r="J3933" s="9"/>
      <c r="K3933" s="9"/>
      <c r="L3933" s="9"/>
      <c r="M3933" s="9"/>
      <c r="N3933" s="9"/>
      <c r="O3933" s="9"/>
      <c r="P3933" s="9"/>
      <c r="Q3933" s="9"/>
      <c r="R3933" s="9"/>
      <c r="S3933" s="9"/>
      <c r="T3933" s="9"/>
    </row>
    <row r="3934" ht="15.75" customHeight="1">
      <c r="A3934" s="11">
        <f>IFERROR(__xludf.DUMMYFUNCTION("""COMPUTED_VALUE"""),44471.0)</f>
        <v>44471</v>
      </c>
      <c r="B3934" s="9">
        <f>IFERROR(__xludf.DUMMYFUNCTION("""COMPUTED_VALUE"""),1003853.0)</f>
        <v>1003853</v>
      </c>
      <c r="C3934" s="9">
        <f>IFERROR(__xludf.DUMMYFUNCTION("""COMPUTED_VALUE"""),112472.0)</f>
        <v>112472</v>
      </c>
      <c r="D3934" s="9"/>
      <c r="E3934" s="10" t="str">
        <f>IFERROR(__xludf.DUMMYFUNCTION("""COMPUTED_VALUE"""),"GREENRELAIS")</f>
        <v>GREENRELAIS</v>
      </c>
      <c r="F3934" s="10">
        <f>IFERROR(__xludf.DUMMYFUNCTION("""COMPUTED_VALUE"""),2.57)</f>
        <v>2.57</v>
      </c>
      <c r="G3934" s="9">
        <f>IFERROR(__xludf.DUMMYFUNCTION("""COMPUTED_VALUE"""),2.57)</f>
        <v>2.57</v>
      </c>
      <c r="H3934" s="9">
        <f>IFERROR(__xludf.DUMMYFUNCTION("""COMPUTED_VALUE"""),2.0)</f>
        <v>2</v>
      </c>
      <c r="I3934" s="9"/>
      <c r="J3934" s="9"/>
      <c r="K3934" s="9"/>
      <c r="L3934" s="9"/>
      <c r="M3934" s="9"/>
      <c r="N3934" s="9"/>
      <c r="O3934" s="9"/>
      <c r="P3934" s="9"/>
      <c r="Q3934" s="9"/>
      <c r="R3934" s="9"/>
      <c r="S3934" s="9"/>
      <c r="T3934" s="9"/>
    </row>
    <row r="3935" ht="15.75" customHeight="1">
      <c r="A3935" s="11">
        <f>IFERROR(__xludf.DUMMYFUNCTION("""COMPUTED_VALUE"""),44471.0)</f>
        <v>44471</v>
      </c>
      <c r="B3935" s="9">
        <f>IFERROR(__xludf.DUMMYFUNCTION("""COMPUTED_VALUE"""),1003853.0)</f>
        <v>1003853</v>
      </c>
      <c r="C3935" s="9">
        <f>IFERROR(__xludf.DUMMYFUNCTION("""COMPUTED_VALUE"""),120256.0)</f>
        <v>120256</v>
      </c>
      <c r="D3935" s="9"/>
      <c r="E3935" s="10" t="str">
        <f>IFERROR(__xludf.DUMMYFUNCTION("""COMPUTED_VALUE"""),"GREENRELAIS")</f>
        <v>GREENRELAIS</v>
      </c>
      <c r="F3935" s="10">
        <f>IFERROR(__xludf.DUMMYFUNCTION("""COMPUTED_VALUE"""),2.85)</f>
        <v>2.85</v>
      </c>
      <c r="G3935" s="9">
        <f>IFERROR(__xludf.DUMMYFUNCTION("""COMPUTED_VALUE"""),2.85)</f>
        <v>2.85</v>
      </c>
      <c r="H3935" s="9">
        <f>IFERROR(__xludf.DUMMYFUNCTION("""COMPUTED_VALUE"""),2.0)</f>
        <v>2</v>
      </c>
      <c r="I3935" s="9"/>
      <c r="J3935" s="9"/>
      <c r="K3935" s="9"/>
      <c r="L3935" s="9"/>
      <c r="M3935" s="9"/>
      <c r="N3935" s="9"/>
      <c r="O3935" s="9"/>
      <c r="P3935" s="9"/>
      <c r="Q3935" s="9"/>
      <c r="R3935" s="9"/>
      <c r="S3935" s="9"/>
      <c r="T3935" s="9"/>
    </row>
    <row r="3936" ht="15.75" customHeight="1">
      <c r="A3936" s="11">
        <f>IFERROR(__xludf.DUMMYFUNCTION("""COMPUTED_VALUE"""),44471.0)</f>
        <v>44471</v>
      </c>
      <c r="B3936" s="9">
        <f>IFERROR(__xludf.DUMMYFUNCTION("""COMPUTED_VALUE"""),1003854.0)</f>
        <v>1003854</v>
      </c>
      <c r="C3936" s="9">
        <f>IFERROR(__xludf.DUMMYFUNCTION("""COMPUTED_VALUE"""),117695.0)</f>
        <v>117695</v>
      </c>
      <c r="D3936" s="9"/>
      <c r="E3936" s="9"/>
      <c r="F3936" s="9">
        <f>IFERROR(__xludf.DUMMYFUNCTION("""COMPUTED_VALUE"""),43.74)</f>
        <v>43.74</v>
      </c>
      <c r="G3936" s="9">
        <f>IFERROR(__xludf.DUMMYFUNCTION("""COMPUTED_VALUE"""),43.74)</f>
        <v>43.74</v>
      </c>
      <c r="H3936" s="9">
        <f>IFERROR(__xludf.DUMMYFUNCTION("""COMPUTED_VALUE"""),1.0)</f>
        <v>1</v>
      </c>
      <c r="I3936" s="9"/>
      <c r="J3936" s="9"/>
      <c r="K3936" s="9"/>
      <c r="L3936" s="9"/>
      <c r="M3936" s="9"/>
      <c r="N3936" s="9"/>
      <c r="O3936" s="9"/>
      <c r="P3936" s="9"/>
      <c r="Q3936" s="9"/>
      <c r="R3936" s="9"/>
      <c r="S3936" s="9"/>
      <c r="T3936" s="9"/>
    </row>
    <row r="3937" ht="15.75" customHeight="1">
      <c r="A3937" s="11">
        <f>IFERROR(__xludf.DUMMYFUNCTION("""COMPUTED_VALUE"""),44471.0)</f>
        <v>44471</v>
      </c>
      <c r="B3937" s="9">
        <f>IFERROR(__xludf.DUMMYFUNCTION("""COMPUTED_VALUE"""),1003854.0)</f>
        <v>1003854</v>
      </c>
      <c r="C3937" s="9">
        <f>IFERROR(__xludf.DUMMYFUNCTION("""COMPUTED_VALUE"""),74331.0)</f>
        <v>74331</v>
      </c>
      <c r="D3937" s="9"/>
      <c r="E3937" s="9"/>
      <c r="F3937" s="9">
        <f>IFERROR(__xludf.DUMMYFUNCTION("""COMPUTED_VALUE"""),17.41)</f>
        <v>17.41</v>
      </c>
      <c r="G3937" s="9">
        <f>IFERROR(__xludf.DUMMYFUNCTION("""COMPUTED_VALUE"""),17.41)</f>
        <v>17.41</v>
      </c>
      <c r="H3937" s="9">
        <f>IFERROR(__xludf.DUMMYFUNCTION("""COMPUTED_VALUE"""),1.0)</f>
        <v>1</v>
      </c>
      <c r="I3937" s="9"/>
      <c r="J3937" s="9"/>
      <c r="K3937" s="9"/>
      <c r="L3937" s="9"/>
      <c r="M3937" s="9"/>
      <c r="N3937" s="9"/>
      <c r="O3937" s="9"/>
      <c r="P3937" s="9"/>
      <c r="Q3937" s="9"/>
      <c r="R3937" s="9"/>
      <c r="S3937" s="9"/>
      <c r="T3937" s="9"/>
    </row>
    <row r="3938" ht="15.75" customHeight="1">
      <c r="A3938" s="11">
        <f>IFERROR(__xludf.DUMMYFUNCTION("""COMPUTED_VALUE"""),44471.0)</f>
        <v>44471</v>
      </c>
      <c r="B3938" s="9">
        <f>IFERROR(__xludf.DUMMYFUNCTION("""COMPUTED_VALUE"""),1003855.0)</f>
        <v>1003855</v>
      </c>
      <c r="C3938" s="9">
        <f>IFERROR(__xludf.DUMMYFUNCTION("""COMPUTED_VALUE"""),103592.0)</f>
        <v>103592</v>
      </c>
      <c r="D3938" s="10" t="str">
        <f>IFERROR(__xludf.DUMMYFUNCTION("""COMPUTED_VALUE"""),"Love &amp; Green Couches et Culottes sept 2021")</f>
        <v>Love &amp; Green Couches et Culottes sept 2021</v>
      </c>
      <c r="E3938" s="10" t="str">
        <f>IFERROR(__xludf.DUMMYFUNCTION("""COMPUTED_VALUE"""),"PREMIERE")</f>
        <v>PREMIERE</v>
      </c>
      <c r="F3938" s="10">
        <f>IFERROR(__xludf.DUMMYFUNCTION("""COMPUTED_VALUE"""),78.3142857142857)</f>
        <v>78.31428571</v>
      </c>
      <c r="G3938" s="9">
        <f>IFERROR(__xludf.DUMMYFUNCTION("""COMPUTED_VALUE"""),54.82)</f>
        <v>54.82</v>
      </c>
      <c r="H3938" s="9">
        <f>IFERROR(__xludf.DUMMYFUNCTION("""COMPUTED_VALUE"""),5.0)</f>
        <v>5</v>
      </c>
      <c r="I3938" s="9"/>
      <c r="J3938" s="9"/>
      <c r="K3938" s="9"/>
      <c r="L3938" s="9"/>
      <c r="M3938" s="9"/>
      <c r="N3938" s="9"/>
      <c r="O3938" s="9"/>
      <c r="P3938" s="9"/>
      <c r="Q3938" s="9"/>
      <c r="R3938" s="9"/>
      <c r="S3938" s="9"/>
      <c r="T3938" s="9"/>
    </row>
    <row r="3939" ht="15.75" customHeight="1">
      <c r="A3939" s="11">
        <f>IFERROR(__xludf.DUMMYFUNCTION("""COMPUTED_VALUE"""),44471.0)</f>
        <v>44471</v>
      </c>
      <c r="B3939" s="9">
        <f>IFERROR(__xludf.DUMMYFUNCTION("""COMPUTED_VALUE"""),1003856.0)</f>
        <v>1003856</v>
      </c>
      <c r="C3939" s="9">
        <f>IFERROR(__xludf.DUMMYFUNCTION("""COMPUTED_VALUE"""),119447.0)</f>
        <v>119447</v>
      </c>
      <c r="D3939" s="9"/>
      <c r="E3939" s="9"/>
      <c r="F3939" s="9">
        <f>IFERROR(__xludf.DUMMYFUNCTION("""COMPUTED_VALUE"""),8.0)</f>
        <v>8</v>
      </c>
      <c r="G3939" s="9">
        <f>IFERROR(__xludf.DUMMYFUNCTION("""COMPUTED_VALUE"""),8.0)</f>
        <v>8</v>
      </c>
      <c r="H3939" s="9">
        <f>IFERROR(__xludf.DUMMYFUNCTION("""COMPUTED_VALUE"""),1.0)</f>
        <v>1</v>
      </c>
      <c r="I3939" s="9"/>
      <c r="J3939" s="9"/>
      <c r="K3939" s="9"/>
      <c r="L3939" s="9"/>
      <c r="M3939" s="9"/>
      <c r="N3939" s="9"/>
      <c r="O3939" s="9"/>
      <c r="P3939" s="9"/>
      <c r="Q3939" s="9"/>
      <c r="R3939" s="9"/>
      <c r="S3939" s="9"/>
      <c r="T3939" s="9"/>
    </row>
    <row r="3940" ht="15.75" customHeight="1">
      <c r="A3940" s="11">
        <f>IFERROR(__xludf.DUMMYFUNCTION("""COMPUTED_VALUE"""),44471.0)</f>
        <v>44471</v>
      </c>
      <c r="B3940" s="9">
        <f>IFERROR(__xludf.DUMMYFUNCTION("""COMPUTED_VALUE"""),1003856.0)</f>
        <v>1003856</v>
      </c>
      <c r="C3940" s="9">
        <f>IFERROR(__xludf.DUMMYFUNCTION("""COMPUTED_VALUE"""),114668.0)</f>
        <v>114668</v>
      </c>
      <c r="D3940" s="9"/>
      <c r="E3940" s="9"/>
      <c r="F3940" s="9">
        <f>IFERROR(__xludf.DUMMYFUNCTION("""COMPUTED_VALUE"""),2.51)</f>
        <v>2.51</v>
      </c>
      <c r="G3940" s="9">
        <f>IFERROR(__xludf.DUMMYFUNCTION("""COMPUTED_VALUE"""),2.51)</f>
        <v>2.51</v>
      </c>
      <c r="H3940" s="9">
        <f>IFERROR(__xludf.DUMMYFUNCTION("""COMPUTED_VALUE"""),1.0)</f>
        <v>1</v>
      </c>
      <c r="I3940" s="9"/>
      <c r="J3940" s="9"/>
      <c r="K3940" s="9"/>
      <c r="L3940" s="9"/>
      <c r="M3940" s="9"/>
      <c r="N3940" s="9"/>
      <c r="O3940" s="9"/>
      <c r="P3940" s="9"/>
      <c r="Q3940" s="9"/>
      <c r="R3940" s="9"/>
      <c r="S3940" s="9"/>
      <c r="T3940" s="9"/>
    </row>
    <row r="3941" ht="15.75" customHeight="1">
      <c r="A3941" s="11">
        <f>IFERROR(__xludf.DUMMYFUNCTION("""COMPUTED_VALUE"""),44471.0)</f>
        <v>44471</v>
      </c>
      <c r="B3941" s="9">
        <f>IFERROR(__xludf.DUMMYFUNCTION("""COMPUTED_VALUE"""),1003856.0)</f>
        <v>1003856</v>
      </c>
      <c r="C3941" s="9">
        <f>IFERROR(__xludf.DUMMYFUNCTION("""COMPUTED_VALUE"""),78352.0)</f>
        <v>78352</v>
      </c>
      <c r="D3941" s="9"/>
      <c r="E3941" s="9"/>
      <c r="F3941" s="9">
        <f>IFERROR(__xludf.DUMMYFUNCTION("""COMPUTED_VALUE"""),19.54)</f>
        <v>19.54</v>
      </c>
      <c r="G3941" s="9">
        <f>IFERROR(__xludf.DUMMYFUNCTION("""COMPUTED_VALUE"""),19.54)</f>
        <v>19.54</v>
      </c>
      <c r="H3941" s="9">
        <f>IFERROR(__xludf.DUMMYFUNCTION("""COMPUTED_VALUE"""),2.0)</f>
        <v>2</v>
      </c>
      <c r="I3941" s="9"/>
      <c r="J3941" s="9"/>
      <c r="K3941" s="9"/>
      <c r="L3941" s="9"/>
      <c r="M3941" s="9"/>
      <c r="N3941" s="9"/>
      <c r="O3941" s="9"/>
      <c r="P3941" s="9"/>
      <c r="Q3941" s="9"/>
      <c r="R3941" s="9"/>
      <c r="S3941" s="9"/>
      <c r="T3941" s="9"/>
    </row>
    <row r="3942" ht="15.75" customHeight="1">
      <c r="A3942" s="11">
        <f>IFERROR(__xludf.DUMMYFUNCTION("""COMPUTED_VALUE"""),44471.0)</f>
        <v>44471</v>
      </c>
      <c r="B3942" s="9">
        <f>IFERROR(__xludf.DUMMYFUNCTION("""COMPUTED_VALUE"""),1003856.0)</f>
        <v>1003856</v>
      </c>
      <c r="C3942" s="9">
        <f>IFERROR(__xludf.DUMMYFUNCTION("""COMPUTED_VALUE"""),80054.0)</f>
        <v>80054</v>
      </c>
      <c r="D3942" s="9"/>
      <c r="E3942" s="9"/>
      <c r="F3942" s="9">
        <f>IFERROR(__xludf.DUMMYFUNCTION("""COMPUTED_VALUE"""),5.77)</f>
        <v>5.77</v>
      </c>
      <c r="G3942" s="9">
        <f>IFERROR(__xludf.DUMMYFUNCTION("""COMPUTED_VALUE"""),5.77)</f>
        <v>5.77</v>
      </c>
      <c r="H3942" s="9">
        <f>IFERROR(__xludf.DUMMYFUNCTION("""COMPUTED_VALUE"""),2.0)</f>
        <v>2</v>
      </c>
      <c r="I3942" s="9"/>
      <c r="J3942" s="9"/>
      <c r="K3942" s="9"/>
      <c r="L3942" s="9"/>
      <c r="M3942" s="9"/>
      <c r="N3942" s="9"/>
      <c r="O3942" s="9"/>
      <c r="P3942" s="9"/>
      <c r="Q3942" s="9"/>
      <c r="R3942" s="9"/>
      <c r="S3942" s="9"/>
      <c r="T3942" s="9"/>
    </row>
    <row r="3943" ht="15.75" customHeight="1">
      <c r="A3943" s="11">
        <f>IFERROR(__xludf.DUMMYFUNCTION("""COMPUTED_VALUE"""),44471.0)</f>
        <v>44471</v>
      </c>
      <c r="B3943" s="9">
        <f>IFERROR(__xludf.DUMMYFUNCTION("""COMPUTED_VALUE"""),1003857.0)</f>
        <v>1003857</v>
      </c>
      <c r="C3943" s="9">
        <f>IFERROR(__xludf.DUMMYFUNCTION("""COMPUTED_VALUE"""),85107.0)</f>
        <v>85107</v>
      </c>
      <c r="D3943" s="9"/>
      <c r="E3943" s="10" t="str">
        <f>IFERROR(__xludf.DUMMYFUNCTION("""COMPUTED_VALUE"""),"GREENRELAIS")</f>
        <v>GREENRELAIS</v>
      </c>
      <c r="F3943" s="10">
        <f>IFERROR(__xludf.DUMMYFUNCTION("""COMPUTED_VALUE"""),32.33)</f>
        <v>32.33</v>
      </c>
      <c r="G3943" s="9">
        <f>IFERROR(__xludf.DUMMYFUNCTION("""COMPUTED_VALUE"""),32.33)</f>
        <v>32.33</v>
      </c>
      <c r="H3943" s="9">
        <f>IFERROR(__xludf.DUMMYFUNCTION("""COMPUTED_VALUE"""),1.0)</f>
        <v>1</v>
      </c>
      <c r="I3943" s="9"/>
      <c r="J3943" s="9"/>
      <c r="K3943" s="9"/>
      <c r="L3943" s="9"/>
      <c r="M3943" s="9"/>
      <c r="N3943" s="9"/>
      <c r="O3943" s="9"/>
      <c r="P3943" s="9"/>
      <c r="Q3943" s="9"/>
      <c r="R3943" s="9"/>
      <c r="S3943" s="9"/>
      <c r="T3943" s="9"/>
    </row>
    <row r="3944" ht="15.75" customHeight="1">
      <c r="A3944" s="11">
        <f>IFERROR(__xludf.DUMMYFUNCTION("""COMPUTED_VALUE"""),44471.0)</f>
        <v>44471</v>
      </c>
      <c r="B3944" s="9">
        <f>IFERROR(__xludf.DUMMYFUNCTION("""COMPUTED_VALUE"""),1003857.0)</f>
        <v>1003857</v>
      </c>
      <c r="C3944" s="9">
        <f>IFERROR(__xludf.DUMMYFUNCTION("""COMPUTED_VALUE"""),5079.0)</f>
        <v>5079</v>
      </c>
      <c r="D3944" s="9"/>
      <c r="E3944" s="10" t="str">
        <f>IFERROR(__xludf.DUMMYFUNCTION("""COMPUTED_VALUE"""),"GREENRELAIS")</f>
        <v>GREENRELAIS</v>
      </c>
      <c r="F3944" s="10">
        <f>IFERROR(__xludf.DUMMYFUNCTION("""COMPUTED_VALUE"""),7.68)</f>
        <v>7.68</v>
      </c>
      <c r="G3944" s="9">
        <f>IFERROR(__xludf.DUMMYFUNCTION("""COMPUTED_VALUE"""),7.68)</f>
        <v>7.68</v>
      </c>
      <c r="H3944" s="9">
        <f>IFERROR(__xludf.DUMMYFUNCTION("""COMPUTED_VALUE"""),1.0)</f>
        <v>1</v>
      </c>
      <c r="I3944" s="9"/>
      <c r="J3944" s="9"/>
      <c r="K3944" s="9"/>
      <c r="L3944" s="9"/>
      <c r="M3944" s="9"/>
      <c r="N3944" s="9"/>
      <c r="O3944" s="9"/>
      <c r="P3944" s="9"/>
      <c r="Q3944" s="9"/>
      <c r="R3944" s="9"/>
      <c r="S3944" s="9"/>
      <c r="T3944" s="9"/>
    </row>
    <row r="3945" ht="15.75" customHeight="1">
      <c r="A3945" s="11">
        <f>IFERROR(__xludf.DUMMYFUNCTION("""COMPUTED_VALUE"""),44471.0)</f>
        <v>44471</v>
      </c>
      <c r="B3945" s="9">
        <f>IFERROR(__xludf.DUMMYFUNCTION("""COMPUTED_VALUE"""),1003857.0)</f>
        <v>1003857</v>
      </c>
      <c r="C3945" s="9">
        <f>IFERROR(__xludf.DUMMYFUNCTION("""COMPUTED_VALUE"""),5869.0)</f>
        <v>5869</v>
      </c>
      <c r="D3945" s="9"/>
      <c r="E3945" s="10" t="str">
        <f>IFERROR(__xludf.DUMMYFUNCTION("""COMPUTED_VALUE"""),"GREENRELAIS")</f>
        <v>GREENRELAIS</v>
      </c>
      <c r="F3945" s="10">
        <f>IFERROR(__xludf.DUMMYFUNCTION("""COMPUTED_VALUE"""),2.85)</f>
        <v>2.85</v>
      </c>
      <c r="G3945" s="9">
        <f>IFERROR(__xludf.DUMMYFUNCTION("""COMPUTED_VALUE"""),2.85)</f>
        <v>2.85</v>
      </c>
      <c r="H3945" s="9">
        <f>IFERROR(__xludf.DUMMYFUNCTION("""COMPUTED_VALUE"""),1.0)</f>
        <v>1</v>
      </c>
      <c r="I3945" s="9"/>
      <c r="J3945" s="9"/>
      <c r="K3945" s="9"/>
      <c r="L3945" s="9"/>
      <c r="M3945" s="9"/>
      <c r="N3945" s="9"/>
      <c r="O3945" s="9"/>
      <c r="P3945" s="9"/>
      <c r="Q3945" s="9"/>
      <c r="R3945" s="9"/>
      <c r="S3945" s="9"/>
      <c r="T3945" s="9"/>
    </row>
    <row r="3946" ht="15.75" customHeight="1">
      <c r="A3946" s="11">
        <f>IFERROR(__xludf.DUMMYFUNCTION("""COMPUTED_VALUE"""),44471.0)</f>
        <v>44471</v>
      </c>
      <c r="B3946" s="9">
        <f>IFERROR(__xludf.DUMMYFUNCTION("""COMPUTED_VALUE"""),1003857.0)</f>
        <v>1003857</v>
      </c>
      <c r="C3946" s="9">
        <f>IFERROR(__xludf.DUMMYFUNCTION("""COMPUTED_VALUE"""),1297.0)</f>
        <v>1297</v>
      </c>
      <c r="D3946" s="9"/>
      <c r="E3946" s="10" t="str">
        <f>IFERROR(__xludf.DUMMYFUNCTION("""COMPUTED_VALUE"""),"GREENRELAIS")</f>
        <v>GREENRELAIS</v>
      </c>
      <c r="F3946" s="10">
        <f>IFERROR(__xludf.DUMMYFUNCTION("""COMPUTED_VALUE"""),13.64)</f>
        <v>13.64</v>
      </c>
      <c r="G3946" s="9">
        <f>IFERROR(__xludf.DUMMYFUNCTION("""COMPUTED_VALUE"""),13.64)</f>
        <v>13.64</v>
      </c>
      <c r="H3946" s="9">
        <f>IFERROR(__xludf.DUMMYFUNCTION("""COMPUTED_VALUE"""),2.0)</f>
        <v>2</v>
      </c>
      <c r="I3946" s="9"/>
      <c r="J3946" s="9"/>
      <c r="K3946" s="9"/>
      <c r="L3946" s="9"/>
      <c r="M3946" s="9"/>
      <c r="N3946" s="9"/>
      <c r="O3946" s="9"/>
      <c r="P3946" s="9"/>
      <c r="Q3946" s="9"/>
      <c r="R3946" s="9"/>
      <c r="S3946" s="9"/>
      <c r="T3946" s="9"/>
    </row>
    <row r="3947" ht="15.75" customHeight="1">
      <c r="A3947" s="11">
        <f>IFERROR(__xludf.DUMMYFUNCTION("""COMPUTED_VALUE"""),44471.0)</f>
        <v>44471</v>
      </c>
      <c r="B3947" s="9">
        <f>IFERROR(__xludf.DUMMYFUNCTION("""COMPUTED_VALUE"""),1003857.0)</f>
        <v>1003857</v>
      </c>
      <c r="C3947" s="9">
        <f>IFERROR(__xludf.DUMMYFUNCTION("""COMPUTED_VALUE"""),7358.0)</f>
        <v>7358</v>
      </c>
      <c r="D3947" s="9"/>
      <c r="E3947" s="10" t="str">
        <f>IFERROR(__xludf.DUMMYFUNCTION("""COMPUTED_VALUE"""),"GREENRELAIS")</f>
        <v>GREENRELAIS</v>
      </c>
      <c r="F3947" s="10">
        <f>IFERROR(__xludf.DUMMYFUNCTION("""COMPUTED_VALUE"""),8.41)</f>
        <v>8.41</v>
      </c>
      <c r="G3947" s="9">
        <f>IFERROR(__xludf.DUMMYFUNCTION("""COMPUTED_VALUE"""),8.41)</f>
        <v>8.41</v>
      </c>
      <c r="H3947" s="9">
        <f>IFERROR(__xludf.DUMMYFUNCTION("""COMPUTED_VALUE"""),2.0)</f>
        <v>2</v>
      </c>
      <c r="I3947" s="9"/>
      <c r="J3947" s="9"/>
      <c r="K3947" s="9"/>
      <c r="L3947" s="9"/>
      <c r="M3947" s="9"/>
      <c r="N3947" s="9"/>
      <c r="O3947" s="9"/>
      <c r="P3947" s="9"/>
      <c r="Q3947" s="9"/>
      <c r="R3947" s="9"/>
      <c r="S3947" s="9"/>
      <c r="T3947" s="9"/>
    </row>
    <row r="3948" ht="15.75" customHeight="1">
      <c r="A3948" s="11">
        <f>IFERROR(__xludf.DUMMYFUNCTION("""COMPUTED_VALUE"""),44471.0)</f>
        <v>44471</v>
      </c>
      <c r="B3948" s="9">
        <f>IFERROR(__xludf.DUMMYFUNCTION("""COMPUTED_VALUE"""),1003857.0)</f>
        <v>1003857</v>
      </c>
      <c r="C3948" s="9">
        <f>IFERROR(__xludf.DUMMYFUNCTION("""COMPUTED_VALUE"""),5077.0)</f>
        <v>5077</v>
      </c>
      <c r="D3948" s="9"/>
      <c r="E3948" s="10" t="str">
        <f>IFERROR(__xludf.DUMMYFUNCTION("""COMPUTED_VALUE"""),"GREENRELAIS")</f>
        <v>GREENRELAIS</v>
      </c>
      <c r="F3948" s="10">
        <f>IFERROR(__xludf.DUMMYFUNCTION("""COMPUTED_VALUE"""),19.81)</f>
        <v>19.81</v>
      </c>
      <c r="G3948" s="9">
        <f>IFERROR(__xludf.DUMMYFUNCTION("""COMPUTED_VALUE"""),19.81)</f>
        <v>19.81</v>
      </c>
      <c r="H3948" s="9">
        <f>IFERROR(__xludf.DUMMYFUNCTION("""COMPUTED_VALUE"""),2.0)</f>
        <v>2</v>
      </c>
      <c r="I3948" s="9"/>
      <c r="J3948" s="9"/>
      <c r="K3948" s="9"/>
      <c r="L3948" s="9"/>
      <c r="M3948" s="9"/>
      <c r="N3948" s="9"/>
      <c r="O3948" s="9"/>
      <c r="P3948" s="9"/>
      <c r="Q3948" s="9"/>
      <c r="R3948" s="9"/>
      <c r="S3948" s="9"/>
      <c r="T3948" s="9"/>
    </row>
    <row r="3949" ht="15.75" customHeight="1">
      <c r="A3949" s="11">
        <f>IFERROR(__xludf.DUMMYFUNCTION("""COMPUTED_VALUE"""),44471.0)</f>
        <v>44471</v>
      </c>
      <c r="B3949" s="9">
        <f>IFERROR(__xludf.DUMMYFUNCTION("""COMPUTED_VALUE"""),1003857.0)</f>
        <v>1003857</v>
      </c>
      <c r="C3949" s="9">
        <f>IFERROR(__xludf.DUMMYFUNCTION("""COMPUTED_VALUE"""),111726.0)</f>
        <v>111726</v>
      </c>
      <c r="D3949" s="9"/>
      <c r="E3949" s="10" t="str">
        <f>IFERROR(__xludf.DUMMYFUNCTION("""COMPUTED_VALUE"""),"GREENRELAIS")</f>
        <v>GREENRELAIS</v>
      </c>
      <c r="F3949" s="10">
        <f>IFERROR(__xludf.DUMMYFUNCTION("""COMPUTED_VALUE"""),6.78)</f>
        <v>6.78</v>
      </c>
      <c r="G3949" s="9">
        <f>IFERROR(__xludf.DUMMYFUNCTION("""COMPUTED_VALUE"""),6.78)</f>
        <v>6.78</v>
      </c>
      <c r="H3949" s="9">
        <f>IFERROR(__xludf.DUMMYFUNCTION("""COMPUTED_VALUE"""),3.0)</f>
        <v>3</v>
      </c>
      <c r="I3949" s="9"/>
      <c r="J3949" s="9"/>
      <c r="K3949" s="9"/>
      <c r="L3949" s="9"/>
      <c r="M3949" s="9"/>
      <c r="N3949" s="9"/>
      <c r="O3949" s="9"/>
      <c r="P3949" s="9"/>
      <c r="Q3949" s="9"/>
      <c r="R3949" s="9"/>
      <c r="S3949" s="9"/>
      <c r="T3949" s="9"/>
    </row>
    <row r="3950" ht="15.75" customHeight="1">
      <c r="A3950" s="11">
        <f>IFERROR(__xludf.DUMMYFUNCTION("""COMPUTED_VALUE"""),44471.0)</f>
        <v>44471</v>
      </c>
      <c r="B3950" s="9">
        <f>IFERROR(__xludf.DUMMYFUNCTION("""COMPUTED_VALUE"""),1003858.0)</f>
        <v>1003858</v>
      </c>
      <c r="C3950" s="9">
        <f>IFERROR(__xludf.DUMMYFUNCTION("""COMPUTED_VALUE"""),1636.0)</f>
        <v>1636</v>
      </c>
      <c r="D3950" s="9"/>
      <c r="E3950" s="9"/>
      <c r="F3950" s="9">
        <f>IFERROR(__xludf.DUMMYFUNCTION("""COMPUTED_VALUE"""),2.75)</f>
        <v>2.75</v>
      </c>
      <c r="G3950" s="9">
        <f>IFERROR(__xludf.DUMMYFUNCTION("""COMPUTED_VALUE"""),2.75)</f>
        <v>2.75</v>
      </c>
      <c r="H3950" s="9">
        <f>IFERROR(__xludf.DUMMYFUNCTION("""COMPUTED_VALUE"""),1.0)</f>
        <v>1</v>
      </c>
      <c r="I3950" s="9"/>
      <c r="J3950" s="9"/>
      <c r="K3950" s="9"/>
      <c r="L3950" s="9"/>
      <c r="M3950" s="9"/>
      <c r="N3950" s="9"/>
      <c r="O3950" s="9"/>
      <c r="P3950" s="9"/>
      <c r="Q3950" s="9"/>
      <c r="R3950" s="9"/>
      <c r="S3950" s="9"/>
      <c r="T3950" s="9"/>
    </row>
    <row r="3951" ht="15.75" customHeight="1">
      <c r="A3951" s="11">
        <f>IFERROR(__xludf.DUMMYFUNCTION("""COMPUTED_VALUE"""),44471.0)</f>
        <v>44471</v>
      </c>
      <c r="B3951" s="9">
        <f>IFERROR(__xludf.DUMMYFUNCTION("""COMPUTED_VALUE"""),1003858.0)</f>
        <v>1003858</v>
      </c>
      <c r="C3951" s="9">
        <f>IFERROR(__xludf.DUMMYFUNCTION("""COMPUTED_VALUE"""),113960.0)</f>
        <v>113960</v>
      </c>
      <c r="D3951" s="9"/>
      <c r="E3951" s="9"/>
      <c r="F3951" s="9">
        <f>IFERROR(__xludf.DUMMYFUNCTION("""COMPUTED_VALUE"""),2.13)</f>
        <v>2.13</v>
      </c>
      <c r="G3951" s="9">
        <f>IFERROR(__xludf.DUMMYFUNCTION("""COMPUTED_VALUE"""),2.13)</f>
        <v>2.13</v>
      </c>
      <c r="H3951" s="9">
        <f>IFERROR(__xludf.DUMMYFUNCTION("""COMPUTED_VALUE"""),1.0)</f>
        <v>1</v>
      </c>
      <c r="I3951" s="9"/>
      <c r="J3951" s="9"/>
      <c r="K3951" s="9"/>
      <c r="L3951" s="9"/>
      <c r="M3951" s="9"/>
      <c r="N3951" s="9"/>
      <c r="O3951" s="9"/>
      <c r="P3951" s="9"/>
      <c r="Q3951" s="9"/>
      <c r="R3951" s="9"/>
      <c r="S3951" s="9"/>
      <c r="T3951" s="9"/>
    </row>
    <row r="3952" ht="15.75" customHeight="1">
      <c r="A3952" s="11">
        <f>IFERROR(__xludf.DUMMYFUNCTION("""COMPUTED_VALUE"""),44471.0)</f>
        <v>44471</v>
      </c>
      <c r="B3952" s="9">
        <f>IFERROR(__xludf.DUMMYFUNCTION("""COMPUTED_VALUE"""),1003858.0)</f>
        <v>1003858</v>
      </c>
      <c r="C3952" s="9">
        <f>IFERROR(__xludf.DUMMYFUNCTION("""COMPUTED_VALUE"""),109310.0)</f>
        <v>109310</v>
      </c>
      <c r="D3952" s="9"/>
      <c r="E3952" s="9"/>
      <c r="F3952" s="9">
        <f>IFERROR(__xludf.DUMMYFUNCTION("""COMPUTED_VALUE"""),6.27)</f>
        <v>6.27</v>
      </c>
      <c r="G3952" s="9">
        <f>IFERROR(__xludf.DUMMYFUNCTION("""COMPUTED_VALUE"""),6.27)</f>
        <v>6.27</v>
      </c>
      <c r="H3952" s="9">
        <f>IFERROR(__xludf.DUMMYFUNCTION("""COMPUTED_VALUE"""),1.0)</f>
        <v>1</v>
      </c>
      <c r="I3952" s="9"/>
      <c r="J3952" s="9"/>
      <c r="K3952" s="9"/>
      <c r="L3952" s="9"/>
      <c r="M3952" s="9"/>
      <c r="N3952" s="9"/>
      <c r="O3952" s="9"/>
      <c r="P3952" s="9"/>
      <c r="Q3952" s="9"/>
      <c r="R3952" s="9"/>
      <c r="S3952" s="9"/>
      <c r="T3952" s="9"/>
    </row>
    <row r="3953" ht="15.75" customHeight="1">
      <c r="A3953" s="11">
        <f>IFERROR(__xludf.DUMMYFUNCTION("""COMPUTED_VALUE"""),44471.0)</f>
        <v>44471</v>
      </c>
      <c r="B3953" s="9">
        <f>IFERROR(__xludf.DUMMYFUNCTION("""COMPUTED_VALUE"""),1003858.0)</f>
        <v>1003858</v>
      </c>
      <c r="C3953" s="9">
        <f>IFERROR(__xludf.DUMMYFUNCTION("""COMPUTED_VALUE"""),83340.0)</f>
        <v>83340</v>
      </c>
      <c r="D3953" s="9"/>
      <c r="E3953" s="9"/>
      <c r="F3953" s="9">
        <f>IFERROR(__xludf.DUMMYFUNCTION("""COMPUTED_VALUE"""),6.13)</f>
        <v>6.13</v>
      </c>
      <c r="G3953" s="9">
        <f>IFERROR(__xludf.DUMMYFUNCTION("""COMPUTED_VALUE"""),6.13)</f>
        <v>6.13</v>
      </c>
      <c r="H3953" s="9">
        <f>IFERROR(__xludf.DUMMYFUNCTION("""COMPUTED_VALUE"""),1.0)</f>
        <v>1</v>
      </c>
      <c r="I3953" s="9"/>
      <c r="J3953" s="9"/>
      <c r="K3953" s="9"/>
      <c r="L3953" s="9"/>
      <c r="M3953" s="9"/>
      <c r="N3953" s="9"/>
      <c r="O3953" s="9"/>
      <c r="P3953" s="9"/>
      <c r="Q3953" s="9"/>
      <c r="R3953" s="9"/>
      <c r="S3953" s="9"/>
      <c r="T3953" s="9"/>
    </row>
    <row r="3954" ht="15.75" customHeight="1">
      <c r="A3954" s="11">
        <f>IFERROR(__xludf.DUMMYFUNCTION("""COMPUTED_VALUE"""),44471.0)</f>
        <v>44471</v>
      </c>
      <c r="B3954" s="9">
        <f>IFERROR(__xludf.DUMMYFUNCTION("""COMPUTED_VALUE"""),1003858.0)</f>
        <v>1003858</v>
      </c>
      <c r="C3954" s="9">
        <f>IFERROR(__xludf.DUMMYFUNCTION("""COMPUTED_VALUE"""),78904.0)</f>
        <v>78904</v>
      </c>
      <c r="D3954" s="10" t="str">
        <f>IFERROR(__xludf.DUMMYFUNCTION("""COMPUTED_VALUE"""),"Vive le bio")</f>
        <v>Vive le bio</v>
      </c>
      <c r="E3954" s="10"/>
      <c r="F3954" s="9">
        <f>IFERROR(__xludf.DUMMYFUNCTION("""COMPUTED_VALUE"""),8.67368421052631)</f>
        <v>8.673684211</v>
      </c>
      <c r="G3954" s="9">
        <f>IFERROR(__xludf.DUMMYFUNCTION("""COMPUTED_VALUE"""),8.24)</f>
        <v>8.24</v>
      </c>
      <c r="H3954" s="9">
        <f>IFERROR(__xludf.DUMMYFUNCTION("""COMPUTED_VALUE"""),1.0)</f>
        <v>1</v>
      </c>
      <c r="I3954" s="9"/>
      <c r="J3954" s="9"/>
      <c r="K3954" s="9"/>
      <c r="L3954" s="9"/>
      <c r="M3954" s="9"/>
      <c r="N3954" s="9"/>
      <c r="O3954" s="9"/>
      <c r="P3954" s="9"/>
      <c r="Q3954" s="9"/>
      <c r="R3954" s="9"/>
      <c r="S3954" s="9"/>
      <c r="T3954" s="9"/>
    </row>
    <row r="3955" ht="15.75" customHeight="1">
      <c r="A3955" s="11">
        <f>IFERROR(__xludf.DUMMYFUNCTION("""COMPUTED_VALUE"""),44471.0)</f>
        <v>44471</v>
      </c>
      <c r="B3955" s="9">
        <f>IFERROR(__xludf.DUMMYFUNCTION("""COMPUTED_VALUE"""),1003858.0)</f>
        <v>1003858</v>
      </c>
      <c r="C3955" s="9">
        <f>IFERROR(__xludf.DUMMYFUNCTION("""COMPUTED_VALUE"""),45867.0)</f>
        <v>45867</v>
      </c>
      <c r="D3955" s="9"/>
      <c r="E3955" s="9"/>
      <c r="F3955" s="9">
        <f>IFERROR(__xludf.DUMMYFUNCTION("""COMPUTED_VALUE"""),2.7)</f>
        <v>2.7</v>
      </c>
      <c r="G3955" s="9">
        <f>IFERROR(__xludf.DUMMYFUNCTION("""COMPUTED_VALUE"""),2.7)</f>
        <v>2.7</v>
      </c>
      <c r="H3955" s="9">
        <f>IFERROR(__xludf.DUMMYFUNCTION("""COMPUTED_VALUE"""),1.0)</f>
        <v>1</v>
      </c>
      <c r="I3955" s="9"/>
      <c r="J3955" s="9"/>
      <c r="K3955" s="9"/>
      <c r="L3955" s="9"/>
      <c r="M3955" s="9"/>
      <c r="N3955" s="9"/>
      <c r="O3955" s="9"/>
      <c r="P3955" s="9"/>
      <c r="Q3955" s="9"/>
      <c r="R3955" s="9"/>
      <c r="S3955" s="9"/>
      <c r="T3955" s="9"/>
    </row>
    <row r="3956" ht="15.75" customHeight="1">
      <c r="A3956" s="11">
        <f>IFERROR(__xludf.DUMMYFUNCTION("""COMPUTED_VALUE"""),44471.0)</f>
        <v>44471</v>
      </c>
      <c r="B3956" s="9">
        <f>IFERROR(__xludf.DUMMYFUNCTION("""COMPUTED_VALUE"""),1003858.0)</f>
        <v>1003858</v>
      </c>
      <c r="C3956" s="9">
        <f>IFERROR(__xludf.DUMMYFUNCTION("""COMPUTED_VALUE"""),102773.0)</f>
        <v>102773</v>
      </c>
      <c r="D3956" s="9"/>
      <c r="E3956" s="9"/>
      <c r="F3956" s="9">
        <f>IFERROR(__xludf.DUMMYFUNCTION("""COMPUTED_VALUE"""),8.07)</f>
        <v>8.07</v>
      </c>
      <c r="G3956" s="9">
        <f>IFERROR(__xludf.DUMMYFUNCTION("""COMPUTED_VALUE"""),8.07)</f>
        <v>8.07</v>
      </c>
      <c r="H3956" s="9">
        <f>IFERROR(__xludf.DUMMYFUNCTION("""COMPUTED_VALUE"""),1.0)</f>
        <v>1</v>
      </c>
      <c r="I3956" s="9"/>
      <c r="J3956" s="9"/>
      <c r="K3956" s="9"/>
      <c r="L3956" s="9"/>
      <c r="M3956" s="9"/>
      <c r="N3956" s="9"/>
      <c r="O3956" s="9"/>
      <c r="P3956" s="9"/>
      <c r="Q3956" s="9"/>
      <c r="R3956" s="9"/>
      <c r="S3956" s="9"/>
      <c r="T3956" s="9"/>
    </row>
    <row r="3957" ht="15.75" customHeight="1">
      <c r="A3957" s="11">
        <f>IFERROR(__xludf.DUMMYFUNCTION("""COMPUTED_VALUE"""),44471.0)</f>
        <v>44471</v>
      </c>
      <c r="B3957" s="9">
        <f>IFERROR(__xludf.DUMMYFUNCTION("""COMPUTED_VALUE"""),1003858.0)</f>
        <v>1003858</v>
      </c>
      <c r="C3957" s="9">
        <f>IFERROR(__xludf.DUMMYFUNCTION("""COMPUTED_VALUE"""),17620.0)</f>
        <v>17620</v>
      </c>
      <c r="D3957" s="9"/>
      <c r="E3957" s="9"/>
      <c r="F3957" s="9">
        <f>IFERROR(__xludf.DUMMYFUNCTION("""COMPUTED_VALUE"""),8.61)</f>
        <v>8.61</v>
      </c>
      <c r="G3957" s="9">
        <f>IFERROR(__xludf.DUMMYFUNCTION("""COMPUTED_VALUE"""),8.61)</f>
        <v>8.61</v>
      </c>
      <c r="H3957" s="9">
        <f>IFERROR(__xludf.DUMMYFUNCTION("""COMPUTED_VALUE"""),1.0)</f>
        <v>1</v>
      </c>
      <c r="I3957" s="9"/>
      <c r="J3957" s="9"/>
      <c r="K3957" s="9"/>
      <c r="L3957" s="9"/>
      <c r="M3957" s="9"/>
      <c r="N3957" s="9"/>
      <c r="O3957" s="9"/>
      <c r="P3957" s="9"/>
      <c r="Q3957" s="9"/>
      <c r="R3957" s="9"/>
      <c r="S3957" s="9"/>
      <c r="T3957" s="9"/>
    </row>
    <row r="3958" ht="15.75" customHeight="1">
      <c r="A3958" s="11">
        <f>IFERROR(__xludf.DUMMYFUNCTION("""COMPUTED_VALUE"""),44471.0)</f>
        <v>44471</v>
      </c>
      <c r="B3958" s="9">
        <f>IFERROR(__xludf.DUMMYFUNCTION("""COMPUTED_VALUE"""),1003858.0)</f>
        <v>1003858</v>
      </c>
      <c r="C3958" s="9">
        <f>IFERROR(__xludf.DUMMYFUNCTION("""COMPUTED_VALUE"""),109308.0)</f>
        <v>109308</v>
      </c>
      <c r="D3958" s="9"/>
      <c r="E3958" s="9"/>
      <c r="F3958" s="9">
        <f>IFERROR(__xludf.DUMMYFUNCTION("""COMPUTED_VALUE"""),8.17)</f>
        <v>8.17</v>
      </c>
      <c r="G3958" s="9">
        <f>IFERROR(__xludf.DUMMYFUNCTION("""COMPUTED_VALUE"""),8.17)</f>
        <v>8.17</v>
      </c>
      <c r="H3958" s="9">
        <f>IFERROR(__xludf.DUMMYFUNCTION("""COMPUTED_VALUE"""),1.0)</f>
        <v>1</v>
      </c>
      <c r="I3958" s="9"/>
      <c r="J3958" s="9"/>
      <c r="K3958" s="9"/>
      <c r="L3958" s="9"/>
      <c r="M3958" s="9"/>
      <c r="N3958" s="9"/>
      <c r="O3958" s="9"/>
      <c r="P3958" s="9"/>
      <c r="Q3958" s="9"/>
      <c r="R3958" s="9"/>
      <c r="S3958" s="9"/>
      <c r="T3958" s="9"/>
    </row>
    <row r="3959" ht="15.75" customHeight="1">
      <c r="A3959" s="11">
        <f>IFERROR(__xludf.DUMMYFUNCTION("""COMPUTED_VALUE"""),44471.0)</f>
        <v>44471</v>
      </c>
      <c r="B3959" s="9">
        <f>IFERROR(__xludf.DUMMYFUNCTION("""COMPUTED_VALUE"""),1003858.0)</f>
        <v>1003858</v>
      </c>
      <c r="C3959" s="9">
        <f>IFERROR(__xludf.DUMMYFUNCTION("""COMPUTED_VALUE"""),101927.0)</f>
        <v>101927</v>
      </c>
      <c r="D3959" s="9"/>
      <c r="E3959" s="9"/>
      <c r="F3959" s="9">
        <f>IFERROR(__xludf.DUMMYFUNCTION("""COMPUTED_VALUE"""),6.5)</f>
        <v>6.5</v>
      </c>
      <c r="G3959" s="9">
        <f>IFERROR(__xludf.DUMMYFUNCTION("""COMPUTED_VALUE"""),6.5)</f>
        <v>6.5</v>
      </c>
      <c r="H3959" s="9">
        <f>IFERROR(__xludf.DUMMYFUNCTION("""COMPUTED_VALUE"""),2.0)</f>
        <v>2</v>
      </c>
      <c r="I3959" s="9"/>
      <c r="J3959" s="9"/>
      <c r="K3959" s="9"/>
      <c r="L3959" s="9"/>
      <c r="M3959" s="9"/>
      <c r="N3959" s="9"/>
      <c r="O3959" s="9"/>
      <c r="P3959" s="9"/>
      <c r="Q3959" s="9"/>
      <c r="R3959" s="9"/>
      <c r="S3959" s="9"/>
      <c r="T3959" s="9"/>
    </row>
    <row r="3960" ht="15.75" customHeight="1">
      <c r="A3960" s="11">
        <f>IFERROR(__xludf.DUMMYFUNCTION("""COMPUTED_VALUE"""),44471.0)</f>
        <v>44471</v>
      </c>
      <c r="B3960" s="9">
        <f>IFERROR(__xludf.DUMMYFUNCTION("""COMPUTED_VALUE"""),1003858.0)</f>
        <v>1003858</v>
      </c>
      <c r="C3960" s="9">
        <f>IFERROR(__xludf.DUMMYFUNCTION("""COMPUTED_VALUE"""),68412.0)</f>
        <v>68412</v>
      </c>
      <c r="D3960" s="9"/>
      <c r="E3960" s="9"/>
      <c r="F3960" s="9">
        <f>IFERROR(__xludf.DUMMYFUNCTION("""COMPUTED_VALUE"""),3.65)</f>
        <v>3.65</v>
      </c>
      <c r="G3960" s="9">
        <f>IFERROR(__xludf.DUMMYFUNCTION("""COMPUTED_VALUE"""),3.65)</f>
        <v>3.65</v>
      </c>
      <c r="H3960" s="9">
        <f>IFERROR(__xludf.DUMMYFUNCTION("""COMPUTED_VALUE"""),2.0)</f>
        <v>2</v>
      </c>
      <c r="I3960" s="9"/>
      <c r="J3960" s="9"/>
      <c r="K3960" s="9"/>
      <c r="L3960" s="9"/>
      <c r="M3960" s="9"/>
      <c r="N3960" s="9"/>
      <c r="O3960" s="9"/>
      <c r="P3960" s="9"/>
      <c r="Q3960" s="9"/>
      <c r="R3960" s="9"/>
      <c r="S3960" s="9"/>
      <c r="T3960" s="9"/>
    </row>
    <row r="3961" ht="15.75" customHeight="1">
      <c r="A3961" s="11">
        <f>IFERROR(__xludf.DUMMYFUNCTION("""COMPUTED_VALUE"""),44471.0)</f>
        <v>44471</v>
      </c>
      <c r="B3961" s="9">
        <f>IFERROR(__xludf.DUMMYFUNCTION("""COMPUTED_VALUE"""),1003858.0)</f>
        <v>1003858</v>
      </c>
      <c r="C3961" s="9">
        <f>IFERROR(__xludf.DUMMYFUNCTION("""COMPUTED_VALUE"""),115754.0)</f>
        <v>115754</v>
      </c>
      <c r="D3961" s="10" t="str">
        <f>IFERROR(__xludf.DUMMYFUNCTION("""COMPUTED_VALUE"""),"Vive le bio")</f>
        <v>Vive le bio</v>
      </c>
      <c r="E3961" s="10"/>
      <c r="F3961" s="9">
        <f>IFERROR(__xludf.DUMMYFUNCTION("""COMPUTED_VALUE"""),2.32222222222222)</f>
        <v>2.322222222</v>
      </c>
      <c r="G3961" s="9">
        <f>IFERROR(__xludf.DUMMYFUNCTION("""COMPUTED_VALUE"""),2.09)</f>
        <v>2.09</v>
      </c>
      <c r="H3961" s="9">
        <f>IFERROR(__xludf.DUMMYFUNCTION("""COMPUTED_VALUE"""),2.0)</f>
        <v>2</v>
      </c>
      <c r="I3961" s="9"/>
      <c r="J3961" s="9"/>
      <c r="K3961" s="9"/>
      <c r="L3961" s="9"/>
      <c r="M3961" s="9"/>
      <c r="N3961" s="9"/>
      <c r="O3961" s="9"/>
      <c r="P3961" s="9"/>
      <c r="Q3961" s="9"/>
      <c r="R3961" s="9"/>
      <c r="S3961" s="9"/>
      <c r="T3961" s="9"/>
    </row>
    <row r="3962" ht="15.75" customHeight="1">
      <c r="A3962" s="11">
        <f>IFERROR(__xludf.DUMMYFUNCTION("""COMPUTED_VALUE"""),44471.0)</f>
        <v>44471</v>
      </c>
      <c r="B3962" s="9">
        <f>IFERROR(__xludf.DUMMYFUNCTION("""COMPUTED_VALUE"""),1003858.0)</f>
        <v>1003858</v>
      </c>
      <c r="C3962" s="9">
        <f>IFERROR(__xludf.DUMMYFUNCTION("""COMPUTED_VALUE"""),115758.0)</f>
        <v>115758</v>
      </c>
      <c r="D3962" s="10" t="str">
        <f>IFERROR(__xludf.DUMMYFUNCTION("""COMPUTED_VALUE"""),"Vive le bio")</f>
        <v>Vive le bio</v>
      </c>
      <c r="E3962" s="10"/>
      <c r="F3962" s="9">
        <f>IFERROR(__xludf.DUMMYFUNCTION("""COMPUTED_VALUE"""),2.32222222222222)</f>
        <v>2.322222222</v>
      </c>
      <c r="G3962" s="9">
        <f>IFERROR(__xludf.DUMMYFUNCTION("""COMPUTED_VALUE"""),2.09)</f>
        <v>2.09</v>
      </c>
      <c r="H3962" s="9">
        <f>IFERROR(__xludf.DUMMYFUNCTION("""COMPUTED_VALUE"""),2.0)</f>
        <v>2</v>
      </c>
      <c r="I3962" s="9"/>
      <c r="J3962" s="9"/>
      <c r="K3962" s="9"/>
      <c r="L3962" s="9"/>
      <c r="M3962" s="9"/>
      <c r="N3962" s="9"/>
      <c r="O3962" s="9"/>
      <c r="P3962" s="9"/>
      <c r="Q3962" s="9"/>
      <c r="R3962" s="9"/>
      <c r="S3962" s="9"/>
      <c r="T3962" s="9"/>
    </row>
    <row r="3963" ht="15.75" customHeight="1">
      <c r="A3963" s="11">
        <f>IFERROR(__xludf.DUMMYFUNCTION("""COMPUTED_VALUE"""),44471.0)</f>
        <v>44471</v>
      </c>
      <c r="B3963" s="9">
        <f>IFERROR(__xludf.DUMMYFUNCTION("""COMPUTED_VALUE"""),1003858.0)</f>
        <v>1003858</v>
      </c>
      <c r="C3963" s="9">
        <f>IFERROR(__xludf.DUMMYFUNCTION("""COMPUTED_VALUE"""),78834.0)</f>
        <v>78834</v>
      </c>
      <c r="D3963" s="9"/>
      <c r="E3963" s="9"/>
      <c r="F3963" s="9">
        <f>IFERROR(__xludf.DUMMYFUNCTION("""COMPUTED_VALUE"""),6.84)</f>
        <v>6.84</v>
      </c>
      <c r="G3963" s="9">
        <f>IFERROR(__xludf.DUMMYFUNCTION("""COMPUTED_VALUE"""),6.84)</f>
        <v>6.84</v>
      </c>
      <c r="H3963" s="9">
        <f>IFERROR(__xludf.DUMMYFUNCTION("""COMPUTED_VALUE"""),2.0)</f>
        <v>2</v>
      </c>
      <c r="I3963" s="9"/>
      <c r="J3963" s="9"/>
      <c r="K3963" s="9"/>
      <c r="L3963" s="9"/>
      <c r="M3963" s="9"/>
      <c r="N3963" s="9"/>
      <c r="O3963" s="9"/>
      <c r="P3963" s="9"/>
      <c r="Q3963" s="9"/>
      <c r="R3963" s="9"/>
      <c r="S3963" s="9"/>
      <c r="T3963" s="9"/>
    </row>
    <row r="3964" ht="15.75" customHeight="1">
      <c r="A3964" s="11">
        <f>IFERROR(__xludf.DUMMYFUNCTION("""COMPUTED_VALUE"""),44471.0)</f>
        <v>44471</v>
      </c>
      <c r="B3964" s="9">
        <f>IFERROR(__xludf.DUMMYFUNCTION("""COMPUTED_VALUE"""),1003858.0)</f>
        <v>1003858</v>
      </c>
      <c r="C3964" s="9">
        <f>IFERROR(__xludf.DUMMYFUNCTION("""COMPUTED_VALUE"""),46123.0)</f>
        <v>46123</v>
      </c>
      <c r="D3964" s="9"/>
      <c r="E3964" s="9"/>
      <c r="F3964" s="9">
        <f>IFERROR(__xludf.DUMMYFUNCTION("""COMPUTED_VALUE"""),5.36)</f>
        <v>5.36</v>
      </c>
      <c r="G3964" s="9">
        <f>IFERROR(__xludf.DUMMYFUNCTION("""COMPUTED_VALUE"""),5.36)</f>
        <v>5.36</v>
      </c>
      <c r="H3964" s="9">
        <f>IFERROR(__xludf.DUMMYFUNCTION("""COMPUTED_VALUE"""),3.0)</f>
        <v>3</v>
      </c>
      <c r="I3964" s="9"/>
      <c r="J3964" s="9"/>
      <c r="K3964" s="9"/>
      <c r="L3964" s="9"/>
      <c r="M3964" s="9"/>
      <c r="N3964" s="9"/>
      <c r="O3964" s="9"/>
      <c r="P3964" s="9"/>
      <c r="Q3964" s="9"/>
      <c r="R3964" s="9"/>
      <c r="S3964" s="9"/>
      <c r="T3964" s="9"/>
    </row>
    <row r="3965" ht="15.75" customHeight="1">
      <c r="A3965" s="11">
        <f>IFERROR(__xludf.DUMMYFUNCTION("""COMPUTED_VALUE"""),44471.0)</f>
        <v>44471</v>
      </c>
      <c r="B3965" s="9">
        <f>IFERROR(__xludf.DUMMYFUNCTION("""COMPUTED_VALUE"""),1003858.0)</f>
        <v>1003858</v>
      </c>
      <c r="C3965" s="9">
        <f>IFERROR(__xludf.DUMMYFUNCTION("""COMPUTED_VALUE"""),48180.0)</f>
        <v>48180</v>
      </c>
      <c r="D3965" s="9"/>
      <c r="E3965" s="9"/>
      <c r="F3965" s="9">
        <f>IFERROR(__xludf.DUMMYFUNCTION("""COMPUTED_VALUE"""),13.89)</f>
        <v>13.89</v>
      </c>
      <c r="G3965" s="9">
        <f>IFERROR(__xludf.DUMMYFUNCTION("""COMPUTED_VALUE"""),13.89)</f>
        <v>13.89</v>
      </c>
      <c r="H3965" s="9">
        <f>IFERROR(__xludf.DUMMYFUNCTION("""COMPUTED_VALUE"""),6.0)</f>
        <v>6</v>
      </c>
      <c r="I3965" s="9"/>
      <c r="J3965" s="9"/>
      <c r="K3965" s="9"/>
      <c r="L3965" s="9"/>
      <c r="M3965" s="9"/>
      <c r="N3965" s="9"/>
      <c r="O3965" s="9"/>
      <c r="P3965" s="9"/>
      <c r="Q3965" s="9"/>
      <c r="R3965" s="9"/>
      <c r="S3965" s="9"/>
      <c r="T3965" s="9"/>
    </row>
    <row r="3966" ht="15.75" customHeight="1">
      <c r="A3966" s="11">
        <f>IFERROR(__xludf.DUMMYFUNCTION("""COMPUTED_VALUE"""),44471.0)</f>
        <v>44471</v>
      </c>
      <c r="B3966" s="9">
        <f>IFERROR(__xludf.DUMMYFUNCTION("""COMPUTED_VALUE"""),1003859.0)</f>
        <v>1003859</v>
      </c>
      <c r="C3966" s="9">
        <f>IFERROR(__xludf.DUMMYFUNCTION("""COMPUTED_VALUE"""),115726.0)</f>
        <v>115726</v>
      </c>
      <c r="D3966" s="9"/>
      <c r="E3966" s="10" t="str">
        <f>IFERROR(__xludf.DUMMYFUNCTION("""COMPUTED_VALUE"""),"GREENRELAIS")</f>
        <v>GREENRELAIS</v>
      </c>
      <c r="F3966" s="10">
        <f>IFERROR(__xludf.DUMMYFUNCTION("""COMPUTED_VALUE"""),3.51)</f>
        <v>3.51</v>
      </c>
      <c r="G3966" s="9">
        <f>IFERROR(__xludf.DUMMYFUNCTION("""COMPUTED_VALUE"""),3.51)</f>
        <v>3.51</v>
      </c>
      <c r="H3966" s="9">
        <f>IFERROR(__xludf.DUMMYFUNCTION("""COMPUTED_VALUE"""),1.0)</f>
        <v>1</v>
      </c>
      <c r="I3966" s="9"/>
      <c r="J3966" s="9"/>
      <c r="K3966" s="9"/>
      <c r="L3966" s="9"/>
      <c r="M3966" s="9"/>
      <c r="N3966" s="9"/>
      <c r="O3966" s="9"/>
      <c r="P3966" s="9"/>
      <c r="Q3966" s="9"/>
      <c r="R3966" s="9"/>
      <c r="S3966" s="9"/>
      <c r="T3966" s="9"/>
    </row>
    <row r="3967" ht="15.75" customHeight="1">
      <c r="A3967" s="11">
        <f>IFERROR(__xludf.DUMMYFUNCTION("""COMPUTED_VALUE"""),44471.0)</f>
        <v>44471</v>
      </c>
      <c r="B3967" s="9">
        <f>IFERROR(__xludf.DUMMYFUNCTION("""COMPUTED_VALUE"""),1003859.0)</f>
        <v>1003859</v>
      </c>
      <c r="C3967" s="9">
        <f>IFERROR(__xludf.DUMMYFUNCTION("""COMPUTED_VALUE"""),158473.0)</f>
        <v>158473</v>
      </c>
      <c r="D3967" s="9"/>
      <c r="E3967" s="10" t="str">
        <f>IFERROR(__xludf.DUMMYFUNCTION("""COMPUTED_VALUE"""),"GREENRELAIS")</f>
        <v>GREENRELAIS</v>
      </c>
      <c r="F3967" s="10">
        <f>IFERROR(__xludf.DUMMYFUNCTION("""COMPUTED_VALUE"""),5.53)</f>
        <v>5.53</v>
      </c>
      <c r="G3967" s="9">
        <f>IFERROR(__xludf.DUMMYFUNCTION("""COMPUTED_VALUE"""),5.53)</f>
        <v>5.53</v>
      </c>
      <c r="H3967" s="9">
        <f>IFERROR(__xludf.DUMMYFUNCTION("""COMPUTED_VALUE"""),1.0)</f>
        <v>1</v>
      </c>
      <c r="I3967" s="9"/>
      <c r="J3967" s="9"/>
      <c r="K3967" s="9"/>
      <c r="L3967" s="9"/>
      <c r="M3967" s="9"/>
      <c r="N3967" s="9"/>
      <c r="O3967" s="9"/>
      <c r="P3967" s="9"/>
      <c r="Q3967" s="9"/>
      <c r="R3967" s="9"/>
      <c r="S3967" s="9"/>
      <c r="T3967" s="9"/>
    </row>
    <row r="3968" ht="15.75" customHeight="1">
      <c r="A3968" s="11">
        <f>IFERROR(__xludf.DUMMYFUNCTION("""COMPUTED_VALUE"""),44471.0)</f>
        <v>44471</v>
      </c>
      <c r="B3968" s="9">
        <f>IFERROR(__xludf.DUMMYFUNCTION("""COMPUTED_VALUE"""),1003859.0)</f>
        <v>1003859</v>
      </c>
      <c r="C3968" s="9">
        <f>IFERROR(__xludf.DUMMYFUNCTION("""COMPUTED_VALUE"""),78411.0)</f>
        <v>78411</v>
      </c>
      <c r="D3968" s="9"/>
      <c r="E3968" s="10" t="str">
        <f>IFERROR(__xludf.DUMMYFUNCTION("""COMPUTED_VALUE"""),"GREENRELAIS")</f>
        <v>GREENRELAIS</v>
      </c>
      <c r="F3968" s="10">
        <f>IFERROR(__xludf.DUMMYFUNCTION("""COMPUTED_VALUE"""),2.27)</f>
        <v>2.27</v>
      </c>
      <c r="G3968" s="9">
        <f>IFERROR(__xludf.DUMMYFUNCTION("""COMPUTED_VALUE"""),2.27)</f>
        <v>2.27</v>
      </c>
      <c r="H3968" s="9">
        <f>IFERROR(__xludf.DUMMYFUNCTION("""COMPUTED_VALUE"""),1.0)</f>
        <v>1</v>
      </c>
      <c r="I3968" s="9"/>
      <c r="J3968" s="9"/>
      <c r="K3968" s="9"/>
      <c r="L3968" s="9"/>
      <c r="M3968" s="9"/>
      <c r="N3968" s="9"/>
      <c r="O3968" s="9"/>
      <c r="P3968" s="9"/>
      <c r="Q3968" s="9"/>
      <c r="R3968" s="9"/>
      <c r="S3968" s="9"/>
      <c r="T3968" s="9"/>
    </row>
    <row r="3969" ht="15.75" customHeight="1">
      <c r="A3969" s="11">
        <f>IFERROR(__xludf.DUMMYFUNCTION("""COMPUTED_VALUE"""),44471.0)</f>
        <v>44471</v>
      </c>
      <c r="B3969" s="9">
        <f>IFERROR(__xludf.DUMMYFUNCTION("""COMPUTED_VALUE"""),1003859.0)</f>
        <v>1003859</v>
      </c>
      <c r="C3969" s="9">
        <f>IFERROR(__xludf.DUMMYFUNCTION("""COMPUTED_VALUE"""),115747.0)</f>
        <v>115747</v>
      </c>
      <c r="D3969" s="9"/>
      <c r="E3969" s="10" t="str">
        <f>IFERROR(__xludf.DUMMYFUNCTION("""COMPUTED_VALUE"""),"GREENRELAIS")</f>
        <v>GREENRELAIS</v>
      </c>
      <c r="F3969" s="10">
        <f>IFERROR(__xludf.DUMMYFUNCTION("""COMPUTED_VALUE"""),4.06)</f>
        <v>4.06</v>
      </c>
      <c r="G3969" s="9">
        <f>IFERROR(__xludf.DUMMYFUNCTION("""COMPUTED_VALUE"""),4.06)</f>
        <v>4.06</v>
      </c>
      <c r="H3969" s="9">
        <f>IFERROR(__xludf.DUMMYFUNCTION("""COMPUTED_VALUE"""),1.0)</f>
        <v>1</v>
      </c>
      <c r="I3969" s="9"/>
      <c r="J3969" s="9"/>
      <c r="K3969" s="9"/>
      <c r="L3969" s="9"/>
      <c r="M3969" s="9"/>
      <c r="N3969" s="9"/>
      <c r="O3969" s="9"/>
      <c r="P3969" s="9"/>
      <c r="Q3969" s="9"/>
      <c r="R3969" s="9"/>
      <c r="S3969" s="9"/>
      <c r="T3969" s="9"/>
    </row>
    <row r="3970" ht="15.75" customHeight="1">
      <c r="A3970" s="11">
        <f>IFERROR(__xludf.DUMMYFUNCTION("""COMPUTED_VALUE"""),44471.0)</f>
        <v>44471</v>
      </c>
      <c r="B3970" s="9">
        <f>IFERROR(__xludf.DUMMYFUNCTION("""COMPUTED_VALUE"""),1003859.0)</f>
        <v>1003859</v>
      </c>
      <c r="C3970" s="9">
        <f>IFERROR(__xludf.DUMMYFUNCTION("""COMPUTED_VALUE"""),49605.0)</f>
        <v>49605</v>
      </c>
      <c r="D3970" s="9"/>
      <c r="E3970" s="10" t="str">
        <f>IFERROR(__xludf.DUMMYFUNCTION("""COMPUTED_VALUE"""),"GREENRELAIS")</f>
        <v>GREENRELAIS</v>
      </c>
      <c r="F3970" s="10">
        <f>IFERROR(__xludf.DUMMYFUNCTION("""COMPUTED_VALUE"""),5.33)</f>
        <v>5.33</v>
      </c>
      <c r="G3970" s="9">
        <f>IFERROR(__xludf.DUMMYFUNCTION("""COMPUTED_VALUE"""),5.33)</f>
        <v>5.33</v>
      </c>
      <c r="H3970" s="9">
        <f>IFERROR(__xludf.DUMMYFUNCTION("""COMPUTED_VALUE"""),1.0)</f>
        <v>1</v>
      </c>
      <c r="I3970" s="9"/>
      <c r="J3970" s="9"/>
      <c r="K3970" s="9"/>
      <c r="L3970" s="9"/>
      <c r="M3970" s="9"/>
      <c r="N3970" s="9"/>
      <c r="O3970" s="9"/>
      <c r="P3970" s="9"/>
      <c r="Q3970" s="9"/>
      <c r="R3970" s="9"/>
      <c r="S3970" s="9"/>
      <c r="T3970" s="9"/>
    </row>
    <row r="3971" ht="15.75" customHeight="1">
      <c r="A3971" s="11">
        <f>IFERROR(__xludf.DUMMYFUNCTION("""COMPUTED_VALUE"""),44471.0)</f>
        <v>44471</v>
      </c>
      <c r="B3971" s="9">
        <f>IFERROR(__xludf.DUMMYFUNCTION("""COMPUTED_VALUE"""),1003859.0)</f>
        <v>1003859</v>
      </c>
      <c r="C3971" s="9">
        <f>IFERROR(__xludf.DUMMYFUNCTION("""COMPUTED_VALUE"""),77224.0)</f>
        <v>77224</v>
      </c>
      <c r="D3971" s="9"/>
      <c r="E3971" s="10" t="str">
        <f>IFERROR(__xludf.DUMMYFUNCTION("""COMPUTED_VALUE"""),"GREENRELAIS")</f>
        <v>GREENRELAIS</v>
      </c>
      <c r="F3971" s="10">
        <f>IFERROR(__xludf.DUMMYFUNCTION("""COMPUTED_VALUE"""),2.42)</f>
        <v>2.42</v>
      </c>
      <c r="G3971" s="9">
        <f>IFERROR(__xludf.DUMMYFUNCTION("""COMPUTED_VALUE"""),2.42)</f>
        <v>2.42</v>
      </c>
      <c r="H3971" s="9">
        <f>IFERROR(__xludf.DUMMYFUNCTION("""COMPUTED_VALUE"""),1.0)</f>
        <v>1</v>
      </c>
      <c r="I3971" s="9"/>
      <c r="J3971" s="9"/>
      <c r="K3971" s="9"/>
      <c r="L3971" s="9"/>
      <c r="M3971" s="9"/>
      <c r="N3971" s="9"/>
      <c r="O3971" s="9"/>
      <c r="P3971" s="9"/>
      <c r="Q3971" s="9"/>
      <c r="R3971" s="9"/>
      <c r="S3971" s="9"/>
      <c r="T3971" s="9"/>
    </row>
    <row r="3972" ht="15.75" customHeight="1">
      <c r="A3972" s="11">
        <f>IFERROR(__xludf.DUMMYFUNCTION("""COMPUTED_VALUE"""),44471.0)</f>
        <v>44471</v>
      </c>
      <c r="B3972" s="9">
        <f>IFERROR(__xludf.DUMMYFUNCTION("""COMPUTED_VALUE"""),1003859.0)</f>
        <v>1003859</v>
      </c>
      <c r="C3972" s="9">
        <f>IFERROR(__xludf.DUMMYFUNCTION("""COMPUTED_VALUE"""),120969.0)</f>
        <v>120969</v>
      </c>
      <c r="D3972" s="10" t="str">
        <f>IFERROR(__xludf.DUMMYFUNCTION("""COMPUTED_VALUE"""),"Offre Speciale")</f>
        <v>Offre Speciale</v>
      </c>
      <c r="E3972" s="10" t="str">
        <f>IFERROR(__xludf.DUMMYFUNCTION("""COMPUTED_VALUE"""),"GREENRELAIS")</f>
        <v>GREENRELAIS</v>
      </c>
      <c r="F3972" s="10">
        <f>IFERROR(__xludf.DUMMYFUNCTION("""COMPUTED_VALUE"""),8.85555555555555)</f>
        <v>8.855555556</v>
      </c>
      <c r="G3972" s="9">
        <f>IFERROR(__xludf.DUMMYFUNCTION("""COMPUTED_VALUE"""),7.97)</f>
        <v>7.97</v>
      </c>
      <c r="H3972" s="9">
        <f>IFERROR(__xludf.DUMMYFUNCTION("""COMPUTED_VALUE"""),1.0)</f>
        <v>1</v>
      </c>
      <c r="I3972" s="9"/>
      <c r="J3972" s="9"/>
      <c r="K3972" s="9"/>
      <c r="L3972" s="9"/>
      <c r="M3972" s="9"/>
      <c r="N3972" s="9"/>
      <c r="O3972" s="9"/>
      <c r="P3972" s="9"/>
      <c r="Q3972" s="9"/>
      <c r="R3972" s="9"/>
      <c r="S3972" s="9"/>
      <c r="T3972" s="9"/>
    </row>
    <row r="3973" ht="15.75" customHeight="1">
      <c r="A3973" s="11">
        <f>IFERROR(__xludf.DUMMYFUNCTION("""COMPUTED_VALUE"""),44471.0)</f>
        <v>44471</v>
      </c>
      <c r="B3973" s="9">
        <f>IFERROR(__xludf.DUMMYFUNCTION("""COMPUTED_VALUE"""),1003859.0)</f>
        <v>1003859</v>
      </c>
      <c r="C3973" s="9">
        <f>IFERROR(__xludf.DUMMYFUNCTION("""COMPUTED_VALUE"""),147285.0)</f>
        <v>147285</v>
      </c>
      <c r="D3973" s="9"/>
      <c r="E3973" s="10" t="str">
        <f>IFERROR(__xludf.DUMMYFUNCTION("""COMPUTED_VALUE"""),"GREENRELAIS")</f>
        <v>GREENRELAIS</v>
      </c>
      <c r="F3973" s="10">
        <f>IFERROR(__xludf.DUMMYFUNCTION("""COMPUTED_VALUE"""),6.19)</f>
        <v>6.19</v>
      </c>
      <c r="G3973" s="9">
        <f>IFERROR(__xludf.DUMMYFUNCTION("""COMPUTED_VALUE"""),6.19)</f>
        <v>6.19</v>
      </c>
      <c r="H3973" s="9">
        <f>IFERROR(__xludf.DUMMYFUNCTION("""COMPUTED_VALUE"""),1.0)</f>
        <v>1</v>
      </c>
      <c r="I3973" s="9"/>
      <c r="J3973" s="9"/>
      <c r="K3973" s="9"/>
      <c r="L3973" s="9"/>
      <c r="M3973" s="9"/>
      <c r="N3973" s="9"/>
      <c r="O3973" s="9"/>
      <c r="P3973" s="9"/>
      <c r="Q3973" s="9"/>
      <c r="R3973" s="9"/>
      <c r="S3973" s="9"/>
      <c r="T3973" s="9"/>
    </row>
    <row r="3974" ht="15.75" customHeight="1">
      <c r="A3974" s="11">
        <f>IFERROR(__xludf.DUMMYFUNCTION("""COMPUTED_VALUE"""),44471.0)</f>
        <v>44471</v>
      </c>
      <c r="B3974" s="9">
        <f>IFERROR(__xludf.DUMMYFUNCTION("""COMPUTED_VALUE"""),1003859.0)</f>
        <v>1003859</v>
      </c>
      <c r="C3974" s="9">
        <f>IFERROR(__xludf.DUMMYFUNCTION("""COMPUTED_VALUE"""),19782.0)</f>
        <v>19782</v>
      </c>
      <c r="D3974" s="9"/>
      <c r="E3974" s="10" t="str">
        <f>IFERROR(__xludf.DUMMYFUNCTION("""COMPUTED_VALUE"""),"GREENRELAIS")</f>
        <v>GREENRELAIS</v>
      </c>
      <c r="F3974" s="10">
        <f>IFERROR(__xludf.DUMMYFUNCTION("""COMPUTED_VALUE"""),3.6)</f>
        <v>3.6</v>
      </c>
      <c r="G3974" s="9">
        <f>IFERROR(__xludf.DUMMYFUNCTION("""COMPUTED_VALUE"""),3.6)</f>
        <v>3.6</v>
      </c>
      <c r="H3974" s="9">
        <f>IFERROR(__xludf.DUMMYFUNCTION("""COMPUTED_VALUE"""),1.0)</f>
        <v>1</v>
      </c>
      <c r="I3974" s="9"/>
      <c r="J3974" s="9"/>
      <c r="K3974" s="9"/>
      <c r="L3974" s="9"/>
      <c r="M3974" s="9"/>
      <c r="N3974" s="9"/>
      <c r="O3974" s="9"/>
      <c r="P3974" s="9"/>
      <c r="Q3974" s="9"/>
      <c r="R3974" s="9"/>
      <c r="S3974" s="9"/>
      <c r="T3974" s="9"/>
    </row>
    <row r="3975" ht="15.75" customHeight="1">
      <c r="A3975" s="11">
        <f>IFERROR(__xludf.DUMMYFUNCTION("""COMPUTED_VALUE"""),44471.0)</f>
        <v>44471</v>
      </c>
      <c r="B3975" s="9">
        <f>IFERROR(__xludf.DUMMYFUNCTION("""COMPUTED_VALUE"""),1003859.0)</f>
        <v>1003859</v>
      </c>
      <c r="C3975" s="9">
        <f>IFERROR(__xludf.DUMMYFUNCTION("""COMPUTED_VALUE"""),80809.0)</f>
        <v>80809</v>
      </c>
      <c r="D3975" s="9"/>
      <c r="E3975" s="10" t="str">
        <f>IFERROR(__xludf.DUMMYFUNCTION("""COMPUTED_VALUE"""),"GREENRELAIS")</f>
        <v>GREENRELAIS</v>
      </c>
      <c r="F3975" s="10">
        <f>IFERROR(__xludf.DUMMYFUNCTION("""COMPUTED_VALUE"""),1.55)</f>
        <v>1.55</v>
      </c>
      <c r="G3975" s="9">
        <f>IFERROR(__xludf.DUMMYFUNCTION("""COMPUTED_VALUE"""),1.55)</f>
        <v>1.55</v>
      </c>
      <c r="H3975" s="9">
        <f>IFERROR(__xludf.DUMMYFUNCTION("""COMPUTED_VALUE"""),1.0)</f>
        <v>1</v>
      </c>
      <c r="I3975" s="9"/>
      <c r="J3975" s="9"/>
      <c r="K3975" s="9"/>
      <c r="L3975" s="9"/>
      <c r="M3975" s="9"/>
      <c r="N3975" s="9"/>
      <c r="O3975" s="9"/>
      <c r="P3975" s="9"/>
      <c r="Q3975" s="9"/>
      <c r="R3975" s="9"/>
      <c r="S3975" s="9"/>
      <c r="T3975" s="9"/>
    </row>
    <row r="3976" ht="15.75" customHeight="1">
      <c r="A3976" s="11">
        <f>IFERROR(__xludf.DUMMYFUNCTION("""COMPUTED_VALUE"""),44471.0)</f>
        <v>44471</v>
      </c>
      <c r="B3976" s="9">
        <f>IFERROR(__xludf.DUMMYFUNCTION("""COMPUTED_VALUE"""),1003859.0)</f>
        <v>1003859</v>
      </c>
      <c r="C3976" s="9">
        <f>IFERROR(__xludf.DUMMYFUNCTION("""COMPUTED_VALUE"""),117832.0)</f>
        <v>117832</v>
      </c>
      <c r="D3976" s="9"/>
      <c r="E3976" s="10" t="str">
        <f>IFERROR(__xludf.DUMMYFUNCTION("""COMPUTED_VALUE"""),"GREENRELAIS")</f>
        <v>GREENRELAIS</v>
      </c>
      <c r="F3976" s="10">
        <f>IFERROR(__xludf.DUMMYFUNCTION("""COMPUTED_VALUE"""),5.46)</f>
        <v>5.46</v>
      </c>
      <c r="G3976" s="9">
        <f>IFERROR(__xludf.DUMMYFUNCTION("""COMPUTED_VALUE"""),5.46)</f>
        <v>5.46</v>
      </c>
      <c r="H3976" s="9">
        <f>IFERROR(__xludf.DUMMYFUNCTION("""COMPUTED_VALUE"""),1.0)</f>
        <v>1</v>
      </c>
      <c r="I3976" s="9"/>
      <c r="J3976" s="9"/>
      <c r="K3976" s="9"/>
      <c r="L3976" s="9"/>
      <c r="M3976" s="9"/>
      <c r="N3976" s="9"/>
      <c r="O3976" s="9"/>
      <c r="P3976" s="9"/>
      <c r="Q3976" s="9"/>
      <c r="R3976" s="9"/>
      <c r="S3976" s="9"/>
      <c r="T3976" s="9"/>
    </row>
    <row r="3977" ht="15.75" customHeight="1">
      <c r="A3977" s="11">
        <f>IFERROR(__xludf.DUMMYFUNCTION("""COMPUTED_VALUE"""),44471.0)</f>
        <v>44471</v>
      </c>
      <c r="B3977" s="9">
        <f>IFERROR(__xludf.DUMMYFUNCTION("""COMPUTED_VALUE"""),1003859.0)</f>
        <v>1003859</v>
      </c>
      <c r="C3977" s="9">
        <f>IFERROR(__xludf.DUMMYFUNCTION("""COMPUTED_VALUE"""),89665.0)</f>
        <v>89665</v>
      </c>
      <c r="D3977" s="10" t="str">
        <f>IFERROR(__xludf.DUMMYFUNCTION("""COMPUTED_VALUE"""),"Vive le bio")</f>
        <v>Vive le bio</v>
      </c>
      <c r="E3977" s="10" t="str">
        <f>IFERROR(__xludf.DUMMYFUNCTION("""COMPUTED_VALUE"""),"GREENRELAIS")</f>
        <v>GREENRELAIS</v>
      </c>
      <c r="F3977" s="10">
        <f>IFERROR(__xludf.DUMMYFUNCTION("""COMPUTED_VALUE"""),3.73333333333333)</f>
        <v>3.733333333</v>
      </c>
      <c r="G3977" s="9">
        <f>IFERROR(__xludf.DUMMYFUNCTION("""COMPUTED_VALUE"""),3.36)</f>
        <v>3.36</v>
      </c>
      <c r="H3977" s="9">
        <f>IFERROR(__xludf.DUMMYFUNCTION("""COMPUTED_VALUE"""),1.0)</f>
        <v>1</v>
      </c>
      <c r="I3977" s="9"/>
      <c r="J3977" s="9"/>
      <c r="K3977" s="9"/>
      <c r="L3977" s="9"/>
      <c r="M3977" s="9"/>
      <c r="N3977" s="9"/>
      <c r="O3977" s="9"/>
      <c r="P3977" s="9"/>
      <c r="Q3977" s="9"/>
      <c r="R3977" s="9"/>
      <c r="S3977" s="9"/>
      <c r="T3977" s="9"/>
    </row>
    <row r="3978" ht="15.75" customHeight="1">
      <c r="A3978" s="11">
        <f>IFERROR(__xludf.DUMMYFUNCTION("""COMPUTED_VALUE"""),44471.0)</f>
        <v>44471</v>
      </c>
      <c r="B3978" s="9">
        <f>IFERROR(__xludf.DUMMYFUNCTION("""COMPUTED_VALUE"""),1003859.0)</f>
        <v>1003859</v>
      </c>
      <c r="C3978" s="9">
        <f>IFERROR(__xludf.DUMMYFUNCTION("""COMPUTED_VALUE"""),19752.0)</f>
        <v>19752</v>
      </c>
      <c r="D3978" s="9"/>
      <c r="E3978" s="10" t="str">
        <f>IFERROR(__xludf.DUMMYFUNCTION("""COMPUTED_VALUE"""),"GREENRELAIS")</f>
        <v>GREENRELAIS</v>
      </c>
      <c r="F3978" s="10">
        <f>IFERROR(__xludf.DUMMYFUNCTION("""COMPUTED_VALUE"""),3.11)</f>
        <v>3.11</v>
      </c>
      <c r="G3978" s="9">
        <f>IFERROR(__xludf.DUMMYFUNCTION("""COMPUTED_VALUE"""),3.11)</f>
        <v>3.11</v>
      </c>
      <c r="H3978" s="9">
        <f>IFERROR(__xludf.DUMMYFUNCTION("""COMPUTED_VALUE"""),1.0)</f>
        <v>1</v>
      </c>
      <c r="I3978" s="9"/>
      <c r="J3978" s="9"/>
      <c r="K3978" s="9"/>
      <c r="L3978" s="9"/>
      <c r="M3978" s="9"/>
      <c r="N3978" s="9"/>
      <c r="O3978" s="9"/>
      <c r="P3978" s="9"/>
      <c r="Q3978" s="9"/>
      <c r="R3978" s="9"/>
      <c r="S3978" s="9"/>
      <c r="T3978" s="9"/>
    </row>
    <row r="3979" ht="15.75" customHeight="1">
      <c r="A3979" s="11">
        <f>IFERROR(__xludf.DUMMYFUNCTION("""COMPUTED_VALUE"""),44471.0)</f>
        <v>44471</v>
      </c>
      <c r="B3979" s="9">
        <f>IFERROR(__xludf.DUMMYFUNCTION("""COMPUTED_VALUE"""),1003861.0)</f>
        <v>1003861</v>
      </c>
      <c r="C3979" s="9">
        <f>IFERROR(__xludf.DUMMYFUNCTION("""COMPUTED_VALUE"""),69469.0)</f>
        <v>69469</v>
      </c>
      <c r="D3979" s="9"/>
      <c r="E3979" s="10" t="str">
        <f>IFERROR(__xludf.DUMMYFUNCTION("""COMPUTED_VALUE"""),"HAPPEEZ")</f>
        <v>HAPPEEZ</v>
      </c>
      <c r="F3979" s="10">
        <f>IFERROR(__xludf.DUMMYFUNCTION("""COMPUTED_VALUE"""),4.06)</f>
        <v>4.06</v>
      </c>
      <c r="G3979" s="9">
        <f>IFERROR(__xludf.DUMMYFUNCTION("""COMPUTED_VALUE"""),4.06)</f>
        <v>4.06</v>
      </c>
      <c r="H3979" s="9">
        <f>IFERROR(__xludf.DUMMYFUNCTION("""COMPUTED_VALUE"""),1.0)</f>
        <v>1</v>
      </c>
      <c r="I3979" s="9"/>
      <c r="J3979" s="9"/>
      <c r="K3979" s="9"/>
      <c r="L3979" s="9"/>
      <c r="M3979" s="9"/>
      <c r="N3979" s="9"/>
      <c r="O3979" s="9"/>
      <c r="P3979" s="9"/>
      <c r="Q3979" s="9"/>
      <c r="R3979" s="9"/>
      <c r="S3979" s="9"/>
      <c r="T3979" s="9"/>
    </row>
    <row r="3980" ht="15.75" customHeight="1">
      <c r="A3980" s="11">
        <f>IFERROR(__xludf.DUMMYFUNCTION("""COMPUTED_VALUE"""),44471.0)</f>
        <v>44471</v>
      </c>
      <c r="B3980" s="9">
        <f>IFERROR(__xludf.DUMMYFUNCTION("""COMPUTED_VALUE"""),1003861.0)</f>
        <v>1003861</v>
      </c>
      <c r="C3980" s="9">
        <f>IFERROR(__xludf.DUMMYFUNCTION("""COMPUTED_VALUE"""),116187.0)</f>
        <v>116187</v>
      </c>
      <c r="D3980" s="9"/>
      <c r="E3980" s="10" t="str">
        <f>IFERROR(__xludf.DUMMYFUNCTION("""COMPUTED_VALUE"""),"HAPPEEZ")</f>
        <v>HAPPEEZ</v>
      </c>
      <c r="F3980" s="10">
        <f>IFERROR(__xludf.DUMMYFUNCTION("""COMPUTED_VALUE"""),2.79)</f>
        <v>2.79</v>
      </c>
      <c r="G3980" s="9">
        <f>IFERROR(__xludf.DUMMYFUNCTION("""COMPUTED_VALUE"""),2.79)</f>
        <v>2.79</v>
      </c>
      <c r="H3980" s="9">
        <f>IFERROR(__xludf.DUMMYFUNCTION("""COMPUTED_VALUE"""),1.0)</f>
        <v>1</v>
      </c>
      <c r="I3980" s="9"/>
      <c r="J3980" s="9"/>
      <c r="K3980" s="9"/>
      <c r="L3980" s="9"/>
      <c r="M3980" s="9"/>
      <c r="N3980" s="9"/>
      <c r="O3980" s="9"/>
      <c r="P3980" s="9"/>
      <c r="Q3980" s="9"/>
      <c r="R3980" s="9"/>
      <c r="S3980" s="9"/>
      <c r="T3980" s="9"/>
    </row>
    <row r="3981" ht="15.75" customHeight="1">
      <c r="A3981" s="11">
        <f>IFERROR(__xludf.DUMMYFUNCTION("""COMPUTED_VALUE"""),44471.0)</f>
        <v>44471</v>
      </c>
      <c r="B3981" s="9">
        <f>IFERROR(__xludf.DUMMYFUNCTION("""COMPUTED_VALUE"""),1003861.0)</f>
        <v>1003861</v>
      </c>
      <c r="C3981" s="9">
        <f>IFERROR(__xludf.DUMMYFUNCTION("""COMPUTED_VALUE"""),26094.0)</f>
        <v>26094</v>
      </c>
      <c r="D3981" s="10" t="str">
        <f>IFERROR(__xludf.DUMMYFUNCTION("""COMPUTED_VALUE"""),"Vive le bio")</f>
        <v>Vive le bio</v>
      </c>
      <c r="E3981" s="10" t="str">
        <f>IFERROR(__xludf.DUMMYFUNCTION("""COMPUTED_VALUE"""),"HAPPEEZ")</f>
        <v>HAPPEEZ</v>
      </c>
      <c r="F3981" s="10">
        <f>IFERROR(__xludf.DUMMYFUNCTION("""COMPUTED_VALUE"""),2.22222222222222)</f>
        <v>2.222222222</v>
      </c>
      <c r="G3981" s="9">
        <f>IFERROR(__xludf.DUMMYFUNCTION("""COMPUTED_VALUE"""),2.0)</f>
        <v>2</v>
      </c>
      <c r="H3981" s="9">
        <f>IFERROR(__xludf.DUMMYFUNCTION("""COMPUTED_VALUE"""),1.0)</f>
        <v>1</v>
      </c>
      <c r="I3981" s="9"/>
      <c r="J3981" s="9"/>
      <c r="K3981" s="9"/>
      <c r="L3981" s="9"/>
      <c r="M3981" s="9"/>
      <c r="N3981" s="9"/>
      <c r="O3981" s="9"/>
      <c r="P3981" s="9"/>
      <c r="Q3981" s="9"/>
      <c r="R3981" s="9"/>
      <c r="S3981" s="9"/>
      <c r="T3981" s="9"/>
    </row>
    <row r="3982" ht="15.75" customHeight="1">
      <c r="A3982" s="11">
        <f>IFERROR(__xludf.DUMMYFUNCTION("""COMPUTED_VALUE"""),44471.0)</f>
        <v>44471</v>
      </c>
      <c r="B3982" s="9">
        <f>IFERROR(__xludf.DUMMYFUNCTION("""COMPUTED_VALUE"""),1003861.0)</f>
        <v>1003861</v>
      </c>
      <c r="C3982" s="9">
        <f>IFERROR(__xludf.DUMMYFUNCTION("""COMPUTED_VALUE"""),118824.0)</f>
        <v>118824</v>
      </c>
      <c r="D3982" s="9"/>
      <c r="E3982" s="10" t="str">
        <f>IFERROR(__xludf.DUMMYFUNCTION("""COMPUTED_VALUE"""),"HAPPEEZ")</f>
        <v>HAPPEEZ</v>
      </c>
      <c r="F3982" s="10">
        <f>IFERROR(__xludf.DUMMYFUNCTION("""COMPUTED_VALUE"""),5.12)</f>
        <v>5.12</v>
      </c>
      <c r="G3982" s="9">
        <f>IFERROR(__xludf.DUMMYFUNCTION("""COMPUTED_VALUE"""),5.12)</f>
        <v>5.12</v>
      </c>
      <c r="H3982" s="9">
        <f>IFERROR(__xludf.DUMMYFUNCTION("""COMPUTED_VALUE"""),1.0)</f>
        <v>1</v>
      </c>
      <c r="I3982" s="9"/>
      <c r="J3982" s="9"/>
      <c r="K3982" s="9"/>
      <c r="L3982" s="9"/>
      <c r="M3982" s="9"/>
      <c r="N3982" s="9"/>
      <c r="O3982" s="9"/>
      <c r="P3982" s="9"/>
      <c r="Q3982" s="9"/>
      <c r="R3982" s="9"/>
      <c r="S3982" s="9"/>
      <c r="T3982" s="9"/>
    </row>
    <row r="3983" ht="15.75" customHeight="1">
      <c r="A3983" s="11">
        <f>IFERROR(__xludf.DUMMYFUNCTION("""COMPUTED_VALUE"""),44471.0)</f>
        <v>44471</v>
      </c>
      <c r="B3983" s="9">
        <f>IFERROR(__xludf.DUMMYFUNCTION("""COMPUTED_VALUE"""),1003861.0)</f>
        <v>1003861</v>
      </c>
      <c r="C3983" s="9">
        <f>IFERROR(__xludf.DUMMYFUNCTION("""COMPUTED_VALUE"""),87282.0)</f>
        <v>87282</v>
      </c>
      <c r="D3983" s="10" t="str">
        <f>IFERROR(__xludf.DUMMYFUNCTION("""COMPUTED_VALUE"""),"Vive le bio")</f>
        <v>Vive le bio</v>
      </c>
      <c r="E3983" s="10" t="str">
        <f>IFERROR(__xludf.DUMMYFUNCTION("""COMPUTED_VALUE"""),"HAPPEEZ")</f>
        <v>HAPPEEZ</v>
      </c>
      <c r="F3983" s="10">
        <f>IFERROR(__xludf.DUMMYFUNCTION("""COMPUTED_VALUE"""),3.14444444444444)</f>
        <v>3.144444444</v>
      </c>
      <c r="G3983" s="9">
        <f>IFERROR(__xludf.DUMMYFUNCTION("""COMPUTED_VALUE"""),2.83)</f>
        <v>2.83</v>
      </c>
      <c r="H3983" s="9">
        <f>IFERROR(__xludf.DUMMYFUNCTION("""COMPUTED_VALUE"""),1.0)</f>
        <v>1</v>
      </c>
      <c r="I3983" s="9"/>
      <c r="J3983" s="9"/>
      <c r="K3983" s="9"/>
      <c r="L3983" s="9"/>
      <c r="M3983" s="9"/>
      <c r="N3983" s="9"/>
      <c r="O3983" s="9"/>
      <c r="P3983" s="9"/>
      <c r="Q3983" s="9"/>
      <c r="R3983" s="9"/>
      <c r="S3983" s="9"/>
      <c r="T3983" s="9"/>
    </row>
    <row r="3984" ht="15.75" customHeight="1">
      <c r="A3984" s="11">
        <f>IFERROR(__xludf.DUMMYFUNCTION("""COMPUTED_VALUE"""),44471.0)</f>
        <v>44471</v>
      </c>
      <c r="B3984" s="9">
        <f>IFERROR(__xludf.DUMMYFUNCTION("""COMPUTED_VALUE"""),1003861.0)</f>
        <v>1003861</v>
      </c>
      <c r="C3984" s="9">
        <f>IFERROR(__xludf.DUMMYFUNCTION("""COMPUTED_VALUE"""),46109.0)</f>
        <v>46109</v>
      </c>
      <c r="D3984" s="9"/>
      <c r="E3984" s="10" t="str">
        <f>IFERROR(__xludf.DUMMYFUNCTION("""COMPUTED_VALUE"""),"HAPPEEZ")</f>
        <v>HAPPEEZ</v>
      </c>
      <c r="F3984" s="10">
        <f>IFERROR(__xludf.DUMMYFUNCTION("""COMPUTED_VALUE"""),1.91)</f>
        <v>1.91</v>
      </c>
      <c r="G3984" s="9">
        <f>IFERROR(__xludf.DUMMYFUNCTION("""COMPUTED_VALUE"""),1.91)</f>
        <v>1.91</v>
      </c>
      <c r="H3984" s="9">
        <f>IFERROR(__xludf.DUMMYFUNCTION("""COMPUTED_VALUE"""),1.0)</f>
        <v>1</v>
      </c>
      <c r="I3984" s="9"/>
      <c r="J3984" s="9"/>
      <c r="K3984" s="9"/>
      <c r="L3984" s="9"/>
      <c r="M3984" s="9"/>
      <c r="N3984" s="9"/>
      <c r="O3984" s="9"/>
      <c r="P3984" s="9"/>
      <c r="Q3984" s="9"/>
      <c r="R3984" s="9"/>
      <c r="S3984" s="9"/>
      <c r="T3984" s="9"/>
    </row>
    <row r="3985" ht="15.75" customHeight="1">
      <c r="A3985" s="11">
        <f>IFERROR(__xludf.DUMMYFUNCTION("""COMPUTED_VALUE"""),44471.0)</f>
        <v>44471</v>
      </c>
      <c r="B3985" s="9">
        <f>IFERROR(__xludf.DUMMYFUNCTION("""COMPUTED_VALUE"""),1003861.0)</f>
        <v>1003861</v>
      </c>
      <c r="C3985" s="9">
        <f>IFERROR(__xludf.DUMMYFUNCTION("""COMPUTED_VALUE"""),87242.0)</f>
        <v>87242</v>
      </c>
      <c r="D3985" s="10" t="str">
        <f>IFERROR(__xludf.DUMMYFUNCTION("""COMPUTED_VALUE"""),"Vive le bio")</f>
        <v>Vive le bio</v>
      </c>
      <c r="E3985" s="10" t="str">
        <f>IFERROR(__xludf.DUMMYFUNCTION("""COMPUTED_VALUE"""),"HAPPEEZ")</f>
        <v>HAPPEEZ</v>
      </c>
      <c r="F3985" s="10">
        <f>IFERROR(__xludf.DUMMYFUNCTION("""COMPUTED_VALUE"""),5.82222222222222)</f>
        <v>5.822222222</v>
      </c>
      <c r="G3985" s="9">
        <f>IFERROR(__xludf.DUMMYFUNCTION("""COMPUTED_VALUE"""),5.24)</f>
        <v>5.24</v>
      </c>
      <c r="H3985" s="9">
        <f>IFERROR(__xludf.DUMMYFUNCTION("""COMPUTED_VALUE"""),1.0)</f>
        <v>1</v>
      </c>
      <c r="I3985" s="9"/>
      <c r="J3985" s="9"/>
      <c r="K3985" s="9"/>
      <c r="L3985" s="9"/>
      <c r="M3985" s="9"/>
      <c r="N3985" s="9"/>
      <c r="O3985" s="9"/>
      <c r="P3985" s="9"/>
      <c r="Q3985" s="9"/>
      <c r="R3985" s="9"/>
      <c r="S3985" s="9"/>
      <c r="T3985" s="9"/>
    </row>
    <row r="3986" ht="15.75" customHeight="1">
      <c r="A3986" s="11">
        <f>IFERROR(__xludf.DUMMYFUNCTION("""COMPUTED_VALUE"""),44471.0)</f>
        <v>44471</v>
      </c>
      <c r="B3986" s="9">
        <f>IFERROR(__xludf.DUMMYFUNCTION("""COMPUTED_VALUE"""),1003861.0)</f>
        <v>1003861</v>
      </c>
      <c r="C3986" s="9">
        <f>IFERROR(__xludf.DUMMYFUNCTION("""COMPUTED_VALUE"""),46119.0)</f>
        <v>46119</v>
      </c>
      <c r="D3986" s="9"/>
      <c r="E3986" s="10" t="str">
        <f>IFERROR(__xludf.DUMMYFUNCTION("""COMPUTED_VALUE"""),"HAPPEEZ")</f>
        <v>HAPPEEZ</v>
      </c>
      <c r="F3986" s="10">
        <f>IFERROR(__xludf.DUMMYFUNCTION("""COMPUTED_VALUE"""),4.3)</f>
        <v>4.3</v>
      </c>
      <c r="G3986" s="9">
        <f>IFERROR(__xludf.DUMMYFUNCTION("""COMPUTED_VALUE"""),4.3)</f>
        <v>4.3</v>
      </c>
      <c r="H3986" s="9">
        <f>IFERROR(__xludf.DUMMYFUNCTION("""COMPUTED_VALUE"""),2.0)</f>
        <v>2</v>
      </c>
      <c r="I3986" s="9"/>
      <c r="J3986" s="9"/>
      <c r="K3986" s="9"/>
      <c r="L3986" s="9"/>
      <c r="M3986" s="9"/>
      <c r="N3986" s="9"/>
      <c r="O3986" s="9"/>
      <c r="P3986" s="9"/>
      <c r="Q3986" s="9"/>
      <c r="R3986" s="9"/>
      <c r="S3986" s="9"/>
      <c r="T3986" s="9"/>
    </row>
    <row r="3987" ht="15.75" customHeight="1">
      <c r="A3987" s="11">
        <f>IFERROR(__xludf.DUMMYFUNCTION("""COMPUTED_VALUE"""),44471.0)</f>
        <v>44471</v>
      </c>
      <c r="B3987" s="9">
        <f>IFERROR(__xludf.DUMMYFUNCTION("""COMPUTED_VALUE"""),1003861.0)</f>
        <v>1003861</v>
      </c>
      <c r="C3987" s="9">
        <f>IFERROR(__xludf.DUMMYFUNCTION("""COMPUTED_VALUE"""),5553.0)</f>
        <v>5553</v>
      </c>
      <c r="D3987" s="9"/>
      <c r="E3987" s="10" t="str">
        <f>IFERROR(__xludf.DUMMYFUNCTION("""COMPUTED_VALUE"""),"HAPPEEZ")</f>
        <v>HAPPEEZ</v>
      </c>
      <c r="F3987" s="10">
        <f>IFERROR(__xludf.DUMMYFUNCTION("""COMPUTED_VALUE"""),6.57)</f>
        <v>6.57</v>
      </c>
      <c r="G3987" s="9">
        <f>IFERROR(__xludf.DUMMYFUNCTION("""COMPUTED_VALUE"""),6.57)</f>
        <v>6.57</v>
      </c>
      <c r="H3987" s="9">
        <f>IFERROR(__xludf.DUMMYFUNCTION("""COMPUTED_VALUE"""),2.0)</f>
        <v>2</v>
      </c>
      <c r="I3987" s="9"/>
      <c r="J3987" s="9"/>
      <c r="K3987" s="9"/>
      <c r="L3987" s="9"/>
      <c r="M3987" s="9"/>
      <c r="N3987" s="9"/>
      <c r="O3987" s="9"/>
      <c r="P3987" s="9"/>
      <c r="Q3987" s="9"/>
      <c r="R3987" s="9"/>
      <c r="S3987" s="9"/>
      <c r="T3987" s="9"/>
    </row>
    <row r="3988" ht="15.75" customHeight="1">
      <c r="A3988" s="11">
        <f>IFERROR(__xludf.DUMMYFUNCTION("""COMPUTED_VALUE"""),44471.0)</f>
        <v>44471</v>
      </c>
      <c r="B3988" s="9">
        <f>IFERROR(__xludf.DUMMYFUNCTION("""COMPUTED_VALUE"""),1003861.0)</f>
        <v>1003861</v>
      </c>
      <c r="C3988" s="9">
        <f>IFERROR(__xludf.DUMMYFUNCTION("""COMPUTED_VALUE"""),17609.0)</f>
        <v>17609</v>
      </c>
      <c r="D3988" s="9"/>
      <c r="E3988" s="10" t="str">
        <f>IFERROR(__xludf.DUMMYFUNCTION("""COMPUTED_VALUE"""),"HAPPEEZ")</f>
        <v>HAPPEEZ</v>
      </c>
      <c r="F3988" s="10">
        <f>IFERROR(__xludf.DUMMYFUNCTION("""COMPUTED_VALUE"""),21.28)</f>
        <v>21.28</v>
      </c>
      <c r="G3988" s="9">
        <f>IFERROR(__xludf.DUMMYFUNCTION("""COMPUTED_VALUE"""),21.28)</f>
        <v>21.28</v>
      </c>
      <c r="H3988" s="9">
        <f>IFERROR(__xludf.DUMMYFUNCTION("""COMPUTED_VALUE"""),2.0)</f>
        <v>2</v>
      </c>
      <c r="I3988" s="9"/>
      <c r="J3988" s="9"/>
      <c r="K3988" s="9"/>
      <c r="L3988" s="9"/>
      <c r="M3988" s="9"/>
      <c r="N3988" s="9"/>
      <c r="O3988" s="9"/>
      <c r="P3988" s="9"/>
      <c r="Q3988" s="9"/>
      <c r="R3988" s="9"/>
      <c r="S3988" s="9"/>
      <c r="T3988" s="9"/>
    </row>
    <row r="3989" ht="15.75" customHeight="1">
      <c r="A3989" s="11">
        <f>IFERROR(__xludf.DUMMYFUNCTION("""COMPUTED_VALUE"""),44471.0)</f>
        <v>44471</v>
      </c>
      <c r="B3989" s="9">
        <f>IFERROR(__xludf.DUMMYFUNCTION("""COMPUTED_VALUE"""),1003861.0)</f>
        <v>1003861</v>
      </c>
      <c r="C3989" s="9">
        <f>IFERROR(__xludf.DUMMYFUNCTION("""COMPUTED_VALUE"""),77361.0)</f>
        <v>77361</v>
      </c>
      <c r="D3989" s="9"/>
      <c r="E3989" s="10" t="str">
        <f>IFERROR(__xludf.DUMMYFUNCTION("""COMPUTED_VALUE"""),"HAPPEEZ")</f>
        <v>HAPPEEZ</v>
      </c>
      <c r="F3989" s="10">
        <f>IFERROR(__xludf.DUMMYFUNCTION("""COMPUTED_VALUE"""),7.45)</f>
        <v>7.45</v>
      </c>
      <c r="G3989" s="9">
        <f>IFERROR(__xludf.DUMMYFUNCTION("""COMPUTED_VALUE"""),7.45)</f>
        <v>7.45</v>
      </c>
      <c r="H3989" s="9">
        <f>IFERROR(__xludf.DUMMYFUNCTION("""COMPUTED_VALUE"""),2.0)</f>
        <v>2</v>
      </c>
      <c r="I3989" s="9"/>
      <c r="J3989" s="9"/>
      <c r="K3989" s="9"/>
      <c r="L3989" s="9"/>
      <c r="M3989" s="9"/>
      <c r="N3989" s="9"/>
      <c r="O3989" s="9"/>
      <c r="P3989" s="9"/>
      <c r="Q3989" s="9"/>
      <c r="R3989" s="9"/>
      <c r="S3989" s="9"/>
      <c r="T3989" s="9"/>
    </row>
    <row r="3990" ht="15.75" customHeight="1">
      <c r="A3990" s="11">
        <f>IFERROR(__xludf.DUMMYFUNCTION("""COMPUTED_VALUE"""),44471.0)</f>
        <v>44471</v>
      </c>
      <c r="B3990" s="9">
        <f>IFERROR(__xludf.DUMMYFUNCTION("""COMPUTED_VALUE"""),1003861.0)</f>
        <v>1003861</v>
      </c>
      <c r="C3990" s="9">
        <f>IFERROR(__xludf.DUMMYFUNCTION("""COMPUTED_VALUE"""),26096.0)</f>
        <v>26096</v>
      </c>
      <c r="D3990" s="9"/>
      <c r="E3990" s="10" t="str">
        <f>IFERROR(__xludf.DUMMYFUNCTION("""COMPUTED_VALUE"""),"HAPPEEZ")</f>
        <v>HAPPEEZ</v>
      </c>
      <c r="F3990" s="10">
        <f>IFERROR(__xludf.DUMMYFUNCTION("""COMPUTED_VALUE"""),3.49)</f>
        <v>3.49</v>
      </c>
      <c r="G3990" s="9">
        <f>IFERROR(__xludf.DUMMYFUNCTION("""COMPUTED_VALUE"""),3.49)</f>
        <v>3.49</v>
      </c>
      <c r="H3990" s="9">
        <f>IFERROR(__xludf.DUMMYFUNCTION("""COMPUTED_VALUE"""),2.0)</f>
        <v>2</v>
      </c>
      <c r="I3990" s="9"/>
      <c r="J3990" s="9"/>
      <c r="K3990" s="9"/>
      <c r="L3990" s="9"/>
      <c r="M3990" s="9"/>
      <c r="N3990" s="9"/>
      <c r="O3990" s="9"/>
      <c r="P3990" s="9"/>
      <c r="Q3990" s="9"/>
      <c r="R3990" s="9"/>
      <c r="S3990" s="9"/>
      <c r="T3990" s="9"/>
    </row>
    <row r="3991" ht="15.75" customHeight="1">
      <c r="A3991" s="11">
        <f>IFERROR(__xludf.DUMMYFUNCTION("""COMPUTED_VALUE"""),44471.0)</f>
        <v>44471</v>
      </c>
      <c r="B3991" s="9">
        <f>IFERROR(__xludf.DUMMYFUNCTION("""COMPUTED_VALUE"""),1003861.0)</f>
        <v>1003861</v>
      </c>
      <c r="C3991" s="9">
        <f>IFERROR(__xludf.DUMMYFUNCTION("""COMPUTED_VALUE"""),76290.0)</f>
        <v>76290</v>
      </c>
      <c r="D3991" s="10" t="str">
        <f>IFERROR(__xludf.DUMMYFUNCTION("""COMPUTED_VALUE"""),"Vive le bio")</f>
        <v>Vive le bio</v>
      </c>
      <c r="E3991" s="10" t="str">
        <f>IFERROR(__xludf.DUMMYFUNCTION("""COMPUTED_VALUE"""),"HAPPEEZ")</f>
        <v>HAPPEEZ</v>
      </c>
      <c r="F3991" s="10">
        <f>IFERROR(__xludf.DUMMYFUNCTION("""COMPUTED_VALUE"""),3.78888888888888)</f>
        <v>3.788888889</v>
      </c>
      <c r="G3991" s="9">
        <f>IFERROR(__xludf.DUMMYFUNCTION("""COMPUTED_VALUE"""),3.41)</f>
        <v>3.41</v>
      </c>
      <c r="H3991" s="9">
        <f>IFERROR(__xludf.DUMMYFUNCTION("""COMPUTED_VALUE"""),2.0)</f>
        <v>2</v>
      </c>
      <c r="I3991" s="9"/>
      <c r="J3991" s="9"/>
      <c r="K3991" s="9"/>
      <c r="L3991" s="9"/>
      <c r="M3991" s="9"/>
      <c r="N3991" s="9"/>
      <c r="O3991" s="9"/>
      <c r="P3991" s="9"/>
      <c r="Q3991" s="9"/>
      <c r="R3991" s="9"/>
      <c r="S3991" s="9"/>
      <c r="T3991" s="9"/>
    </row>
    <row r="3992" ht="15.75" customHeight="1">
      <c r="A3992" s="11">
        <f>IFERROR(__xludf.DUMMYFUNCTION("""COMPUTED_VALUE"""),44471.0)</f>
        <v>44471</v>
      </c>
      <c r="B3992" s="9">
        <f>IFERROR(__xludf.DUMMYFUNCTION("""COMPUTED_VALUE"""),1003861.0)</f>
        <v>1003861</v>
      </c>
      <c r="C3992" s="9">
        <f>IFERROR(__xludf.DUMMYFUNCTION("""COMPUTED_VALUE"""),118304.0)</f>
        <v>118304</v>
      </c>
      <c r="D3992" s="10" t="str">
        <f>IFERROR(__xludf.DUMMYFUNCTION("""COMPUTED_VALUE"""),"Vive le bio")</f>
        <v>Vive le bio</v>
      </c>
      <c r="E3992" s="10" t="str">
        <f>IFERROR(__xludf.DUMMYFUNCTION("""COMPUTED_VALUE"""),"HAPPEEZ")</f>
        <v>HAPPEEZ</v>
      </c>
      <c r="F3992" s="10">
        <f>IFERROR(__xludf.DUMMYFUNCTION("""COMPUTED_VALUE"""),7.25555555555555)</f>
        <v>7.255555556</v>
      </c>
      <c r="G3992" s="9">
        <f>IFERROR(__xludf.DUMMYFUNCTION("""COMPUTED_VALUE"""),6.53)</f>
        <v>6.53</v>
      </c>
      <c r="H3992" s="9">
        <f>IFERROR(__xludf.DUMMYFUNCTION("""COMPUTED_VALUE"""),3.0)</f>
        <v>3</v>
      </c>
      <c r="I3992" s="9"/>
      <c r="J3992" s="9"/>
      <c r="K3992" s="9"/>
      <c r="L3992" s="9"/>
      <c r="M3992" s="9"/>
      <c r="N3992" s="9"/>
      <c r="O3992" s="9"/>
      <c r="P3992" s="9"/>
      <c r="Q3992" s="9"/>
      <c r="R3992" s="9"/>
      <c r="S3992" s="9"/>
      <c r="T3992" s="9"/>
    </row>
    <row r="3993" ht="15.75" customHeight="1">
      <c r="A3993" s="11">
        <f>IFERROR(__xludf.DUMMYFUNCTION("""COMPUTED_VALUE"""),44471.0)</f>
        <v>44471</v>
      </c>
      <c r="B3993" s="9">
        <f>IFERROR(__xludf.DUMMYFUNCTION("""COMPUTED_VALUE"""),1003861.0)</f>
        <v>1003861</v>
      </c>
      <c r="C3993" s="9">
        <f>IFERROR(__xludf.DUMMYFUNCTION("""COMPUTED_VALUE"""),121477.0)</f>
        <v>121477</v>
      </c>
      <c r="D3993" s="9"/>
      <c r="E3993" s="10" t="str">
        <f>IFERROR(__xludf.DUMMYFUNCTION("""COMPUTED_VALUE"""),"HAPPEEZ")</f>
        <v>HAPPEEZ</v>
      </c>
      <c r="F3993" s="10">
        <f>IFERROR(__xludf.DUMMYFUNCTION("""COMPUTED_VALUE"""),6.67)</f>
        <v>6.67</v>
      </c>
      <c r="G3993" s="9">
        <f>IFERROR(__xludf.DUMMYFUNCTION("""COMPUTED_VALUE"""),6.67)</f>
        <v>6.67</v>
      </c>
      <c r="H3993" s="9">
        <f>IFERROR(__xludf.DUMMYFUNCTION("""COMPUTED_VALUE"""),3.0)</f>
        <v>3</v>
      </c>
      <c r="I3993" s="9"/>
      <c r="J3993" s="9"/>
      <c r="K3993" s="9"/>
      <c r="L3993" s="9"/>
      <c r="M3993" s="9"/>
      <c r="N3993" s="9"/>
      <c r="O3993" s="9"/>
      <c r="P3993" s="9"/>
      <c r="Q3993" s="9"/>
      <c r="R3993" s="9"/>
      <c r="S3993" s="9"/>
      <c r="T3993" s="9"/>
    </row>
    <row r="3994" ht="15.75" customHeight="1">
      <c r="A3994" s="11">
        <f>IFERROR(__xludf.DUMMYFUNCTION("""COMPUTED_VALUE"""),44471.0)</f>
        <v>44471</v>
      </c>
      <c r="B3994" s="9">
        <f>IFERROR(__xludf.DUMMYFUNCTION("""COMPUTED_VALUE"""),1003861.0)</f>
        <v>1003861</v>
      </c>
      <c r="C3994" s="9">
        <f>IFERROR(__xludf.DUMMYFUNCTION("""COMPUTED_VALUE"""),113096.0)</f>
        <v>113096</v>
      </c>
      <c r="D3994" s="9"/>
      <c r="E3994" s="10" t="str">
        <f>IFERROR(__xludf.DUMMYFUNCTION("""COMPUTED_VALUE"""),"HAPPEEZ")</f>
        <v>HAPPEEZ</v>
      </c>
      <c r="F3994" s="10">
        <f>IFERROR(__xludf.DUMMYFUNCTION("""COMPUTED_VALUE"""),9.86)</f>
        <v>9.86</v>
      </c>
      <c r="G3994" s="9">
        <f>IFERROR(__xludf.DUMMYFUNCTION("""COMPUTED_VALUE"""),9.86)</f>
        <v>9.86</v>
      </c>
      <c r="H3994" s="9">
        <f>IFERROR(__xludf.DUMMYFUNCTION("""COMPUTED_VALUE"""),3.0)</f>
        <v>3</v>
      </c>
      <c r="I3994" s="9"/>
      <c r="J3994" s="9"/>
      <c r="K3994" s="9"/>
      <c r="L3994" s="9"/>
      <c r="M3994" s="9"/>
      <c r="N3994" s="9"/>
      <c r="O3994" s="9"/>
      <c r="P3994" s="9"/>
      <c r="Q3994" s="9"/>
      <c r="R3994" s="9"/>
      <c r="S3994" s="9"/>
      <c r="T3994" s="9"/>
    </row>
    <row r="3995" ht="15.75" customHeight="1">
      <c r="A3995" s="11">
        <f>IFERROR(__xludf.DUMMYFUNCTION("""COMPUTED_VALUE"""),44471.0)</f>
        <v>44471</v>
      </c>
      <c r="B3995" s="9">
        <f>IFERROR(__xludf.DUMMYFUNCTION("""COMPUTED_VALUE"""),1003861.0)</f>
        <v>1003861</v>
      </c>
      <c r="C3995" s="9">
        <f>IFERROR(__xludf.DUMMYFUNCTION("""COMPUTED_VALUE"""),76455.0)</f>
        <v>76455</v>
      </c>
      <c r="D3995" s="9"/>
      <c r="E3995" s="10" t="str">
        <f>IFERROR(__xludf.DUMMYFUNCTION("""COMPUTED_VALUE"""),"HAPPEEZ")</f>
        <v>HAPPEEZ</v>
      </c>
      <c r="F3995" s="10">
        <f>IFERROR(__xludf.DUMMYFUNCTION("""COMPUTED_VALUE"""),6.45)</f>
        <v>6.45</v>
      </c>
      <c r="G3995" s="9">
        <f>IFERROR(__xludf.DUMMYFUNCTION("""COMPUTED_VALUE"""),6.45)</f>
        <v>6.45</v>
      </c>
      <c r="H3995" s="9">
        <f>IFERROR(__xludf.DUMMYFUNCTION("""COMPUTED_VALUE"""),3.0)</f>
        <v>3</v>
      </c>
      <c r="I3995" s="9"/>
      <c r="J3995" s="9"/>
      <c r="K3995" s="9"/>
      <c r="L3995" s="9"/>
      <c r="M3995" s="9"/>
      <c r="N3995" s="9"/>
      <c r="O3995" s="9"/>
      <c r="P3995" s="9"/>
      <c r="Q3995" s="9"/>
      <c r="R3995" s="9"/>
      <c r="S3995" s="9"/>
      <c r="T3995" s="9"/>
    </row>
    <row r="3996" ht="15.75" customHeight="1">
      <c r="A3996" s="11">
        <f>IFERROR(__xludf.DUMMYFUNCTION("""COMPUTED_VALUE"""),44471.0)</f>
        <v>44471</v>
      </c>
      <c r="B3996" s="9">
        <f>IFERROR(__xludf.DUMMYFUNCTION("""COMPUTED_VALUE"""),1003861.0)</f>
        <v>1003861</v>
      </c>
      <c r="C3996" s="9">
        <f>IFERROR(__xludf.DUMMYFUNCTION("""COMPUTED_VALUE"""),110431.0)</f>
        <v>110431</v>
      </c>
      <c r="D3996" s="9"/>
      <c r="E3996" s="10" t="str">
        <f>IFERROR(__xludf.DUMMYFUNCTION("""COMPUTED_VALUE"""),"HAPPEEZ")</f>
        <v>HAPPEEZ</v>
      </c>
      <c r="F3996" s="10">
        <f>IFERROR(__xludf.DUMMYFUNCTION("""COMPUTED_VALUE"""),5.21)</f>
        <v>5.21</v>
      </c>
      <c r="G3996" s="9">
        <f>IFERROR(__xludf.DUMMYFUNCTION("""COMPUTED_VALUE"""),5.21)</f>
        <v>5.21</v>
      </c>
      <c r="H3996" s="9">
        <f>IFERROR(__xludf.DUMMYFUNCTION("""COMPUTED_VALUE"""),3.0)</f>
        <v>3</v>
      </c>
      <c r="I3996" s="9"/>
      <c r="J3996" s="9"/>
      <c r="K3996" s="9"/>
      <c r="L3996" s="9"/>
      <c r="M3996" s="9"/>
      <c r="N3996" s="9"/>
      <c r="O3996" s="9"/>
      <c r="P3996" s="9"/>
      <c r="Q3996" s="9"/>
      <c r="R3996" s="9"/>
      <c r="S3996" s="9"/>
      <c r="T3996" s="9"/>
    </row>
    <row r="3997" ht="15.75" customHeight="1">
      <c r="A3997" s="11">
        <f>IFERROR(__xludf.DUMMYFUNCTION("""COMPUTED_VALUE"""),44471.0)</f>
        <v>44471</v>
      </c>
      <c r="B3997" s="9">
        <f>IFERROR(__xludf.DUMMYFUNCTION("""COMPUTED_VALUE"""),1003863.0)</f>
        <v>1003863</v>
      </c>
      <c r="C3997" s="9">
        <f>IFERROR(__xludf.DUMMYFUNCTION("""COMPUTED_VALUE"""),49182.0)</f>
        <v>49182</v>
      </c>
      <c r="D3997" s="10" t="str">
        <f>IFERROR(__xludf.DUMMYFUNCTION("""COMPUTED_VALUE"""),"Vive le bio")</f>
        <v>Vive le bio</v>
      </c>
      <c r="E3997" s="10" t="str">
        <f>IFERROR(__xludf.DUMMYFUNCTION("""COMPUTED_VALUE"""),"PREMIERE")</f>
        <v>PREMIERE</v>
      </c>
      <c r="F3997" s="10">
        <f>IFERROR(__xludf.DUMMYFUNCTION("""COMPUTED_VALUE"""),12.6)</f>
        <v>12.6</v>
      </c>
      <c r="G3997" s="9">
        <f>IFERROR(__xludf.DUMMYFUNCTION("""COMPUTED_VALUE"""),11.34)</f>
        <v>11.34</v>
      </c>
      <c r="H3997" s="9">
        <f>IFERROR(__xludf.DUMMYFUNCTION("""COMPUTED_VALUE"""),1.0)</f>
        <v>1</v>
      </c>
      <c r="I3997" s="9"/>
      <c r="J3997" s="9"/>
      <c r="K3997" s="9"/>
      <c r="L3997" s="9"/>
      <c r="M3997" s="9"/>
      <c r="N3997" s="9"/>
      <c r="O3997" s="9"/>
      <c r="P3997" s="9"/>
      <c r="Q3997" s="9"/>
      <c r="R3997" s="9"/>
      <c r="S3997" s="9"/>
      <c r="T3997" s="9"/>
    </row>
    <row r="3998" ht="15.75" customHeight="1">
      <c r="A3998" s="11">
        <f>IFERROR(__xludf.DUMMYFUNCTION("""COMPUTED_VALUE"""),44471.0)</f>
        <v>44471</v>
      </c>
      <c r="B3998" s="9">
        <f>IFERROR(__xludf.DUMMYFUNCTION("""COMPUTED_VALUE"""),1003863.0)</f>
        <v>1003863</v>
      </c>
      <c r="C3998" s="9">
        <f>IFERROR(__xludf.DUMMYFUNCTION("""COMPUTED_VALUE"""),111922.0)</f>
        <v>111922</v>
      </c>
      <c r="D3998" s="9"/>
      <c r="E3998" s="10" t="str">
        <f>IFERROR(__xludf.DUMMYFUNCTION("""COMPUTED_VALUE"""),"PREMIERE")</f>
        <v>PREMIERE</v>
      </c>
      <c r="F3998" s="10">
        <f>IFERROR(__xludf.DUMMYFUNCTION("""COMPUTED_VALUE"""),4.38)</f>
        <v>4.38</v>
      </c>
      <c r="G3998" s="9">
        <f>IFERROR(__xludf.DUMMYFUNCTION("""COMPUTED_VALUE"""),4.38)</f>
        <v>4.38</v>
      </c>
      <c r="H3998" s="9">
        <f>IFERROR(__xludf.DUMMYFUNCTION("""COMPUTED_VALUE"""),1.0)</f>
        <v>1</v>
      </c>
      <c r="I3998" s="9"/>
      <c r="J3998" s="9"/>
      <c r="K3998" s="9"/>
      <c r="L3998" s="9"/>
      <c r="M3998" s="9"/>
      <c r="N3998" s="9"/>
      <c r="O3998" s="9"/>
      <c r="P3998" s="9"/>
      <c r="Q3998" s="9"/>
      <c r="R3998" s="9"/>
      <c r="S3998" s="9"/>
      <c r="T3998" s="9"/>
    </row>
    <row r="3999" ht="15.75" customHeight="1">
      <c r="A3999" s="11">
        <f>IFERROR(__xludf.DUMMYFUNCTION("""COMPUTED_VALUE"""),44471.0)</f>
        <v>44471</v>
      </c>
      <c r="B3999" s="9">
        <f>IFERROR(__xludf.DUMMYFUNCTION("""COMPUTED_VALUE"""),1003863.0)</f>
        <v>1003863</v>
      </c>
      <c r="C3999" s="9">
        <f>IFERROR(__xludf.DUMMYFUNCTION("""COMPUTED_VALUE"""),121981.0)</f>
        <v>121981</v>
      </c>
      <c r="D3999" s="10" t="str">
        <f>IFERROR(__xludf.DUMMYFUNCTION("""COMPUTED_VALUE"""),"Offre speciale")</f>
        <v>Offre speciale</v>
      </c>
      <c r="E3999" s="10" t="str">
        <f>IFERROR(__xludf.DUMMYFUNCTION("""COMPUTED_VALUE"""),"PREMIERE")</f>
        <v>PREMIERE</v>
      </c>
      <c r="F3999" s="10">
        <f>IFERROR(__xludf.DUMMYFUNCTION("""COMPUTED_VALUE"""),3.12222222222222)</f>
        <v>3.122222222</v>
      </c>
      <c r="G3999" s="9">
        <f>IFERROR(__xludf.DUMMYFUNCTION("""COMPUTED_VALUE"""),2.81)</f>
        <v>2.81</v>
      </c>
      <c r="H3999" s="9">
        <f>IFERROR(__xludf.DUMMYFUNCTION("""COMPUTED_VALUE"""),1.0)</f>
        <v>1</v>
      </c>
      <c r="I3999" s="9"/>
      <c r="J3999" s="9"/>
      <c r="K3999" s="9"/>
      <c r="L3999" s="9"/>
      <c r="M3999" s="9"/>
      <c r="N3999" s="9"/>
      <c r="O3999" s="9"/>
      <c r="P3999" s="9"/>
      <c r="Q3999" s="9"/>
      <c r="R3999" s="9"/>
      <c r="S3999" s="9"/>
      <c r="T3999" s="9"/>
    </row>
    <row r="4000" ht="15.75" customHeight="1">
      <c r="A4000" s="11">
        <f>IFERROR(__xludf.DUMMYFUNCTION("""COMPUTED_VALUE"""),44471.0)</f>
        <v>44471</v>
      </c>
      <c r="B4000" s="9">
        <f>IFERROR(__xludf.DUMMYFUNCTION("""COMPUTED_VALUE"""),1003863.0)</f>
        <v>1003863</v>
      </c>
      <c r="C4000" s="9">
        <f>IFERROR(__xludf.DUMMYFUNCTION("""COMPUTED_VALUE"""),68943.0)</f>
        <v>68943</v>
      </c>
      <c r="D4000" s="9"/>
      <c r="E4000" s="10" t="str">
        <f>IFERROR(__xludf.DUMMYFUNCTION("""COMPUTED_VALUE"""),"PREMIERE")</f>
        <v>PREMIERE</v>
      </c>
      <c r="F4000" s="10">
        <f>IFERROR(__xludf.DUMMYFUNCTION("""COMPUTED_VALUE"""),2.46)</f>
        <v>2.46</v>
      </c>
      <c r="G4000" s="9">
        <f>IFERROR(__xludf.DUMMYFUNCTION("""COMPUTED_VALUE"""),2.46)</f>
        <v>2.46</v>
      </c>
      <c r="H4000" s="9">
        <f>IFERROR(__xludf.DUMMYFUNCTION("""COMPUTED_VALUE"""),1.0)</f>
        <v>1</v>
      </c>
      <c r="I4000" s="9"/>
      <c r="J4000" s="9"/>
      <c r="K4000" s="9"/>
      <c r="L4000" s="9"/>
      <c r="M4000" s="9"/>
      <c r="N4000" s="9"/>
      <c r="O4000" s="9"/>
      <c r="P4000" s="9"/>
      <c r="Q4000" s="9"/>
      <c r="R4000" s="9"/>
      <c r="S4000" s="9"/>
      <c r="T4000" s="9"/>
    </row>
    <row r="4001" ht="15.75" customHeight="1">
      <c r="A4001" s="11">
        <f>IFERROR(__xludf.DUMMYFUNCTION("""COMPUTED_VALUE"""),44471.0)</f>
        <v>44471</v>
      </c>
      <c r="B4001" s="9">
        <f>IFERROR(__xludf.DUMMYFUNCTION("""COMPUTED_VALUE"""),1003863.0)</f>
        <v>1003863</v>
      </c>
      <c r="C4001" s="9">
        <f>IFERROR(__xludf.DUMMYFUNCTION("""COMPUTED_VALUE"""),68938.0)</f>
        <v>68938</v>
      </c>
      <c r="D4001" s="9"/>
      <c r="E4001" s="10" t="str">
        <f>IFERROR(__xludf.DUMMYFUNCTION("""COMPUTED_VALUE"""),"PREMIERE")</f>
        <v>PREMIERE</v>
      </c>
      <c r="F4001" s="10">
        <f>IFERROR(__xludf.DUMMYFUNCTION("""COMPUTED_VALUE"""),2.46)</f>
        <v>2.46</v>
      </c>
      <c r="G4001" s="9">
        <f>IFERROR(__xludf.DUMMYFUNCTION("""COMPUTED_VALUE"""),2.46)</f>
        <v>2.46</v>
      </c>
      <c r="H4001" s="9">
        <f>IFERROR(__xludf.DUMMYFUNCTION("""COMPUTED_VALUE"""),1.0)</f>
        <v>1</v>
      </c>
      <c r="I4001" s="9"/>
      <c r="J4001" s="9"/>
      <c r="K4001" s="9"/>
      <c r="L4001" s="9"/>
      <c r="M4001" s="9"/>
      <c r="N4001" s="9"/>
      <c r="O4001" s="9"/>
      <c r="P4001" s="9"/>
      <c r="Q4001" s="9"/>
      <c r="R4001" s="9"/>
      <c r="S4001" s="9"/>
      <c r="T4001" s="9"/>
    </row>
    <row r="4002" ht="15.75" customHeight="1">
      <c r="A4002" s="11">
        <f>IFERROR(__xludf.DUMMYFUNCTION("""COMPUTED_VALUE"""),44471.0)</f>
        <v>44471</v>
      </c>
      <c r="B4002" s="9">
        <f>IFERROR(__xludf.DUMMYFUNCTION("""COMPUTED_VALUE"""),1003863.0)</f>
        <v>1003863</v>
      </c>
      <c r="C4002" s="9">
        <f>IFERROR(__xludf.DUMMYFUNCTION("""COMPUTED_VALUE"""),121984.0)</f>
        <v>121984</v>
      </c>
      <c r="D4002" s="9"/>
      <c r="E4002" s="10" t="str">
        <f>IFERROR(__xludf.DUMMYFUNCTION("""COMPUTED_VALUE"""),"PREMIERE")</f>
        <v>PREMIERE</v>
      </c>
      <c r="F4002" s="10">
        <f>IFERROR(__xludf.DUMMYFUNCTION("""COMPUTED_VALUE"""),2.46)</f>
        <v>2.46</v>
      </c>
      <c r="G4002" s="9">
        <f>IFERROR(__xludf.DUMMYFUNCTION("""COMPUTED_VALUE"""),2.46)</f>
        <v>2.46</v>
      </c>
      <c r="H4002" s="9">
        <f>IFERROR(__xludf.DUMMYFUNCTION("""COMPUTED_VALUE"""),1.0)</f>
        <v>1</v>
      </c>
      <c r="I4002" s="9"/>
      <c r="J4002" s="9"/>
      <c r="K4002" s="9"/>
      <c r="L4002" s="9"/>
      <c r="M4002" s="9"/>
      <c r="N4002" s="9"/>
      <c r="O4002" s="9"/>
      <c r="P4002" s="9"/>
      <c r="Q4002" s="9"/>
      <c r="R4002" s="9"/>
      <c r="S4002" s="9"/>
      <c r="T4002" s="9"/>
    </row>
    <row r="4003" ht="15.75" customHeight="1">
      <c r="A4003" s="11">
        <f>IFERROR(__xludf.DUMMYFUNCTION("""COMPUTED_VALUE"""),44471.0)</f>
        <v>44471</v>
      </c>
      <c r="B4003" s="9">
        <f>IFERROR(__xludf.DUMMYFUNCTION("""COMPUTED_VALUE"""),1003863.0)</f>
        <v>1003863</v>
      </c>
      <c r="C4003" s="9">
        <f>IFERROR(__xludf.DUMMYFUNCTION("""COMPUTED_VALUE"""),69116.0)</f>
        <v>69116</v>
      </c>
      <c r="D4003" s="9"/>
      <c r="E4003" s="10" t="str">
        <f>IFERROR(__xludf.DUMMYFUNCTION("""COMPUTED_VALUE"""),"PREMIERE")</f>
        <v>PREMIERE</v>
      </c>
      <c r="F4003" s="10">
        <f>IFERROR(__xludf.DUMMYFUNCTION("""COMPUTED_VALUE"""),2.46)</f>
        <v>2.46</v>
      </c>
      <c r="G4003" s="9">
        <f>IFERROR(__xludf.DUMMYFUNCTION("""COMPUTED_VALUE"""),2.46)</f>
        <v>2.46</v>
      </c>
      <c r="H4003" s="9">
        <f>IFERROR(__xludf.DUMMYFUNCTION("""COMPUTED_VALUE"""),1.0)</f>
        <v>1</v>
      </c>
      <c r="I4003" s="9"/>
      <c r="J4003" s="9"/>
      <c r="K4003" s="9"/>
      <c r="L4003" s="9"/>
      <c r="M4003" s="9"/>
      <c r="N4003" s="9"/>
      <c r="O4003" s="9"/>
      <c r="P4003" s="9"/>
      <c r="Q4003" s="9"/>
      <c r="R4003" s="9"/>
      <c r="S4003" s="9"/>
      <c r="T4003" s="9"/>
    </row>
    <row r="4004" ht="15.75" customHeight="1">
      <c r="A4004" s="11">
        <f>IFERROR(__xludf.DUMMYFUNCTION("""COMPUTED_VALUE"""),44471.0)</f>
        <v>44471</v>
      </c>
      <c r="B4004" s="9">
        <f>IFERROR(__xludf.DUMMYFUNCTION("""COMPUTED_VALUE"""),1003863.0)</f>
        <v>1003863</v>
      </c>
      <c r="C4004" s="9">
        <f>IFERROR(__xludf.DUMMYFUNCTION("""COMPUTED_VALUE"""),121989.0)</f>
        <v>121989</v>
      </c>
      <c r="D4004" s="9"/>
      <c r="E4004" s="10" t="str">
        <f>IFERROR(__xludf.DUMMYFUNCTION("""COMPUTED_VALUE"""),"PREMIERE")</f>
        <v>PREMIERE</v>
      </c>
      <c r="F4004" s="10">
        <f>IFERROR(__xludf.DUMMYFUNCTION("""COMPUTED_VALUE"""),2.46)</f>
        <v>2.46</v>
      </c>
      <c r="G4004" s="9">
        <f>IFERROR(__xludf.DUMMYFUNCTION("""COMPUTED_VALUE"""),2.46)</f>
        <v>2.46</v>
      </c>
      <c r="H4004" s="9">
        <f>IFERROR(__xludf.DUMMYFUNCTION("""COMPUTED_VALUE"""),1.0)</f>
        <v>1</v>
      </c>
      <c r="I4004" s="9"/>
      <c r="J4004" s="9"/>
      <c r="K4004" s="9"/>
      <c r="L4004" s="9"/>
      <c r="M4004" s="9"/>
      <c r="N4004" s="9"/>
      <c r="O4004" s="9"/>
      <c r="P4004" s="9"/>
      <c r="Q4004" s="9"/>
      <c r="R4004" s="9"/>
      <c r="S4004" s="9"/>
      <c r="T4004" s="9"/>
    </row>
    <row r="4005" ht="15.75" customHeight="1">
      <c r="A4005" s="11">
        <f>IFERROR(__xludf.DUMMYFUNCTION("""COMPUTED_VALUE"""),44471.0)</f>
        <v>44471</v>
      </c>
      <c r="B4005" s="9">
        <f>IFERROR(__xludf.DUMMYFUNCTION("""COMPUTED_VALUE"""),1003863.0)</f>
        <v>1003863</v>
      </c>
      <c r="C4005" s="9">
        <f>IFERROR(__xludf.DUMMYFUNCTION("""COMPUTED_VALUE"""),121990.0)</f>
        <v>121990</v>
      </c>
      <c r="D4005" s="9"/>
      <c r="E4005" s="10" t="str">
        <f>IFERROR(__xludf.DUMMYFUNCTION("""COMPUTED_VALUE"""),"PREMIERE")</f>
        <v>PREMIERE</v>
      </c>
      <c r="F4005" s="10">
        <f>IFERROR(__xludf.DUMMYFUNCTION("""COMPUTED_VALUE"""),4.99)</f>
        <v>4.99</v>
      </c>
      <c r="G4005" s="9">
        <f>IFERROR(__xludf.DUMMYFUNCTION("""COMPUTED_VALUE"""),4.99)</f>
        <v>4.99</v>
      </c>
      <c r="H4005" s="9">
        <f>IFERROR(__xludf.DUMMYFUNCTION("""COMPUTED_VALUE"""),2.0)</f>
        <v>2</v>
      </c>
      <c r="I4005" s="9"/>
      <c r="J4005" s="9"/>
      <c r="K4005" s="9"/>
      <c r="L4005" s="9"/>
      <c r="M4005" s="9"/>
      <c r="N4005" s="9"/>
      <c r="O4005" s="9"/>
      <c r="P4005" s="9"/>
      <c r="Q4005" s="9"/>
      <c r="R4005" s="9"/>
      <c r="S4005" s="9"/>
      <c r="T4005" s="9"/>
    </row>
    <row r="4006" ht="15.75" customHeight="1">
      <c r="A4006" s="11">
        <f>IFERROR(__xludf.DUMMYFUNCTION("""COMPUTED_VALUE"""),44471.0)</f>
        <v>44471</v>
      </c>
      <c r="B4006" s="9">
        <f>IFERROR(__xludf.DUMMYFUNCTION("""COMPUTED_VALUE"""),1003863.0)</f>
        <v>1003863</v>
      </c>
      <c r="C4006" s="9">
        <f>IFERROR(__xludf.DUMMYFUNCTION("""COMPUTED_VALUE"""),121992.0)</f>
        <v>121992</v>
      </c>
      <c r="D4006" s="9"/>
      <c r="E4006" s="10" t="str">
        <f>IFERROR(__xludf.DUMMYFUNCTION("""COMPUTED_VALUE"""),"PREMIERE")</f>
        <v>PREMIERE</v>
      </c>
      <c r="F4006" s="10">
        <f>IFERROR(__xludf.DUMMYFUNCTION("""COMPUTED_VALUE"""),9.37)</f>
        <v>9.37</v>
      </c>
      <c r="G4006" s="9">
        <f>IFERROR(__xludf.DUMMYFUNCTION("""COMPUTED_VALUE"""),9.37)</f>
        <v>9.37</v>
      </c>
      <c r="H4006" s="9">
        <f>IFERROR(__xludf.DUMMYFUNCTION("""COMPUTED_VALUE"""),3.0)</f>
        <v>3</v>
      </c>
      <c r="I4006" s="9"/>
      <c r="J4006" s="9"/>
      <c r="K4006" s="9"/>
      <c r="L4006" s="9"/>
      <c r="M4006" s="9"/>
      <c r="N4006" s="9"/>
      <c r="O4006" s="9"/>
      <c r="P4006" s="9"/>
      <c r="Q4006" s="9"/>
      <c r="R4006" s="9"/>
      <c r="S4006" s="9"/>
      <c r="T4006" s="9"/>
    </row>
    <row r="4007" ht="15.75" customHeight="1">
      <c r="A4007" s="11">
        <f>IFERROR(__xludf.DUMMYFUNCTION("""COMPUTED_VALUE"""),44471.0)</f>
        <v>44471</v>
      </c>
      <c r="B4007" s="9">
        <f>IFERROR(__xludf.DUMMYFUNCTION("""COMPUTED_VALUE"""),1003864.0)</f>
        <v>1003864</v>
      </c>
      <c r="C4007" s="9">
        <f>IFERROR(__xludf.DUMMYFUNCTION("""COMPUTED_VALUE"""),77688.0)</f>
        <v>77688</v>
      </c>
      <c r="D4007" s="10" t="str">
        <f>IFERROR(__xludf.DUMMYFUNCTION("""COMPUTED_VALUE"""),"Offre Speciale")</f>
        <v>Offre Speciale</v>
      </c>
      <c r="E4007" s="10"/>
      <c r="F4007" s="9">
        <f>IFERROR(__xludf.DUMMYFUNCTION("""COMPUTED_VALUE"""),74.2555555555555)</f>
        <v>74.25555556</v>
      </c>
      <c r="G4007" s="9">
        <f>IFERROR(__xludf.DUMMYFUNCTION("""COMPUTED_VALUE"""),66.83)</f>
        <v>66.83</v>
      </c>
      <c r="H4007" s="9">
        <f>IFERROR(__xludf.DUMMYFUNCTION("""COMPUTED_VALUE"""),5.0)</f>
        <v>5</v>
      </c>
      <c r="I4007" s="9"/>
      <c r="J4007" s="9"/>
      <c r="K4007" s="9"/>
      <c r="L4007" s="9"/>
      <c r="M4007" s="9"/>
      <c r="N4007" s="9"/>
      <c r="O4007" s="9"/>
      <c r="P4007" s="9"/>
      <c r="Q4007" s="9"/>
      <c r="R4007" s="9"/>
      <c r="S4007" s="9"/>
      <c r="T4007" s="9"/>
    </row>
    <row r="4008" ht="15.75" customHeight="1">
      <c r="A4008" s="11">
        <f>IFERROR(__xludf.DUMMYFUNCTION("""COMPUTED_VALUE"""),44471.0)</f>
        <v>44471</v>
      </c>
      <c r="B4008" s="9">
        <f>IFERROR(__xludf.DUMMYFUNCTION("""COMPUTED_VALUE"""),1003865.0)</f>
        <v>1003865</v>
      </c>
      <c r="C4008" s="9">
        <f>IFERROR(__xludf.DUMMYFUNCTION("""COMPUTED_VALUE"""),76035.0)</f>
        <v>76035</v>
      </c>
      <c r="D4008" s="9"/>
      <c r="E4008" s="10" t="str">
        <f>IFERROR(__xludf.DUMMYFUNCTION("""COMPUTED_VALUE"""),"HAPPEEZ")</f>
        <v>HAPPEEZ</v>
      </c>
      <c r="F4008" s="10">
        <f>IFERROR(__xludf.DUMMYFUNCTION("""COMPUTED_VALUE"""),2.95)</f>
        <v>2.95</v>
      </c>
      <c r="G4008" s="9">
        <f>IFERROR(__xludf.DUMMYFUNCTION("""COMPUTED_VALUE"""),2.95)</f>
        <v>2.95</v>
      </c>
      <c r="H4008" s="9">
        <f>IFERROR(__xludf.DUMMYFUNCTION("""COMPUTED_VALUE"""),1.0)</f>
        <v>1</v>
      </c>
      <c r="I4008" s="9"/>
      <c r="J4008" s="9"/>
      <c r="K4008" s="9"/>
      <c r="L4008" s="9"/>
      <c r="M4008" s="9"/>
      <c r="N4008" s="9"/>
      <c r="O4008" s="9"/>
      <c r="P4008" s="9"/>
      <c r="Q4008" s="9"/>
      <c r="R4008" s="9"/>
      <c r="S4008" s="9"/>
      <c r="T4008" s="9"/>
    </row>
    <row r="4009" ht="15.75" customHeight="1">
      <c r="A4009" s="11">
        <f>IFERROR(__xludf.DUMMYFUNCTION("""COMPUTED_VALUE"""),44471.0)</f>
        <v>44471</v>
      </c>
      <c r="B4009" s="9">
        <f>IFERROR(__xludf.DUMMYFUNCTION("""COMPUTED_VALUE"""),1003865.0)</f>
        <v>1003865</v>
      </c>
      <c r="C4009" s="9">
        <f>IFERROR(__xludf.DUMMYFUNCTION("""COMPUTED_VALUE"""),87242.0)</f>
        <v>87242</v>
      </c>
      <c r="D4009" s="10" t="str">
        <f>IFERROR(__xludf.DUMMYFUNCTION("""COMPUTED_VALUE"""),"Vive le bio")</f>
        <v>Vive le bio</v>
      </c>
      <c r="E4009" s="10" t="str">
        <f>IFERROR(__xludf.DUMMYFUNCTION("""COMPUTED_VALUE"""),"HAPPEEZ")</f>
        <v>HAPPEEZ</v>
      </c>
      <c r="F4009" s="10">
        <f>IFERROR(__xludf.DUMMYFUNCTION("""COMPUTED_VALUE"""),5.82222222222222)</f>
        <v>5.822222222</v>
      </c>
      <c r="G4009" s="9">
        <f>IFERROR(__xludf.DUMMYFUNCTION("""COMPUTED_VALUE"""),5.24)</f>
        <v>5.24</v>
      </c>
      <c r="H4009" s="9">
        <f>IFERROR(__xludf.DUMMYFUNCTION("""COMPUTED_VALUE"""),1.0)</f>
        <v>1</v>
      </c>
      <c r="I4009" s="9"/>
      <c r="J4009" s="9"/>
      <c r="K4009" s="9"/>
      <c r="L4009" s="9"/>
      <c r="M4009" s="9"/>
      <c r="N4009" s="9"/>
      <c r="O4009" s="9"/>
      <c r="P4009" s="9"/>
      <c r="Q4009" s="9"/>
      <c r="R4009" s="9"/>
      <c r="S4009" s="9"/>
      <c r="T4009" s="9"/>
    </row>
    <row r="4010" ht="15.75" customHeight="1">
      <c r="A4010" s="11">
        <f>IFERROR(__xludf.DUMMYFUNCTION("""COMPUTED_VALUE"""),44471.0)</f>
        <v>44471</v>
      </c>
      <c r="B4010" s="9">
        <f>IFERROR(__xludf.DUMMYFUNCTION("""COMPUTED_VALUE"""),1003865.0)</f>
        <v>1003865</v>
      </c>
      <c r="C4010" s="9">
        <f>IFERROR(__xludf.DUMMYFUNCTION("""COMPUTED_VALUE"""),82115.0)</f>
        <v>82115</v>
      </c>
      <c r="D4010" s="10" t="str">
        <f>IFERROR(__xludf.DUMMYFUNCTION("""COMPUTED_VALUE"""),"Vive le bio")</f>
        <v>Vive le bio</v>
      </c>
      <c r="E4010" s="10" t="str">
        <f>IFERROR(__xludf.DUMMYFUNCTION("""COMPUTED_VALUE"""),"HAPPEEZ")</f>
        <v>HAPPEEZ</v>
      </c>
      <c r="F4010" s="10">
        <f>IFERROR(__xludf.DUMMYFUNCTION("""COMPUTED_VALUE"""),22.4222222222222)</f>
        <v>22.42222222</v>
      </c>
      <c r="G4010" s="9">
        <f>IFERROR(__xludf.DUMMYFUNCTION("""COMPUTED_VALUE"""),20.18)</f>
        <v>20.18</v>
      </c>
      <c r="H4010" s="9">
        <f>IFERROR(__xludf.DUMMYFUNCTION("""COMPUTED_VALUE"""),1.0)</f>
        <v>1</v>
      </c>
      <c r="I4010" s="9"/>
      <c r="J4010" s="9"/>
      <c r="K4010" s="9"/>
      <c r="L4010" s="9"/>
      <c r="M4010" s="9"/>
      <c r="N4010" s="9"/>
      <c r="O4010" s="9"/>
      <c r="P4010" s="9"/>
      <c r="Q4010" s="9"/>
      <c r="R4010" s="9"/>
      <c r="S4010" s="9"/>
      <c r="T4010" s="9"/>
    </row>
    <row r="4011" ht="15.75" customHeight="1">
      <c r="A4011" s="11">
        <f>IFERROR(__xludf.DUMMYFUNCTION("""COMPUTED_VALUE"""),44471.0)</f>
        <v>44471</v>
      </c>
      <c r="B4011" s="9">
        <f>IFERROR(__xludf.DUMMYFUNCTION("""COMPUTED_VALUE"""),1003865.0)</f>
        <v>1003865</v>
      </c>
      <c r="C4011" s="9">
        <f>IFERROR(__xludf.DUMMYFUNCTION("""COMPUTED_VALUE"""),115726.0)</f>
        <v>115726</v>
      </c>
      <c r="D4011" s="9"/>
      <c r="E4011" s="10" t="str">
        <f>IFERROR(__xludf.DUMMYFUNCTION("""COMPUTED_VALUE"""),"HAPPEEZ")</f>
        <v>HAPPEEZ</v>
      </c>
      <c r="F4011" s="10">
        <f>IFERROR(__xludf.DUMMYFUNCTION("""COMPUTED_VALUE"""),7.03)</f>
        <v>7.03</v>
      </c>
      <c r="G4011" s="9">
        <f>IFERROR(__xludf.DUMMYFUNCTION("""COMPUTED_VALUE"""),7.03)</f>
        <v>7.03</v>
      </c>
      <c r="H4011" s="9">
        <f>IFERROR(__xludf.DUMMYFUNCTION("""COMPUTED_VALUE"""),2.0)</f>
        <v>2</v>
      </c>
      <c r="I4011" s="9"/>
      <c r="J4011" s="9"/>
      <c r="K4011" s="9"/>
      <c r="L4011" s="9"/>
      <c r="M4011" s="9"/>
      <c r="N4011" s="9"/>
      <c r="O4011" s="9"/>
      <c r="P4011" s="9"/>
      <c r="Q4011" s="9"/>
      <c r="R4011" s="9"/>
      <c r="S4011" s="9"/>
      <c r="T4011" s="9"/>
    </row>
    <row r="4012" ht="15.75" customHeight="1">
      <c r="A4012" s="11">
        <f>IFERROR(__xludf.DUMMYFUNCTION("""COMPUTED_VALUE"""),44471.0)</f>
        <v>44471</v>
      </c>
      <c r="B4012" s="9">
        <f>IFERROR(__xludf.DUMMYFUNCTION("""COMPUTED_VALUE"""),1003865.0)</f>
        <v>1003865</v>
      </c>
      <c r="C4012" s="9">
        <f>IFERROR(__xludf.DUMMYFUNCTION("""COMPUTED_VALUE"""),109309.0)</f>
        <v>109309</v>
      </c>
      <c r="D4012" s="9"/>
      <c r="E4012" s="10" t="str">
        <f>IFERROR(__xludf.DUMMYFUNCTION("""COMPUTED_VALUE"""),"HAPPEEZ")</f>
        <v>HAPPEEZ</v>
      </c>
      <c r="F4012" s="10">
        <f>IFERROR(__xludf.DUMMYFUNCTION("""COMPUTED_VALUE"""),16.53)</f>
        <v>16.53</v>
      </c>
      <c r="G4012" s="9">
        <f>IFERROR(__xludf.DUMMYFUNCTION("""COMPUTED_VALUE"""),16.53)</f>
        <v>16.53</v>
      </c>
      <c r="H4012" s="9">
        <f>IFERROR(__xludf.DUMMYFUNCTION("""COMPUTED_VALUE"""),2.0)</f>
        <v>2</v>
      </c>
      <c r="I4012" s="9"/>
      <c r="J4012" s="9"/>
      <c r="K4012" s="9"/>
      <c r="L4012" s="9"/>
      <c r="M4012" s="9"/>
      <c r="N4012" s="9"/>
      <c r="O4012" s="9"/>
      <c r="P4012" s="9"/>
      <c r="Q4012" s="9"/>
      <c r="R4012" s="9"/>
      <c r="S4012" s="9"/>
      <c r="T4012" s="9"/>
    </row>
    <row r="4013" ht="15.75" customHeight="1">
      <c r="A4013" s="11">
        <f>IFERROR(__xludf.DUMMYFUNCTION("""COMPUTED_VALUE"""),44471.0)</f>
        <v>44471</v>
      </c>
      <c r="B4013" s="9">
        <f>IFERROR(__xludf.DUMMYFUNCTION("""COMPUTED_VALUE"""),1003865.0)</f>
        <v>1003865</v>
      </c>
      <c r="C4013" s="9">
        <f>IFERROR(__xludf.DUMMYFUNCTION("""COMPUTED_VALUE"""),116187.0)</f>
        <v>116187</v>
      </c>
      <c r="D4013" s="9"/>
      <c r="E4013" s="10" t="str">
        <f>IFERROR(__xludf.DUMMYFUNCTION("""COMPUTED_VALUE"""),"HAPPEEZ")</f>
        <v>HAPPEEZ</v>
      </c>
      <c r="F4013" s="10">
        <f>IFERROR(__xludf.DUMMYFUNCTION("""COMPUTED_VALUE"""),5.59)</f>
        <v>5.59</v>
      </c>
      <c r="G4013" s="9">
        <f>IFERROR(__xludf.DUMMYFUNCTION("""COMPUTED_VALUE"""),5.59)</f>
        <v>5.59</v>
      </c>
      <c r="H4013" s="9">
        <f>IFERROR(__xludf.DUMMYFUNCTION("""COMPUTED_VALUE"""),2.0)</f>
        <v>2</v>
      </c>
      <c r="I4013" s="9"/>
      <c r="J4013" s="9"/>
      <c r="K4013" s="9"/>
      <c r="L4013" s="9"/>
      <c r="M4013" s="9"/>
      <c r="N4013" s="9"/>
      <c r="O4013" s="9"/>
      <c r="P4013" s="9"/>
      <c r="Q4013" s="9"/>
      <c r="R4013" s="9"/>
      <c r="S4013" s="9"/>
      <c r="T4013" s="9"/>
    </row>
    <row r="4014" ht="15.75" customHeight="1">
      <c r="A4014" s="11">
        <f>IFERROR(__xludf.DUMMYFUNCTION("""COMPUTED_VALUE"""),44471.0)</f>
        <v>44471</v>
      </c>
      <c r="B4014" s="9">
        <f>IFERROR(__xludf.DUMMYFUNCTION("""COMPUTED_VALUE"""),1003865.0)</f>
        <v>1003865</v>
      </c>
      <c r="C4014" s="9">
        <f>IFERROR(__xludf.DUMMYFUNCTION("""COMPUTED_VALUE"""),86792.0)</f>
        <v>86792</v>
      </c>
      <c r="D4014" s="9"/>
      <c r="E4014" s="10" t="str">
        <f>IFERROR(__xludf.DUMMYFUNCTION("""COMPUTED_VALUE"""),"HAPPEEZ")</f>
        <v>HAPPEEZ</v>
      </c>
      <c r="F4014" s="10">
        <f>IFERROR(__xludf.DUMMYFUNCTION("""COMPUTED_VALUE"""),7.9)</f>
        <v>7.9</v>
      </c>
      <c r="G4014" s="9">
        <f>IFERROR(__xludf.DUMMYFUNCTION("""COMPUTED_VALUE"""),7.9)</f>
        <v>7.9</v>
      </c>
      <c r="H4014" s="9">
        <f>IFERROR(__xludf.DUMMYFUNCTION("""COMPUTED_VALUE"""),2.0)</f>
        <v>2</v>
      </c>
      <c r="I4014" s="9"/>
      <c r="J4014" s="9"/>
      <c r="K4014" s="9"/>
      <c r="L4014" s="9"/>
      <c r="M4014" s="9"/>
      <c r="N4014" s="9"/>
      <c r="O4014" s="9"/>
      <c r="P4014" s="9"/>
      <c r="Q4014" s="9"/>
      <c r="R4014" s="9"/>
      <c r="S4014" s="9"/>
      <c r="T4014" s="9"/>
    </row>
    <row r="4015" ht="15.75" customHeight="1">
      <c r="A4015" s="11">
        <f>IFERROR(__xludf.DUMMYFUNCTION("""COMPUTED_VALUE"""),44471.0)</f>
        <v>44471</v>
      </c>
      <c r="B4015" s="9">
        <f>IFERROR(__xludf.DUMMYFUNCTION("""COMPUTED_VALUE"""),1003865.0)</f>
        <v>1003865</v>
      </c>
      <c r="C4015" s="9">
        <f>IFERROR(__xludf.DUMMYFUNCTION("""COMPUTED_VALUE"""),71398.0)</f>
        <v>71398</v>
      </c>
      <c r="D4015" s="10" t="str">
        <f>IFERROR(__xludf.DUMMYFUNCTION("""COMPUTED_VALUE"""),"Offre speciale")</f>
        <v>Offre speciale</v>
      </c>
      <c r="E4015" s="10" t="str">
        <f>IFERROR(__xludf.DUMMYFUNCTION("""COMPUTED_VALUE"""),"HAPPEEZ")</f>
        <v>HAPPEEZ</v>
      </c>
      <c r="F4015" s="10">
        <f>IFERROR(__xludf.DUMMYFUNCTION("""COMPUTED_VALUE"""),9.4)</f>
        <v>9.4</v>
      </c>
      <c r="G4015" s="9">
        <f>IFERROR(__xludf.DUMMYFUNCTION("""COMPUTED_VALUE"""),7.99)</f>
        <v>7.99</v>
      </c>
      <c r="H4015" s="9">
        <f>IFERROR(__xludf.DUMMYFUNCTION("""COMPUTED_VALUE"""),2.0)</f>
        <v>2</v>
      </c>
      <c r="I4015" s="9"/>
      <c r="J4015" s="9"/>
      <c r="K4015" s="9"/>
      <c r="L4015" s="9"/>
      <c r="M4015" s="9"/>
      <c r="N4015" s="9"/>
      <c r="O4015" s="9"/>
      <c r="P4015" s="9"/>
      <c r="Q4015" s="9"/>
      <c r="R4015" s="9"/>
      <c r="S4015" s="9"/>
      <c r="T4015" s="9"/>
    </row>
    <row r="4016" ht="15.75" customHeight="1">
      <c r="A4016" s="11">
        <f>IFERROR(__xludf.DUMMYFUNCTION("""COMPUTED_VALUE"""),44471.0)</f>
        <v>44471</v>
      </c>
      <c r="B4016" s="9">
        <f>IFERROR(__xludf.DUMMYFUNCTION("""COMPUTED_VALUE"""),1003865.0)</f>
        <v>1003865</v>
      </c>
      <c r="C4016" s="9">
        <f>IFERROR(__xludf.DUMMYFUNCTION("""COMPUTED_VALUE"""),48624.0)</f>
        <v>48624</v>
      </c>
      <c r="D4016" s="9"/>
      <c r="E4016" s="10" t="str">
        <f>IFERROR(__xludf.DUMMYFUNCTION("""COMPUTED_VALUE"""),"HAPPEEZ")</f>
        <v>HAPPEEZ</v>
      </c>
      <c r="F4016" s="10">
        <f>IFERROR(__xludf.DUMMYFUNCTION("""COMPUTED_VALUE"""),13.94)</f>
        <v>13.94</v>
      </c>
      <c r="G4016" s="9">
        <f>IFERROR(__xludf.DUMMYFUNCTION("""COMPUTED_VALUE"""),13.94)</f>
        <v>13.94</v>
      </c>
      <c r="H4016" s="9">
        <f>IFERROR(__xludf.DUMMYFUNCTION("""COMPUTED_VALUE"""),2.0)</f>
        <v>2</v>
      </c>
      <c r="I4016" s="9"/>
      <c r="J4016" s="9"/>
      <c r="K4016" s="9"/>
      <c r="L4016" s="9"/>
      <c r="M4016" s="9"/>
      <c r="N4016" s="9"/>
      <c r="O4016" s="9"/>
      <c r="P4016" s="9"/>
      <c r="Q4016" s="9"/>
      <c r="R4016" s="9"/>
      <c r="S4016" s="9"/>
      <c r="T4016" s="9"/>
    </row>
    <row r="4017" ht="15.75" customHeight="1">
      <c r="A4017" s="11">
        <f>IFERROR(__xludf.DUMMYFUNCTION("""COMPUTED_VALUE"""),44471.0)</f>
        <v>44471</v>
      </c>
      <c r="B4017" s="9">
        <f>IFERROR(__xludf.DUMMYFUNCTION("""COMPUTED_VALUE"""),1003865.0)</f>
        <v>1003865</v>
      </c>
      <c r="C4017" s="9">
        <f>IFERROR(__xludf.DUMMYFUNCTION("""COMPUTED_VALUE"""),21032.0)</f>
        <v>21032</v>
      </c>
      <c r="D4017" s="10" t="str">
        <f>IFERROR(__xludf.DUMMYFUNCTION("""COMPUTED_VALUE"""),"Vive le bio")</f>
        <v>Vive le bio</v>
      </c>
      <c r="E4017" s="10" t="str">
        <f>IFERROR(__xludf.DUMMYFUNCTION("""COMPUTED_VALUE"""),"HAPPEEZ")</f>
        <v>HAPPEEZ</v>
      </c>
      <c r="F4017" s="10">
        <f>IFERROR(__xludf.DUMMYFUNCTION("""COMPUTED_VALUE"""),35.3)</f>
        <v>35.3</v>
      </c>
      <c r="G4017" s="9">
        <f>IFERROR(__xludf.DUMMYFUNCTION("""COMPUTED_VALUE"""),31.77)</f>
        <v>31.77</v>
      </c>
      <c r="H4017" s="9">
        <f>IFERROR(__xludf.DUMMYFUNCTION("""COMPUTED_VALUE"""),4.0)</f>
        <v>4</v>
      </c>
      <c r="I4017" s="9"/>
      <c r="J4017" s="9"/>
      <c r="K4017" s="9"/>
      <c r="L4017" s="9"/>
      <c r="M4017" s="9"/>
      <c r="N4017" s="9"/>
      <c r="O4017" s="9"/>
      <c r="P4017" s="9"/>
      <c r="Q4017" s="9"/>
      <c r="R4017" s="9"/>
      <c r="S4017" s="9"/>
      <c r="T4017" s="9"/>
    </row>
    <row r="4018" ht="15.75" customHeight="1">
      <c r="A4018" s="11">
        <f>IFERROR(__xludf.DUMMYFUNCTION("""COMPUTED_VALUE"""),44471.0)</f>
        <v>44471</v>
      </c>
      <c r="B4018" s="9">
        <f>IFERROR(__xludf.DUMMYFUNCTION("""COMPUTED_VALUE"""),1003865.0)</f>
        <v>1003865</v>
      </c>
      <c r="C4018" s="9">
        <f>IFERROR(__xludf.DUMMYFUNCTION("""COMPUTED_VALUE"""),83765.0)</f>
        <v>83765</v>
      </c>
      <c r="D4018" s="10" t="str">
        <f>IFERROR(__xludf.DUMMYFUNCTION("""COMPUTED_VALUE"""),"Vive le bio")</f>
        <v>Vive le bio</v>
      </c>
      <c r="E4018" s="10" t="str">
        <f>IFERROR(__xludf.DUMMYFUNCTION("""COMPUTED_VALUE"""),"HAPPEEZ")</f>
        <v>HAPPEEZ</v>
      </c>
      <c r="F4018" s="10">
        <f>IFERROR(__xludf.DUMMYFUNCTION("""COMPUTED_VALUE"""),10.778947368421)</f>
        <v>10.77894737</v>
      </c>
      <c r="G4018" s="9">
        <f>IFERROR(__xludf.DUMMYFUNCTION("""COMPUTED_VALUE"""),10.24)</f>
        <v>10.24</v>
      </c>
      <c r="H4018" s="9">
        <f>IFERROR(__xludf.DUMMYFUNCTION("""COMPUTED_VALUE"""),4.0)</f>
        <v>4</v>
      </c>
      <c r="I4018" s="9"/>
      <c r="J4018" s="9"/>
      <c r="K4018" s="9"/>
      <c r="L4018" s="9"/>
      <c r="M4018" s="9"/>
      <c r="N4018" s="9"/>
      <c r="O4018" s="9"/>
      <c r="P4018" s="9"/>
      <c r="Q4018" s="9"/>
      <c r="R4018" s="9"/>
      <c r="S4018" s="9"/>
      <c r="T4018" s="9"/>
    </row>
    <row r="4019" ht="15.75" customHeight="1">
      <c r="A4019" s="11">
        <f>IFERROR(__xludf.DUMMYFUNCTION("""COMPUTED_VALUE"""),44471.0)</f>
        <v>44471</v>
      </c>
      <c r="B4019" s="9">
        <f>IFERROR(__xludf.DUMMYFUNCTION("""COMPUTED_VALUE"""),1003866.0)</f>
        <v>1003866</v>
      </c>
      <c r="C4019" s="9">
        <f>IFERROR(__xludf.DUMMYFUNCTION("""COMPUTED_VALUE"""),11001.0)</f>
        <v>11001</v>
      </c>
      <c r="D4019" s="9"/>
      <c r="E4019" s="9"/>
      <c r="F4019" s="9">
        <f>IFERROR(__xludf.DUMMYFUNCTION("""COMPUTED_VALUE"""),4.28)</f>
        <v>4.28</v>
      </c>
      <c r="G4019" s="9">
        <f>IFERROR(__xludf.DUMMYFUNCTION("""COMPUTED_VALUE"""),4.28)</f>
        <v>4.28</v>
      </c>
      <c r="H4019" s="9">
        <f>IFERROR(__xludf.DUMMYFUNCTION("""COMPUTED_VALUE"""),1.0)</f>
        <v>1</v>
      </c>
      <c r="I4019" s="9"/>
      <c r="J4019" s="9"/>
      <c r="K4019" s="9"/>
      <c r="L4019" s="9"/>
      <c r="M4019" s="9"/>
      <c r="N4019" s="9"/>
      <c r="O4019" s="9"/>
      <c r="P4019" s="9"/>
      <c r="Q4019" s="9"/>
      <c r="R4019" s="9"/>
      <c r="S4019" s="9"/>
      <c r="T4019" s="9"/>
    </row>
    <row r="4020" ht="15.75" customHeight="1">
      <c r="A4020" s="11">
        <f>IFERROR(__xludf.DUMMYFUNCTION("""COMPUTED_VALUE"""),44471.0)</f>
        <v>44471</v>
      </c>
      <c r="B4020" s="9">
        <f>IFERROR(__xludf.DUMMYFUNCTION("""COMPUTED_VALUE"""),1003866.0)</f>
        <v>1003866</v>
      </c>
      <c r="C4020" s="9">
        <f>IFERROR(__xludf.DUMMYFUNCTION("""COMPUTED_VALUE"""),76466.0)</f>
        <v>76466</v>
      </c>
      <c r="D4020" s="9"/>
      <c r="E4020" s="9"/>
      <c r="F4020" s="9">
        <f>IFERROR(__xludf.DUMMYFUNCTION("""COMPUTED_VALUE"""),3.77)</f>
        <v>3.77</v>
      </c>
      <c r="G4020" s="9">
        <f>IFERROR(__xludf.DUMMYFUNCTION("""COMPUTED_VALUE"""),3.77)</f>
        <v>3.77</v>
      </c>
      <c r="H4020" s="9">
        <f>IFERROR(__xludf.DUMMYFUNCTION("""COMPUTED_VALUE"""),1.0)</f>
        <v>1</v>
      </c>
      <c r="I4020" s="9"/>
      <c r="J4020" s="9"/>
      <c r="K4020" s="9"/>
      <c r="L4020" s="9"/>
      <c r="M4020" s="9"/>
      <c r="N4020" s="9"/>
      <c r="O4020" s="9"/>
      <c r="P4020" s="9"/>
      <c r="Q4020" s="9"/>
      <c r="R4020" s="9"/>
      <c r="S4020" s="9"/>
      <c r="T4020" s="9"/>
    </row>
    <row r="4021" ht="15.75" customHeight="1">
      <c r="A4021" s="11">
        <f>IFERROR(__xludf.DUMMYFUNCTION("""COMPUTED_VALUE"""),44471.0)</f>
        <v>44471</v>
      </c>
      <c r="B4021" s="9">
        <f>IFERROR(__xludf.DUMMYFUNCTION("""COMPUTED_VALUE"""),1003866.0)</f>
        <v>1003866</v>
      </c>
      <c r="C4021" s="9">
        <f>IFERROR(__xludf.DUMMYFUNCTION("""COMPUTED_VALUE"""),73768.0)</f>
        <v>73768</v>
      </c>
      <c r="D4021" s="10" t="str">
        <f>IFERROR(__xludf.DUMMYFUNCTION("""COMPUTED_VALUE"""),"Vive le bio")</f>
        <v>Vive le bio</v>
      </c>
      <c r="E4021" s="10"/>
      <c r="F4021" s="9">
        <f>IFERROR(__xludf.DUMMYFUNCTION("""COMPUTED_VALUE"""),33.0444444444444)</f>
        <v>33.04444444</v>
      </c>
      <c r="G4021" s="9">
        <f>IFERROR(__xludf.DUMMYFUNCTION("""COMPUTED_VALUE"""),29.74)</f>
        <v>29.74</v>
      </c>
      <c r="H4021" s="9">
        <f>IFERROR(__xludf.DUMMYFUNCTION("""COMPUTED_VALUE"""),1.0)</f>
        <v>1</v>
      </c>
      <c r="I4021" s="9"/>
      <c r="J4021" s="9"/>
      <c r="K4021" s="9"/>
      <c r="L4021" s="9"/>
      <c r="M4021" s="9"/>
      <c r="N4021" s="9"/>
      <c r="O4021" s="9"/>
      <c r="P4021" s="9"/>
      <c r="Q4021" s="9"/>
      <c r="R4021" s="9"/>
      <c r="S4021" s="9"/>
      <c r="T4021" s="9"/>
    </row>
    <row r="4022" ht="15.75" customHeight="1">
      <c r="A4022" s="11">
        <f>IFERROR(__xludf.DUMMYFUNCTION("""COMPUTED_VALUE"""),44471.0)</f>
        <v>44471</v>
      </c>
      <c r="B4022" s="9">
        <f>IFERROR(__xludf.DUMMYFUNCTION("""COMPUTED_VALUE"""),1003866.0)</f>
        <v>1003866</v>
      </c>
      <c r="C4022" s="9">
        <f>IFERROR(__xludf.DUMMYFUNCTION("""COMPUTED_VALUE"""),26727.0)</f>
        <v>26727</v>
      </c>
      <c r="D4022" s="9"/>
      <c r="E4022" s="9"/>
      <c r="F4022" s="9">
        <f>IFERROR(__xludf.DUMMYFUNCTION("""COMPUTED_VALUE"""),4.18)</f>
        <v>4.18</v>
      </c>
      <c r="G4022" s="9">
        <f>IFERROR(__xludf.DUMMYFUNCTION("""COMPUTED_VALUE"""),4.18)</f>
        <v>4.18</v>
      </c>
      <c r="H4022" s="9">
        <f>IFERROR(__xludf.DUMMYFUNCTION("""COMPUTED_VALUE"""),1.0)</f>
        <v>1</v>
      </c>
      <c r="I4022" s="9"/>
      <c r="J4022" s="9"/>
      <c r="K4022" s="9"/>
      <c r="L4022" s="9"/>
      <c r="M4022" s="9"/>
      <c r="N4022" s="9"/>
      <c r="O4022" s="9"/>
      <c r="P4022" s="9"/>
      <c r="Q4022" s="9"/>
      <c r="R4022" s="9"/>
      <c r="S4022" s="9"/>
      <c r="T4022" s="9"/>
    </row>
    <row r="4023" ht="15.75" customHeight="1">
      <c r="A4023" s="11">
        <f>IFERROR(__xludf.DUMMYFUNCTION("""COMPUTED_VALUE"""),44471.0)</f>
        <v>44471</v>
      </c>
      <c r="B4023" s="9">
        <f>IFERROR(__xludf.DUMMYFUNCTION("""COMPUTED_VALUE"""),1003866.0)</f>
        <v>1003866</v>
      </c>
      <c r="C4023" s="9">
        <f>IFERROR(__xludf.DUMMYFUNCTION("""COMPUTED_VALUE"""),118932.0)</f>
        <v>118932</v>
      </c>
      <c r="D4023" s="9"/>
      <c r="E4023" s="9"/>
      <c r="F4023" s="9">
        <f>IFERROR(__xludf.DUMMYFUNCTION("""COMPUTED_VALUE"""),7.68)</f>
        <v>7.68</v>
      </c>
      <c r="G4023" s="9">
        <f>IFERROR(__xludf.DUMMYFUNCTION("""COMPUTED_VALUE"""),7.68)</f>
        <v>7.68</v>
      </c>
      <c r="H4023" s="9">
        <f>IFERROR(__xludf.DUMMYFUNCTION("""COMPUTED_VALUE"""),1.0)</f>
        <v>1</v>
      </c>
      <c r="I4023" s="9"/>
      <c r="J4023" s="9"/>
      <c r="K4023" s="9"/>
      <c r="L4023" s="9"/>
      <c r="M4023" s="9"/>
      <c r="N4023" s="9"/>
      <c r="O4023" s="9"/>
      <c r="P4023" s="9"/>
      <c r="Q4023" s="9"/>
      <c r="R4023" s="9"/>
      <c r="S4023" s="9"/>
      <c r="T4023" s="9"/>
    </row>
    <row r="4024" ht="15.75" customHeight="1">
      <c r="A4024" s="11">
        <f>IFERROR(__xludf.DUMMYFUNCTION("""COMPUTED_VALUE"""),44471.0)</f>
        <v>44471</v>
      </c>
      <c r="B4024" s="9">
        <f>IFERROR(__xludf.DUMMYFUNCTION("""COMPUTED_VALUE"""),1003866.0)</f>
        <v>1003866</v>
      </c>
      <c r="C4024" s="9">
        <f>IFERROR(__xludf.DUMMYFUNCTION("""COMPUTED_VALUE"""),128313.0)</f>
        <v>128313</v>
      </c>
      <c r="D4024" s="9"/>
      <c r="E4024" s="9"/>
      <c r="F4024" s="9">
        <f>IFERROR(__xludf.DUMMYFUNCTION("""COMPUTED_VALUE"""),4.44)</f>
        <v>4.44</v>
      </c>
      <c r="G4024" s="9">
        <f>IFERROR(__xludf.DUMMYFUNCTION("""COMPUTED_VALUE"""),4.44)</f>
        <v>4.44</v>
      </c>
      <c r="H4024" s="9">
        <f>IFERROR(__xludf.DUMMYFUNCTION("""COMPUTED_VALUE"""),1.0)</f>
        <v>1</v>
      </c>
      <c r="I4024" s="9"/>
      <c r="J4024" s="9"/>
      <c r="K4024" s="9"/>
      <c r="L4024" s="9"/>
      <c r="M4024" s="9"/>
      <c r="N4024" s="9"/>
      <c r="O4024" s="9"/>
      <c r="P4024" s="9"/>
      <c r="Q4024" s="9"/>
      <c r="R4024" s="9"/>
      <c r="S4024" s="9"/>
      <c r="T4024" s="9"/>
    </row>
    <row r="4025" ht="15.75" customHeight="1">
      <c r="A4025" s="11">
        <f>IFERROR(__xludf.DUMMYFUNCTION("""COMPUTED_VALUE"""),44471.0)</f>
        <v>44471</v>
      </c>
      <c r="B4025" s="9">
        <f>IFERROR(__xludf.DUMMYFUNCTION("""COMPUTED_VALUE"""),1003866.0)</f>
        <v>1003866</v>
      </c>
      <c r="C4025" s="9">
        <f>IFERROR(__xludf.DUMMYFUNCTION("""COMPUTED_VALUE"""),122327.0)</f>
        <v>122327</v>
      </c>
      <c r="D4025" s="10" t="str">
        <f>IFERROR(__xludf.DUMMYFUNCTION("""COMPUTED_VALUE"""),"Vive le bio")</f>
        <v>Vive le bio</v>
      </c>
      <c r="E4025" s="10"/>
      <c r="F4025" s="9">
        <f>IFERROR(__xludf.DUMMYFUNCTION("""COMPUTED_VALUE"""),6.38888888888888)</f>
        <v>6.388888889</v>
      </c>
      <c r="G4025" s="9">
        <f>IFERROR(__xludf.DUMMYFUNCTION("""COMPUTED_VALUE"""),5.75)</f>
        <v>5.75</v>
      </c>
      <c r="H4025" s="9">
        <f>IFERROR(__xludf.DUMMYFUNCTION("""COMPUTED_VALUE"""),1.0)</f>
        <v>1</v>
      </c>
      <c r="I4025" s="9"/>
      <c r="J4025" s="9"/>
      <c r="K4025" s="9"/>
      <c r="L4025" s="9"/>
      <c r="M4025" s="9"/>
      <c r="N4025" s="9"/>
      <c r="O4025" s="9"/>
      <c r="P4025" s="9"/>
      <c r="Q4025" s="9"/>
      <c r="R4025" s="9"/>
      <c r="S4025" s="9"/>
      <c r="T4025" s="9"/>
    </row>
    <row r="4026" ht="15.75" customHeight="1">
      <c r="A4026" s="11">
        <f>IFERROR(__xludf.DUMMYFUNCTION("""COMPUTED_VALUE"""),44471.0)</f>
        <v>44471</v>
      </c>
      <c r="B4026" s="9">
        <f>IFERROR(__xludf.DUMMYFUNCTION("""COMPUTED_VALUE"""),1003866.0)</f>
        <v>1003866</v>
      </c>
      <c r="C4026" s="9">
        <f>IFERROR(__xludf.DUMMYFUNCTION("""COMPUTED_VALUE"""),117148.0)</f>
        <v>117148</v>
      </c>
      <c r="D4026" s="9"/>
      <c r="E4026" s="9"/>
      <c r="F4026" s="9">
        <f>IFERROR(__xludf.DUMMYFUNCTION("""COMPUTED_VALUE"""),4.16)</f>
        <v>4.16</v>
      </c>
      <c r="G4026" s="9">
        <f>IFERROR(__xludf.DUMMYFUNCTION("""COMPUTED_VALUE"""),4.16)</f>
        <v>4.16</v>
      </c>
      <c r="H4026" s="9">
        <f>IFERROR(__xludf.DUMMYFUNCTION("""COMPUTED_VALUE"""),2.0)</f>
        <v>2</v>
      </c>
      <c r="I4026" s="9"/>
      <c r="J4026" s="9"/>
      <c r="K4026" s="9"/>
      <c r="L4026" s="9"/>
      <c r="M4026" s="9"/>
      <c r="N4026" s="9"/>
      <c r="O4026" s="9"/>
      <c r="P4026" s="9"/>
      <c r="Q4026" s="9"/>
      <c r="R4026" s="9"/>
      <c r="S4026" s="9"/>
      <c r="T4026" s="9"/>
    </row>
    <row r="4027" ht="15.75" customHeight="1">
      <c r="A4027" s="11">
        <f>IFERROR(__xludf.DUMMYFUNCTION("""COMPUTED_VALUE"""),44471.0)</f>
        <v>44471</v>
      </c>
      <c r="B4027" s="9">
        <f>IFERROR(__xludf.DUMMYFUNCTION("""COMPUTED_VALUE"""),1003867.0)</f>
        <v>1003867</v>
      </c>
      <c r="C4027" s="9">
        <f>IFERROR(__xludf.DUMMYFUNCTION("""COMPUTED_VALUE"""),23975.0)</f>
        <v>23975</v>
      </c>
      <c r="D4027" s="10" t="str">
        <f>IFERROR(__xludf.DUMMYFUNCTION("""COMPUTED_VALUE"""),"Vive le bio")</f>
        <v>Vive le bio</v>
      </c>
      <c r="E4027" s="10"/>
      <c r="F4027" s="9">
        <f>IFERROR(__xludf.DUMMYFUNCTION("""COMPUTED_VALUE"""),4.34444444444444)</f>
        <v>4.344444444</v>
      </c>
      <c r="G4027" s="9">
        <f>IFERROR(__xludf.DUMMYFUNCTION("""COMPUTED_VALUE"""),3.91)</f>
        <v>3.91</v>
      </c>
      <c r="H4027" s="9">
        <f>IFERROR(__xludf.DUMMYFUNCTION("""COMPUTED_VALUE"""),1.0)</f>
        <v>1</v>
      </c>
      <c r="I4027" s="9"/>
      <c r="J4027" s="9"/>
      <c r="K4027" s="9"/>
      <c r="L4027" s="9"/>
      <c r="M4027" s="9"/>
      <c r="N4027" s="9"/>
      <c r="O4027" s="9"/>
      <c r="P4027" s="9"/>
      <c r="Q4027" s="9"/>
      <c r="R4027" s="9"/>
      <c r="S4027" s="9"/>
      <c r="T4027" s="9"/>
    </row>
    <row r="4028" ht="15.75" customHeight="1">
      <c r="A4028" s="11">
        <f>IFERROR(__xludf.DUMMYFUNCTION("""COMPUTED_VALUE"""),44471.0)</f>
        <v>44471</v>
      </c>
      <c r="B4028" s="9">
        <f>IFERROR(__xludf.DUMMYFUNCTION("""COMPUTED_VALUE"""),1003867.0)</f>
        <v>1003867</v>
      </c>
      <c r="C4028" s="9">
        <f>IFERROR(__xludf.DUMMYFUNCTION("""COMPUTED_VALUE"""),69503.0)</f>
        <v>69503</v>
      </c>
      <c r="D4028" s="10" t="str">
        <f>IFERROR(__xludf.DUMMYFUNCTION("""COMPUTED_VALUE"""),"Vive le bio")</f>
        <v>Vive le bio</v>
      </c>
      <c r="E4028" s="10"/>
      <c r="F4028" s="9">
        <f>IFERROR(__xludf.DUMMYFUNCTION("""COMPUTED_VALUE"""),3.76666666666666)</f>
        <v>3.766666667</v>
      </c>
      <c r="G4028" s="9">
        <f>IFERROR(__xludf.DUMMYFUNCTION("""COMPUTED_VALUE"""),3.39)</f>
        <v>3.39</v>
      </c>
      <c r="H4028" s="9">
        <f>IFERROR(__xludf.DUMMYFUNCTION("""COMPUTED_VALUE"""),1.0)</f>
        <v>1</v>
      </c>
      <c r="I4028" s="9"/>
      <c r="J4028" s="9"/>
      <c r="K4028" s="9"/>
      <c r="L4028" s="9"/>
      <c r="M4028" s="9"/>
      <c r="N4028" s="9"/>
      <c r="O4028" s="9"/>
      <c r="P4028" s="9"/>
      <c r="Q4028" s="9"/>
      <c r="R4028" s="9"/>
      <c r="S4028" s="9"/>
      <c r="T4028" s="9"/>
    </row>
    <row r="4029" ht="15.75" customHeight="1">
      <c r="A4029" s="11">
        <f>IFERROR(__xludf.DUMMYFUNCTION("""COMPUTED_VALUE"""),44471.0)</f>
        <v>44471</v>
      </c>
      <c r="B4029" s="9">
        <f>IFERROR(__xludf.DUMMYFUNCTION("""COMPUTED_VALUE"""),1003867.0)</f>
        <v>1003867</v>
      </c>
      <c r="C4029" s="9">
        <f>IFERROR(__xludf.DUMMYFUNCTION("""COMPUTED_VALUE"""),14689.0)</f>
        <v>14689</v>
      </c>
      <c r="D4029" s="9"/>
      <c r="E4029" s="9"/>
      <c r="F4029" s="9">
        <f>IFERROR(__xludf.DUMMYFUNCTION("""COMPUTED_VALUE"""),4.68)</f>
        <v>4.68</v>
      </c>
      <c r="G4029" s="9">
        <f>IFERROR(__xludf.DUMMYFUNCTION("""COMPUTED_VALUE"""),4.68)</f>
        <v>4.68</v>
      </c>
      <c r="H4029" s="9">
        <f>IFERROR(__xludf.DUMMYFUNCTION("""COMPUTED_VALUE"""),1.0)</f>
        <v>1</v>
      </c>
      <c r="I4029" s="9"/>
      <c r="J4029" s="9"/>
      <c r="K4029" s="9"/>
      <c r="L4029" s="9"/>
      <c r="M4029" s="9"/>
      <c r="N4029" s="9"/>
      <c r="O4029" s="9"/>
      <c r="P4029" s="9"/>
      <c r="Q4029" s="9"/>
      <c r="R4029" s="9"/>
      <c r="S4029" s="9"/>
      <c r="T4029" s="9"/>
    </row>
    <row r="4030" ht="15.75" customHeight="1">
      <c r="A4030" s="11">
        <f>IFERROR(__xludf.DUMMYFUNCTION("""COMPUTED_VALUE"""),44471.0)</f>
        <v>44471</v>
      </c>
      <c r="B4030" s="9">
        <f>IFERROR(__xludf.DUMMYFUNCTION("""COMPUTED_VALUE"""),1003867.0)</f>
        <v>1003867</v>
      </c>
      <c r="C4030" s="9">
        <f>IFERROR(__xludf.DUMMYFUNCTION("""COMPUTED_VALUE"""),190103.0)</f>
        <v>190103</v>
      </c>
      <c r="D4030" s="9"/>
      <c r="E4030" s="9"/>
      <c r="F4030" s="9">
        <f>IFERROR(__xludf.DUMMYFUNCTION("""COMPUTED_VALUE"""),2.23)</f>
        <v>2.23</v>
      </c>
      <c r="G4030" s="9">
        <f>IFERROR(__xludf.DUMMYFUNCTION("""COMPUTED_VALUE"""),2.23)</f>
        <v>2.23</v>
      </c>
      <c r="H4030" s="9">
        <f>IFERROR(__xludf.DUMMYFUNCTION("""COMPUTED_VALUE"""),1.0)</f>
        <v>1</v>
      </c>
      <c r="I4030" s="9"/>
      <c r="J4030" s="9"/>
      <c r="K4030" s="9"/>
      <c r="L4030" s="9"/>
      <c r="M4030" s="9"/>
      <c r="N4030" s="9"/>
      <c r="O4030" s="9"/>
      <c r="P4030" s="9"/>
      <c r="Q4030" s="9"/>
      <c r="R4030" s="9"/>
      <c r="S4030" s="9"/>
      <c r="T4030" s="9"/>
    </row>
    <row r="4031" ht="15.75" customHeight="1">
      <c r="A4031" s="11">
        <f>IFERROR(__xludf.DUMMYFUNCTION("""COMPUTED_VALUE"""),44471.0)</f>
        <v>44471</v>
      </c>
      <c r="B4031" s="9">
        <f>IFERROR(__xludf.DUMMYFUNCTION("""COMPUTED_VALUE"""),1003868.0)</f>
        <v>1003868</v>
      </c>
      <c r="C4031" s="9">
        <f>IFERROR(__xludf.DUMMYFUNCTION("""COMPUTED_VALUE"""),107898.0)</f>
        <v>107898</v>
      </c>
      <c r="D4031" s="9"/>
      <c r="E4031" s="9"/>
      <c r="F4031" s="9">
        <f>IFERROR(__xludf.DUMMYFUNCTION("""COMPUTED_VALUE"""),4.0)</f>
        <v>4</v>
      </c>
      <c r="G4031" s="9">
        <f>IFERROR(__xludf.DUMMYFUNCTION("""COMPUTED_VALUE"""),4.0)</f>
        <v>4</v>
      </c>
      <c r="H4031" s="9">
        <f>IFERROR(__xludf.DUMMYFUNCTION("""COMPUTED_VALUE"""),1.0)</f>
        <v>1</v>
      </c>
      <c r="I4031" s="9"/>
      <c r="J4031" s="9"/>
      <c r="K4031" s="9"/>
      <c r="L4031" s="9"/>
      <c r="M4031" s="9"/>
      <c r="N4031" s="9"/>
      <c r="O4031" s="9"/>
      <c r="P4031" s="9"/>
      <c r="Q4031" s="9"/>
      <c r="R4031" s="9"/>
      <c r="S4031" s="9"/>
      <c r="T4031" s="9"/>
    </row>
    <row r="4032" ht="15.75" customHeight="1">
      <c r="A4032" s="11">
        <f>IFERROR(__xludf.DUMMYFUNCTION("""COMPUTED_VALUE"""),44471.0)</f>
        <v>44471</v>
      </c>
      <c r="B4032" s="9">
        <f>IFERROR(__xludf.DUMMYFUNCTION("""COMPUTED_VALUE"""),1003868.0)</f>
        <v>1003868</v>
      </c>
      <c r="C4032" s="9">
        <f>IFERROR(__xludf.DUMMYFUNCTION("""COMPUTED_VALUE"""),7358.0)</f>
        <v>7358</v>
      </c>
      <c r="D4032" s="9"/>
      <c r="E4032" s="9"/>
      <c r="F4032" s="9">
        <f>IFERROR(__xludf.DUMMYFUNCTION("""COMPUTED_VALUE"""),4.25)</f>
        <v>4.25</v>
      </c>
      <c r="G4032" s="9">
        <f>IFERROR(__xludf.DUMMYFUNCTION("""COMPUTED_VALUE"""),4.25)</f>
        <v>4.25</v>
      </c>
      <c r="H4032" s="9">
        <f>IFERROR(__xludf.DUMMYFUNCTION("""COMPUTED_VALUE"""),1.0)</f>
        <v>1</v>
      </c>
      <c r="I4032" s="9"/>
      <c r="J4032" s="9"/>
      <c r="K4032" s="9"/>
      <c r="L4032" s="9"/>
      <c r="M4032" s="9"/>
      <c r="N4032" s="9"/>
      <c r="O4032" s="9"/>
      <c r="P4032" s="9"/>
      <c r="Q4032" s="9"/>
      <c r="R4032" s="9"/>
      <c r="S4032" s="9"/>
      <c r="T4032" s="9"/>
    </row>
    <row r="4033" ht="15.75" customHeight="1">
      <c r="A4033" s="11">
        <f>IFERROR(__xludf.DUMMYFUNCTION("""COMPUTED_VALUE"""),44471.0)</f>
        <v>44471</v>
      </c>
      <c r="B4033" s="9">
        <f>IFERROR(__xludf.DUMMYFUNCTION("""COMPUTED_VALUE"""),1003868.0)</f>
        <v>1003868</v>
      </c>
      <c r="C4033" s="9">
        <f>IFERROR(__xludf.DUMMYFUNCTION("""COMPUTED_VALUE"""),80054.0)</f>
        <v>80054</v>
      </c>
      <c r="D4033" s="9"/>
      <c r="E4033" s="9"/>
      <c r="F4033" s="9">
        <f>IFERROR(__xludf.DUMMYFUNCTION("""COMPUTED_VALUE"""),2.88)</f>
        <v>2.88</v>
      </c>
      <c r="G4033" s="9">
        <f>IFERROR(__xludf.DUMMYFUNCTION("""COMPUTED_VALUE"""),2.88)</f>
        <v>2.88</v>
      </c>
      <c r="H4033" s="9">
        <f>IFERROR(__xludf.DUMMYFUNCTION("""COMPUTED_VALUE"""),1.0)</f>
        <v>1</v>
      </c>
      <c r="I4033" s="9"/>
      <c r="J4033" s="9"/>
      <c r="K4033" s="9"/>
      <c r="L4033" s="9"/>
      <c r="M4033" s="9"/>
      <c r="N4033" s="9"/>
      <c r="O4033" s="9"/>
      <c r="P4033" s="9"/>
      <c r="Q4033" s="9"/>
      <c r="R4033" s="9"/>
      <c r="S4033" s="9"/>
      <c r="T4033" s="9"/>
    </row>
    <row r="4034" ht="15.75" customHeight="1">
      <c r="A4034" s="11">
        <f>IFERROR(__xludf.DUMMYFUNCTION("""COMPUTED_VALUE"""),44471.0)</f>
        <v>44471</v>
      </c>
      <c r="B4034" s="9">
        <f>IFERROR(__xludf.DUMMYFUNCTION("""COMPUTED_VALUE"""),1003868.0)</f>
        <v>1003868</v>
      </c>
      <c r="C4034" s="9">
        <f>IFERROR(__xludf.DUMMYFUNCTION("""COMPUTED_VALUE"""),28590.0)</f>
        <v>28590</v>
      </c>
      <c r="D4034" s="9"/>
      <c r="E4034" s="9"/>
      <c r="F4034" s="9">
        <f>IFERROR(__xludf.DUMMYFUNCTION("""COMPUTED_VALUE"""),6.52)</f>
        <v>6.52</v>
      </c>
      <c r="G4034" s="9">
        <f>IFERROR(__xludf.DUMMYFUNCTION("""COMPUTED_VALUE"""),6.52)</f>
        <v>6.52</v>
      </c>
      <c r="H4034" s="9">
        <f>IFERROR(__xludf.DUMMYFUNCTION("""COMPUTED_VALUE"""),1.0)</f>
        <v>1</v>
      </c>
      <c r="I4034" s="9"/>
      <c r="J4034" s="9"/>
      <c r="K4034" s="9"/>
      <c r="L4034" s="9"/>
      <c r="M4034" s="9"/>
      <c r="N4034" s="9"/>
      <c r="O4034" s="9"/>
      <c r="P4034" s="9"/>
      <c r="Q4034" s="9"/>
      <c r="R4034" s="9"/>
      <c r="S4034" s="9"/>
      <c r="T4034" s="9"/>
    </row>
    <row r="4035" ht="15.75" customHeight="1">
      <c r="A4035" s="11">
        <f>IFERROR(__xludf.DUMMYFUNCTION("""COMPUTED_VALUE"""),44471.0)</f>
        <v>44471</v>
      </c>
      <c r="B4035" s="9">
        <f>IFERROR(__xludf.DUMMYFUNCTION("""COMPUTED_VALUE"""),1003868.0)</f>
        <v>1003868</v>
      </c>
      <c r="C4035" s="9">
        <f>IFERROR(__xludf.DUMMYFUNCTION("""COMPUTED_VALUE"""),44674.0)</f>
        <v>44674</v>
      </c>
      <c r="D4035" s="9"/>
      <c r="E4035" s="9"/>
      <c r="F4035" s="9">
        <f>IFERROR(__xludf.DUMMYFUNCTION("""COMPUTED_VALUE"""),11.62)</f>
        <v>11.62</v>
      </c>
      <c r="G4035" s="9">
        <f>IFERROR(__xludf.DUMMYFUNCTION("""COMPUTED_VALUE"""),11.62)</f>
        <v>11.62</v>
      </c>
      <c r="H4035" s="9">
        <f>IFERROR(__xludf.DUMMYFUNCTION("""COMPUTED_VALUE"""),1.0)</f>
        <v>1</v>
      </c>
      <c r="I4035" s="9"/>
      <c r="J4035" s="9"/>
      <c r="K4035" s="9"/>
      <c r="L4035" s="9"/>
      <c r="M4035" s="9"/>
      <c r="N4035" s="9"/>
      <c r="O4035" s="9"/>
      <c r="P4035" s="9"/>
      <c r="Q4035" s="9"/>
      <c r="R4035" s="9"/>
      <c r="S4035" s="9"/>
      <c r="T4035" s="9"/>
    </row>
    <row r="4036" ht="15.75" customHeight="1">
      <c r="A4036" s="11">
        <f>IFERROR(__xludf.DUMMYFUNCTION("""COMPUTED_VALUE"""),44471.0)</f>
        <v>44471</v>
      </c>
      <c r="B4036" s="9">
        <f>IFERROR(__xludf.DUMMYFUNCTION("""COMPUTED_VALUE"""),1003868.0)</f>
        <v>1003868</v>
      </c>
      <c r="C4036" s="9">
        <f>IFERROR(__xludf.DUMMYFUNCTION("""COMPUTED_VALUE"""),90799.0)</f>
        <v>90799</v>
      </c>
      <c r="D4036" s="9"/>
      <c r="E4036" s="9"/>
      <c r="F4036" s="9">
        <f>IFERROR(__xludf.DUMMYFUNCTION("""COMPUTED_VALUE"""),1.21)</f>
        <v>1.21</v>
      </c>
      <c r="G4036" s="9">
        <f>IFERROR(__xludf.DUMMYFUNCTION("""COMPUTED_VALUE"""),1.21)</f>
        <v>1.21</v>
      </c>
      <c r="H4036" s="9">
        <f>IFERROR(__xludf.DUMMYFUNCTION("""COMPUTED_VALUE"""),1.0)</f>
        <v>1</v>
      </c>
      <c r="I4036" s="9"/>
      <c r="J4036" s="9"/>
      <c r="K4036" s="9"/>
      <c r="L4036" s="9"/>
      <c r="M4036" s="9"/>
      <c r="N4036" s="9"/>
      <c r="O4036" s="9"/>
      <c r="P4036" s="9"/>
      <c r="Q4036" s="9"/>
      <c r="R4036" s="9"/>
      <c r="S4036" s="9"/>
      <c r="T4036" s="9"/>
    </row>
    <row r="4037" ht="15.75" customHeight="1">
      <c r="A4037" s="11">
        <f>IFERROR(__xludf.DUMMYFUNCTION("""COMPUTED_VALUE"""),44471.0)</f>
        <v>44471</v>
      </c>
      <c r="B4037" s="9">
        <f>IFERROR(__xludf.DUMMYFUNCTION("""COMPUTED_VALUE"""),1003868.0)</f>
        <v>1003868</v>
      </c>
      <c r="C4037" s="9">
        <f>IFERROR(__xludf.DUMMYFUNCTION("""COMPUTED_VALUE"""),76424.0)</f>
        <v>76424</v>
      </c>
      <c r="D4037" s="10" t="str">
        <f>IFERROR(__xludf.DUMMYFUNCTION("""COMPUTED_VALUE"""),"Vive le bio")</f>
        <v>Vive le bio</v>
      </c>
      <c r="E4037" s="10"/>
      <c r="F4037" s="9">
        <f>IFERROR(__xludf.DUMMYFUNCTION("""COMPUTED_VALUE"""),1.67777777777777)</f>
        <v>1.677777778</v>
      </c>
      <c r="G4037" s="9">
        <f>IFERROR(__xludf.DUMMYFUNCTION("""COMPUTED_VALUE"""),1.51)</f>
        <v>1.51</v>
      </c>
      <c r="H4037" s="9">
        <f>IFERROR(__xludf.DUMMYFUNCTION("""COMPUTED_VALUE"""),1.0)</f>
        <v>1</v>
      </c>
      <c r="I4037" s="9"/>
      <c r="J4037" s="9"/>
      <c r="K4037" s="9"/>
      <c r="L4037" s="9"/>
      <c r="M4037" s="9"/>
      <c r="N4037" s="9"/>
      <c r="O4037" s="9"/>
      <c r="P4037" s="9"/>
      <c r="Q4037" s="9"/>
      <c r="R4037" s="9"/>
      <c r="S4037" s="9"/>
      <c r="T4037" s="9"/>
    </row>
    <row r="4038" ht="15.75" customHeight="1">
      <c r="A4038" s="11">
        <f>IFERROR(__xludf.DUMMYFUNCTION("""COMPUTED_VALUE"""),44471.0)</f>
        <v>44471</v>
      </c>
      <c r="B4038" s="9">
        <f>IFERROR(__xludf.DUMMYFUNCTION("""COMPUTED_VALUE"""),1003868.0)</f>
        <v>1003868</v>
      </c>
      <c r="C4038" s="9">
        <f>IFERROR(__xludf.DUMMYFUNCTION("""COMPUTED_VALUE"""),76559.0)</f>
        <v>76559</v>
      </c>
      <c r="D4038" s="9"/>
      <c r="E4038" s="9"/>
      <c r="F4038" s="9">
        <f>IFERROR(__xludf.DUMMYFUNCTION("""COMPUTED_VALUE"""),4.39)</f>
        <v>4.39</v>
      </c>
      <c r="G4038" s="9">
        <f>IFERROR(__xludf.DUMMYFUNCTION("""COMPUTED_VALUE"""),4.39)</f>
        <v>4.39</v>
      </c>
      <c r="H4038" s="9">
        <f>IFERROR(__xludf.DUMMYFUNCTION("""COMPUTED_VALUE"""),1.0)</f>
        <v>1</v>
      </c>
      <c r="I4038" s="9"/>
      <c r="J4038" s="9"/>
      <c r="K4038" s="9"/>
      <c r="L4038" s="9"/>
      <c r="M4038" s="9"/>
      <c r="N4038" s="9"/>
      <c r="O4038" s="9"/>
      <c r="P4038" s="9"/>
      <c r="Q4038" s="9"/>
      <c r="R4038" s="9"/>
      <c r="S4038" s="9"/>
      <c r="T4038" s="9"/>
    </row>
    <row r="4039" ht="15.75" customHeight="1">
      <c r="A4039" s="11">
        <f>IFERROR(__xludf.DUMMYFUNCTION("""COMPUTED_VALUE"""),44471.0)</f>
        <v>44471</v>
      </c>
      <c r="B4039" s="9">
        <f>IFERROR(__xludf.DUMMYFUNCTION("""COMPUTED_VALUE"""),1003868.0)</f>
        <v>1003868</v>
      </c>
      <c r="C4039" s="9">
        <f>IFERROR(__xludf.DUMMYFUNCTION("""COMPUTED_VALUE"""),202746.0)</f>
        <v>202746</v>
      </c>
      <c r="D4039" s="9"/>
      <c r="E4039" s="9"/>
      <c r="F4039" s="9">
        <f>IFERROR(__xludf.DUMMYFUNCTION("""COMPUTED_VALUE"""),12.59)</f>
        <v>12.59</v>
      </c>
      <c r="G4039" s="9">
        <f>IFERROR(__xludf.DUMMYFUNCTION("""COMPUTED_VALUE"""),12.59)</f>
        <v>12.59</v>
      </c>
      <c r="H4039" s="9">
        <f>IFERROR(__xludf.DUMMYFUNCTION("""COMPUTED_VALUE"""),1.0)</f>
        <v>1</v>
      </c>
      <c r="I4039" s="9"/>
      <c r="J4039" s="9"/>
      <c r="K4039" s="9"/>
      <c r="L4039" s="9"/>
      <c r="M4039" s="9"/>
      <c r="N4039" s="9"/>
      <c r="O4039" s="9"/>
      <c r="P4039" s="9"/>
      <c r="Q4039" s="9"/>
      <c r="R4039" s="9"/>
      <c r="S4039" s="9"/>
      <c r="T4039" s="9"/>
    </row>
    <row r="4040" ht="15.75" customHeight="1">
      <c r="A4040" s="11">
        <f>IFERROR(__xludf.DUMMYFUNCTION("""COMPUTED_VALUE"""),44471.0)</f>
        <v>44471</v>
      </c>
      <c r="B4040" s="9">
        <f>IFERROR(__xludf.DUMMYFUNCTION("""COMPUTED_VALUE"""),1003868.0)</f>
        <v>1003868</v>
      </c>
      <c r="C4040" s="9">
        <f>IFERROR(__xludf.DUMMYFUNCTION("""COMPUTED_VALUE"""),91749.0)</f>
        <v>91749</v>
      </c>
      <c r="D4040" s="10" t="str">
        <f>IFERROR(__xludf.DUMMYFUNCTION("""COMPUTED_VALUE"""),"Vive le bio")</f>
        <v>Vive le bio</v>
      </c>
      <c r="E4040" s="10"/>
      <c r="F4040" s="9">
        <f>IFERROR(__xludf.DUMMYFUNCTION("""COMPUTED_VALUE"""),5.31111111111111)</f>
        <v>5.311111111</v>
      </c>
      <c r="G4040" s="9">
        <f>IFERROR(__xludf.DUMMYFUNCTION("""COMPUTED_VALUE"""),4.78)</f>
        <v>4.78</v>
      </c>
      <c r="H4040" s="9">
        <f>IFERROR(__xludf.DUMMYFUNCTION("""COMPUTED_VALUE"""),1.0)</f>
        <v>1</v>
      </c>
      <c r="I4040" s="9"/>
      <c r="J4040" s="9"/>
      <c r="K4040" s="9"/>
      <c r="L4040" s="9"/>
      <c r="M4040" s="9"/>
      <c r="N4040" s="9"/>
      <c r="O4040" s="9"/>
      <c r="P4040" s="9"/>
      <c r="Q4040" s="9"/>
      <c r="R4040" s="9"/>
      <c r="S4040" s="9"/>
      <c r="T4040" s="9"/>
    </row>
    <row r="4041" ht="15.75" customHeight="1">
      <c r="A4041" s="11">
        <f>IFERROR(__xludf.DUMMYFUNCTION("""COMPUTED_VALUE"""),44471.0)</f>
        <v>44471</v>
      </c>
      <c r="B4041" s="9">
        <f>IFERROR(__xludf.DUMMYFUNCTION("""COMPUTED_VALUE"""),1003868.0)</f>
        <v>1003868</v>
      </c>
      <c r="C4041" s="9">
        <f>IFERROR(__xludf.DUMMYFUNCTION("""COMPUTED_VALUE"""),121990.0)</f>
        <v>121990</v>
      </c>
      <c r="D4041" s="9"/>
      <c r="E4041" s="9"/>
      <c r="F4041" s="9">
        <f>IFERROR(__xludf.DUMMYFUNCTION("""COMPUTED_VALUE"""),2.49)</f>
        <v>2.49</v>
      </c>
      <c r="G4041" s="9">
        <f>IFERROR(__xludf.DUMMYFUNCTION("""COMPUTED_VALUE"""),2.49)</f>
        <v>2.49</v>
      </c>
      <c r="H4041" s="9">
        <f>IFERROR(__xludf.DUMMYFUNCTION("""COMPUTED_VALUE"""),1.0)</f>
        <v>1</v>
      </c>
      <c r="I4041" s="9"/>
      <c r="J4041" s="9"/>
      <c r="K4041" s="9"/>
      <c r="L4041" s="9"/>
      <c r="M4041" s="9"/>
      <c r="N4041" s="9"/>
      <c r="O4041" s="9"/>
      <c r="P4041" s="9"/>
      <c r="Q4041" s="9"/>
      <c r="R4041" s="9"/>
      <c r="S4041" s="9"/>
      <c r="T4041" s="9"/>
    </row>
    <row r="4042" ht="15.75" customHeight="1">
      <c r="A4042" s="11">
        <f>IFERROR(__xludf.DUMMYFUNCTION("""COMPUTED_VALUE"""),44471.0)</f>
        <v>44471</v>
      </c>
      <c r="B4042" s="9">
        <f>IFERROR(__xludf.DUMMYFUNCTION("""COMPUTED_VALUE"""),1003868.0)</f>
        <v>1003868</v>
      </c>
      <c r="C4042" s="9">
        <f>IFERROR(__xludf.DUMMYFUNCTION("""COMPUTED_VALUE"""),81139.0)</f>
        <v>81139</v>
      </c>
      <c r="D4042" s="9"/>
      <c r="E4042" s="9"/>
      <c r="F4042" s="9">
        <f>IFERROR(__xludf.DUMMYFUNCTION("""COMPUTED_VALUE"""),3.12)</f>
        <v>3.12</v>
      </c>
      <c r="G4042" s="9">
        <f>IFERROR(__xludf.DUMMYFUNCTION("""COMPUTED_VALUE"""),3.12)</f>
        <v>3.12</v>
      </c>
      <c r="H4042" s="9">
        <f>IFERROR(__xludf.DUMMYFUNCTION("""COMPUTED_VALUE"""),1.0)</f>
        <v>1</v>
      </c>
      <c r="I4042" s="9"/>
      <c r="J4042" s="9"/>
      <c r="K4042" s="9"/>
      <c r="L4042" s="9"/>
      <c r="M4042" s="9"/>
      <c r="N4042" s="9"/>
      <c r="O4042" s="9"/>
      <c r="P4042" s="9"/>
      <c r="Q4042" s="9"/>
      <c r="R4042" s="9"/>
      <c r="S4042" s="9"/>
      <c r="T4042" s="9"/>
    </row>
    <row r="4043" ht="15.75" customHeight="1">
      <c r="A4043" s="11">
        <f>IFERROR(__xludf.DUMMYFUNCTION("""COMPUTED_VALUE"""),44471.0)</f>
        <v>44471</v>
      </c>
      <c r="B4043" s="9">
        <f>IFERROR(__xludf.DUMMYFUNCTION("""COMPUTED_VALUE"""),1003869.0)</f>
        <v>1003869</v>
      </c>
      <c r="C4043" s="9">
        <f>IFERROR(__xludf.DUMMYFUNCTION("""COMPUTED_VALUE"""),92676.0)</f>
        <v>92676</v>
      </c>
      <c r="D4043" s="9"/>
      <c r="E4043" s="10" t="str">
        <f>IFERROR(__xludf.DUMMYFUNCTION("""COMPUTED_VALUE"""),"GREENRELAIS")</f>
        <v>GREENRELAIS</v>
      </c>
      <c r="F4043" s="10">
        <f>IFERROR(__xludf.DUMMYFUNCTION("""COMPUTED_VALUE"""),3.88)</f>
        <v>3.88</v>
      </c>
      <c r="G4043" s="9">
        <f>IFERROR(__xludf.DUMMYFUNCTION("""COMPUTED_VALUE"""),3.88)</f>
        <v>3.88</v>
      </c>
      <c r="H4043" s="9">
        <f>IFERROR(__xludf.DUMMYFUNCTION("""COMPUTED_VALUE"""),1.0)</f>
        <v>1</v>
      </c>
      <c r="I4043" s="9"/>
      <c r="J4043" s="9"/>
      <c r="K4043" s="9"/>
      <c r="L4043" s="9"/>
      <c r="M4043" s="9"/>
      <c r="N4043" s="9"/>
      <c r="O4043" s="9"/>
      <c r="P4043" s="9"/>
      <c r="Q4043" s="9"/>
      <c r="R4043" s="9"/>
      <c r="S4043" s="9"/>
      <c r="T4043" s="9"/>
    </row>
    <row r="4044" ht="15.75" customHeight="1">
      <c r="A4044" s="11">
        <f>IFERROR(__xludf.DUMMYFUNCTION("""COMPUTED_VALUE"""),44471.0)</f>
        <v>44471</v>
      </c>
      <c r="B4044" s="9">
        <f>IFERROR(__xludf.DUMMYFUNCTION("""COMPUTED_VALUE"""),1003869.0)</f>
        <v>1003869</v>
      </c>
      <c r="C4044" s="9">
        <f>IFERROR(__xludf.DUMMYFUNCTION("""COMPUTED_VALUE"""),79503.0)</f>
        <v>79503</v>
      </c>
      <c r="D4044" s="9"/>
      <c r="E4044" s="10" t="str">
        <f>IFERROR(__xludf.DUMMYFUNCTION("""COMPUTED_VALUE"""),"GREENRELAIS")</f>
        <v>GREENRELAIS</v>
      </c>
      <c r="F4044" s="10">
        <f>IFERROR(__xludf.DUMMYFUNCTION("""COMPUTED_VALUE"""),20.58)</f>
        <v>20.58</v>
      </c>
      <c r="G4044" s="9">
        <f>IFERROR(__xludf.DUMMYFUNCTION("""COMPUTED_VALUE"""),20.58)</f>
        <v>20.58</v>
      </c>
      <c r="H4044" s="9">
        <f>IFERROR(__xludf.DUMMYFUNCTION("""COMPUTED_VALUE"""),1.0)</f>
        <v>1</v>
      </c>
      <c r="I4044" s="9"/>
      <c r="J4044" s="9"/>
      <c r="K4044" s="9"/>
      <c r="L4044" s="9"/>
      <c r="M4044" s="9"/>
      <c r="N4044" s="9"/>
      <c r="O4044" s="9"/>
      <c r="P4044" s="9"/>
      <c r="Q4044" s="9"/>
      <c r="R4044" s="9"/>
      <c r="S4044" s="9"/>
      <c r="T4044" s="9"/>
    </row>
    <row r="4045" ht="15.75" customHeight="1">
      <c r="A4045" s="11">
        <f>IFERROR(__xludf.DUMMYFUNCTION("""COMPUTED_VALUE"""),44471.0)</f>
        <v>44471</v>
      </c>
      <c r="B4045" s="9">
        <f>IFERROR(__xludf.DUMMYFUNCTION("""COMPUTED_VALUE"""),1003869.0)</f>
        <v>1003869</v>
      </c>
      <c r="C4045" s="9">
        <f>IFERROR(__xludf.DUMMYFUNCTION("""COMPUTED_VALUE"""),120378.0)</f>
        <v>120378</v>
      </c>
      <c r="D4045" s="9"/>
      <c r="E4045" s="10" t="str">
        <f>IFERROR(__xludf.DUMMYFUNCTION("""COMPUTED_VALUE"""),"GREENRELAIS")</f>
        <v>GREENRELAIS</v>
      </c>
      <c r="F4045" s="10">
        <f>IFERROR(__xludf.DUMMYFUNCTION("""COMPUTED_VALUE"""),2.05)</f>
        <v>2.05</v>
      </c>
      <c r="G4045" s="9">
        <f>IFERROR(__xludf.DUMMYFUNCTION("""COMPUTED_VALUE"""),2.05)</f>
        <v>2.05</v>
      </c>
      <c r="H4045" s="9">
        <f>IFERROR(__xludf.DUMMYFUNCTION("""COMPUTED_VALUE"""),1.0)</f>
        <v>1</v>
      </c>
      <c r="I4045" s="9"/>
      <c r="J4045" s="9"/>
      <c r="K4045" s="9"/>
      <c r="L4045" s="9"/>
      <c r="M4045" s="9"/>
      <c r="N4045" s="9"/>
      <c r="O4045" s="9"/>
      <c r="P4045" s="9"/>
      <c r="Q4045" s="9"/>
      <c r="R4045" s="9"/>
      <c r="S4045" s="9"/>
      <c r="T4045" s="9"/>
    </row>
    <row r="4046" ht="15.75" customHeight="1">
      <c r="A4046" s="11">
        <f>IFERROR(__xludf.DUMMYFUNCTION("""COMPUTED_VALUE"""),44471.0)</f>
        <v>44471</v>
      </c>
      <c r="B4046" s="9">
        <f>IFERROR(__xludf.DUMMYFUNCTION("""COMPUTED_VALUE"""),1003869.0)</f>
        <v>1003869</v>
      </c>
      <c r="C4046" s="9">
        <f>IFERROR(__xludf.DUMMYFUNCTION("""COMPUTED_VALUE"""),23214.0)</f>
        <v>23214</v>
      </c>
      <c r="D4046" s="9"/>
      <c r="E4046" s="10" t="str">
        <f>IFERROR(__xludf.DUMMYFUNCTION("""COMPUTED_VALUE"""),"GREENRELAIS")</f>
        <v>GREENRELAIS</v>
      </c>
      <c r="F4046" s="10">
        <f>IFERROR(__xludf.DUMMYFUNCTION("""COMPUTED_VALUE"""),5.46)</f>
        <v>5.46</v>
      </c>
      <c r="G4046" s="9">
        <f>IFERROR(__xludf.DUMMYFUNCTION("""COMPUTED_VALUE"""),5.46)</f>
        <v>5.46</v>
      </c>
      <c r="H4046" s="9">
        <f>IFERROR(__xludf.DUMMYFUNCTION("""COMPUTED_VALUE"""),1.0)</f>
        <v>1</v>
      </c>
      <c r="I4046" s="9"/>
      <c r="J4046" s="9"/>
      <c r="K4046" s="9"/>
      <c r="L4046" s="9"/>
      <c r="M4046" s="9"/>
      <c r="N4046" s="9"/>
      <c r="O4046" s="9"/>
      <c r="P4046" s="9"/>
      <c r="Q4046" s="9"/>
      <c r="R4046" s="9"/>
      <c r="S4046" s="9"/>
      <c r="T4046" s="9"/>
    </row>
    <row r="4047" ht="15.75" customHeight="1">
      <c r="A4047" s="11">
        <f>IFERROR(__xludf.DUMMYFUNCTION("""COMPUTED_VALUE"""),44471.0)</f>
        <v>44471</v>
      </c>
      <c r="B4047" s="9">
        <f>IFERROR(__xludf.DUMMYFUNCTION("""COMPUTED_VALUE"""),1003869.0)</f>
        <v>1003869</v>
      </c>
      <c r="C4047" s="9">
        <f>IFERROR(__xludf.DUMMYFUNCTION("""COMPUTED_VALUE"""),5905.0)</f>
        <v>5905</v>
      </c>
      <c r="D4047" s="9"/>
      <c r="E4047" s="10" t="str">
        <f>IFERROR(__xludf.DUMMYFUNCTION("""COMPUTED_VALUE"""),"GREENRELAIS")</f>
        <v>GREENRELAIS</v>
      </c>
      <c r="F4047" s="10">
        <f>IFERROR(__xludf.DUMMYFUNCTION("""COMPUTED_VALUE"""),6.17)</f>
        <v>6.17</v>
      </c>
      <c r="G4047" s="9">
        <f>IFERROR(__xludf.DUMMYFUNCTION("""COMPUTED_VALUE"""),6.17)</f>
        <v>6.17</v>
      </c>
      <c r="H4047" s="9">
        <f>IFERROR(__xludf.DUMMYFUNCTION("""COMPUTED_VALUE"""),2.0)</f>
        <v>2</v>
      </c>
      <c r="I4047" s="9"/>
      <c r="J4047" s="9"/>
      <c r="K4047" s="9"/>
      <c r="L4047" s="9"/>
      <c r="M4047" s="9"/>
      <c r="N4047" s="9"/>
      <c r="O4047" s="9"/>
      <c r="P4047" s="9"/>
      <c r="Q4047" s="9"/>
      <c r="R4047" s="9"/>
      <c r="S4047" s="9"/>
      <c r="T4047" s="9"/>
    </row>
    <row r="4048" ht="15.75" customHeight="1">
      <c r="A4048" s="11">
        <f>IFERROR(__xludf.DUMMYFUNCTION("""COMPUTED_VALUE"""),44471.0)</f>
        <v>44471</v>
      </c>
      <c r="B4048" s="9">
        <f>IFERROR(__xludf.DUMMYFUNCTION("""COMPUTED_VALUE"""),1003869.0)</f>
        <v>1003869</v>
      </c>
      <c r="C4048" s="9">
        <f>IFERROR(__xludf.DUMMYFUNCTION("""COMPUTED_VALUE"""),89503.0)</f>
        <v>89503</v>
      </c>
      <c r="D4048" s="9"/>
      <c r="E4048" s="10" t="str">
        <f>IFERROR(__xludf.DUMMYFUNCTION("""COMPUTED_VALUE"""),"GREENRELAIS")</f>
        <v>GREENRELAIS</v>
      </c>
      <c r="F4048" s="10">
        <f>IFERROR(__xludf.DUMMYFUNCTION("""COMPUTED_VALUE"""),21.03)</f>
        <v>21.03</v>
      </c>
      <c r="G4048" s="9">
        <f>IFERROR(__xludf.DUMMYFUNCTION("""COMPUTED_VALUE"""),21.03)</f>
        <v>21.03</v>
      </c>
      <c r="H4048" s="9">
        <f>IFERROR(__xludf.DUMMYFUNCTION("""COMPUTED_VALUE"""),4.0)</f>
        <v>4</v>
      </c>
      <c r="I4048" s="9"/>
      <c r="J4048" s="9"/>
      <c r="K4048" s="9"/>
      <c r="L4048" s="9"/>
      <c r="M4048" s="9"/>
      <c r="N4048" s="9"/>
      <c r="O4048" s="9"/>
      <c r="P4048" s="9"/>
      <c r="Q4048" s="9"/>
      <c r="R4048" s="9"/>
      <c r="S4048" s="9"/>
      <c r="T4048" s="9"/>
    </row>
    <row r="4049" ht="15.75" customHeight="1">
      <c r="A4049" s="11">
        <f>IFERROR(__xludf.DUMMYFUNCTION("""COMPUTED_VALUE"""),44471.0)</f>
        <v>44471</v>
      </c>
      <c r="B4049" s="9">
        <f>IFERROR(__xludf.DUMMYFUNCTION("""COMPUTED_VALUE"""),1003870.0)</f>
        <v>1003870</v>
      </c>
      <c r="C4049" s="9">
        <f>IFERROR(__xludf.DUMMYFUNCTION("""COMPUTED_VALUE"""),89503.0)</f>
        <v>89503</v>
      </c>
      <c r="D4049" s="9"/>
      <c r="E4049" s="9"/>
      <c r="F4049" s="9">
        <f>IFERROR(__xludf.DUMMYFUNCTION("""COMPUTED_VALUE"""),5.26)</f>
        <v>5.26</v>
      </c>
      <c r="G4049" s="9">
        <f>IFERROR(__xludf.DUMMYFUNCTION("""COMPUTED_VALUE"""),5.26)</f>
        <v>5.26</v>
      </c>
      <c r="H4049" s="9">
        <f>IFERROR(__xludf.DUMMYFUNCTION("""COMPUTED_VALUE"""),1.0)</f>
        <v>1</v>
      </c>
      <c r="I4049" s="9"/>
      <c r="J4049" s="9"/>
      <c r="K4049" s="9"/>
      <c r="L4049" s="9"/>
      <c r="M4049" s="9"/>
      <c r="N4049" s="9"/>
      <c r="O4049" s="9"/>
      <c r="P4049" s="9"/>
      <c r="Q4049" s="9"/>
      <c r="R4049" s="9"/>
      <c r="S4049" s="9"/>
      <c r="T4049" s="9"/>
    </row>
    <row r="4050" ht="15.75" customHeight="1">
      <c r="A4050" s="11">
        <f>IFERROR(__xludf.DUMMYFUNCTION("""COMPUTED_VALUE"""),44471.0)</f>
        <v>44471</v>
      </c>
      <c r="B4050" s="9">
        <f>IFERROR(__xludf.DUMMYFUNCTION("""COMPUTED_VALUE"""),1003870.0)</f>
        <v>1003870</v>
      </c>
      <c r="C4050" s="9">
        <f>IFERROR(__xludf.DUMMYFUNCTION("""COMPUTED_VALUE"""),72511.0)</f>
        <v>72511</v>
      </c>
      <c r="D4050" s="9"/>
      <c r="E4050" s="9"/>
      <c r="F4050" s="9">
        <f>IFERROR(__xludf.DUMMYFUNCTION("""COMPUTED_VALUE"""),3.4)</f>
        <v>3.4</v>
      </c>
      <c r="G4050" s="9">
        <f>IFERROR(__xludf.DUMMYFUNCTION("""COMPUTED_VALUE"""),3.4)</f>
        <v>3.4</v>
      </c>
      <c r="H4050" s="9">
        <f>IFERROR(__xludf.DUMMYFUNCTION("""COMPUTED_VALUE"""),1.0)</f>
        <v>1</v>
      </c>
      <c r="I4050" s="9"/>
      <c r="J4050" s="9"/>
      <c r="K4050" s="9"/>
      <c r="L4050" s="9"/>
      <c r="M4050" s="9"/>
      <c r="N4050" s="9"/>
      <c r="O4050" s="9"/>
      <c r="P4050" s="9"/>
      <c r="Q4050" s="9"/>
      <c r="R4050" s="9"/>
      <c r="S4050" s="9"/>
      <c r="T4050" s="9"/>
    </row>
    <row r="4051" ht="15.75" customHeight="1">
      <c r="A4051" s="11">
        <f>IFERROR(__xludf.DUMMYFUNCTION("""COMPUTED_VALUE"""),44471.0)</f>
        <v>44471</v>
      </c>
      <c r="B4051" s="9">
        <f>IFERROR(__xludf.DUMMYFUNCTION("""COMPUTED_VALUE"""),1003870.0)</f>
        <v>1003870</v>
      </c>
      <c r="C4051" s="9">
        <f>IFERROR(__xludf.DUMMYFUNCTION("""COMPUTED_VALUE"""),82464.0)</f>
        <v>82464</v>
      </c>
      <c r="D4051" s="9"/>
      <c r="E4051" s="9"/>
      <c r="F4051" s="9">
        <f>IFERROR(__xludf.DUMMYFUNCTION("""COMPUTED_VALUE"""),4.44)</f>
        <v>4.44</v>
      </c>
      <c r="G4051" s="9">
        <f>IFERROR(__xludf.DUMMYFUNCTION("""COMPUTED_VALUE"""),4.44)</f>
        <v>4.44</v>
      </c>
      <c r="H4051" s="9">
        <f>IFERROR(__xludf.DUMMYFUNCTION("""COMPUTED_VALUE"""),1.0)</f>
        <v>1</v>
      </c>
      <c r="I4051" s="9"/>
      <c r="J4051" s="9"/>
      <c r="K4051" s="9"/>
      <c r="L4051" s="9"/>
      <c r="M4051" s="9"/>
      <c r="N4051" s="9"/>
      <c r="O4051" s="9"/>
      <c r="P4051" s="9"/>
      <c r="Q4051" s="9"/>
      <c r="R4051" s="9"/>
      <c r="S4051" s="9"/>
      <c r="T4051" s="9"/>
    </row>
    <row r="4052" ht="15.75" customHeight="1">
      <c r="A4052" s="11">
        <f>IFERROR(__xludf.DUMMYFUNCTION("""COMPUTED_VALUE"""),44471.0)</f>
        <v>44471</v>
      </c>
      <c r="B4052" s="9">
        <f>IFERROR(__xludf.DUMMYFUNCTION("""COMPUTED_VALUE"""),1003870.0)</f>
        <v>1003870</v>
      </c>
      <c r="C4052" s="9">
        <f>IFERROR(__xludf.DUMMYFUNCTION("""COMPUTED_VALUE"""),82463.0)</f>
        <v>82463</v>
      </c>
      <c r="D4052" s="9"/>
      <c r="E4052" s="9"/>
      <c r="F4052" s="9">
        <f>IFERROR(__xludf.DUMMYFUNCTION("""COMPUTED_VALUE"""),4.44)</f>
        <v>4.44</v>
      </c>
      <c r="G4052" s="9">
        <f>IFERROR(__xludf.DUMMYFUNCTION("""COMPUTED_VALUE"""),4.44)</f>
        <v>4.44</v>
      </c>
      <c r="H4052" s="9">
        <f>IFERROR(__xludf.DUMMYFUNCTION("""COMPUTED_VALUE"""),1.0)</f>
        <v>1</v>
      </c>
      <c r="I4052" s="9"/>
      <c r="J4052" s="9"/>
      <c r="K4052" s="9"/>
      <c r="L4052" s="9"/>
      <c r="M4052" s="9"/>
      <c r="N4052" s="9"/>
      <c r="O4052" s="9"/>
      <c r="P4052" s="9"/>
      <c r="Q4052" s="9"/>
      <c r="R4052" s="9"/>
      <c r="S4052" s="9"/>
      <c r="T4052" s="9"/>
    </row>
    <row r="4053" ht="15.75" customHeight="1">
      <c r="A4053" s="11">
        <f>IFERROR(__xludf.DUMMYFUNCTION("""COMPUTED_VALUE"""),44471.0)</f>
        <v>44471</v>
      </c>
      <c r="B4053" s="9">
        <f>IFERROR(__xludf.DUMMYFUNCTION("""COMPUTED_VALUE"""),1003870.0)</f>
        <v>1003870</v>
      </c>
      <c r="C4053" s="9">
        <f>IFERROR(__xludf.DUMMYFUNCTION("""COMPUTED_VALUE"""),29499.0)</f>
        <v>29499</v>
      </c>
      <c r="D4053" s="9"/>
      <c r="E4053" s="9"/>
      <c r="F4053" s="9">
        <f>IFERROR(__xludf.DUMMYFUNCTION("""COMPUTED_VALUE"""),3.98)</f>
        <v>3.98</v>
      </c>
      <c r="G4053" s="9">
        <f>IFERROR(__xludf.DUMMYFUNCTION("""COMPUTED_VALUE"""),3.98)</f>
        <v>3.98</v>
      </c>
      <c r="H4053" s="9">
        <f>IFERROR(__xludf.DUMMYFUNCTION("""COMPUTED_VALUE"""),1.0)</f>
        <v>1</v>
      </c>
      <c r="I4053" s="9"/>
      <c r="J4053" s="9"/>
      <c r="K4053" s="9"/>
      <c r="L4053" s="9"/>
      <c r="M4053" s="9"/>
      <c r="N4053" s="9"/>
      <c r="O4053" s="9"/>
      <c r="P4053" s="9"/>
      <c r="Q4053" s="9"/>
      <c r="R4053" s="9"/>
      <c r="S4053" s="9"/>
      <c r="T4053" s="9"/>
    </row>
    <row r="4054" ht="15.75" customHeight="1">
      <c r="A4054" s="11">
        <f>IFERROR(__xludf.DUMMYFUNCTION("""COMPUTED_VALUE"""),44471.0)</f>
        <v>44471</v>
      </c>
      <c r="B4054" s="9">
        <f>IFERROR(__xludf.DUMMYFUNCTION("""COMPUTED_VALUE"""),1003870.0)</f>
        <v>1003870</v>
      </c>
      <c r="C4054" s="9">
        <f>IFERROR(__xludf.DUMMYFUNCTION("""COMPUTED_VALUE"""),118931.0)</f>
        <v>118931</v>
      </c>
      <c r="D4054" s="9"/>
      <c r="E4054" s="9"/>
      <c r="F4054" s="9">
        <f>IFERROR(__xludf.DUMMYFUNCTION("""COMPUTED_VALUE"""),6.47)</f>
        <v>6.47</v>
      </c>
      <c r="G4054" s="9">
        <f>IFERROR(__xludf.DUMMYFUNCTION("""COMPUTED_VALUE"""),6.47)</f>
        <v>6.47</v>
      </c>
      <c r="H4054" s="9">
        <f>IFERROR(__xludf.DUMMYFUNCTION("""COMPUTED_VALUE"""),1.0)</f>
        <v>1</v>
      </c>
      <c r="I4054" s="9"/>
      <c r="J4054" s="9"/>
      <c r="K4054" s="9"/>
      <c r="L4054" s="9"/>
      <c r="M4054" s="9"/>
      <c r="N4054" s="9"/>
      <c r="O4054" s="9"/>
      <c r="P4054" s="9"/>
      <c r="Q4054" s="9"/>
      <c r="R4054" s="9"/>
      <c r="S4054" s="9"/>
      <c r="T4054" s="9"/>
    </row>
    <row r="4055" ht="15.75" customHeight="1">
      <c r="A4055" s="11">
        <f>IFERROR(__xludf.DUMMYFUNCTION("""COMPUTED_VALUE"""),44471.0)</f>
        <v>44471</v>
      </c>
      <c r="B4055" s="9">
        <f>IFERROR(__xludf.DUMMYFUNCTION("""COMPUTED_VALUE"""),1003870.0)</f>
        <v>1003870</v>
      </c>
      <c r="C4055" s="9">
        <f>IFERROR(__xludf.DUMMYFUNCTION("""COMPUTED_VALUE"""),120781.0)</f>
        <v>120781</v>
      </c>
      <c r="D4055" s="9"/>
      <c r="E4055" s="9"/>
      <c r="F4055" s="9">
        <f>IFERROR(__xludf.DUMMYFUNCTION("""COMPUTED_VALUE"""),9.21)</f>
        <v>9.21</v>
      </c>
      <c r="G4055" s="9">
        <f>IFERROR(__xludf.DUMMYFUNCTION("""COMPUTED_VALUE"""),9.21)</f>
        <v>9.21</v>
      </c>
      <c r="H4055" s="9">
        <f>IFERROR(__xludf.DUMMYFUNCTION("""COMPUTED_VALUE"""),2.0)</f>
        <v>2</v>
      </c>
      <c r="I4055" s="9"/>
      <c r="J4055" s="9"/>
      <c r="K4055" s="9"/>
      <c r="L4055" s="9"/>
      <c r="M4055" s="9"/>
      <c r="N4055" s="9"/>
      <c r="O4055" s="9"/>
      <c r="P4055" s="9"/>
      <c r="Q4055" s="9"/>
      <c r="R4055" s="9"/>
      <c r="S4055" s="9"/>
      <c r="T4055" s="9"/>
    </row>
    <row r="4056" ht="15.75" customHeight="1">
      <c r="A4056" s="11">
        <f>IFERROR(__xludf.DUMMYFUNCTION("""COMPUTED_VALUE"""),44471.0)</f>
        <v>44471</v>
      </c>
      <c r="B4056" s="9">
        <f>IFERROR(__xludf.DUMMYFUNCTION("""COMPUTED_VALUE"""),1003871.0)</f>
        <v>1003871</v>
      </c>
      <c r="C4056" s="9">
        <f>IFERROR(__xludf.DUMMYFUNCTION("""COMPUTED_VALUE"""),46955.0)</f>
        <v>46955</v>
      </c>
      <c r="D4056" s="9"/>
      <c r="E4056" s="9"/>
      <c r="F4056" s="9">
        <f>IFERROR(__xludf.DUMMYFUNCTION("""COMPUTED_VALUE"""),15.67)</f>
        <v>15.67</v>
      </c>
      <c r="G4056" s="9">
        <f>IFERROR(__xludf.DUMMYFUNCTION("""COMPUTED_VALUE"""),15.67)</f>
        <v>15.67</v>
      </c>
      <c r="H4056" s="9">
        <f>IFERROR(__xludf.DUMMYFUNCTION("""COMPUTED_VALUE"""),2.0)</f>
        <v>2</v>
      </c>
      <c r="I4056" s="9"/>
      <c r="J4056" s="9"/>
      <c r="K4056" s="9"/>
      <c r="L4056" s="9"/>
      <c r="M4056" s="9"/>
      <c r="N4056" s="9"/>
      <c r="O4056" s="9"/>
      <c r="P4056" s="9"/>
      <c r="Q4056" s="9"/>
      <c r="R4056" s="9"/>
      <c r="S4056" s="9"/>
      <c r="T4056" s="9"/>
    </row>
    <row r="4057" ht="15.75" customHeight="1">
      <c r="A4057" s="11">
        <f>IFERROR(__xludf.DUMMYFUNCTION("""COMPUTED_VALUE"""),44471.0)</f>
        <v>44471</v>
      </c>
      <c r="B4057" s="9">
        <f>IFERROR(__xludf.DUMMYFUNCTION("""COMPUTED_VALUE"""),1003872.0)</f>
        <v>1003872</v>
      </c>
      <c r="C4057" s="9">
        <f>IFERROR(__xludf.DUMMYFUNCTION("""COMPUTED_VALUE"""),120709.0)</f>
        <v>120709</v>
      </c>
      <c r="D4057" s="9"/>
      <c r="E4057" s="10" t="str">
        <f>IFERROR(__xludf.DUMMYFUNCTION("""COMPUTED_VALUE"""),"HAPPEEZ")</f>
        <v>HAPPEEZ</v>
      </c>
      <c r="F4057" s="10">
        <f>IFERROR(__xludf.DUMMYFUNCTION("""COMPUTED_VALUE"""),38.81)</f>
        <v>38.81</v>
      </c>
      <c r="G4057" s="9">
        <f>IFERROR(__xludf.DUMMYFUNCTION("""COMPUTED_VALUE"""),38.81)</f>
        <v>38.81</v>
      </c>
      <c r="H4057" s="9">
        <f>IFERROR(__xludf.DUMMYFUNCTION("""COMPUTED_VALUE"""),1.0)</f>
        <v>1</v>
      </c>
      <c r="I4057" s="9"/>
      <c r="J4057" s="9"/>
      <c r="K4057" s="9"/>
      <c r="L4057" s="9"/>
      <c r="M4057" s="9"/>
      <c r="N4057" s="9"/>
      <c r="O4057" s="9"/>
      <c r="P4057" s="9"/>
      <c r="Q4057" s="9"/>
      <c r="R4057" s="9"/>
      <c r="S4057" s="9"/>
      <c r="T4057" s="9"/>
    </row>
    <row r="4058" ht="15.75" customHeight="1">
      <c r="A4058" s="11">
        <f>IFERROR(__xludf.DUMMYFUNCTION("""COMPUTED_VALUE"""),44471.0)</f>
        <v>44471</v>
      </c>
      <c r="B4058" s="9">
        <f>IFERROR(__xludf.DUMMYFUNCTION("""COMPUTED_VALUE"""),1003872.0)</f>
        <v>1003872</v>
      </c>
      <c r="C4058" s="9">
        <f>IFERROR(__xludf.DUMMYFUNCTION("""COMPUTED_VALUE"""),86169.0)</f>
        <v>86169</v>
      </c>
      <c r="D4058" s="9"/>
      <c r="E4058" s="10" t="str">
        <f>IFERROR(__xludf.DUMMYFUNCTION("""COMPUTED_VALUE"""),"HAPPEEZ")</f>
        <v>HAPPEEZ</v>
      </c>
      <c r="F4058" s="10">
        <f>IFERROR(__xludf.DUMMYFUNCTION("""COMPUTED_VALUE"""),4.68)</f>
        <v>4.68</v>
      </c>
      <c r="G4058" s="9">
        <f>IFERROR(__xludf.DUMMYFUNCTION("""COMPUTED_VALUE"""),4.68)</f>
        <v>4.68</v>
      </c>
      <c r="H4058" s="9">
        <f>IFERROR(__xludf.DUMMYFUNCTION("""COMPUTED_VALUE"""),1.0)</f>
        <v>1</v>
      </c>
      <c r="I4058" s="9"/>
      <c r="J4058" s="9"/>
      <c r="K4058" s="9"/>
      <c r="L4058" s="9"/>
      <c r="M4058" s="9"/>
      <c r="N4058" s="9"/>
      <c r="O4058" s="9"/>
      <c r="P4058" s="9"/>
      <c r="Q4058" s="9"/>
      <c r="R4058" s="9"/>
      <c r="S4058" s="9"/>
      <c r="T4058" s="9"/>
    </row>
    <row r="4059" ht="15.75" customHeight="1">
      <c r="A4059" s="11">
        <f>IFERROR(__xludf.DUMMYFUNCTION("""COMPUTED_VALUE"""),44471.0)</f>
        <v>44471</v>
      </c>
      <c r="B4059" s="9">
        <f>IFERROR(__xludf.DUMMYFUNCTION("""COMPUTED_VALUE"""),1003872.0)</f>
        <v>1003872</v>
      </c>
      <c r="C4059" s="9">
        <f>IFERROR(__xludf.DUMMYFUNCTION("""COMPUTED_VALUE"""),19832.0)</f>
        <v>19832</v>
      </c>
      <c r="D4059" s="9"/>
      <c r="E4059" s="10" t="str">
        <f>IFERROR(__xludf.DUMMYFUNCTION("""COMPUTED_VALUE"""),"HAPPEEZ")</f>
        <v>HAPPEEZ</v>
      </c>
      <c r="F4059" s="10">
        <f>IFERROR(__xludf.DUMMYFUNCTION("""COMPUTED_VALUE"""),9.67)</f>
        <v>9.67</v>
      </c>
      <c r="G4059" s="9">
        <f>IFERROR(__xludf.DUMMYFUNCTION("""COMPUTED_VALUE"""),9.67)</f>
        <v>9.67</v>
      </c>
      <c r="H4059" s="9">
        <f>IFERROR(__xludf.DUMMYFUNCTION("""COMPUTED_VALUE"""),1.0)</f>
        <v>1</v>
      </c>
      <c r="I4059" s="9"/>
      <c r="J4059" s="9"/>
      <c r="K4059" s="9"/>
      <c r="L4059" s="9"/>
      <c r="M4059" s="9"/>
      <c r="N4059" s="9"/>
      <c r="O4059" s="9"/>
      <c r="P4059" s="9"/>
      <c r="Q4059" s="9"/>
      <c r="R4059" s="9"/>
      <c r="S4059" s="9"/>
      <c r="T4059" s="9"/>
    </row>
    <row r="4060" ht="15.75" customHeight="1">
      <c r="A4060" s="11">
        <f>IFERROR(__xludf.DUMMYFUNCTION("""COMPUTED_VALUE"""),44471.0)</f>
        <v>44471</v>
      </c>
      <c r="B4060" s="9">
        <f>IFERROR(__xludf.DUMMYFUNCTION("""COMPUTED_VALUE"""),1003872.0)</f>
        <v>1003872</v>
      </c>
      <c r="C4060" s="9">
        <f>IFERROR(__xludf.DUMMYFUNCTION("""COMPUTED_VALUE"""),78426.0)</f>
        <v>78426</v>
      </c>
      <c r="D4060" s="9"/>
      <c r="E4060" s="10" t="str">
        <f>IFERROR(__xludf.DUMMYFUNCTION("""COMPUTED_VALUE"""),"HAPPEEZ")</f>
        <v>HAPPEEZ</v>
      </c>
      <c r="F4060" s="10">
        <f>IFERROR(__xludf.DUMMYFUNCTION("""COMPUTED_VALUE"""),7.71)</f>
        <v>7.71</v>
      </c>
      <c r="G4060" s="9">
        <f>IFERROR(__xludf.DUMMYFUNCTION("""COMPUTED_VALUE"""),7.71)</f>
        <v>7.71</v>
      </c>
      <c r="H4060" s="9">
        <f>IFERROR(__xludf.DUMMYFUNCTION("""COMPUTED_VALUE"""),1.0)</f>
        <v>1</v>
      </c>
      <c r="I4060" s="9"/>
      <c r="J4060" s="9"/>
      <c r="K4060" s="9"/>
      <c r="L4060" s="9"/>
      <c r="M4060" s="9"/>
      <c r="N4060" s="9"/>
      <c r="O4060" s="9"/>
      <c r="P4060" s="9"/>
      <c r="Q4060" s="9"/>
      <c r="R4060" s="9"/>
      <c r="S4060" s="9"/>
      <c r="T4060" s="9"/>
    </row>
    <row r="4061" ht="15.75" customHeight="1">
      <c r="A4061" s="11">
        <f>IFERROR(__xludf.DUMMYFUNCTION("""COMPUTED_VALUE"""),44471.0)</f>
        <v>44471</v>
      </c>
      <c r="B4061" s="9">
        <f>IFERROR(__xludf.DUMMYFUNCTION("""COMPUTED_VALUE"""),1003872.0)</f>
        <v>1003872</v>
      </c>
      <c r="C4061" s="9">
        <f>IFERROR(__xludf.DUMMYFUNCTION("""COMPUTED_VALUE"""),45826.0)</f>
        <v>45826</v>
      </c>
      <c r="D4061" s="9"/>
      <c r="E4061" s="10" t="str">
        <f>IFERROR(__xludf.DUMMYFUNCTION("""COMPUTED_VALUE"""),"HAPPEEZ")</f>
        <v>HAPPEEZ</v>
      </c>
      <c r="F4061" s="10">
        <f>IFERROR(__xludf.DUMMYFUNCTION("""COMPUTED_VALUE"""),47.86)</f>
        <v>47.86</v>
      </c>
      <c r="G4061" s="9">
        <f>IFERROR(__xludf.DUMMYFUNCTION("""COMPUTED_VALUE"""),47.86)</f>
        <v>47.86</v>
      </c>
      <c r="H4061" s="9">
        <f>IFERROR(__xludf.DUMMYFUNCTION("""COMPUTED_VALUE"""),2.0)</f>
        <v>2</v>
      </c>
      <c r="I4061" s="9"/>
      <c r="J4061" s="9"/>
      <c r="K4061" s="9"/>
      <c r="L4061" s="9"/>
      <c r="M4061" s="9"/>
      <c r="N4061" s="9"/>
      <c r="O4061" s="9"/>
      <c r="P4061" s="9"/>
      <c r="Q4061" s="9"/>
      <c r="R4061" s="9"/>
      <c r="S4061" s="9"/>
      <c r="T4061" s="9"/>
    </row>
    <row r="4062" ht="15.75" customHeight="1">
      <c r="A4062" s="11">
        <f>IFERROR(__xludf.DUMMYFUNCTION("""COMPUTED_VALUE"""),44471.0)</f>
        <v>44471</v>
      </c>
      <c r="B4062" s="9">
        <f>IFERROR(__xludf.DUMMYFUNCTION("""COMPUTED_VALUE"""),1003872.0)</f>
        <v>1003872</v>
      </c>
      <c r="C4062" s="9">
        <f>IFERROR(__xludf.DUMMYFUNCTION("""COMPUTED_VALUE"""),19784.0)</f>
        <v>19784</v>
      </c>
      <c r="D4062" s="9"/>
      <c r="E4062" s="10" t="str">
        <f>IFERROR(__xludf.DUMMYFUNCTION("""COMPUTED_VALUE"""),"HAPPEEZ")</f>
        <v>HAPPEEZ</v>
      </c>
      <c r="F4062" s="10">
        <f>IFERROR(__xludf.DUMMYFUNCTION("""COMPUTED_VALUE"""),103.0)</f>
        <v>103</v>
      </c>
      <c r="G4062" s="9">
        <f>IFERROR(__xludf.DUMMYFUNCTION("""COMPUTED_VALUE"""),103.0)</f>
        <v>103</v>
      </c>
      <c r="H4062" s="9">
        <f>IFERROR(__xludf.DUMMYFUNCTION("""COMPUTED_VALUE"""),20.0)</f>
        <v>20</v>
      </c>
      <c r="I4062" s="9"/>
      <c r="J4062" s="9"/>
      <c r="K4062" s="9"/>
      <c r="L4062" s="9"/>
      <c r="M4062" s="9"/>
      <c r="N4062" s="9"/>
      <c r="O4062" s="9"/>
      <c r="P4062" s="9"/>
      <c r="Q4062" s="9"/>
      <c r="R4062" s="9"/>
      <c r="S4062" s="9"/>
      <c r="T4062" s="9"/>
    </row>
    <row r="4063" ht="15.75" customHeight="1">
      <c r="A4063" s="11">
        <f>IFERROR(__xludf.DUMMYFUNCTION("""COMPUTED_VALUE"""),44471.0)</f>
        <v>44471</v>
      </c>
      <c r="B4063" s="9">
        <f>IFERROR(__xludf.DUMMYFUNCTION("""COMPUTED_VALUE"""),1003873.0)</f>
        <v>1003873</v>
      </c>
      <c r="C4063" s="9">
        <f>IFERROR(__xludf.DUMMYFUNCTION("""COMPUTED_VALUE"""),122405.0)</f>
        <v>122405</v>
      </c>
      <c r="D4063" s="9"/>
      <c r="E4063" s="10" t="str">
        <f>IFERROR(__xludf.DUMMYFUNCTION("""COMPUTED_VALUE"""),"GREENRELAIS")</f>
        <v>GREENRELAIS</v>
      </c>
      <c r="F4063" s="10">
        <f>IFERROR(__xludf.DUMMYFUNCTION("""COMPUTED_VALUE"""),3.64)</f>
        <v>3.64</v>
      </c>
      <c r="G4063" s="9">
        <f>IFERROR(__xludf.DUMMYFUNCTION("""COMPUTED_VALUE"""),3.64)</f>
        <v>3.64</v>
      </c>
      <c r="H4063" s="9">
        <f>IFERROR(__xludf.DUMMYFUNCTION("""COMPUTED_VALUE"""),1.0)</f>
        <v>1</v>
      </c>
      <c r="I4063" s="9"/>
      <c r="J4063" s="9"/>
      <c r="K4063" s="9"/>
      <c r="L4063" s="9"/>
      <c r="M4063" s="9"/>
      <c r="N4063" s="9"/>
      <c r="O4063" s="9"/>
      <c r="P4063" s="9"/>
      <c r="Q4063" s="9"/>
      <c r="R4063" s="9"/>
      <c r="S4063" s="9"/>
      <c r="T4063" s="9"/>
    </row>
    <row r="4064" ht="15.75" customHeight="1">
      <c r="A4064" s="11">
        <f>IFERROR(__xludf.DUMMYFUNCTION("""COMPUTED_VALUE"""),44471.0)</f>
        <v>44471</v>
      </c>
      <c r="B4064" s="9">
        <f>IFERROR(__xludf.DUMMYFUNCTION("""COMPUTED_VALUE"""),1003873.0)</f>
        <v>1003873</v>
      </c>
      <c r="C4064" s="9">
        <f>IFERROR(__xludf.DUMMYFUNCTION("""COMPUTED_VALUE"""),122485.0)</f>
        <v>122485</v>
      </c>
      <c r="D4064" s="9"/>
      <c r="E4064" s="10" t="str">
        <f>IFERROR(__xludf.DUMMYFUNCTION("""COMPUTED_VALUE"""),"GREENRELAIS")</f>
        <v>GREENRELAIS</v>
      </c>
      <c r="F4064" s="10">
        <f>IFERROR(__xludf.DUMMYFUNCTION("""COMPUTED_VALUE"""),12.85)</f>
        <v>12.85</v>
      </c>
      <c r="G4064" s="9">
        <f>IFERROR(__xludf.DUMMYFUNCTION("""COMPUTED_VALUE"""),12.85)</f>
        <v>12.85</v>
      </c>
      <c r="H4064" s="9">
        <f>IFERROR(__xludf.DUMMYFUNCTION("""COMPUTED_VALUE"""),1.0)</f>
        <v>1</v>
      </c>
      <c r="I4064" s="9"/>
      <c r="J4064" s="9"/>
      <c r="K4064" s="9"/>
      <c r="L4064" s="9"/>
      <c r="M4064" s="9"/>
      <c r="N4064" s="9"/>
      <c r="O4064" s="9"/>
      <c r="P4064" s="9"/>
      <c r="Q4064" s="9"/>
      <c r="R4064" s="9"/>
      <c r="S4064" s="9"/>
      <c r="T4064" s="9"/>
    </row>
    <row r="4065" ht="15.75" customHeight="1">
      <c r="A4065" s="11">
        <f>IFERROR(__xludf.DUMMYFUNCTION("""COMPUTED_VALUE"""),44471.0)</f>
        <v>44471</v>
      </c>
      <c r="B4065" s="9">
        <f>IFERROR(__xludf.DUMMYFUNCTION("""COMPUTED_VALUE"""),1003873.0)</f>
        <v>1003873</v>
      </c>
      <c r="C4065" s="9">
        <f>IFERROR(__xludf.DUMMYFUNCTION("""COMPUTED_VALUE"""),72088.0)</f>
        <v>72088</v>
      </c>
      <c r="D4065" s="10" t="str">
        <f>IFERROR(__xludf.DUMMYFUNCTION("""COMPUTED_VALUE"""),"Vive le bio")</f>
        <v>Vive le bio</v>
      </c>
      <c r="E4065" s="10" t="str">
        <f>IFERROR(__xludf.DUMMYFUNCTION("""COMPUTED_VALUE"""),"GREENRELAIS")</f>
        <v>GREENRELAIS</v>
      </c>
      <c r="F4065" s="10">
        <f>IFERROR(__xludf.DUMMYFUNCTION("""COMPUTED_VALUE"""),7.63333333333333)</f>
        <v>7.633333333</v>
      </c>
      <c r="G4065" s="9">
        <f>IFERROR(__xludf.DUMMYFUNCTION("""COMPUTED_VALUE"""),6.87)</f>
        <v>6.87</v>
      </c>
      <c r="H4065" s="9">
        <f>IFERROR(__xludf.DUMMYFUNCTION("""COMPUTED_VALUE"""),1.0)</f>
        <v>1</v>
      </c>
      <c r="I4065" s="9"/>
      <c r="J4065" s="9"/>
      <c r="K4065" s="9"/>
      <c r="L4065" s="9"/>
      <c r="M4065" s="9"/>
      <c r="N4065" s="9"/>
      <c r="O4065" s="9"/>
      <c r="P4065" s="9"/>
      <c r="Q4065" s="9"/>
      <c r="R4065" s="9"/>
      <c r="S4065" s="9"/>
      <c r="T4065" s="9"/>
    </row>
    <row r="4066" ht="15.75" customHeight="1">
      <c r="A4066" s="11">
        <f>IFERROR(__xludf.DUMMYFUNCTION("""COMPUTED_VALUE"""),44471.0)</f>
        <v>44471</v>
      </c>
      <c r="B4066" s="9">
        <f>IFERROR(__xludf.DUMMYFUNCTION("""COMPUTED_VALUE"""),1003873.0)</f>
        <v>1003873</v>
      </c>
      <c r="C4066" s="9">
        <f>IFERROR(__xludf.DUMMYFUNCTION("""COMPUTED_VALUE"""),24076.0)</f>
        <v>24076</v>
      </c>
      <c r="D4066" s="9"/>
      <c r="E4066" s="10" t="str">
        <f>IFERROR(__xludf.DUMMYFUNCTION("""COMPUTED_VALUE"""),"GREENRELAIS")</f>
        <v>GREENRELAIS</v>
      </c>
      <c r="F4066" s="10">
        <f>IFERROR(__xludf.DUMMYFUNCTION("""COMPUTED_VALUE"""),6.41)</f>
        <v>6.41</v>
      </c>
      <c r="G4066" s="9">
        <f>IFERROR(__xludf.DUMMYFUNCTION("""COMPUTED_VALUE"""),6.41)</f>
        <v>6.41</v>
      </c>
      <c r="H4066" s="9">
        <f>IFERROR(__xludf.DUMMYFUNCTION("""COMPUTED_VALUE"""),1.0)</f>
        <v>1</v>
      </c>
      <c r="I4066" s="9"/>
      <c r="J4066" s="9"/>
      <c r="K4066" s="9"/>
      <c r="L4066" s="9"/>
      <c r="M4066" s="9"/>
      <c r="N4066" s="9"/>
      <c r="O4066" s="9"/>
      <c r="P4066" s="9"/>
      <c r="Q4066" s="9"/>
      <c r="R4066" s="9"/>
      <c r="S4066" s="9"/>
      <c r="T4066" s="9"/>
    </row>
    <row r="4067" ht="15.75" customHeight="1">
      <c r="A4067" s="11">
        <f>IFERROR(__xludf.DUMMYFUNCTION("""COMPUTED_VALUE"""),44471.0)</f>
        <v>44471</v>
      </c>
      <c r="B4067" s="9">
        <f>IFERROR(__xludf.DUMMYFUNCTION("""COMPUTED_VALUE"""),1003873.0)</f>
        <v>1003873</v>
      </c>
      <c r="C4067" s="9">
        <f>IFERROR(__xludf.DUMMYFUNCTION("""COMPUTED_VALUE"""),83057.0)</f>
        <v>83057</v>
      </c>
      <c r="D4067" s="9"/>
      <c r="E4067" s="10" t="str">
        <f>IFERROR(__xludf.DUMMYFUNCTION("""COMPUTED_VALUE"""),"GREENRELAIS")</f>
        <v>GREENRELAIS</v>
      </c>
      <c r="F4067" s="10">
        <f>IFERROR(__xludf.DUMMYFUNCTION("""COMPUTED_VALUE"""),2.73)</f>
        <v>2.73</v>
      </c>
      <c r="G4067" s="9">
        <f>IFERROR(__xludf.DUMMYFUNCTION("""COMPUTED_VALUE"""),2.73)</f>
        <v>2.73</v>
      </c>
      <c r="H4067" s="9">
        <f>IFERROR(__xludf.DUMMYFUNCTION("""COMPUTED_VALUE"""),1.0)</f>
        <v>1</v>
      </c>
      <c r="I4067" s="9"/>
      <c r="J4067" s="9"/>
      <c r="K4067" s="9"/>
      <c r="L4067" s="9"/>
      <c r="M4067" s="9"/>
      <c r="N4067" s="9"/>
      <c r="O4067" s="9"/>
      <c r="P4067" s="9"/>
      <c r="Q4067" s="9"/>
      <c r="R4067" s="9"/>
      <c r="S4067" s="9"/>
      <c r="T4067" s="9"/>
    </row>
    <row r="4068" ht="15.75" customHeight="1">
      <c r="A4068" s="11">
        <f>IFERROR(__xludf.DUMMYFUNCTION("""COMPUTED_VALUE"""),44471.0)</f>
        <v>44471</v>
      </c>
      <c r="B4068" s="9">
        <f>IFERROR(__xludf.DUMMYFUNCTION("""COMPUTED_VALUE"""),1003873.0)</f>
        <v>1003873</v>
      </c>
      <c r="C4068" s="9">
        <f>IFERROR(__xludf.DUMMYFUNCTION("""COMPUTED_VALUE"""),103636.0)</f>
        <v>103636</v>
      </c>
      <c r="D4068" s="9"/>
      <c r="E4068" s="10" t="str">
        <f>IFERROR(__xludf.DUMMYFUNCTION("""COMPUTED_VALUE"""),"GREENRELAIS")</f>
        <v>GREENRELAIS</v>
      </c>
      <c r="F4068" s="10">
        <f>IFERROR(__xludf.DUMMYFUNCTION("""COMPUTED_VALUE"""),10.56)</f>
        <v>10.56</v>
      </c>
      <c r="G4068" s="9">
        <f>IFERROR(__xludf.DUMMYFUNCTION("""COMPUTED_VALUE"""),10.56)</f>
        <v>10.56</v>
      </c>
      <c r="H4068" s="9">
        <f>IFERROR(__xludf.DUMMYFUNCTION("""COMPUTED_VALUE"""),2.0)</f>
        <v>2</v>
      </c>
      <c r="I4068" s="9"/>
      <c r="J4068" s="9"/>
      <c r="K4068" s="9"/>
      <c r="L4068" s="9"/>
      <c r="M4068" s="9"/>
      <c r="N4068" s="9"/>
      <c r="O4068" s="9"/>
      <c r="P4068" s="9"/>
      <c r="Q4068" s="9"/>
      <c r="R4068" s="9"/>
      <c r="S4068" s="9"/>
      <c r="T4068" s="9"/>
    </row>
    <row r="4069" ht="15.75" customHeight="1">
      <c r="A4069" s="11">
        <f>IFERROR(__xludf.DUMMYFUNCTION("""COMPUTED_VALUE"""),44471.0)</f>
        <v>44471</v>
      </c>
      <c r="B4069" s="9">
        <f>IFERROR(__xludf.DUMMYFUNCTION("""COMPUTED_VALUE"""),1003873.0)</f>
        <v>1003873</v>
      </c>
      <c r="C4069" s="9">
        <f>IFERROR(__xludf.DUMMYFUNCTION("""COMPUTED_VALUE"""),48491.0)</f>
        <v>48491</v>
      </c>
      <c r="D4069" s="10" t="str">
        <f>IFERROR(__xludf.DUMMYFUNCTION("""COMPUTED_VALUE"""),"DLC courtes")</f>
        <v>DLC courtes</v>
      </c>
      <c r="E4069" s="10" t="str">
        <f>IFERROR(__xludf.DUMMYFUNCTION("""COMPUTED_VALUE"""),"GREENRELAIS")</f>
        <v>GREENRELAIS</v>
      </c>
      <c r="F4069" s="10">
        <f>IFERROR(__xludf.DUMMYFUNCTION("""COMPUTED_VALUE"""),13.6125)</f>
        <v>13.6125</v>
      </c>
      <c r="G4069" s="9">
        <f>IFERROR(__xludf.DUMMYFUNCTION("""COMPUTED_VALUE"""),10.89)</f>
        <v>10.89</v>
      </c>
      <c r="H4069" s="9">
        <f>IFERROR(__xludf.DUMMYFUNCTION("""COMPUTED_VALUE"""),2.0)</f>
        <v>2</v>
      </c>
      <c r="I4069" s="9"/>
      <c r="J4069" s="9"/>
      <c r="K4069" s="9"/>
      <c r="L4069" s="9"/>
      <c r="M4069" s="9"/>
      <c r="N4069" s="9"/>
      <c r="O4069" s="9"/>
      <c r="P4069" s="9"/>
      <c r="Q4069" s="9"/>
      <c r="R4069" s="9"/>
      <c r="S4069" s="9"/>
      <c r="T4069" s="9"/>
    </row>
    <row r="4070" ht="15.75" customHeight="1">
      <c r="A4070" s="11">
        <f>IFERROR(__xludf.DUMMYFUNCTION("""COMPUTED_VALUE"""),44471.0)</f>
        <v>44471</v>
      </c>
      <c r="B4070" s="9">
        <f>IFERROR(__xludf.DUMMYFUNCTION("""COMPUTED_VALUE"""),1003874.0)</f>
        <v>1003874</v>
      </c>
      <c r="C4070" s="9">
        <f>IFERROR(__xludf.DUMMYFUNCTION("""COMPUTED_VALUE"""),81212.0)</f>
        <v>81212</v>
      </c>
      <c r="D4070" s="9"/>
      <c r="E4070" s="10" t="str">
        <f>IFERROR(__xludf.DUMMYFUNCTION("""COMPUTED_VALUE"""),"GREENRELAIS")</f>
        <v>GREENRELAIS</v>
      </c>
      <c r="F4070" s="10">
        <f>IFERROR(__xludf.DUMMYFUNCTION("""COMPUTED_VALUE"""),5.43)</f>
        <v>5.43</v>
      </c>
      <c r="G4070" s="9">
        <f>IFERROR(__xludf.DUMMYFUNCTION("""COMPUTED_VALUE"""),5.43)</f>
        <v>5.43</v>
      </c>
      <c r="H4070" s="9">
        <f>IFERROR(__xludf.DUMMYFUNCTION("""COMPUTED_VALUE"""),1.0)</f>
        <v>1</v>
      </c>
      <c r="I4070" s="9"/>
      <c r="J4070" s="9"/>
      <c r="K4070" s="9"/>
      <c r="L4070" s="9"/>
      <c r="M4070" s="9"/>
      <c r="N4070" s="9"/>
      <c r="O4070" s="9"/>
      <c r="P4070" s="9"/>
      <c r="Q4070" s="9"/>
      <c r="R4070" s="9"/>
      <c r="S4070" s="9"/>
      <c r="T4070" s="9"/>
    </row>
    <row r="4071" ht="15.75" customHeight="1">
      <c r="A4071" s="11">
        <f>IFERROR(__xludf.DUMMYFUNCTION("""COMPUTED_VALUE"""),44471.0)</f>
        <v>44471</v>
      </c>
      <c r="B4071" s="9">
        <f>IFERROR(__xludf.DUMMYFUNCTION("""COMPUTED_VALUE"""),1003874.0)</f>
        <v>1003874</v>
      </c>
      <c r="C4071" s="9">
        <f>IFERROR(__xludf.DUMMYFUNCTION("""COMPUTED_VALUE"""),109311.0)</f>
        <v>109311</v>
      </c>
      <c r="D4071" s="9"/>
      <c r="E4071" s="10" t="str">
        <f>IFERROR(__xludf.DUMMYFUNCTION("""COMPUTED_VALUE"""),"GREENRELAIS")</f>
        <v>GREENRELAIS</v>
      </c>
      <c r="F4071" s="10">
        <f>IFERROR(__xludf.DUMMYFUNCTION("""COMPUTED_VALUE"""),8.13)</f>
        <v>8.13</v>
      </c>
      <c r="G4071" s="9">
        <f>IFERROR(__xludf.DUMMYFUNCTION("""COMPUTED_VALUE"""),8.13)</f>
        <v>8.13</v>
      </c>
      <c r="H4071" s="9">
        <f>IFERROR(__xludf.DUMMYFUNCTION("""COMPUTED_VALUE"""),1.0)</f>
        <v>1</v>
      </c>
      <c r="I4071" s="9"/>
      <c r="J4071" s="9"/>
      <c r="K4071" s="9"/>
      <c r="L4071" s="9"/>
      <c r="M4071" s="9"/>
      <c r="N4071" s="9"/>
      <c r="O4071" s="9"/>
      <c r="P4071" s="9"/>
      <c r="Q4071" s="9"/>
      <c r="R4071" s="9"/>
      <c r="S4071" s="9"/>
      <c r="T4071" s="9"/>
    </row>
    <row r="4072" ht="15.75" customHeight="1">
      <c r="A4072" s="11">
        <f>IFERROR(__xludf.DUMMYFUNCTION("""COMPUTED_VALUE"""),44471.0)</f>
        <v>44471</v>
      </c>
      <c r="B4072" s="9">
        <f>IFERROR(__xludf.DUMMYFUNCTION("""COMPUTED_VALUE"""),1003874.0)</f>
        <v>1003874</v>
      </c>
      <c r="C4072" s="9">
        <f>IFERROR(__xludf.DUMMYFUNCTION("""COMPUTED_VALUE"""),81173.0)</f>
        <v>81173</v>
      </c>
      <c r="D4072" s="9"/>
      <c r="E4072" s="10" t="str">
        <f>IFERROR(__xludf.DUMMYFUNCTION("""COMPUTED_VALUE"""),"GREENRELAIS")</f>
        <v>GREENRELAIS</v>
      </c>
      <c r="F4072" s="10">
        <f>IFERROR(__xludf.DUMMYFUNCTION("""COMPUTED_VALUE"""),5.93)</f>
        <v>5.93</v>
      </c>
      <c r="G4072" s="9">
        <f>IFERROR(__xludf.DUMMYFUNCTION("""COMPUTED_VALUE"""),5.93)</f>
        <v>5.93</v>
      </c>
      <c r="H4072" s="9">
        <f>IFERROR(__xludf.DUMMYFUNCTION("""COMPUTED_VALUE"""),2.0)</f>
        <v>2</v>
      </c>
      <c r="I4072" s="9"/>
      <c r="J4072" s="9"/>
      <c r="K4072" s="9"/>
      <c r="L4072" s="9"/>
      <c r="M4072" s="9"/>
      <c r="N4072" s="9"/>
      <c r="O4072" s="9"/>
      <c r="P4072" s="9"/>
      <c r="Q4072" s="9"/>
      <c r="R4072" s="9"/>
      <c r="S4072" s="9"/>
      <c r="T4072" s="9"/>
    </row>
    <row r="4073" ht="15.75" customHeight="1">
      <c r="A4073" s="11">
        <f>IFERROR(__xludf.DUMMYFUNCTION("""COMPUTED_VALUE"""),44471.0)</f>
        <v>44471</v>
      </c>
      <c r="B4073" s="9">
        <f>IFERROR(__xludf.DUMMYFUNCTION("""COMPUTED_VALUE"""),1003874.0)</f>
        <v>1003874</v>
      </c>
      <c r="C4073" s="9">
        <f>IFERROR(__xludf.DUMMYFUNCTION("""COMPUTED_VALUE"""),81178.0)</f>
        <v>81178</v>
      </c>
      <c r="D4073" s="9"/>
      <c r="E4073" s="10" t="str">
        <f>IFERROR(__xludf.DUMMYFUNCTION("""COMPUTED_VALUE"""),"GREENRELAIS")</f>
        <v>GREENRELAIS</v>
      </c>
      <c r="F4073" s="10">
        <f>IFERROR(__xludf.DUMMYFUNCTION("""COMPUTED_VALUE"""),6.22)</f>
        <v>6.22</v>
      </c>
      <c r="G4073" s="9">
        <f>IFERROR(__xludf.DUMMYFUNCTION("""COMPUTED_VALUE"""),6.22)</f>
        <v>6.22</v>
      </c>
      <c r="H4073" s="9">
        <f>IFERROR(__xludf.DUMMYFUNCTION("""COMPUTED_VALUE"""),2.0)</f>
        <v>2</v>
      </c>
      <c r="I4073" s="9"/>
      <c r="J4073" s="9"/>
      <c r="K4073" s="9"/>
      <c r="L4073" s="9"/>
      <c r="M4073" s="9"/>
      <c r="N4073" s="9"/>
      <c r="O4073" s="9"/>
      <c r="P4073" s="9"/>
      <c r="Q4073" s="9"/>
      <c r="R4073" s="9"/>
      <c r="S4073" s="9"/>
      <c r="T4073" s="9"/>
    </row>
    <row r="4074" ht="15.75" customHeight="1">
      <c r="A4074" s="11">
        <f>IFERROR(__xludf.DUMMYFUNCTION("""COMPUTED_VALUE"""),44471.0)</f>
        <v>44471</v>
      </c>
      <c r="B4074" s="9">
        <f>IFERROR(__xludf.DUMMYFUNCTION("""COMPUTED_VALUE"""),1003874.0)</f>
        <v>1003874</v>
      </c>
      <c r="C4074" s="9">
        <f>IFERROR(__xludf.DUMMYFUNCTION("""COMPUTED_VALUE"""),81191.0)</f>
        <v>81191</v>
      </c>
      <c r="D4074" s="9"/>
      <c r="E4074" s="10" t="str">
        <f>IFERROR(__xludf.DUMMYFUNCTION("""COMPUTED_VALUE"""),"GREENRELAIS")</f>
        <v>GREENRELAIS</v>
      </c>
      <c r="F4074" s="10">
        <f>IFERROR(__xludf.DUMMYFUNCTION("""COMPUTED_VALUE"""),6.22)</f>
        <v>6.22</v>
      </c>
      <c r="G4074" s="9">
        <f>IFERROR(__xludf.DUMMYFUNCTION("""COMPUTED_VALUE"""),6.22)</f>
        <v>6.22</v>
      </c>
      <c r="H4074" s="9">
        <f>IFERROR(__xludf.DUMMYFUNCTION("""COMPUTED_VALUE"""),2.0)</f>
        <v>2</v>
      </c>
      <c r="I4074" s="9"/>
      <c r="J4074" s="9"/>
      <c r="K4074" s="9"/>
      <c r="L4074" s="9"/>
      <c r="M4074" s="9"/>
      <c r="N4074" s="9"/>
      <c r="O4074" s="9"/>
      <c r="P4074" s="9"/>
      <c r="Q4074" s="9"/>
      <c r="R4074" s="9"/>
      <c r="S4074" s="9"/>
      <c r="T4074" s="9"/>
    </row>
    <row r="4075" ht="15.75" customHeight="1">
      <c r="A4075" s="11">
        <f>IFERROR(__xludf.DUMMYFUNCTION("""COMPUTED_VALUE"""),44471.0)</f>
        <v>44471</v>
      </c>
      <c r="B4075" s="9">
        <f>IFERROR(__xludf.DUMMYFUNCTION("""COMPUTED_VALUE"""),1003874.0)</f>
        <v>1003874</v>
      </c>
      <c r="C4075" s="9">
        <f>IFERROR(__xludf.DUMMYFUNCTION("""COMPUTED_VALUE"""),6210.0)</f>
        <v>6210</v>
      </c>
      <c r="D4075" s="10" t="str">
        <f>IFERROR(__xludf.DUMMYFUNCTION("""COMPUTED_VALUE"""),"Mandorle PP 2021")</f>
        <v>Mandorle PP 2021</v>
      </c>
      <c r="E4075" s="10" t="str">
        <f>IFERROR(__xludf.DUMMYFUNCTION("""COMPUTED_VALUE"""),"GREENRELAIS")</f>
        <v>GREENRELAIS</v>
      </c>
      <c r="F4075" s="10">
        <f>IFERROR(__xludf.DUMMYFUNCTION("""COMPUTED_VALUE"""),157.176470588235)</f>
        <v>157.1764706</v>
      </c>
      <c r="G4075" s="9">
        <f>IFERROR(__xludf.DUMMYFUNCTION("""COMPUTED_VALUE"""),133.6)</f>
        <v>133.6</v>
      </c>
      <c r="H4075" s="9">
        <f>IFERROR(__xludf.DUMMYFUNCTION("""COMPUTED_VALUE"""),10.0)</f>
        <v>10</v>
      </c>
      <c r="I4075" s="9"/>
      <c r="J4075" s="9"/>
      <c r="K4075" s="9"/>
      <c r="L4075" s="9"/>
      <c r="M4075" s="9"/>
      <c r="N4075" s="9"/>
      <c r="O4075" s="9"/>
      <c r="P4075" s="9"/>
      <c r="Q4075" s="9"/>
      <c r="R4075" s="9"/>
      <c r="S4075" s="9"/>
      <c r="T4075" s="9"/>
    </row>
    <row r="4076" ht="15.75" customHeight="1">
      <c r="A4076" s="11">
        <f>IFERROR(__xludf.DUMMYFUNCTION("""COMPUTED_VALUE"""),44471.0)</f>
        <v>44471</v>
      </c>
      <c r="B4076" s="9">
        <f>IFERROR(__xludf.DUMMYFUNCTION("""COMPUTED_VALUE"""),1003875.0)</f>
        <v>1003875</v>
      </c>
      <c r="C4076" s="9">
        <f>IFERROR(__xludf.DUMMYFUNCTION("""COMPUTED_VALUE"""),17066.0)</f>
        <v>17066</v>
      </c>
      <c r="D4076" s="9"/>
      <c r="E4076" s="9"/>
      <c r="F4076" s="9">
        <f>IFERROR(__xludf.DUMMYFUNCTION("""COMPUTED_VALUE"""),2.01)</f>
        <v>2.01</v>
      </c>
      <c r="G4076" s="9">
        <f>IFERROR(__xludf.DUMMYFUNCTION("""COMPUTED_VALUE"""),2.01)</f>
        <v>2.01</v>
      </c>
      <c r="H4076" s="9">
        <f>IFERROR(__xludf.DUMMYFUNCTION("""COMPUTED_VALUE"""),1.0)</f>
        <v>1</v>
      </c>
      <c r="I4076" s="9"/>
      <c r="J4076" s="9"/>
      <c r="K4076" s="9"/>
      <c r="L4076" s="9"/>
      <c r="M4076" s="9"/>
      <c r="N4076" s="9"/>
      <c r="O4076" s="9"/>
      <c r="P4076" s="9"/>
      <c r="Q4076" s="9"/>
      <c r="R4076" s="9"/>
      <c r="S4076" s="9"/>
      <c r="T4076" s="9"/>
    </row>
    <row r="4077" ht="15.75" customHeight="1">
      <c r="A4077" s="11">
        <f>IFERROR(__xludf.DUMMYFUNCTION("""COMPUTED_VALUE"""),44471.0)</f>
        <v>44471</v>
      </c>
      <c r="B4077" s="9">
        <f>IFERROR(__xludf.DUMMYFUNCTION("""COMPUTED_VALUE"""),1003875.0)</f>
        <v>1003875</v>
      </c>
      <c r="C4077" s="9">
        <f>IFERROR(__xludf.DUMMYFUNCTION("""COMPUTED_VALUE"""),70405.0)</f>
        <v>70405</v>
      </c>
      <c r="D4077" s="9"/>
      <c r="E4077" s="9"/>
      <c r="F4077" s="9">
        <f>IFERROR(__xludf.DUMMYFUNCTION("""COMPUTED_VALUE"""),1.88)</f>
        <v>1.88</v>
      </c>
      <c r="G4077" s="9">
        <f>IFERROR(__xludf.DUMMYFUNCTION("""COMPUTED_VALUE"""),1.88)</f>
        <v>1.88</v>
      </c>
      <c r="H4077" s="9">
        <f>IFERROR(__xludf.DUMMYFUNCTION("""COMPUTED_VALUE"""),1.0)</f>
        <v>1</v>
      </c>
      <c r="I4077" s="9"/>
      <c r="J4077" s="9"/>
      <c r="K4077" s="9"/>
      <c r="L4077" s="9"/>
      <c r="M4077" s="9"/>
      <c r="N4077" s="9"/>
      <c r="O4077" s="9"/>
      <c r="P4077" s="9"/>
      <c r="Q4077" s="9"/>
      <c r="R4077" s="9"/>
      <c r="S4077" s="9"/>
      <c r="T4077" s="9"/>
    </row>
    <row r="4078" ht="15.75" customHeight="1">
      <c r="A4078" s="11">
        <f>IFERROR(__xludf.DUMMYFUNCTION("""COMPUTED_VALUE"""),44471.0)</f>
        <v>44471</v>
      </c>
      <c r="B4078" s="9">
        <f>IFERROR(__xludf.DUMMYFUNCTION("""COMPUTED_VALUE"""),1003875.0)</f>
        <v>1003875</v>
      </c>
      <c r="C4078" s="9">
        <f>IFERROR(__xludf.DUMMYFUNCTION("""COMPUTED_VALUE"""),121193.0)</f>
        <v>121193</v>
      </c>
      <c r="D4078" s="10" t="str">
        <f>IFERROR(__xludf.DUMMYFUNCTION("""COMPUTED_VALUE"""),"Offre Speciale")</f>
        <v>Offre Speciale</v>
      </c>
      <c r="E4078" s="10"/>
      <c r="F4078" s="9">
        <f>IFERROR(__xludf.DUMMYFUNCTION("""COMPUTED_VALUE"""),5.61111111111111)</f>
        <v>5.611111111</v>
      </c>
      <c r="G4078" s="9">
        <f>IFERROR(__xludf.DUMMYFUNCTION("""COMPUTED_VALUE"""),5.05)</f>
        <v>5.05</v>
      </c>
      <c r="H4078" s="9">
        <f>IFERROR(__xludf.DUMMYFUNCTION("""COMPUTED_VALUE"""),1.0)</f>
        <v>1</v>
      </c>
      <c r="I4078" s="9"/>
      <c r="J4078" s="9"/>
      <c r="K4078" s="9"/>
      <c r="L4078" s="9"/>
      <c r="M4078" s="9"/>
      <c r="N4078" s="9"/>
      <c r="O4078" s="9"/>
      <c r="P4078" s="9"/>
      <c r="Q4078" s="9"/>
      <c r="R4078" s="9"/>
      <c r="S4078" s="9"/>
      <c r="T4078" s="9"/>
    </row>
    <row r="4079" ht="15.75" customHeight="1">
      <c r="A4079" s="11">
        <f>IFERROR(__xludf.DUMMYFUNCTION("""COMPUTED_VALUE"""),44471.0)</f>
        <v>44471</v>
      </c>
      <c r="B4079" s="9">
        <f>IFERROR(__xludf.DUMMYFUNCTION("""COMPUTED_VALUE"""),1003875.0)</f>
        <v>1003875</v>
      </c>
      <c r="C4079" s="9">
        <f>IFERROR(__xludf.DUMMYFUNCTION("""COMPUTED_VALUE"""),99348.0)</f>
        <v>99348</v>
      </c>
      <c r="D4079" s="9"/>
      <c r="E4079" s="9"/>
      <c r="F4079" s="9">
        <f>IFERROR(__xludf.DUMMYFUNCTION("""COMPUTED_VALUE"""),1.89)</f>
        <v>1.89</v>
      </c>
      <c r="G4079" s="9">
        <f>IFERROR(__xludf.DUMMYFUNCTION("""COMPUTED_VALUE"""),1.89)</f>
        <v>1.89</v>
      </c>
      <c r="H4079" s="9">
        <f>IFERROR(__xludf.DUMMYFUNCTION("""COMPUTED_VALUE"""),1.0)</f>
        <v>1</v>
      </c>
      <c r="I4079" s="9"/>
      <c r="J4079" s="9"/>
      <c r="K4079" s="9"/>
      <c r="L4079" s="9"/>
      <c r="M4079" s="9"/>
      <c r="N4079" s="9"/>
      <c r="O4079" s="9"/>
      <c r="P4079" s="9"/>
      <c r="Q4079" s="9"/>
      <c r="R4079" s="9"/>
      <c r="S4079" s="9"/>
      <c r="T4079" s="9"/>
    </row>
    <row r="4080" ht="15.75" customHeight="1">
      <c r="A4080" s="11">
        <f>IFERROR(__xludf.DUMMYFUNCTION("""COMPUTED_VALUE"""),44471.0)</f>
        <v>44471</v>
      </c>
      <c r="B4080" s="9">
        <f>IFERROR(__xludf.DUMMYFUNCTION("""COMPUTED_VALUE"""),1003875.0)</f>
        <v>1003875</v>
      </c>
      <c r="C4080" s="9">
        <f>IFERROR(__xludf.DUMMYFUNCTION("""COMPUTED_VALUE"""),120969.0)</f>
        <v>120969</v>
      </c>
      <c r="D4080" s="10" t="str">
        <f>IFERROR(__xludf.DUMMYFUNCTION("""COMPUTED_VALUE"""),"Offre Speciale")</f>
        <v>Offre Speciale</v>
      </c>
      <c r="E4080" s="10"/>
      <c r="F4080" s="9">
        <f>IFERROR(__xludf.DUMMYFUNCTION("""COMPUTED_VALUE"""),8.85555555555555)</f>
        <v>8.855555556</v>
      </c>
      <c r="G4080" s="9">
        <f>IFERROR(__xludf.DUMMYFUNCTION("""COMPUTED_VALUE"""),7.97)</f>
        <v>7.97</v>
      </c>
      <c r="H4080" s="9">
        <f>IFERROR(__xludf.DUMMYFUNCTION("""COMPUTED_VALUE"""),1.0)</f>
        <v>1</v>
      </c>
      <c r="I4080" s="9"/>
      <c r="J4080" s="9"/>
      <c r="K4080" s="9"/>
      <c r="L4080" s="9"/>
      <c r="M4080" s="9"/>
      <c r="N4080" s="9"/>
      <c r="O4080" s="9"/>
      <c r="P4080" s="9"/>
      <c r="Q4080" s="9"/>
      <c r="R4080" s="9"/>
      <c r="S4080" s="9"/>
      <c r="T4080" s="9"/>
    </row>
    <row r="4081" ht="15.75" customHeight="1">
      <c r="A4081" s="11">
        <f>IFERROR(__xludf.DUMMYFUNCTION("""COMPUTED_VALUE"""),44471.0)</f>
        <v>44471</v>
      </c>
      <c r="B4081" s="9">
        <f>IFERROR(__xludf.DUMMYFUNCTION("""COMPUTED_VALUE"""),1003875.0)</f>
        <v>1003875</v>
      </c>
      <c r="C4081" s="9">
        <f>IFERROR(__xludf.DUMMYFUNCTION("""COMPUTED_VALUE"""),20243.0)</f>
        <v>20243</v>
      </c>
      <c r="D4081" s="10" t="str">
        <f>IFERROR(__xludf.DUMMYFUNCTION("""COMPUTED_VALUE"""),"Vive le bio")</f>
        <v>Vive le bio</v>
      </c>
      <c r="E4081" s="10"/>
      <c r="F4081" s="9">
        <f>IFERROR(__xludf.DUMMYFUNCTION("""COMPUTED_VALUE"""),15.2)</f>
        <v>15.2</v>
      </c>
      <c r="G4081" s="9">
        <f>IFERROR(__xludf.DUMMYFUNCTION("""COMPUTED_VALUE"""),13.68)</f>
        <v>13.68</v>
      </c>
      <c r="H4081" s="9">
        <f>IFERROR(__xludf.DUMMYFUNCTION("""COMPUTED_VALUE"""),1.0)</f>
        <v>1</v>
      </c>
      <c r="I4081" s="9"/>
      <c r="J4081" s="9"/>
      <c r="K4081" s="9"/>
      <c r="L4081" s="9"/>
      <c r="M4081" s="9"/>
      <c r="N4081" s="9"/>
      <c r="O4081" s="9"/>
      <c r="P4081" s="9"/>
      <c r="Q4081" s="9"/>
      <c r="R4081" s="9"/>
      <c r="S4081" s="9"/>
      <c r="T4081" s="9"/>
    </row>
    <row r="4082" ht="15.75" customHeight="1">
      <c r="A4082" s="11">
        <f>IFERROR(__xludf.DUMMYFUNCTION("""COMPUTED_VALUE"""),44471.0)</f>
        <v>44471</v>
      </c>
      <c r="B4082" s="9">
        <f>IFERROR(__xludf.DUMMYFUNCTION("""COMPUTED_VALUE"""),1003875.0)</f>
        <v>1003875</v>
      </c>
      <c r="C4082" s="9">
        <f>IFERROR(__xludf.DUMMYFUNCTION("""COMPUTED_VALUE"""),41981.0)</f>
        <v>41981</v>
      </c>
      <c r="D4082" s="9"/>
      <c r="E4082" s="9"/>
      <c r="F4082" s="9">
        <f>IFERROR(__xludf.DUMMYFUNCTION("""COMPUTED_VALUE"""),2.68)</f>
        <v>2.68</v>
      </c>
      <c r="G4082" s="9">
        <f>IFERROR(__xludf.DUMMYFUNCTION("""COMPUTED_VALUE"""),2.68)</f>
        <v>2.68</v>
      </c>
      <c r="H4082" s="9">
        <f>IFERROR(__xludf.DUMMYFUNCTION("""COMPUTED_VALUE"""),1.0)</f>
        <v>1</v>
      </c>
      <c r="I4082" s="9"/>
      <c r="J4082" s="9"/>
      <c r="K4082" s="9"/>
      <c r="L4082" s="9"/>
      <c r="M4082" s="9"/>
      <c r="N4082" s="9"/>
      <c r="O4082" s="9"/>
      <c r="P4082" s="9"/>
      <c r="Q4082" s="9"/>
      <c r="R4082" s="9"/>
      <c r="S4082" s="9"/>
      <c r="T4082" s="9"/>
    </row>
    <row r="4083" ht="15.75" customHeight="1">
      <c r="A4083" s="11">
        <f>IFERROR(__xludf.DUMMYFUNCTION("""COMPUTED_VALUE"""),44471.0)</f>
        <v>44471</v>
      </c>
      <c r="B4083" s="9">
        <f>IFERROR(__xludf.DUMMYFUNCTION("""COMPUTED_VALUE"""),1003875.0)</f>
        <v>1003875</v>
      </c>
      <c r="C4083" s="9">
        <f>IFERROR(__xludf.DUMMYFUNCTION("""COMPUTED_VALUE"""),108082.0)</f>
        <v>108082</v>
      </c>
      <c r="D4083" s="9"/>
      <c r="E4083" s="9"/>
      <c r="F4083" s="9">
        <f>IFERROR(__xludf.DUMMYFUNCTION("""COMPUTED_VALUE"""),1.84)</f>
        <v>1.84</v>
      </c>
      <c r="G4083" s="9">
        <f>IFERROR(__xludf.DUMMYFUNCTION("""COMPUTED_VALUE"""),1.84)</f>
        <v>1.84</v>
      </c>
      <c r="H4083" s="9">
        <f>IFERROR(__xludf.DUMMYFUNCTION("""COMPUTED_VALUE"""),1.0)</f>
        <v>1</v>
      </c>
      <c r="I4083" s="9"/>
      <c r="J4083" s="9"/>
      <c r="K4083" s="9"/>
      <c r="L4083" s="9"/>
      <c r="M4083" s="9"/>
      <c r="N4083" s="9"/>
      <c r="O4083" s="9"/>
      <c r="P4083" s="9"/>
      <c r="Q4083" s="9"/>
      <c r="R4083" s="9"/>
      <c r="S4083" s="9"/>
      <c r="T4083" s="9"/>
    </row>
    <row r="4084" ht="15.75" customHeight="1">
      <c r="A4084" s="11">
        <f>IFERROR(__xludf.DUMMYFUNCTION("""COMPUTED_VALUE"""),44471.0)</f>
        <v>44471</v>
      </c>
      <c r="B4084" s="9">
        <f>IFERROR(__xludf.DUMMYFUNCTION("""COMPUTED_VALUE"""),1003875.0)</f>
        <v>1003875</v>
      </c>
      <c r="C4084" s="9">
        <f>IFERROR(__xludf.DUMMYFUNCTION("""COMPUTED_VALUE"""),4905.0)</f>
        <v>4905</v>
      </c>
      <c r="D4084" s="9"/>
      <c r="E4084" s="9"/>
      <c r="F4084" s="9">
        <f>IFERROR(__xludf.DUMMYFUNCTION("""COMPUTED_VALUE"""),1.68)</f>
        <v>1.68</v>
      </c>
      <c r="G4084" s="9">
        <f>IFERROR(__xludf.DUMMYFUNCTION("""COMPUTED_VALUE"""),1.68)</f>
        <v>1.68</v>
      </c>
      <c r="H4084" s="9">
        <f>IFERROR(__xludf.DUMMYFUNCTION("""COMPUTED_VALUE"""),1.0)</f>
        <v>1</v>
      </c>
      <c r="I4084" s="9"/>
      <c r="J4084" s="9"/>
      <c r="K4084" s="9"/>
      <c r="L4084" s="9"/>
      <c r="M4084" s="9"/>
      <c r="N4084" s="9"/>
      <c r="O4084" s="9"/>
      <c r="P4084" s="9"/>
      <c r="Q4084" s="9"/>
      <c r="R4084" s="9"/>
      <c r="S4084" s="9"/>
      <c r="T4084" s="9"/>
    </row>
    <row r="4085" ht="15.75" customHeight="1">
      <c r="A4085" s="11">
        <f>IFERROR(__xludf.DUMMYFUNCTION("""COMPUTED_VALUE"""),44471.0)</f>
        <v>44471</v>
      </c>
      <c r="B4085" s="9">
        <f>IFERROR(__xludf.DUMMYFUNCTION("""COMPUTED_VALUE"""),1003875.0)</f>
        <v>1003875</v>
      </c>
      <c r="C4085" s="9">
        <f>IFERROR(__xludf.DUMMYFUNCTION("""COMPUTED_VALUE"""),78866.0)</f>
        <v>78866</v>
      </c>
      <c r="D4085" s="9"/>
      <c r="E4085" s="9"/>
      <c r="F4085" s="9">
        <f>IFERROR(__xludf.DUMMYFUNCTION("""COMPUTED_VALUE"""),3.76)</f>
        <v>3.76</v>
      </c>
      <c r="G4085" s="9">
        <f>IFERROR(__xludf.DUMMYFUNCTION("""COMPUTED_VALUE"""),3.76)</f>
        <v>3.76</v>
      </c>
      <c r="H4085" s="9">
        <f>IFERROR(__xludf.DUMMYFUNCTION("""COMPUTED_VALUE"""),2.0)</f>
        <v>2</v>
      </c>
      <c r="I4085" s="9"/>
      <c r="J4085" s="9"/>
      <c r="K4085" s="9"/>
      <c r="L4085" s="9"/>
      <c r="M4085" s="9"/>
      <c r="N4085" s="9"/>
      <c r="O4085" s="9"/>
      <c r="P4085" s="9"/>
      <c r="Q4085" s="9"/>
      <c r="R4085" s="9"/>
      <c r="S4085" s="9"/>
      <c r="T4085" s="9"/>
    </row>
    <row r="4086" ht="15.75" customHeight="1">
      <c r="A4086" s="11">
        <f>IFERROR(__xludf.DUMMYFUNCTION("""COMPUTED_VALUE"""),44471.0)</f>
        <v>44471</v>
      </c>
      <c r="B4086" s="9">
        <f>IFERROR(__xludf.DUMMYFUNCTION("""COMPUTED_VALUE"""),1003875.0)</f>
        <v>1003875</v>
      </c>
      <c r="C4086" s="9">
        <f>IFERROR(__xludf.DUMMYFUNCTION("""COMPUTED_VALUE"""),108091.0)</f>
        <v>108091</v>
      </c>
      <c r="D4086" s="9"/>
      <c r="E4086" s="9"/>
      <c r="F4086" s="9">
        <f>IFERROR(__xludf.DUMMYFUNCTION("""COMPUTED_VALUE"""),2.53)</f>
        <v>2.53</v>
      </c>
      <c r="G4086" s="9">
        <f>IFERROR(__xludf.DUMMYFUNCTION("""COMPUTED_VALUE"""),2.53)</f>
        <v>2.53</v>
      </c>
      <c r="H4086" s="9">
        <f>IFERROR(__xludf.DUMMYFUNCTION("""COMPUTED_VALUE"""),2.0)</f>
        <v>2</v>
      </c>
      <c r="I4086" s="9"/>
      <c r="J4086" s="9"/>
      <c r="K4086" s="9"/>
      <c r="L4086" s="9"/>
      <c r="M4086" s="9"/>
      <c r="N4086" s="9"/>
      <c r="O4086" s="9"/>
      <c r="P4086" s="9"/>
      <c r="Q4086" s="9"/>
      <c r="R4086" s="9"/>
      <c r="S4086" s="9"/>
      <c r="T4086" s="9"/>
    </row>
    <row r="4087" ht="15.75" customHeight="1">
      <c r="A4087" s="11">
        <f>IFERROR(__xludf.DUMMYFUNCTION("""COMPUTED_VALUE"""),44471.0)</f>
        <v>44471</v>
      </c>
      <c r="B4087" s="9">
        <f>IFERROR(__xludf.DUMMYFUNCTION("""COMPUTED_VALUE"""),1003876.0)</f>
        <v>1003876</v>
      </c>
      <c r="C4087" s="9">
        <f>IFERROR(__xludf.DUMMYFUNCTION("""COMPUTED_VALUE"""),24060.0)</f>
        <v>24060</v>
      </c>
      <c r="D4087" s="9"/>
      <c r="E4087" s="10" t="str">
        <f>IFERROR(__xludf.DUMMYFUNCTION("""COMPUTED_VALUE"""),"PREMIERE")</f>
        <v>PREMIERE</v>
      </c>
      <c r="F4087" s="10">
        <f>IFERROR(__xludf.DUMMYFUNCTION("""COMPUTED_VALUE"""),7.51)</f>
        <v>7.51</v>
      </c>
      <c r="G4087" s="9">
        <f>IFERROR(__xludf.DUMMYFUNCTION("""COMPUTED_VALUE"""),7.51)</f>
        <v>7.51</v>
      </c>
      <c r="H4087" s="9">
        <f>IFERROR(__xludf.DUMMYFUNCTION("""COMPUTED_VALUE"""),1.0)</f>
        <v>1</v>
      </c>
      <c r="I4087" s="9"/>
      <c r="J4087" s="9"/>
      <c r="K4087" s="9"/>
      <c r="L4087" s="9"/>
      <c r="M4087" s="9"/>
      <c r="N4087" s="9"/>
      <c r="O4087" s="9"/>
      <c r="P4087" s="9"/>
      <c r="Q4087" s="9"/>
      <c r="R4087" s="9"/>
      <c r="S4087" s="9"/>
      <c r="T4087" s="9"/>
    </row>
    <row r="4088" ht="15.75" customHeight="1">
      <c r="A4088" s="11">
        <f>IFERROR(__xludf.DUMMYFUNCTION("""COMPUTED_VALUE"""),44471.0)</f>
        <v>44471</v>
      </c>
      <c r="B4088" s="9">
        <f>IFERROR(__xludf.DUMMYFUNCTION("""COMPUTED_VALUE"""),1003876.0)</f>
        <v>1003876</v>
      </c>
      <c r="C4088" s="9">
        <f>IFERROR(__xludf.DUMMYFUNCTION("""COMPUTED_VALUE"""),69113.0)</f>
        <v>69113</v>
      </c>
      <c r="D4088" s="9"/>
      <c r="E4088" s="10" t="str">
        <f>IFERROR(__xludf.DUMMYFUNCTION("""COMPUTED_VALUE"""),"PREMIERE")</f>
        <v>PREMIERE</v>
      </c>
      <c r="F4088" s="10">
        <f>IFERROR(__xludf.DUMMYFUNCTION("""COMPUTED_VALUE"""),2.46)</f>
        <v>2.46</v>
      </c>
      <c r="G4088" s="9">
        <f>IFERROR(__xludf.DUMMYFUNCTION("""COMPUTED_VALUE"""),2.46)</f>
        <v>2.46</v>
      </c>
      <c r="H4088" s="9">
        <f>IFERROR(__xludf.DUMMYFUNCTION("""COMPUTED_VALUE"""),1.0)</f>
        <v>1</v>
      </c>
      <c r="I4088" s="9"/>
      <c r="J4088" s="9"/>
      <c r="K4088" s="9"/>
      <c r="L4088" s="9"/>
      <c r="M4088" s="9"/>
      <c r="N4088" s="9"/>
      <c r="O4088" s="9"/>
      <c r="P4088" s="9"/>
      <c r="Q4088" s="9"/>
      <c r="R4088" s="9"/>
      <c r="S4088" s="9"/>
      <c r="T4088" s="9"/>
    </row>
    <row r="4089" ht="15.75" customHeight="1">
      <c r="A4089" s="11">
        <f>IFERROR(__xludf.DUMMYFUNCTION("""COMPUTED_VALUE"""),44471.0)</f>
        <v>44471</v>
      </c>
      <c r="B4089" s="9">
        <f>IFERROR(__xludf.DUMMYFUNCTION("""COMPUTED_VALUE"""),1003876.0)</f>
        <v>1003876</v>
      </c>
      <c r="C4089" s="9">
        <f>IFERROR(__xludf.DUMMYFUNCTION("""COMPUTED_VALUE"""),69114.0)</f>
        <v>69114</v>
      </c>
      <c r="D4089" s="9"/>
      <c r="E4089" s="10" t="str">
        <f>IFERROR(__xludf.DUMMYFUNCTION("""COMPUTED_VALUE"""),"PREMIERE")</f>
        <v>PREMIERE</v>
      </c>
      <c r="F4089" s="10">
        <f>IFERROR(__xludf.DUMMYFUNCTION("""COMPUTED_VALUE"""),2.46)</f>
        <v>2.46</v>
      </c>
      <c r="G4089" s="9">
        <f>IFERROR(__xludf.DUMMYFUNCTION("""COMPUTED_VALUE"""),2.46)</f>
        <v>2.46</v>
      </c>
      <c r="H4089" s="9">
        <f>IFERROR(__xludf.DUMMYFUNCTION("""COMPUTED_VALUE"""),1.0)</f>
        <v>1</v>
      </c>
      <c r="I4089" s="9"/>
      <c r="J4089" s="9"/>
      <c r="K4089" s="9"/>
      <c r="L4089" s="9"/>
      <c r="M4089" s="9"/>
      <c r="N4089" s="9"/>
      <c r="O4089" s="9"/>
      <c r="P4089" s="9"/>
      <c r="Q4089" s="9"/>
      <c r="R4089" s="9"/>
      <c r="S4089" s="9"/>
      <c r="T4089" s="9"/>
    </row>
    <row r="4090" ht="15.75" customHeight="1">
      <c r="A4090" s="11">
        <f>IFERROR(__xludf.DUMMYFUNCTION("""COMPUTED_VALUE"""),44471.0)</f>
        <v>44471</v>
      </c>
      <c r="B4090" s="9">
        <f>IFERROR(__xludf.DUMMYFUNCTION("""COMPUTED_VALUE"""),1003876.0)</f>
        <v>1003876</v>
      </c>
      <c r="C4090" s="9">
        <f>IFERROR(__xludf.DUMMYFUNCTION("""COMPUTED_VALUE"""),121989.0)</f>
        <v>121989</v>
      </c>
      <c r="D4090" s="9"/>
      <c r="E4090" s="10" t="str">
        <f>IFERROR(__xludf.DUMMYFUNCTION("""COMPUTED_VALUE"""),"PREMIERE")</f>
        <v>PREMIERE</v>
      </c>
      <c r="F4090" s="10">
        <f>IFERROR(__xludf.DUMMYFUNCTION("""COMPUTED_VALUE"""),2.46)</f>
        <v>2.46</v>
      </c>
      <c r="G4090" s="9">
        <f>IFERROR(__xludf.DUMMYFUNCTION("""COMPUTED_VALUE"""),2.46)</f>
        <v>2.46</v>
      </c>
      <c r="H4090" s="9">
        <f>IFERROR(__xludf.DUMMYFUNCTION("""COMPUTED_VALUE"""),1.0)</f>
        <v>1</v>
      </c>
      <c r="I4090" s="9"/>
      <c r="J4090" s="9"/>
      <c r="K4090" s="9"/>
      <c r="L4090" s="9"/>
      <c r="M4090" s="9"/>
      <c r="N4090" s="9"/>
      <c r="O4090" s="9"/>
      <c r="P4090" s="9"/>
      <c r="Q4090" s="9"/>
      <c r="R4090" s="9"/>
      <c r="S4090" s="9"/>
      <c r="T4090" s="9"/>
    </row>
    <row r="4091" ht="15.75" customHeight="1">
      <c r="A4091" s="11">
        <f>IFERROR(__xludf.DUMMYFUNCTION("""COMPUTED_VALUE"""),44471.0)</f>
        <v>44471</v>
      </c>
      <c r="B4091" s="9">
        <f>IFERROR(__xludf.DUMMYFUNCTION("""COMPUTED_VALUE"""),1003876.0)</f>
        <v>1003876</v>
      </c>
      <c r="C4091" s="9">
        <f>IFERROR(__xludf.DUMMYFUNCTION("""COMPUTED_VALUE"""),69116.0)</f>
        <v>69116</v>
      </c>
      <c r="D4091" s="9"/>
      <c r="E4091" s="10" t="str">
        <f>IFERROR(__xludf.DUMMYFUNCTION("""COMPUTED_VALUE"""),"PREMIERE")</f>
        <v>PREMIERE</v>
      </c>
      <c r="F4091" s="10">
        <f>IFERROR(__xludf.DUMMYFUNCTION("""COMPUTED_VALUE"""),2.46)</f>
        <v>2.46</v>
      </c>
      <c r="G4091" s="9">
        <f>IFERROR(__xludf.DUMMYFUNCTION("""COMPUTED_VALUE"""),2.46)</f>
        <v>2.46</v>
      </c>
      <c r="H4091" s="9">
        <f>IFERROR(__xludf.DUMMYFUNCTION("""COMPUTED_VALUE"""),1.0)</f>
        <v>1</v>
      </c>
      <c r="I4091" s="9"/>
      <c r="J4091" s="9"/>
      <c r="K4091" s="9"/>
      <c r="L4091" s="9"/>
      <c r="M4091" s="9"/>
      <c r="N4091" s="9"/>
      <c r="O4091" s="9"/>
      <c r="P4091" s="9"/>
      <c r="Q4091" s="9"/>
      <c r="R4091" s="9"/>
      <c r="S4091" s="9"/>
      <c r="T4091" s="9"/>
    </row>
    <row r="4092" ht="15.75" customHeight="1">
      <c r="A4092" s="11">
        <f>IFERROR(__xludf.DUMMYFUNCTION("""COMPUTED_VALUE"""),44471.0)</f>
        <v>44471</v>
      </c>
      <c r="B4092" s="9">
        <f>IFERROR(__xludf.DUMMYFUNCTION("""COMPUTED_VALUE"""),1003876.0)</f>
        <v>1003876</v>
      </c>
      <c r="C4092" s="9">
        <f>IFERROR(__xludf.DUMMYFUNCTION("""COMPUTED_VALUE"""),71259.0)</f>
        <v>71259</v>
      </c>
      <c r="D4092" s="9"/>
      <c r="E4092" s="10" t="str">
        <f>IFERROR(__xludf.DUMMYFUNCTION("""COMPUTED_VALUE"""),"PREMIERE")</f>
        <v>PREMIERE</v>
      </c>
      <c r="F4092" s="10">
        <f>IFERROR(__xludf.DUMMYFUNCTION("""COMPUTED_VALUE"""),7.17)</f>
        <v>7.17</v>
      </c>
      <c r="G4092" s="9">
        <f>IFERROR(__xludf.DUMMYFUNCTION("""COMPUTED_VALUE"""),7.17)</f>
        <v>7.17</v>
      </c>
      <c r="H4092" s="9">
        <f>IFERROR(__xludf.DUMMYFUNCTION("""COMPUTED_VALUE"""),1.0)</f>
        <v>1</v>
      </c>
      <c r="I4092" s="9"/>
      <c r="J4092" s="9"/>
      <c r="K4092" s="9"/>
      <c r="L4092" s="9"/>
      <c r="M4092" s="9"/>
      <c r="N4092" s="9"/>
      <c r="O4092" s="9"/>
      <c r="P4092" s="9"/>
      <c r="Q4092" s="9"/>
      <c r="R4092" s="9"/>
      <c r="S4092" s="9"/>
      <c r="T4092" s="9"/>
    </row>
    <row r="4093" ht="15.75" customHeight="1">
      <c r="A4093" s="11">
        <f>IFERROR(__xludf.DUMMYFUNCTION("""COMPUTED_VALUE"""),44471.0)</f>
        <v>44471</v>
      </c>
      <c r="B4093" s="9">
        <f>IFERROR(__xludf.DUMMYFUNCTION("""COMPUTED_VALUE"""),1003876.0)</f>
        <v>1003876</v>
      </c>
      <c r="C4093" s="9">
        <f>IFERROR(__xludf.DUMMYFUNCTION("""COMPUTED_VALUE"""),121996.0)</f>
        <v>121996</v>
      </c>
      <c r="D4093" s="9"/>
      <c r="E4093" s="10" t="str">
        <f>IFERROR(__xludf.DUMMYFUNCTION("""COMPUTED_VALUE"""),"PREMIERE")</f>
        <v>PREMIERE</v>
      </c>
      <c r="F4093" s="10">
        <f>IFERROR(__xludf.DUMMYFUNCTION("""COMPUTED_VALUE"""),3.12)</f>
        <v>3.12</v>
      </c>
      <c r="G4093" s="9">
        <f>IFERROR(__xludf.DUMMYFUNCTION("""COMPUTED_VALUE"""),3.12)</f>
        <v>3.12</v>
      </c>
      <c r="H4093" s="9">
        <f>IFERROR(__xludf.DUMMYFUNCTION("""COMPUTED_VALUE"""),1.0)</f>
        <v>1</v>
      </c>
      <c r="I4093" s="9"/>
      <c r="J4093" s="9"/>
      <c r="K4093" s="9"/>
      <c r="L4093" s="9"/>
      <c r="M4093" s="9"/>
      <c r="N4093" s="9"/>
      <c r="O4093" s="9"/>
      <c r="P4093" s="9"/>
      <c r="Q4093" s="9"/>
      <c r="R4093" s="9"/>
      <c r="S4093" s="9"/>
      <c r="T4093" s="9"/>
    </row>
    <row r="4094" ht="15.75" customHeight="1">
      <c r="A4094" s="11">
        <f>IFERROR(__xludf.DUMMYFUNCTION("""COMPUTED_VALUE"""),44471.0)</f>
        <v>44471</v>
      </c>
      <c r="B4094" s="9">
        <f>IFERROR(__xludf.DUMMYFUNCTION("""COMPUTED_VALUE"""),1003876.0)</f>
        <v>1003876</v>
      </c>
      <c r="C4094" s="9">
        <f>IFERROR(__xludf.DUMMYFUNCTION("""COMPUTED_VALUE"""),69127.0)</f>
        <v>69127</v>
      </c>
      <c r="D4094" s="9"/>
      <c r="E4094" s="10" t="str">
        <f>IFERROR(__xludf.DUMMYFUNCTION("""COMPUTED_VALUE"""),"PREMIERE")</f>
        <v>PREMIERE</v>
      </c>
      <c r="F4094" s="10">
        <f>IFERROR(__xludf.DUMMYFUNCTION("""COMPUTED_VALUE"""),3.12)</f>
        <v>3.12</v>
      </c>
      <c r="G4094" s="9">
        <f>IFERROR(__xludf.DUMMYFUNCTION("""COMPUTED_VALUE"""),3.12)</f>
        <v>3.12</v>
      </c>
      <c r="H4094" s="9">
        <f>IFERROR(__xludf.DUMMYFUNCTION("""COMPUTED_VALUE"""),1.0)</f>
        <v>1</v>
      </c>
      <c r="I4094" s="9"/>
      <c r="J4094" s="9"/>
      <c r="K4094" s="9"/>
      <c r="L4094" s="9"/>
      <c r="M4094" s="9"/>
      <c r="N4094" s="9"/>
      <c r="O4094" s="9"/>
      <c r="P4094" s="9"/>
      <c r="Q4094" s="9"/>
      <c r="R4094" s="9"/>
      <c r="S4094" s="9"/>
      <c r="T4094" s="9"/>
    </row>
    <row r="4095" ht="15.75" customHeight="1">
      <c r="A4095" s="11">
        <f>IFERROR(__xludf.DUMMYFUNCTION("""COMPUTED_VALUE"""),44471.0)</f>
        <v>44471</v>
      </c>
      <c r="B4095" s="9">
        <f>IFERROR(__xludf.DUMMYFUNCTION("""COMPUTED_VALUE"""),1003876.0)</f>
        <v>1003876</v>
      </c>
      <c r="C4095" s="9">
        <f>IFERROR(__xludf.DUMMYFUNCTION("""COMPUTED_VALUE"""),121997.0)</f>
        <v>121997</v>
      </c>
      <c r="D4095" s="9"/>
      <c r="E4095" s="10" t="str">
        <f>IFERROR(__xludf.DUMMYFUNCTION("""COMPUTED_VALUE"""),"PREMIERE")</f>
        <v>PREMIERE</v>
      </c>
      <c r="F4095" s="10">
        <f>IFERROR(__xludf.DUMMYFUNCTION("""COMPUTED_VALUE"""),3.12)</f>
        <v>3.12</v>
      </c>
      <c r="G4095" s="9">
        <f>IFERROR(__xludf.DUMMYFUNCTION("""COMPUTED_VALUE"""),3.12)</f>
        <v>3.12</v>
      </c>
      <c r="H4095" s="9">
        <f>IFERROR(__xludf.DUMMYFUNCTION("""COMPUTED_VALUE"""),1.0)</f>
        <v>1</v>
      </c>
      <c r="I4095" s="9"/>
      <c r="J4095" s="9"/>
      <c r="K4095" s="9"/>
      <c r="L4095" s="9"/>
      <c r="M4095" s="9"/>
      <c r="N4095" s="9"/>
      <c r="O4095" s="9"/>
      <c r="P4095" s="9"/>
      <c r="Q4095" s="9"/>
      <c r="R4095" s="9"/>
      <c r="S4095" s="9"/>
      <c r="T4095" s="9"/>
    </row>
    <row r="4096" ht="15.75" customHeight="1">
      <c r="A4096" s="11">
        <f>IFERROR(__xludf.DUMMYFUNCTION("""COMPUTED_VALUE"""),44471.0)</f>
        <v>44471</v>
      </c>
      <c r="B4096" s="9">
        <f>IFERROR(__xludf.DUMMYFUNCTION("""COMPUTED_VALUE"""),1003876.0)</f>
        <v>1003876</v>
      </c>
      <c r="C4096" s="9">
        <f>IFERROR(__xludf.DUMMYFUNCTION("""COMPUTED_VALUE"""),69125.0)</f>
        <v>69125</v>
      </c>
      <c r="D4096" s="9"/>
      <c r="E4096" s="10" t="str">
        <f>IFERROR(__xludf.DUMMYFUNCTION("""COMPUTED_VALUE"""),"PREMIERE")</f>
        <v>PREMIERE</v>
      </c>
      <c r="F4096" s="10">
        <f>IFERROR(__xludf.DUMMYFUNCTION("""COMPUTED_VALUE"""),3.12)</f>
        <v>3.12</v>
      </c>
      <c r="G4096" s="9">
        <f>IFERROR(__xludf.DUMMYFUNCTION("""COMPUTED_VALUE"""),3.12)</f>
        <v>3.12</v>
      </c>
      <c r="H4096" s="9">
        <f>IFERROR(__xludf.DUMMYFUNCTION("""COMPUTED_VALUE"""),1.0)</f>
        <v>1</v>
      </c>
      <c r="I4096" s="9"/>
      <c r="J4096" s="9"/>
      <c r="K4096" s="9"/>
      <c r="L4096" s="9"/>
      <c r="M4096" s="9"/>
      <c r="N4096" s="9"/>
      <c r="O4096" s="9"/>
      <c r="P4096" s="9"/>
      <c r="Q4096" s="9"/>
      <c r="R4096" s="9"/>
      <c r="S4096" s="9"/>
      <c r="T4096" s="9"/>
    </row>
    <row r="4097" ht="15.75" customHeight="1">
      <c r="A4097" s="11">
        <f>IFERROR(__xludf.DUMMYFUNCTION("""COMPUTED_VALUE"""),44471.0)</f>
        <v>44471</v>
      </c>
      <c r="B4097" s="9">
        <f>IFERROR(__xludf.DUMMYFUNCTION("""COMPUTED_VALUE"""),1003877.0)</f>
        <v>1003877</v>
      </c>
      <c r="C4097" s="9">
        <f>IFERROR(__xludf.DUMMYFUNCTION("""COMPUTED_VALUE"""),73629.0)</f>
        <v>73629</v>
      </c>
      <c r="D4097" s="9"/>
      <c r="E4097" s="10" t="str">
        <f>IFERROR(__xludf.DUMMYFUNCTION("""COMPUTED_VALUE"""),"HAPPEEZ")</f>
        <v>HAPPEEZ</v>
      </c>
      <c r="F4097" s="10">
        <f>IFERROR(__xludf.DUMMYFUNCTION("""COMPUTED_VALUE"""),4.25)</f>
        <v>4.25</v>
      </c>
      <c r="G4097" s="9">
        <f>IFERROR(__xludf.DUMMYFUNCTION("""COMPUTED_VALUE"""),4.25)</f>
        <v>4.25</v>
      </c>
      <c r="H4097" s="9">
        <f>IFERROR(__xludf.DUMMYFUNCTION("""COMPUTED_VALUE"""),1.0)</f>
        <v>1</v>
      </c>
      <c r="I4097" s="9"/>
      <c r="J4097" s="9"/>
      <c r="K4097" s="9"/>
      <c r="L4097" s="9"/>
      <c r="M4097" s="9"/>
      <c r="N4097" s="9"/>
      <c r="O4097" s="9"/>
      <c r="P4097" s="9"/>
      <c r="Q4097" s="9"/>
      <c r="R4097" s="9"/>
      <c r="S4097" s="9"/>
      <c r="T4097" s="9"/>
    </row>
    <row r="4098" ht="15.75" customHeight="1">
      <c r="A4098" s="11">
        <f>IFERROR(__xludf.DUMMYFUNCTION("""COMPUTED_VALUE"""),44471.0)</f>
        <v>44471</v>
      </c>
      <c r="B4098" s="9">
        <f>IFERROR(__xludf.DUMMYFUNCTION("""COMPUTED_VALUE"""),1003877.0)</f>
        <v>1003877</v>
      </c>
      <c r="C4098" s="9">
        <f>IFERROR(__xludf.DUMMYFUNCTION("""COMPUTED_VALUE"""),9496.0)</f>
        <v>9496</v>
      </c>
      <c r="D4098" s="9"/>
      <c r="E4098" s="10" t="str">
        <f>IFERROR(__xludf.DUMMYFUNCTION("""COMPUTED_VALUE"""),"HAPPEEZ")</f>
        <v>HAPPEEZ</v>
      </c>
      <c r="F4098" s="10">
        <f>IFERROR(__xludf.DUMMYFUNCTION("""COMPUTED_VALUE"""),5.03)</f>
        <v>5.03</v>
      </c>
      <c r="G4098" s="9">
        <f>IFERROR(__xludf.DUMMYFUNCTION("""COMPUTED_VALUE"""),5.03)</f>
        <v>5.03</v>
      </c>
      <c r="H4098" s="9">
        <f>IFERROR(__xludf.DUMMYFUNCTION("""COMPUTED_VALUE"""),1.0)</f>
        <v>1</v>
      </c>
      <c r="I4098" s="9"/>
      <c r="J4098" s="9"/>
      <c r="K4098" s="9"/>
      <c r="L4098" s="9"/>
      <c r="M4098" s="9"/>
      <c r="N4098" s="9"/>
      <c r="O4098" s="9"/>
      <c r="P4098" s="9"/>
      <c r="Q4098" s="9"/>
      <c r="R4098" s="9"/>
      <c r="S4098" s="9"/>
      <c r="T4098" s="9"/>
    </row>
    <row r="4099" ht="15.75" customHeight="1">
      <c r="A4099" s="11">
        <f>IFERROR(__xludf.DUMMYFUNCTION("""COMPUTED_VALUE"""),44471.0)</f>
        <v>44471</v>
      </c>
      <c r="B4099" s="9">
        <f>IFERROR(__xludf.DUMMYFUNCTION("""COMPUTED_VALUE"""),1003877.0)</f>
        <v>1003877</v>
      </c>
      <c r="C4099" s="9">
        <f>IFERROR(__xludf.DUMMYFUNCTION("""COMPUTED_VALUE"""),120871.0)</f>
        <v>120871</v>
      </c>
      <c r="D4099" s="10" t="str">
        <f>IFERROR(__xludf.DUMMYFUNCTION("""COMPUTED_VALUE"""),"Vive le bio")</f>
        <v>Vive le bio</v>
      </c>
      <c r="E4099" s="10" t="str">
        <f>IFERROR(__xludf.DUMMYFUNCTION("""COMPUTED_VALUE"""),"HAPPEEZ")</f>
        <v>HAPPEEZ</v>
      </c>
      <c r="F4099" s="10">
        <f>IFERROR(__xludf.DUMMYFUNCTION("""COMPUTED_VALUE"""),3.47777777777777)</f>
        <v>3.477777778</v>
      </c>
      <c r="G4099" s="9">
        <f>IFERROR(__xludf.DUMMYFUNCTION("""COMPUTED_VALUE"""),3.13)</f>
        <v>3.13</v>
      </c>
      <c r="H4099" s="9">
        <f>IFERROR(__xludf.DUMMYFUNCTION("""COMPUTED_VALUE"""),1.0)</f>
        <v>1</v>
      </c>
      <c r="I4099" s="9"/>
      <c r="J4099" s="9"/>
      <c r="K4099" s="9"/>
      <c r="L4099" s="9"/>
      <c r="M4099" s="9"/>
      <c r="N4099" s="9"/>
      <c r="O4099" s="9"/>
      <c r="P4099" s="9"/>
      <c r="Q4099" s="9"/>
      <c r="R4099" s="9"/>
      <c r="S4099" s="9"/>
      <c r="T4099" s="9"/>
    </row>
    <row r="4100" ht="15.75" customHeight="1">
      <c r="A4100" s="11">
        <f>IFERROR(__xludf.DUMMYFUNCTION("""COMPUTED_VALUE"""),44471.0)</f>
        <v>44471</v>
      </c>
      <c r="B4100" s="9">
        <f>IFERROR(__xludf.DUMMYFUNCTION("""COMPUTED_VALUE"""),1003877.0)</f>
        <v>1003877</v>
      </c>
      <c r="C4100" s="9">
        <f>IFERROR(__xludf.DUMMYFUNCTION("""COMPUTED_VALUE"""),22112.0)</f>
        <v>22112</v>
      </c>
      <c r="D4100" s="9"/>
      <c r="E4100" s="10" t="str">
        <f>IFERROR(__xludf.DUMMYFUNCTION("""COMPUTED_VALUE"""),"HAPPEEZ")</f>
        <v>HAPPEEZ</v>
      </c>
      <c r="F4100" s="10">
        <f>IFERROR(__xludf.DUMMYFUNCTION("""COMPUTED_VALUE"""),6.79)</f>
        <v>6.79</v>
      </c>
      <c r="G4100" s="9">
        <f>IFERROR(__xludf.DUMMYFUNCTION("""COMPUTED_VALUE"""),6.79)</f>
        <v>6.79</v>
      </c>
      <c r="H4100" s="9">
        <f>IFERROR(__xludf.DUMMYFUNCTION("""COMPUTED_VALUE"""),1.0)</f>
        <v>1</v>
      </c>
      <c r="I4100" s="9"/>
      <c r="J4100" s="9"/>
      <c r="K4100" s="9"/>
      <c r="L4100" s="9"/>
      <c r="M4100" s="9"/>
      <c r="N4100" s="9"/>
      <c r="O4100" s="9"/>
      <c r="P4100" s="9"/>
      <c r="Q4100" s="9"/>
      <c r="R4100" s="9"/>
      <c r="S4100" s="9"/>
      <c r="T4100" s="9"/>
    </row>
    <row r="4101" ht="15.75" customHeight="1">
      <c r="A4101" s="11">
        <f>IFERROR(__xludf.DUMMYFUNCTION("""COMPUTED_VALUE"""),44471.0)</f>
        <v>44471</v>
      </c>
      <c r="B4101" s="9">
        <f>IFERROR(__xludf.DUMMYFUNCTION("""COMPUTED_VALUE"""),1003877.0)</f>
        <v>1003877</v>
      </c>
      <c r="C4101" s="9">
        <f>IFERROR(__xludf.DUMMYFUNCTION("""COMPUTED_VALUE"""),3431.0)</f>
        <v>3431</v>
      </c>
      <c r="D4101" s="9"/>
      <c r="E4101" s="10" t="str">
        <f>IFERROR(__xludf.DUMMYFUNCTION("""COMPUTED_VALUE"""),"HAPPEEZ")</f>
        <v>HAPPEEZ</v>
      </c>
      <c r="F4101" s="10">
        <f>IFERROR(__xludf.DUMMYFUNCTION("""COMPUTED_VALUE"""),4.05)</f>
        <v>4.05</v>
      </c>
      <c r="G4101" s="9">
        <f>IFERROR(__xludf.DUMMYFUNCTION("""COMPUTED_VALUE"""),4.05)</f>
        <v>4.05</v>
      </c>
      <c r="H4101" s="9">
        <f>IFERROR(__xludf.DUMMYFUNCTION("""COMPUTED_VALUE"""),1.0)</f>
        <v>1</v>
      </c>
      <c r="I4101" s="9"/>
      <c r="J4101" s="9"/>
      <c r="K4101" s="9"/>
      <c r="L4101" s="9"/>
      <c r="M4101" s="9"/>
      <c r="N4101" s="9"/>
      <c r="O4101" s="9"/>
      <c r="P4101" s="9"/>
      <c r="Q4101" s="9"/>
      <c r="R4101" s="9"/>
      <c r="S4101" s="9"/>
      <c r="T4101" s="9"/>
    </row>
    <row r="4102" ht="15.75" customHeight="1">
      <c r="A4102" s="11">
        <f>IFERROR(__xludf.DUMMYFUNCTION("""COMPUTED_VALUE"""),44471.0)</f>
        <v>44471</v>
      </c>
      <c r="B4102" s="9">
        <f>IFERROR(__xludf.DUMMYFUNCTION("""COMPUTED_VALUE"""),1003877.0)</f>
        <v>1003877</v>
      </c>
      <c r="C4102" s="9">
        <f>IFERROR(__xludf.DUMMYFUNCTION("""COMPUTED_VALUE"""),127811.0)</f>
        <v>127811</v>
      </c>
      <c r="D4102" s="9"/>
      <c r="E4102" s="10" t="str">
        <f>IFERROR(__xludf.DUMMYFUNCTION("""COMPUTED_VALUE"""),"HAPPEEZ")</f>
        <v>HAPPEEZ</v>
      </c>
      <c r="F4102" s="10">
        <f>IFERROR(__xludf.DUMMYFUNCTION("""COMPUTED_VALUE"""),4.83)</f>
        <v>4.83</v>
      </c>
      <c r="G4102" s="9">
        <f>IFERROR(__xludf.DUMMYFUNCTION("""COMPUTED_VALUE"""),4.83)</f>
        <v>4.83</v>
      </c>
      <c r="H4102" s="9">
        <f>IFERROR(__xludf.DUMMYFUNCTION("""COMPUTED_VALUE"""),1.0)</f>
        <v>1</v>
      </c>
      <c r="I4102" s="9"/>
      <c r="J4102" s="9"/>
      <c r="K4102" s="9"/>
      <c r="L4102" s="9"/>
      <c r="M4102" s="9"/>
      <c r="N4102" s="9"/>
      <c r="O4102" s="9"/>
      <c r="P4102" s="9"/>
      <c r="Q4102" s="9"/>
      <c r="R4102" s="9"/>
      <c r="S4102" s="9"/>
      <c r="T4102" s="9"/>
    </row>
    <row r="4103" ht="15.75" customHeight="1">
      <c r="A4103" s="11">
        <f>IFERROR(__xludf.DUMMYFUNCTION("""COMPUTED_VALUE"""),44471.0)</f>
        <v>44471</v>
      </c>
      <c r="B4103" s="9">
        <f>IFERROR(__xludf.DUMMYFUNCTION("""COMPUTED_VALUE"""),1003877.0)</f>
        <v>1003877</v>
      </c>
      <c r="C4103" s="9">
        <f>IFERROR(__xludf.DUMMYFUNCTION("""COMPUTED_VALUE"""),81082.0)</f>
        <v>81082</v>
      </c>
      <c r="D4103" s="9"/>
      <c r="E4103" s="10" t="str">
        <f>IFERROR(__xludf.DUMMYFUNCTION("""COMPUTED_VALUE"""),"HAPPEEZ")</f>
        <v>HAPPEEZ</v>
      </c>
      <c r="F4103" s="10">
        <f>IFERROR(__xludf.DUMMYFUNCTION("""COMPUTED_VALUE"""),1.96)</f>
        <v>1.96</v>
      </c>
      <c r="G4103" s="9">
        <f>IFERROR(__xludf.DUMMYFUNCTION("""COMPUTED_VALUE"""),1.96)</f>
        <v>1.96</v>
      </c>
      <c r="H4103" s="9">
        <f>IFERROR(__xludf.DUMMYFUNCTION("""COMPUTED_VALUE"""),1.0)</f>
        <v>1</v>
      </c>
      <c r="I4103" s="9"/>
      <c r="J4103" s="9"/>
      <c r="K4103" s="9"/>
      <c r="L4103" s="9"/>
      <c r="M4103" s="9"/>
      <c r="N4103" s="9"/>
      <c r="O4103" s="9"/>
      <c r="P4103" s="9"/>
      <c r="Q4103" s="9"/>
      <c r="R4103" s="9"/>
      <c r="S4103" s="9"/>
      <c r="T4103" s="9"/>
    </row>
    <row r="4104" ht="15.75" customHeight="1">
      <c r="A4104" s="11">
        <f>IFERROR(__xludf.DUMMYFUNCTION("""COMPUTED_VALUE"""),44471.0)</f>
        <v>44471</v>
      </c>
      <c r="B4104" s="9">
        <f>IFERROR(__xludf.DUMMYFUNCTION("""COMPUTED_VALUE"""),1003877.0)</f>
        <v>1003877</v>
      </c>
      <c r="C4104" s="9">
        <f>IFERROR(__xludf.DUMMYFUNCTION("""COMPUTED_VALUE"""),111836.0)</f>
        <v>111836</v>
      </c>
      <c r="D4104" s="10" t="str">
        <f>IFERROR(__xludf.DUMMYFUNCTION("""COMPUTED_VALUE"""),"Vive le bio")</f>
        <v>Vive le bio</v>
      </c>
      <c r="E4104" s="10" t="str">
        <f>IFERROR(__xludf.DUMMYFUNCTION("""COMPUTED_VALUE"""),"HAPPEEZ")</f>
        <v>HAPPEEZ</v>
      </c>
      <c r="F4104" s="10">
        <f>IFERROR(__xludf.DUMMYFUNCTION("""COMPUTED_VALUE"""),2.8)</f>
        <v>2.8</v>
      </c>
      <c r="G4104" s="9">
        <f>IFERROR(__xludf.DUMMYFUNCTION("""COMPUTED_VALUE"""),2.52)</f>
        <v>2.52</v>
      </c>
      <c r="H4104" s="9">
        <f>IFERROR(__xludf.DUMMYFUNCTION("""COMPUTED_VALUE"""),1.0)</f>
        <v>1</v>
      </c>
      <c r="I4104" s="9"/>
      <c r="J4104" s="9"/>
      <c r="K4104" s="9"/>
      <c r="L4104" s="9"/>
      <c r="M4104" s="9"/>
      <c r="N4104" s="9"/>
      <c r="O4104" s="9"/>
      <c r="P4104" s="9"/>
      <c r="Q4104" s="9"/>
      <c r="R4104" s="9"/>
      <c r="S4104" s="9"/>
      <c r="T4104" s="9"/>
    </row>
    <row r="4105" ht="15.75" customHeight="1">
      <c r="A4105" s="11">
        <f>IFERROR(__xludf.DUMMYFUNCTION("""COMPUTED_VALUE"""),44471.0)</f>
        <v>44471</v>
      </c>
      <c r="B4105" s="9">
        <f>IFERROR(__xludf.DUMMYFUNCTION("""COMPUTED_VALUE"""),1003877.0)</f>
        <v>1003877</v>
      </c>
      <c r="C4105" s="9">
        <f>IFERROR(__xludf.DUMMYFUNCTION("""COMPUTED_VALUE"""),81501.0)</f>
        <v>81501</v>
      </c>
      <c r="D4105" s="9"/>
      <c r="E4105" s="10" t="str">
        <f>IFERROR(__xludf.DUMMYFUNCTION("""COMPUTED_VALUE"""),"HAPPEEZ")</f>
        <v>HAPPEEZ</v>
      </c>
      <c r="F4105" s="10">
        <f>IFERROR(__xludf.DUMMYFUNCTION("""COMPUTED_VALUE"""),8.22)</f>
        <v>8.22</v>
      </c>
      <c r="G4105" s="9">
        <f>IFERROR(__xludf.DUMMYFUNCTION("""COMPUTED_VALUE"""),8.22)</f>
        <v>8.22</v>
      </c>
      <c r="H4105" s="9">
        <f>IFERROR(__xludf.DUMMYFUNCTION("""COMPUTED_VALUE"""),1.0)</f>
        <v>1</v>
      </c>
      <c r="I4105" s="9"/>
      <c r="J4105" s="9"/>
      <c r="K4105" s="9"/>
      <c r="L4105" s="9"/>
      <c r="M4105" s="9"/>
      <c r="N4105" s="9"/>
      <c r="O4105" s="9"/>
      <c r="P4105" s="9"/>
      <c r="Q4105" s="9"/>
      <c r="R4105" s="9"/>
      <c r="S4105" s="9"/>
      <c r="T4105" s="9"/>
    </row>
    <row r="4106" ht="15.75" customHeight="1">
      <c r="A4106" s="11">
        <f>IFERROR(__xludf.DUMMYFUNCTION("""COMPUTED_VALUE"""),44471.0)</f>
        <v>44471</v>
      </c>
      <c r="B4106" s="9">
        <f>IFERROR(__xludf.DUMMYFUNCTION("""COMPUTED_VALUE"""),1003877.0)</f>
        <v>1003877</v>
      </c>
      <c r="C4106" s="9">
        <f>IFERROR(__xludf.DUMMYFUNCTION("""COMPUTED_VALUE"""),117148.0)</f>
        <v>117148</v>
      </c>
      <c r="D4106" s="9"/>
      <c r="E4106" s="10" t="str">
        <f>IFERROR(__xludf.DUMMYFUNCTION("""COMPUTED_VALUE"""),"HAPPEEZ")</f>
        <v>HAPPEEZ</v>
      </c>
      <c r="F4106" s="10">
        <f>IFERROR(__xludf.DUMMYFUNCTION("""COMPUTED_VALUE"""),2.08)</f>
        <v>2.08</v>
      </c>
      <c r="G4106" s="9">
        <f>IFERROR(__xludf.DUMMYFUNCTION("""COMPUTED_VALUE"""),2.08)</f>
        <v>2.08</v>
      </c>
      <c r="H4106" s="9">
        <f>IFERROR(__xludf.DUMMYFUNCTION("""COMPUTED_VALUE"""),1.0)</f>
        <v>1</v>
      </c>
      <c r="I4106" s="9"/>
      <c r="J4106" s="9"/>
      <c r="K4106" s="9"/>
      <c r="L4106" s="9"/>
      <c r="M4106" s="9"/>
      <c r="N4106" s="9"/>
      <c r="O4106" s="9"/>
      <c r="P4106" s="9"/>
      <c r="Q4106" s="9"/>
      <c r="R4106" s="9"/>
      <c r="S4106" s="9"/>
      <c r="T4106" s="9"/>
    </row>
    <row r="4107" ht="15.75" customHeight="1">
      <c r="A4107" s="11">
        <f>IFERROR(__xludf.DUMMYFUNCTION("""COMPUTED_VALUE"""),44471.0)</f>
        <v>44471</v>
      </c>
      <c r="B4107" s="9">
        <f>IFERROR(__xludf.DUMMYFUNCTION("""COMPUTED_VALUE"""),1003877.0)</f>
        <v>1003877</v>
      </c>
      <c r="C4107" s="9">
        <f>IFERROR(__xludf.DUMMYFUNCTION("""COMPUTED_VALUE"""),23473.0)</f>
        <v>23473</v>
      </c>
      <c r="D4107" s="9"/>
      <c r="E4107" s="10" t="str">
        <f>IFERROR(__xludf.DUMMYFUNCTION("""COMPUTED_VALUE"""),"HAPPEEZ")</f>
        <v>HAPPEEZ</v>
      </c>
      <c r="F4107" s="10">
        <f>IFERROR(__xludf.DUMMYFUNCTION("""COMPUTED_VALUE"""),6.77)</f>
        <v>6.77</v>
      </c>
      <c r="G4107" s="9">
        <f>IFERROR(__xludf.DUMMYFUNCTION("""COMPUTED_VALUE"""),6.77)</f>
        <v>6.77</v>
      </c>
      <c r="H4107" s="9">
        <f>IFERROR(__xludf.DUMMYFUNCTION("""COMPUTED_VALUE"""),2.0)</f>
        <v>2</v>
      </c>
      <c r="I4107" s="9"/>
      <c r="J4107" s="9"/>
      <c r="K4107" s="9"/>
      <c r="L4107" s="9"/>
      <c r="M4107" s="9"/>
      <c r="N4107" s="9"/>
      <c r="O4107" s="9"/>
      <c r="P4107" s="9"/>
      <c r="Q4107" s="9"/>
      <c r="R4107" s="9"/>
      <c r="S4107" s="9"/>
      <c r="T4107" s="9"/>
    </row>
    <row r="4108" ht="15.75" customHeight="1">
      <c r="A4108" s="11">
        <f>IFERROR(__xludf.DUMMYFUNCTION("""COMPUTED_VALUE"""),44471.0)</f>
        <v>44471</v>
      </c>
      <c r="B4108" s="9">
        <f>IFERROR(__xludf.DUMMYFUNCTION("""COMPUTED_VALUE"""),1003877.0)</f>
        <v>1003877</v>
      </c>
      <c r="C4108" s="9">
        <f>IFERROR(__xludf.DUMMYFUNCTION("""COMPUTED_VALUE"""),90665.0)</f>
        <v>90665</v>
      </c>
      <c r="D4108" s="9"/>
      <c r="E4108" s="10" t="str">
        <f>IFERROR(__xludf.DUMMYFUNCTION("""COMPUTED_VALUE"""),"HAPPEEZ")</f>
        <v>HAPPEEZ</v>
      </c>
      <c r="F4108" s="10">
        <f>IFERROR(__xludf.DUMMYFUNCTION("""COMPUTED_VALUE"""),2.9)</f>
        <v>2.9</v>
      </c>
      <c r="G4108" s="9">
        <f>IFERROR(__xludf.DUMMYFUNCTION("""COMPUTED_VALUE"""),2.9)</f>
        <v>2.9</v>
      </c>
      <c r="H4108" s="9">
        <f>IFERROR(__xludf.DUMMYFUNCTION("""COMPUTED_VALUE"""),2.0)</f>
        <v>2</v>
      </c>
      <c r="I4108" s="9"/>
      <c r="J4108" s="9"/>
      <c r="K4108" s="9"/>
      <c r="L4108" s="9"/>
      <c r="M4108" s="9"/>
      <c r="N4108" s="9"/>
      <c r="O4108" s="9"/>
      <c r="P4108" s="9"/>
      <c r="Q4108" s="9"/>
      <c r="R4108" s="9"/>
      <c r="S4108" s="9"/>
      <c r="T4108" s="9"/>
    </row>
    <row r="4109" ht="15.75" customHeight="1">
      <c r="A4109" s="11">
        <f>IFERROR(__xludf.DUMMYFUNCTION("""COMPUTED_VALUE"""),44471.0)</f>
        <v>44471</v>
      </c>
      <c r="B4109" s="9">
        <f>IFERROR(__xludf.DUMMYFUNCTION("""COMPUTED_VALUE"""),1003877.0)</f>
        <v>1003877</v>
      </c>
      <c r="C4109" s="9">
        <f>IFERROR(__xludf.DUMMYFUNCTION("""COMPUTED_VALUE"""),14682.0)</f>
        <v>14682</v>
      </c>
      <c r="D4109" s="9"/>
      <c r="E4109" s="10" t="str">
        <f>IFERROR(__xludf.DUMMYFUNCTION("""COMPUTED_VALUE"""),"HAPPEEZ")</f>
        <v>HAPPEEZ</v>
      </c>
      <c r="F4109" s="10">
        <f>IFERROR(__xludf.DUMMYFUNCTION("""COMPUTED_VALUE"""),2.71)</f>
        <v>2.71</v>
      </c>
      <c r="G4109" s="9">
        <f>IFERROR(__xludf.DUMMYFUNCTION("""COMPUTED_VALUE"""),2.71)</f>
        <v>2.71</v>
      </c>
      <c r="H4109" s="9">
        <f>IFERROR(__xludf.DUMMYFUNCTION("""COMPUTED_VALUE"""),2.0)</f>
        <v>2</v>
      </c>
      <c r="I4109" s="9"/>
      <c r="J4109" s="9"/>
      <c r="K4109" s="9"/>
      <c r="L4109" s="9"/>
      <c r="M4109" s="9"/>
      <c r="N4109" s="9"/>
      <c r="O4109" s="9"/>
      <c r="P4109" s="9"/>
      <c r="Q4109" s="9"/>
      <c r="R4109" s="9"/>
      <c r="S4109" s="9"/>
      <c r="T4109" s="9"/>
    </row>
    <row r="4110" ht="15.75" customHeight="1">
      <c r="A4110" s="11">
        <f>IFERROR(__xludf.DUMMYFUNCTION("""COMPUTED_VALUE"""),44471.0)</f>
        <v>44471</v>
      </c>
      <c r="B4110" s="9">
        <f>IFERROR(__xludf.DUMMYFUNCTION("""COMPUTED_VALUE"""),1003877.0)</f>
        <v>1003877</v>
      </c>
      <c r="C4110" s="9">
        <f>IFERROR(__xludf.DUMMYFUNCTION("""COMPUTED_VALUE"""),14665.0)</f>
        <v>14665</v>
      </c>
      <c r="D4110" s="9"/>
      <c r="E4110" s="10" t="str">
        <f>IFERROR(__xludf.DUMMYFUNCTION("""COMPUTED_VALUE"""),"HAPPEEZ")</f>
        <v>HAPPEEZ</v>
      </c>
      <c r="F4110" s="10">
        <f>IFERROR(__xludf.DUMMYFUNCTION("""COMPUTED_VALUE"""),3.48)</f>
        <v>3.48</v>
      </c>
      <c r="G4110" s="9">
        <f>IFERROR(__xludf.DUMMYFUNCTION("""COMPUTED_VALUE"""),3.48)</f>
        <v>3.48</v>
      </c>
      <c r="H4110" s="9">
        <f>IFERROR(__xludf.DUMMYFUNCTION("""COMPUTED_VALUE"""),2.0)</f>
        <v>2</v>
      </c>
      <c r="I4110" s="9"/>
      <c r="J4110" s="9"/>
      <c r="K4110" s="9"/>
      <c r="L4110" s="9"/>
      <c r="M4110" s="9"/>
      <c r="N4110" s="9"/>
      <c r="O4110" s="9"/>
      <c r="P4110" s="9"/>
      <c r="Q4110" s="9"/>
      <c r="R4110" s="9"/>
      <c r="S4110" s="9"/>
      <c r="T4110" s="9"/>
    </row>
    <row r="4111" ht="15.75" customHeight="1">
      <c r="A4111" s="11">
        <f>IFERROR(__xludf.DUMMYFUNCTION("""COMPUTED_VALUE"""),44471.0)</f>
        <v>44471</v>
      </c>
      <c r="B4111" s="9">
        <f>IFERROR(__xludf.DUMMYFUNCTION("""COMPUTED_VALUE"""),1003877.0)</f>
        <v>1003877</v>
      </c>
      <c r="C4111" s="9">
        <f>IFERROR(__xludf.DUMMYFUNCTION("""COMPUTED_VALUE"""),68627.0)</f>
        <v>68627</v>
      </c>
      <c r="D4111" s="9"/>
      <c r="E4111" s="10" t="str">
        <f>IFERROR(__xludf.DUMMYFUNCTION("""COMPUTED_VALUE"""),"HAPPEEZ")</f>
        <v>HAPPEEZ</v>
      </c>
      <c r="F4111" s="10">
        <f>IFERROR(__xludf.DUMMYFUNCTION("""COMPUTED_VALUE"""),7.73)</f>
        <v>7.73</v>
      </c>
      <c r="G4111" s="9">
        <f>IFERROR(__xludf.DUMMYFUNCTION("""COMPUTED_VALUE"""),7.73)</f>
        <v>7.73</v>
      </c>
      <c r="H4111" s="9">
        <f>IFERROR(__xludf.DUMMYFUNCTION("""COMPUTED_VALUE"""),2.0)</f>
        <v>2</v>
      </c>
      <c r="I4111" s="9"/>
      <c r="J4111" s="9"/>
      <c r="K4111" s="9"/>
      <c r="L4111" s="9"/>
      <c r="M4111" s="9"/>
      <c r="N4111" s="9"/>
      <c r="O4111" s="9"/>
      <c r="P4111" s="9"/>
      <c r="Q4111" s="9"/>
      <c r="R4111" s="9"/>
      <c r="S4111" s="9"/>
      <c r="T4111" s="9"/>
    </row>
    <row r="4112" ht="15.75" customHeight="1">
      <c r="A4112" s="11">
        <f>IFERROR(__xludf.DUMMYFUNCTION("""COMPUTED_VALUE"""),44471.0)</f>
        <v>44471</v>
      </c>
      <c r="B4112" s="9">
        <f>IFERROR(__xludf.DUMMYFUNCTION("""COMPUTED_VALUE"""),1003878.0)</f>
        <v>1003878</v>
      </c>
      <c r="C4112" s="9">
        <f>IFERROR(__xludf.DUMMYFUNCTION("""COMPUTED_VALUE"""),87001.0)</f>
        <v>87001</v>
      </c>
      <c r="D4112" s="9"/>
      <c r="E4112" s="10" t="str">
        <f>IFERROR(__xludf.DUMMYFUNCTION("""COMPUTED_VALUE"""),"GREENRELAIS")</f>
        <v>GREENRELAIS</v>
      </c>
      <c r="F4112" s="10">
        <f>IFERROR(__xludf.DUMMYFUNCTION("""COMPUTED_VALUE"""),2.5)</f>
        <v>2.5</v>
      </c>
      <c r="G4112" s="9">
        <f>IFERROR(__xludf.DUMMYFUNCTION("""COMPUTED_VALUE"""),2.5)</f>
        <v>2.5</v>
      </c>
      <c r="H4112" s="9">
        <f>IFERROR(__xludf.DUMMYFUNCTION("""COMPUTED_VALUE"""),1.0)</f>
        <v>1</v>
      </c>
      <c r="I4112" s="9"/>
      <c r="J4112" s="9"/>
      <c r="K4112" s="9"/>
      <c r="L4112" s="9"/>
      <c r="M4112" s="9"/>
      <c r="N4112" s="9"/>
      <c r="O4112" s="9"/>
      <c r="P4112" s="9"/>
      <c r="Q4112" s="9"/>
      <c r="R4112" s="9"/>
      <c r="S4112" s="9"/>
      <c r="T4112" s="9"/>
    </row>
    <row r="4113" ht="15.75" customHeight="1">
      <c r="A4113" s="11">
        <f>IFERROR(__xludf.DUMMYFUNCTION("""COMPUTED_VALUE"""),44471.0)</f>
        <v>44471</v>
      </c>
      <c r="B4113" s="9">
        <f>IFERROR(__xludf.DUMMYFUNCTION("""COMPUTED_VALUE"""),1003878.0)</f>
        <v>1003878</v>
      </c>
      <c r="C4113" s="9">
        <f>IFERROR(__xludf.DUMMYFUNCTION("""COMPUTED_VALUE"""),127917.0)</f>
        <v>127917</v>
      </c>
      <c r="D4113" s="9"/>
      <c r="E4113" s="10" t="str">
        <f>IFERROR(__xludf.DUMMYFUNCTION("""COMPUTED_VALUE"""),"GREENRELAIS")</f>
        <v>GREENRELAIS</v>
      </c>
      <c r="F4113" s="10">
        <f>IFERROR(__xludf.DUMMYFUNCTION("""COMPUTED_VALUE"""),5.07)</f>
        <v>5.07</v>
      </c>
      <c r="G4113" s="9">
        <f>IFERROR(__xludf.DUMMYFUNCTION("""COMPUTED_VALUE"""),5.07)</f>
        <v>5.07</v>
      </c>
      <c r="H4113" s="9">
        <f>IFERROR(__xludf.DUMMYFUNCTION("""COMPUTED_VALUE"""),1.0)</f>
        <v>1</v>
      </c>
      <c r="I4113" s="9"/>
      <c r="J4113" s="9"/>
      <c r="K4113" s="9"/>
      <c r="L4113" s="9"/>
      <c r="M4113" s="9"/>
      <c r="N4113" s="9"/>
      <c r="O4113" s="9"/>
      <c r="P4113" s="9"/>
      <c r="Q4113" s="9"/>
      <c r="R4113" s="9"/>
      <c r="S4113" s="9"/>
      <c r="T4113" s="9"/>
    </row>
    <row r="4114" ht="15.75" customHeight="1">
      <c r="A4114" s="11">
        <f>IFERROR(__xludf.DUMMYFUNCTION("""COMPUTED_VALUE"""),44471.0)</f>
        <v>44471</v>
      </c>
      <c r="B4114" s="9">
        <f>IFERROR(__xludf.DUMMYFUNCTION("""COMPUTED_VALUE"""),1003878.0)</f>
        <v>1003878</v>
      </c>
      <c r="C4114" s="9">
        <f>IFERROR(__xludf.DUMMYFUNCTION("""COMPUTED_VALUE"""),19299.0)</f>
        <v>19299</v>
      </c>
      <c r="D4114" s="9"/>
      <c r="E4114" s="10" t="str">
        <f>IFERROR(__xludf.DUMMYFUNCTION("""COMPUTED_VALUE"""),"GREENRELAIS")</f>
        <v>GREENRELAIS</v>
      </c>
      <c r="F4114" s="10">
        <f>IFERROR(__xludf.DUMMYFUNCTION("""COMPUTED_VALUE"""),4.61)</f>
        <v>4.61</v>
      </c>
      <c r="G4114" s="9">
        <f>IFERROR(__xludf.DUMMYFUNCTION("""COMPUTED_VALUE"""),4.61)</f>
        <v>4.61</v>
      </c>
      <c r="H4114" s="9">
        <f>IFERROR(__xludf.DUMMYFUNCTION("""COMPUTED_VALUE"""),1.0)</f>
        <v>1</v>
      </c>
      <c r="I4114" s="9"/>
      <c r="J4114" s="9"/>
      <c r="K4114" s="9"/>
      <c r="L4114" s="9"/>
      <c r="M4114" s="9"/>
      <c r="N4114" s="9"/>
      <c r="O4114" s="9"/>
      <c r="P4114" s="9"/>
      <c r="Q4114" s="9"/>
      <c r="R4114" s="9"/>
      <c r="S4114" s="9"/>
      <c r="T4114" s="9"/>
    </row>
    <row r="4115" ht="15.75" customHeight="1">
      <c r="A4115" s="11">
        <f>IFERROR(__xludf.DUMMYFUNCTION("""COMPUTED_VALUE"""),44471.0)</f>
        <v>44471</v>
      </c>
      <c r="B4115" s="9">
        <f>IFERROR(__xludf.DUMMYFUNCTION("""COMPUTED_VALUE"""),1003878.0)</f>
        <v>1003878</v>
      </c>
      <c r="C4115" s="9">
        <f>IFERROR(__xludf.DUMMYFUNCTION("""COMPUTED_VALUE"""),104322.0)</f>
        <v>104322</v>
      </c>
      <c r="D4115" s="9"/>
      <c r="E4115" s="10" t="str">
        <f>IFERROR(__xludf.DUMMYFUNCTION("""COMPUTED_VALUE"""),"GREENRELAIS")</f>
        <v>GREENRELAIS</v>
      </c>
      <c r="F4115" s="10">
        <f>IFERROR(__xludf.DUMMYFUNCTION("""COMPUTED_VALUE"""),3.33)</f>
        <v>3.33</v>
      </c>
      <c r="G4115" s="9">
        <f>IFERROR(__xludf.DUMMYFUNCTION("""COMPUTED_VALUE"""),3.33)</f>
        <v>3.33</v>
      </c>
      <c r="H4115" s="9">
        <f>IFERROR(__xludf.DUMMYFUNCTION("""COMPUTED_VALUE"""),1.0)</f>
        <v>1</v>
      </c>
      <c r="I4115" s="9"/>
      <c r="J4115" s="9"/>
      <c r="K4115" s="9"/>
      <c r="L4115" s="9"/>
      <c r="M4115" s="9"/>
      <c r="N4115" s="9"/>
      <c r="O4115" s="9"/>
      <c r="P4115" s="9"/>
      <c r="Q4115" s="9"/>
      <c r="R4115" s="9"/>
      <c r="S4115" s="9"/>
      <c r="T4115" s="9"/>
    </row>
    <row r="4116" ht="15.75" customHeight="1">
      <c r="A4116" s="11">
        <f>IFERROR(__xludf.DUMMYFUNCTION("""COMPUTED_VALUE"""),44471.0)</f>
        <v>44471</v>
      </c>
      <c r="B4116" s="9">
        <f>IFERROR(__xludf.DUMMYFUNCTION("""COMPUTED_VALUE"""),1003878.0)</f>
        <v>1003878</v>
      </c>
      <c r="C4116" s="9">
        <f>IFERROR(__xludf.DUMMYFUNCTION("""COMPUTED_VALUE"""),80186.0)</f>
        <v>80186</v>
      </c>
      <c r="D4116" s="9"/>
      <c r="E4116" s="10" t="str">
        <f>IFERROR(__xludf.DUMMYFUNCTION("""COMPUTED_VALUE"""),"GREENRELAIS")</f>
        <v>GREENRELAIS</v>
      </c>
      <c r="F4116" s="10">
        <f>IFERROR(__xludf.DUMMYFUNCTION("""COMPUTED_VALUE"""),2.72)</f>
        <v>2.72</v>
      </c>
      <c r="G4116" s="9">
        <f>IFERROR(__xludf.DUMMYFUNCTION("""COMPUTED_VALUE"""),2.72)</f>
        <v>2.72</v>
      </c>
      <c r="H4116" s="9">
        <f>IFERROR(__xludf.DUMMYFUNCTION("""COMPUTED_VALUE"""),1.0)</f>
        <v>1</v>
      </c>
      <c r="I4116" s="9"/>
      <c r="J4116" s="9"/>
      <c r="K4116" s="9"/>
      <c r="L4116" s="9"/>
      <c r="M4116" s="9"/>
      <c r="N4116" s="9"/>
      <c r="O4116" s="9"/>
      <c r="P4116" s="9"/>
      <c r="Q4116" s="9"/>
      <c r="R4116" s="9"/>
      <c r="S4116" s="9"/>
      <c r="T4116" s="9"/>
    </row>
    <row r="4117" ht="15.75" customHeight="1">
      <c r="A4117" s="11">
        <f>IFERROR(__xludf.DUMMYFUNCTION("""COMPUTED_VALUE"""),44471.0)</f>
        <v>44471</v>
      </c>
      <c r="B4117" s="9">
        <f>IFERROR(__xludf.DUMMYFUNCTION("""COMPUTED_VALUE"""),1003878.0)</f>
        <v>1003878</v>
      </c>
      <c r="C4117" s="9">
        <f>IFERROR(__xludf.DUMMYFUNCTION("""COMPUTED_VALUE"""),87909.0)</f>
        <v>87909</v>
      </c>
      <c r="D4117" s="10" t="str">
        <f>IFERROR(__xludf.DUMMYFUNCTION("""COMPUTED_VALUE"""),"DLC courtes")</f>
        <v>DLC courtes</v>
      </c>
      <c r="E4117" s="10" t="str">
        <f>IFERROR(__xludf.DUMMYFUNCTION("""COMPUTED_VALUE"""),"GREENRELAIS")</f>
        <v>GREENRELAIS</v>
      </c>
      <c r="F4117" s="10">
        <f>IFERROR(__xludf.DUMMYFUNCTION("""COMPUTED_VALUE"""),1.925)</f>
        <v>1.925</v>
      </c>
      <c r="G4117" s="9">
        <f>IFERROR(__xludf.DUMMYFUNCTION("""COMPUTED_VALUE"""),1.54)</f>
        <v>1.54</v>
      </c>
      <c r="H4117" s="9">
        <f>IFERROR(__xludf.DUMMYFUNCTION("""COMPUTED_VALUE"""),1.0)</f>
        <v>1</v>
      </c>
      <c r="I4117" s="9"/>
      <c r="J4117" s="9"/>
      <c r="K4117" s="9"/>
      <c r="L4117" s="9"/>
      <c r="M4117" s="9"/>
      <c r="N4117" s="9"/>
      <c r="O4117" s="9"/>
      <c r="P4117" s="9"/>
      <c r="Q4117" s="9"/>
      <c r="R4117" s="9"/>
      <c r="S4117" s="9"/>
      <c r="T4117" s="9"/>
    </row>
    <row r="4118" ht="15.75" customHeight="1">
      <c r="A4118" s="11">
        <f>IFERROR(__xludf.DUMMYFUNCTION("""COMPUTED_VALUE"""),44471.0)</f>
        <v>44471</v>
      </c>
      <c r="B4118" s="9">
        <f>IFERROR(__xludf.DUMMYFUNCTION("""COMPUTED_VALUE"""),1003878.0)</f>
        <v>1003878</v>
      </c>
      <c r="C4118" s="9">
        <f>IFERROR(__xludf.DUMMYFUNCTION("""COMPUTED_VALUE"""),46440.0)</f>
        <v>46440</v>
      </c>
      <c r="D4118" s="9"/>
      <c r="E4118" s="10" t="str">
        <f>IFERROR(__xludf.DUMMYFUNCTION("""COMPUTED_VALUE"""),"GREENRELAIS")</f>
        <v>GREENRELAIS</v>
      </c>
      <c r="F4118" s="10">
        <f>IFERROR(__xludf.DUMMYFUNCTION("""COMPUTED_VALUE"""),4.49)</f>
        <v>4.49</v>
      </c>
      <c r="G4118" s="9">
        <f>IFERROR(__xludf.DUMMYFUNCTION("""COMPUTED_VALUE"""),4.49)</f>
        <v>4.49</v>
      </c>
      <c r="H4118" s="9">
        <f>IFERROR(__xludf.DUMMYFUNCTION("""COMPUTED_VALUE"""),1.0)</f>
        <v>1</v>
      </c>
      <c r="I4118" s="9"/>
      <c r="J4118" s="9"/>
      <c r="K4118" s="9"/>
      <c r="L4118" s="9"/>
      <c r="M4118" s="9"/>
      <c r="N4118" s="9"/>
      <c r="O4118" s="9"/>
      <c r="P4118" s="9"/>
      <c r="Q4118" s="9"/>
      <c r="R4118" s="9"/>
      <c r="S4118" s="9"/>
      <c r="T4118" s="9"/>
    </row>
    <row r="4119" ht="15.75" customHeight="1">
      <c r="A4119" s="11">
        <f>IFERROR(__xludf.DUMMYFUNCTION("""COMPUTED_VALUE"""),44471.0)</f>
        <v>44471</v>
      </c>
      <c r="B4119" s="9">
        <f>IFERROR(__xludf.DUMMYFUNCTION("""COMPUTED_VALUE"""),1003878.0)</f>
        <v>1003878</v>
      </c>
      <c r="C4119" s="9">
        <f>IFERROR(__xludf.DUMMYFUNCTION("""COMPUTED_VALUE"""),42695.0)</f>
        <v>42695</v>
      </c>
      <c r="D4119" s="9"/>
      <c r="E4119" s="10" t="str">
        <f>IFERROR(__xludf.DUMMYFUNCTION("""COMPUTED_VALUE"""),"GREENRELAIS")</f>
        <v>GREENRELAIS</v>
      </c>
      <c r="F4119" s="10">
        <f>IFERROR(__xludf.DUMMYFUNCTION("""COMPUTED_VALUE"""),5.03)</f>
        <v>5.03</v>
      </c>
      <c r="G4119" s="9">
        <f>IFERROR(__xludf.DUMMYFUNCTION("""COMPUTED_VALUE"""),5.03)</f>
        <v>5.03</v>
      </c>
      <c r="H4119" s="9">
        <f>IFERROR(__xludf.DUMMYFUNCTION("""COMPUTED_VALUE"""),2.0)</f>
        <v>2</v>
      </c>
      <c r="I4119" s="9"/>
      <c r="J4119" s="9"/>
      <c r="K4119" s="9"/>
      <c r="L4119" s="9"/>
      <c r="M4119" s="9"/>
      <c r="N4119" s="9"/>
      <c r="O4119" s="9"/>
      <c r="P4119" s="9"/>
      <c r="Q4119" s="9"/>
      <c r="R4119" s="9"/>
      <c r="S4119" s="9"/>
      <c r="T4119" s="9"/>
    </row>
    <row r="4120" ht="15.75" customHeight="1">
      <c r="A4120" s="11">
        <f>IFERROR(__xludf.DUMMYFUNCTION("""COMPUTED_VALUE"""),44471.0)</f>
        <v>44471</v>
      </c>
      <c r="B4120" s="9">
        <f>IFERROR(__xludf.DUMMYFUNCTION("""COMPUTED_VALUE"""),1003878.0)</f>
        <v>1003878</v>
      </c>
      <c r="C4120" s="9">
        <f>IFERROR(__xludf.DUMMYFUNCTION("""COMPUTED_VALUE"""),20055.0)</f>
        <v>20055</v>
      </c>
      <c r="D4120" s="9"/>
      <c r="E4120" s="10" t="str">
        <f>IFERROR(__xludf.DUMMYFUNCTION("""COMPUTED_VALUE"""),"GREENRELAIS")</f>
        <v>GREENRELAIS</v>
      </c>
      <c r="F4120" s="10">
        <f>IFERROR(__xludf.DUMMYFUNCTION("""COMPUTED_VALUE"""),3.65)</f>
        <v>3.65</v>
      </c>
      <c r="G4120" s="9">
        <f>IFERROR(__xludf.DUMMYFUNCTION("""COMPUTED_VALUE"""),3.65)</f>
        <v>3.65</v>
      </c>
      <c r="H4120" s="9">
        <f>IFERROR(__xludf.DUMMYFUNCTION("""COMPUTED_VALUE"""),2.0)</f>
        <v>2</v>
      </c>
      <c r="I4120" s="9"/>
      <c r="J4120" s="9"/>
      <c r="K4120" s="9"/>
      <c r="L4120" s="9"/>
      <c r="M4120" s="9"/>
      <c r="N4120" s="9"/>
      <c r="O4120" s="9"/>
      <c r="P4120" s="9"/>
      <c r="Q4120" s="9"/>
      <c r="R4120" s="9"/>
      <c r="S4120" s="9"/>
      <c r="T4120" s="9"/>
    </row>
    <row r="4121" ht="15.75" customHeight="1">
      <c r="A4121" s="11">
        <f>IFERROR(__xludf.DUMMYFUNCTION("""COMPUTED_VALUE"""),44471.0)</f>
        <v>44471</v>
      </c>
      <c r="B4121" s="9">
        <f>IFERROR(__xludf.DUMMYFUNCTION("""COMPUTED_VALUE"""),1003878.0)</f>
        <v>1003878</v>
      </c>
      <c r="C4121" s="9">
        <f>IFERROR(__xludf.DUMMYFUNCTION("""COMPUTED_VALUE"""),89519.0)</f>
        <v>89519</v>
      </c>
      <c r="D4121" s="9"/>
      <c r="E4121" s="10" t="str">
        <f>IFERROR(__xludf.DUMMYFUNCTION("""COMPUTED_VALUE"""),"GREENRELAIS")</f>
        <v>GREENRELAIS</v>
      </c>
      <c r="F4121" s="10">
        <f>IFERROR(__xludf.DUMMYFUNCTION("""COMPUTED_VALUE"""),6.1)</f>
        <v>6.1</v>
      </c>
      <c r="G4121" s="9">
        <f>IFERROR(__xludf.DUMMYFUNCTION("""COMPUTED_VALUE"""),6.1)</f>
        <v>6.1</v>
      </c>
      <c r="H4121" s="9">
        <f>IFERROR(__xludf.DUMMYFUNCTION("""COMPUTED_VALUE"""),2.0)</f>
        <v>2</v>
      </c>
      <c r="I4121" s="9"/>
      <c r="J4121" s="9"/>
      <c r="K4121" s="9"/>
      <c r="L4121" s="9"/>
      <c r="M4121" s="9"/>
      <c r="N4121" s="9"/>
      <c r="O4121" s="9"/>
      <c r="P4121" s="9"/>
      <c r="Q4121" s="9"/>
      <c r="R4121" s="9"/>
      <c r="S4121" s="9"/>
      <c r="T4121" s="9"/>
    </row>
    <row r="4122" ht="15.75" customHeight="1">
      <c r="A4122" s="11">
        <f>IFERROR(__xludf.DUMMYFUNCTION("""COMPUTED_VALUE"""),44471.0)</f>
        <v>44471</v>
      </c>
      <c r="B4122" s="9">
        <f>IFERROR(__xludf.DUMMYFUNCTION("""COMPUTED_VALUE"""),1003878.0)</f>
        <v>1003878</v>
      </c>
      <c r="C4122" s="9">
        <f>IFERROR(__xludf.DUMMYFUNCTION("""COMPUTED_VALUE"""),8003.0)</f>
        <v>8003</v>
      </c>
      <c r="D4122" s="9"/>
      <c r="E4122" s="10" t="str">
        <f>IFERROR(__xludf.DUMMYFUNCTION("""COMPUTED_VALUE"""),"GREENRELAIS")</f>
        <v>GREENRELAIS</v>
      </c>
      <c r="F4122" s="10">
        <f>IFERROR(__xludf.DUMMYFUNCTION("""COMPUTED_VALUE"""),6.93)</f>
        <v>6.93</v>
      </c>
      <c r="G4122" s="9">
        <f>IFERROR(__xludf.DUMMYFUNCTION("""COMPUTED_VALUE"""),6.93)</f>
        <v>6.93</v>
      </c>
      <c r="H4122" s="9">
        <f>IFERROR(__xludf.DUMMYFUNCTION("""COMPUTED_VALUE"""),2.0)</f>
        <v>2</v>
      </c>
      <c r="I4122" s="9"/>
      <c r="J4122" s="9"/>
      <c r="K4122" s="9"/>
      <c r="L4122" s="9"/>
      <c r="M4122" s="9"/>
      <c r="N4122" s="9"/>
      <c r="O4122" s="9"/>
      <c r="P4122" s="9"/>
      <c r="Q4122" s="9"/>
      <c r="R4122" s="9"/>
      <c r="S4122" s="9"/>
      <c r="T4122" s="9"/>
    </row>
    <row r="4123" ht="15.75" customHeight="1">
      <c r="A4123" s="11">
        <f>IFERROR(__xludf.DUMMYFUNCTION("""COMPUTED_VALUE"""),44471.0)</f>
        <v>44471</v>
      </c>
      <c r="B4123" s="9">
        <f>IFERROR(__xludf.DUMMYFUNCTION("""COMPUTED_VALUE"""),1003878.0)</f>
        <v>1003878</v>
      </c>
      <c r="C4123" s="9">
        <f>IFERROR(__xludf.DUMMYFUNCTION("""COMPUTED_VALUE"""),86980.0)</f>
        <v>86980</v>
      </c>
      <c r="D4123" s="9"/>
      <c r="E4123" s="10" t="str">
        <f>IFERROR(__xludf.DUMMYFUNCTION("""COMPUTED_VALUE"""),"GREENRELAIS")</f>
        <v>GREENRELAIS</v>
      </c>
      <c r="F4123" s="10">
        <f>IFERROR(__xludf.DUMMYFUNCTION("""COMPUTED_VALUE"""),7.06)</f>
        <v>7.06</v>
      </c>
      <c r="G4123" s="9">
        <f>IFERROR(__xludf.DUMMYFUNCTION("""COMPUTED_VALUE"""),7.06)</f>
        <v>7.06</v>
      </c>
      <c r="H4123" s="9">
        <f>IFERROR(__xludf.DUMMYFUNCTION("""COMPUTED_VALUE"""),3.0)</f>
        <v>3</v>
      </c>
      <c r="I4123" s="9"/>
      <c r="J4123" s="9"/>
      <c r="K4123" s="9"/>
      <c r="L4123" s="9"/>
      <c r="M4123" s="9"/>
      <c r="N4123" s="9"/>
      <c r="O4123" s="9"/>
      <c r="P4123" s="9"/>
      <c r="Q4123" s="9"/>
      <c r="R4123" s="9"/>
      <c r="S4123" s="9"/>
      <c r="T4123" s="9"/>
    </row>
    <row r="4124" ht="15.75" customHeight="1">
      <c r="A4124" s="11">
        <f>IFERROR(__xludf.DUMMYFUNCTION("""COMPUTED_VALUE"""),44471.0)</f>
        <v>44471</v>
      </c>
      <c r="B4124" s="9">
        <f>IFERROR(__xludf.DUMMYFUNCTION("""COMPUTED_VALUE"""),1003879.0)</f>
        <v>1003879</v>
      </c>
      <c r="C4124" s="9">
        <f>IFERROR(__xludf.DUMMYFUNCTION("""COMPUTED_VALUE"""),83789.0)</f>
        <v>83789</v>
      </c>
      <c r="D4124" s="9"/>
      <c r="E4124" s="9"/>
      <c r="F4124" s="9">
        <f>IFERROR(__xludf.DUMMYFUNCTION("""COMPUTED_VALUE"""),2.38)</f>
        <v>2.38</v>
      </c>
      <c r="G4124" s="9">
        <f>IFERROR(__xludf.DUMMYFUNCTION("""COMPUTED_VALUE"""),2.38)</f>
        <v>2.38</v>
      </c>
      <c r="H4124" s="9">
        <f>IFERROR(__xludf.DUMMYFUNCTION("""COMPUTED_VALUE"""),1.0)</f>
        <v>1</v>
      </c>
      <c r="I4124" s="9"/>
      <c r="J4124" s="9"/>
      <c r="K4124" s="9"/>
      <c r="L4124" s="9"/>
      <c r="M4124" s="9"/>
      <c r="N4124" s="9"/>
      <c r="O4124" s="9"/>
      <c r="P4124" s="9"/>
      <c r="Q4124" s="9"/>
      <c r="R4124" s="9"/>
      <c r="S4124" s="9"/>
      <c r="T4124" s="9"/>
    </row>
    <row r="4125" ht="15.75" customHeight="1">
      <c r="A4125" s="11">
        <f>IFERROR(__xludf.DUMMYFUNCTION("""COMPUTED_VALUE"""),44471.0)</f>
        <v>44471</v>
      </c>
      <c r="B4125" s="9">
        <f>IFERROR(__xludf.DUMMYFUNCTION("""COMPUTED_VALUE"""),1003879.0)</f>
        <v>1003879</v>
      </c>
      <c r="C4125" s="9">
        <f>IFERROR(__xludf.DUMMYFUNCTION("""COMPUTED_VALUE"""),44705.0)</f>
        <v>44705</v>
      </c>
      <c r="D4125" s="9"/>
      <c r="E4125" s="9"/>
      <c r="F4125" s="9">
        <f>IFERROR(__xludf.DUMMYFUNCTION("""COMPUTED_VALUE"""),2.39)</f>
        <v>2.39</v>
      </c>
      <c r="G4125" s="9">
        <f>IFERROR(__xludf.DUMMYFUNCTION("""COMPUTED_VALUE"""),2.39)</f>
        <v>2.39</v>
      </c>
      <c r="H4125" s="9">
        <f>IFERROR(__xludf.DUMMYFUNCTION("""COMPUTED_VALUE"""),1.0)</f>
        <v>1</v>
      </c>
      <c r="I4125" s="9"/>
      <c r="J4125" s="9"/>
      <c r="K4125" s="9"/>
      <c r="L4125" s="9"/>
      <c r="M4125" s="9"/>
      <c r="N4125" s="9"/>
      <c r="O4125" s="9"/>
      <c r="P4125" s="9"/>
      <c r="Q4125" s="9"/>
      <c r="R4125" s="9"/>
      <c r="S4125" s="9"/>
      <c r="T4125" s="9"/>
    </row>
    <row r="4126" ht="15.75" customHeight="1">
      <c r="A4126" s="11">
        <f>IFERROR(__xludf.DUMMYFUNCTION("""COMPUTED_VALUE"""),44471.0)</f>
        <v>44471</v>
      </c>
      <c r="B4126" s="9">
        <f>IFERROR(__xludf.DUMMYFUNCTION("""COMPUTED_VALUE"""),1003879.0)</f>
        <v>1003879</v>
      </c>
      <c r="C4126" s="9">
        <f>IFERROR(__xludf.DUMMYFUNCTION("""COMPUTED_VALUE"""),104176.0)</f>
        <v>104176</v>
      </c>
      <c r="D4126" s="9"/>
      <c r="E4126" s="9"/>
      <c r="F4126" s="9">
        <f>IFERROR(__xludf.DUMMYFUNCTION("""COMPUTED_VALUE"""),4.78)</f>
        <v>4.78</v>
      </c>
      <c r="G4126" s="9">
        <f>IFERROR(__xludf.DUMMYFUNCTION("""COMPUTED_VALUE"""),4.78)</f>
        <v>4.78</v>
      </c>
      <c r="H4126" s="9">
        <f>IFERROR(__xludf.DUMMYFUNCTION("""COMPUTED_VALUE"""),1.0)</f>
        <v>1</v>
      </c>
      <c r="I4126" s="9"/>
      <c r="J4126" s="9"/>
      <c r="K4126" s="9"/>
      <c r="L4126" s="9"/>
      <c r="M4126" s="9"/>
      <c r="N4126" s="9"/>
      <c r="O4126" s="9"/>
      <c r="P4126" s="9"/>
      <c r="Q4126" s="9"/>
      <c r="R4126" s="9"/>
      <c r="S4126" s="9"/>
      <c r="T4126" s="9"/>
    </row>
    <row r="4127" ht="15.75" customHeight="1">
      <c r="A4127" s="11">
        <f>IFERROR(__xludf.DUMMYFUNCTION("""COMPUTED_VALUE"""),44471.0)</f>
        <v>44471</v>
      </c>
      <c r="B4127" s="9">
        <f>IFERROR(__xludf.DUMMYFUNCTION("""COMPUTED_VALUE"""),1003879.0)</f>
        <v>1003879</v>
      </c>
      <c r="C4127" s="9">
        <f>IFERROR(__xludf.DUMMYFUNCTION("""COMPUTED_VALUE"""),121709.0)</f>
        <v>121709</v>
      </c>
      <c r="D4127" s="9"/>
      <c r="E4127" s="9"/>
      <c r="F4127" s="9">
        <f>IFERROR(__xludf.DUMMYFUNCTION("""COMPUTED_VALUE"""),7.79)</f>
        <v>7.79</v>
      </c>
      <c r="G4127" s="9">
        <f>IFERROR(__xludf.DUMMYFUNCTION("""COMPUTED_VALUE"""),7.79)</f>
        <v>7.79</v>
      </c>
      <c r="H4127" s="9">
        <f>IFERROR(__xludf.DUMMYFUNCTION("""COMPUTED_VALUE"""),1.0)</f>
        <v>1</v>
      </c>
      <c r="I4127" s="9"/>
      <c r="J4127" s="9"/>
      <c r="K4127" s="9"/>
      <c r="L4127" s="9"/>
      <c r="M4127" s="9"/>
      <c r="N4127" s="9"/>
      <c r="O4127" s="9"/>
      <c r="P4127" s="9"/>
      <c r="Q4127" s="9"/>
      <c r="R4127" s="9"/>
      <c r="S4127" s="9"/>
      <c r="T4127" s="9"/>
    </row>
    <row r="4128" ht="15.75" customHeight="1">
      <c r="A4128" s="11">
        <f>IFERROR(__xludf.DUMMYFUNCTION("""COMPUTED_VALUE"""),44471.0)</f>
        <v>44471</v>
      </c>
      <c r="B4128" s="9">
        <f>IFERROR(__xludf.DUMMYFUNCTION("""COMPUTED_VALUE"""),1003879.0)</f>
        <v>1003879</v>
      </c>
      <c r="C4128" s="9">
        <f>IFERROR(__xludf.DUMMYFUNCTION("""COMPUTED_VALUE"""),78467.0)</f>
        <v>78467</v>
      </c>
      <c r="D4128" s="10" t="str">
        <f>IFERROR(__xludf.DUMMYFUNCTION("""COMPUTED_VALUE"""),"Vive le bio")</f>
        <v>Vive le bio</v>
      </c>
      <c r="E4128" s="10"/>
      <c r="F4128" s="9">
        <f>IFERROR(__xludf.DUMMYFUNCTION("""COMPUTED_VALUE"""),3.61111111111111)</f>
        <v>3.611111111</v>
      </c>
      <c r="G4128" s="9">
        <f>IFERROR(__xludf.DUMMYFUNCTION("""COMPUTED_VALUE"""),3.25)</f>
        <v>3.25</v>
      </c>
      <c r="H4128" s="9">
        <f>IFERROR(__xludf.DUMMYFUNCTION("""COMPUTED_VALUE"""),1.0)</f>
        <v>1</v>
      </c>
      <c r="I4128" s="9"/>
      <c r="J4128" s="9"/>
      <c r="K4128" s="9"/>
      <c r="L4128" s="9"/>
      <c r="M4128" s="9"/>
      <c r="N4128" s="9"/>
      <c r="O4128" s="9"/>
      <c r="P4128" s="9"/>
      <c r="Q4128" s="9"/>
      <c r="R4128" s="9"/>
      <c r="S4128" s="9"/>
      <c r="T4128" s="9"/>
    </row>
    <row r="4129" ht="15.75" customHeight="1">
      <c r="A4129" s="11">
        <f>IFERROR(__xludf.DUMMYFUNCTION("""COMPUTED_VALUE"""),44471.0)</f>
        <v>44471</v>
      </c>
      <c r="B4129" s="9">
        <f>IFERROR(__xludf.DUMMYFUNCTION("""COMPUTED_VALUE"""),1003879.0)</f>
        <v>1003879</v>
      </c>
      <c r="C4129" s="9">
        <f>IFERROR(__xludf.DUMMYFUNCTION("""COMPUTED_VALUE"""),111730.0)</f>
        <v>111730</v>
      </c>
      <c r="D4129" s="9"/>
      <c r="E4129" s="9"/>
      <c r="F4129" s="9">
        <f>IFERROR(__xludf.DUMMYFUNCTION("""COMPUTED_VALUE"""),9.68)</f>
        <v>9.68</v>
      </c>
      <c r="G4129" s="9">
        <f>IFERROR(__xludf.DUMMYFUNCTION("""COMPUTED_VALUE"""),9.68)</f>
        <v>9.68</v>
      </c>
      <c r="H4129" s="9">
        <f>IFERROR(__xludf.DUMMYFUNCTION("""COMPUTED_VALUE"""),1.0)</f>
        <v>1</v>
      </c>
      <c r="I4129" s="9"/>
      <c r="J4129" s="9"/>
      <c r="K4129" s="9"/>
      <c r="L4129" s="9"/>
      <c r="M4129" s="9"/>
      <c r="N4129" s="9"/>
      <c r="O4129" s="9"/>
      <c r="P4129" s="9"/>
      <c r="Q4129" s="9"/>
      <c r="R4129" s="9"/>
      <c r="S4129" s="9"/>
      <c r="T4129" s="9"/>
    </row>
    <row r="4130" ht="15.75" customHeight="1">
      <c r="A4130" s="11">
        <f>IFERROR(__xludf.DUMMYFUNCTION("""COMPUTED_VALUE"""),44471.0)</f>
        <v>44471</v>
      </c>
      <c r="B4130" s="9">
        <f>IFERROR(__xludf.DUMMYFUNCTION("""COMPUTED_VALUE"""),1003879.0)</f>
        <v>1003879</v>
      </c>
      <c r="C4130" s="9">
        <f>IFERROR(__xludf.DUMMYFUNCTION("""COMPUTED_VALUE"""),158449.0)</f>
        <v>158449</v>
      </c>
      <c r="D4130" s="9"/>
      <c r="E4130" s="9"/>
      <c r="F4130" s="9">
        <f>IFERROR(__xludf.DUMMYFUNCTION("""COMPUTED_VALUE"""),2.93)</f>
        <v>2.93</v>
      </c>
      <c r="G4130" s="9">
        <f>IFERROR(__xludf.DUMMYFUNCTION("""COMPUTED_VALUE"""),2.93)</f>
        <v>2.93</v>
      </c>
      <c r="H4130" s="9">
        <f>IFERROR(__xludf.DUMMYFUNCTION("""COMPUTED_VALUE"""),1.0)</f>
        <v>1</v>
      </c>
      <c r="I4130" s="9"/>
      <c r="J4130" s="9"/>
      <c r="K4130" s="9"/>
      <c r="L4130" s="9"/>
      <c r="M4130" s="9"/>
      <c r="N4130" s="9"/>
      <c r="O4130" s="9"/>
      <c r="P4130" s="9"/>
      <c r="Q4130" s="9"/>
      <c r="R4130" s="9"/>
      <c r="S4130" s="9"/>
      <c r="T4130" s="9"/>
    </row>
    <row r="4131" ht="15.75" customHeight="1">
      <c r="A4131" s="11">
        <f>IFERROR(__xludf.DUMMYFUNCTION("""COMPUTED_VALUE"""),44471.0)</f>
        <v>44471</v>
      </c>
      <c r="B4131" s="9">
        <f>IFERROR(__xludf.DUMMYFUNCTION("""COMPUTED_VALUE"""),1003879.0)</f>
        <v>1003879</v>
      </c>
      <c r="C4131" s="9">
        <f>IFERROR(__xludf.DUMMYFUNCTION("""COMPUTED_VALUE"""),147317.0)</f>
        <v>147317</v>
      </c>
      <c r="D4131" s="9"/>
      <c r="E4131" s="9"/>
      <c r="F4131" s="9">
        <f>IFERROR(__xludf.DUMMYFUNCTION("""COMPUTED_VALUE"""),1.16)</f>
        <v>1.16</v>
      </c>
      <c r="G4131" s="9">
        <f>IFERROR(__xludf.DUMMYFUNCTION("""COMPUTED_VALUE"""),1.16)</f>
        <v>1.16</v>
      </c>
      <c r="H4131" s="9">
        <f>IFERROR(__xludf.DUMMYFUNCTION("""COMPUTED_VALUE"""),1.0)</f>
        <v>1</v>
      </c>
      <c r="I4131" s="9"/>
      <c r="J4131" s="9"/>
      <c r="K4131" s="9"/>
      <c r="L4131" s="9"/>
      <c r="M4131" s="9"/>
      <c r="N4131" s="9"/>
      <c r="O4131" s="9"/>
      <c r="P4131" s="9"/>
      <c r="Q4131" s="9"/>
      <c r="R4131" s="9"/>
      <c r="S4131" s="9"/>
      <c r="T4131" s="9"/>
    </row>
    <row r="4132" ht="15.75" customHeight="1">
      <c r="A4132" s="11">
        <f>IFERROR(__xludf.DUMMYFUNCTION("""COMPUTED_VALUE"""),44471.0)</f>
        <v>44471</v>
      </c>
      <c r="B4132" s="9">
        <f>IFERROR(__xludf.DUMMYFUNCTION("""COMPUTED_VALUE"""),1003879.0)</f>
        <v>1003879</v>
      </c>
      <c r="C4132" s="9">
        <f>IFERROR(__xludf.DUMMYFUNCTION("""COMPUTED_VALUE"""),119246.0)</f>
        <v>119246</v>
      </c>
      <c r="D4132" s="9"/>
      <c r="E4132" s="9"/>
      <c r="F4132" s="9">
        <f>IFERROR(__xludf.DUMMYFUNCTION("""COMPUTED_VALUE"""),12.07)</f>
        <v>12.07</v>
      </c>
      <c r="G4132" s="9">
        <f>IFERROR(__xludf.DUMMYFUNCTION("""COMPUTED_VALUE"""),12.07)</f>
        <v>12.07</v>
      </c>
      <c r="H4132" s="9">
        <f>IFERROR(__xludf.DUMMYFUNCTION("""COMPUTED_VALUE"""),1.0)</f>
        <v>1</v>
      </c>
      <c r="I4132" s="9"/>
      <c r="J4132" s="9"/>
      <c r="K4132" s="9"/>
      <c r="L4132" s="9"/>
      <c r="M4132" s="9"/>
      <c r="N4132" s="9"/>
      <c r="O4132" s="9"/>
      <c r="P4132" s="9"/>
      <c r="Q4132" s="9"/>
      <c r="R4132" s="9"/>
      <c r="S4132" s="9"/>
      <c r="T4132" s="9"/>
    </row>
    <row r="4133" ht="15.75" customHeight="1">
      <c r="A4133" s="11">
        <f>IFERROR(__xludf.DUMMYFUNCTION("""COMPUTED_VALUE"""),44471.0)</f>
        <v>44471</v>
      </c>
      <c r="B4133" s="9">
        <f>IFERROR(__xludf.DUMMYFUNCTION("""COMPUTED_VALUE"""),1003879.0)</f>
        <v>1003879</v>
      </c>
      <c r="C4133" s="9">
        <f>IFERROR(__xludf.DUMMYFUNCTION("""COMPUTED_VALUE"""),122088.0)</f>
        <v>122088</v>
      </c>
      <c r="D4133" s="9"/>
      <c r="E4133" s="9"/>
      <c r="F4133" s="9">
        <f>IFERROR(__xludf.DUMMYFUNCTION("""COMPUTED_VALUE"""),1.73)</f>
        <v>1.73</v>
      </c>
      <c r="G4133" s="9">
        <f>IFERROR(__xludf.DUMMYFUNCTION("""COMPUTED_VALUE"""),1.73)</f>
        <v>1.73</v>
      </c>
      <c r="H4133" s="9">
        <f>IFERROR(__xludf.DUMMYFUNCTION("""COMPUTED_VALUE"""),1.0)</f>
        <v>1</v>
      </c>
      <c r="I4133" s="9"/>
      <c r="J4133" s="9"/>
      <c r="K4133" s="9"/>
      <c r="L4133" s="9"/>
      <c r="M4133" s="9"/>
      <c r="N4133" s="9"/>
      <c r="O4133" s="9"/>
      <c r="P4133" s="9"/>
      <c r="Q4133" s="9"/>
      <c r="R4133" s="9"/>
      <c r="S4133" s="9"/>
      <c r="T4133" s="9"/>
    </row>
    <row r="4134" ht="15.75" customHeight="1">
      <c r="A4134" s="11">
        <f>IFERROR(__xludf.DUMMYFUNCTION("""COMPUTED_VALUE"""),44471.0)</f>
        <v>44471</v>
      </c>
      <c r="B4134" s="9">
        <f>IFERROR(__xludf.DUMMYFUNCTION("""COMPUTED_VALUE"""),1003879.0)</f>
        <v>1003879</v>
      </c>
      <c r="C4134" s="9">
        <f>IFERROR(__xludf.DUMMYFUNCTION("""COMPUTED_VALUE"""),78421.0)</f>
        <v>78421</v>
      </c>
      <c r="D4134" s="9"/>
      <c r="E4134" s="9"/>
      <c r="F4134" s="9">
        <f>IFERROR(__xludf.DUMMYFUNCTION("""COMPUTED_VALUE"""),2.34)</f>
        <v>2.34</v>
      </c>
      <c r="G4134" s="9">
        <f>IFERROR(__xludf.DUMMYFUNCTION("""COMPUTED_VALUE"""),2.34)</f>
        <v>2.34</v>
      </c>
      <c r="H4134" s="9">
        <f>IFERROR(__xludf.DUMMYFUNCTION("""COMPUTED_VALUE"""),1.0)</f>
        <v>1</v>
      </c>
      <c r="I4134" s="9"/>
      <c r="J4134" s="9"/>
      <c r="K4134" s="9"/>
      <c r="L4134" s="9"/>
      <c r="M4134" s="9"/>
      <c r="N4134" s="9"/>
      <c r="O4134" s="9"/>
      <c r="P4134" s="9"/>
      <c r="Q4134" s="9"/>
      <c r="R4134" s="9"/>
      <c r="S4134" s="9"/>
      <c r="T4134" s="9"/>
    </row>
    <row r="4135" ht="15.75" customHeight="1">
      <c r="A4135" s="11">
        <f>IFERROR(__xludf.DUMMYFUNCTION("""COMPUTED_VALUE"""),44471.0)</f>
        <v>44471</v>
      </c>
      <c r="B4135" s="9">
        <f>IFERROR(__xludf.DUMMYFUNCTION("""COMPUTED_VALUE"""),1003879.0)</f>
        <v>1003879</v>
      </c>
      <c r="C4135" s="9">
        <f>IFERROR(__xludf.DUMMYFUNCTION("""COMPUTED_VALUE"""),10565.0)</f>
        <v>10565</v>
      </c>
      <c r="D4135" s="9"/>
      <c r="E4135" s="9"/>
      <c r="F4135" s="9">
        <f>IFERROR(__xludf.DUMMYFUNCTION("""COMPUTED_VALUE"""),7.93)</f>
        <v>7.93</v>
      </c>
      <c r="G4135" s="9">
        <f>IFERROR(__xludf.DUMMYFUNCTION("""COMPUTED_VALUE"""),7.93)</f>
        <v>7.93</v>
      </c>
      <c r="H4135" s="9">
        <f>IFERROR(__xludf.DUMMYFUNCTION("""COMPUTED_VALUE"""),1.0)</f>
        <v>1</v>
      </c>
      <c r="I4135" s="9"/>
      <c r="J4135" s="9"/>
      <c r="K4135" s="9"/>
      <c r="L4135" s="9"/>
      <c r="M4135" s="9"/>
      <c r="N4135" s="9"/>
      <c r="O4135" s="9"/>
      <c r="P4135" s="9"/>
      <c r="Q4135" s="9"/>
      <c r="R4135" s="9"/>
      <c r="S4135" s="9"/>
      <c r="T4135" s="9"/>
    </row>
    <row r="4136" ht="15.75" customHeight="1">
      <c r="A4136" s="11">
        <f>IFERROR(__xludf.DUMMYFUNCTION("""COMPUTED_VALUE"""),44471.0)</f>
        <v>44471</v>
      </c>
      <c r="B4136" s="9">
        <f>IFERROR(__xludf.DUMMYFUNCTION("""COMPUTED_VALUE"""),1003879.0)</f>
        <v>1003879</v>
      </c>
      <c r="C4136" s="9">
        <f>IFERROR(__xludf.DUMMYFUNCTION("""COMPUTED_VALUE"""),110085.0)</f>
        <v>110085</v>
      </c>
      <c r="D4136" s="9"/>
      <c r="E4136" s="9"/>
      <c r="F4136" s="9">
        <f>IFERROR(__xludf.DUMMYFUNCTION("""COMPUTED_VALUE"""),1.92)</f>
        <v>1.92</v>
      </c>
      <c r="G4136" s="9">
        <f>IFERROR(__xludf.DUMMYFUNCTION("""COMPUTED_VALUE"""),1.92)</f>
        <v>1.92</v>
      </c>
      <c r="H4136" s="9">
        <f>IFERROR(__xludf.DUMMYFUNCTION("""COMPUTED_VALUE"""),1.0)</f>
        <v>1</v>
      </c>
      <c r="I4136" s="9"/>
      <c r="J4136" s="9"/>
      <c r="K4136" s="9"/>
      <c r="L4136" s="9"/>
      <c r="M4136" s="9"/>
      <c r="N4136" s="9"/>
      <c r="O4136" s="9"/>
      <c r="P4136" s="9"/>
      <c r="Q4136" s="9"/>
      <c r="R4136" s="9"/>
      <c r="S4136" s="9"/>
      <c r="T4136" s="9"/>
    </row>
    <row r="4137" ht="15.75" customHeight="1">
      <c r="A4137" s="11">
        <f>IFERROR(__xludf.DUMMYFUNCTION("""COMPUTED_VALUE"""),44471.0)</f>
        <v>44471</v>
      </c>
      <c r="B4137" s="9">
        <f>IFERROR(__xludf.DUMMYFUNCTION("""COMPUTED_VALUE"""),1003879.0)</f>
        <v>1003879</v>
      </c>
      <c r="C4137" s="9">
        <f>IFERROR(__xludf.DUMMYFUNCTION("""COMPUTED_VALUE"""),77444.0)</f>
        <v>77444</v>
      </c>
      <c r="D4137" s="9"/>
      <c r="E4137" s="9"/>
      <c r="F4137" s="9">
        <f>IFERROR(__xludf.DUMMYFUNCTION("""COMPUTED_VALUE"""),1.92)</f>
        <v>1.92</v>
      </c>
      <c r="G4137" s="9">
        <f>IFERROR(__xludf.DUMMYFUNCTION("""COMPUTED_VALUE"""),1.92)</f>
        <v>1.92</v>
      </c>
      <c r="H4137" s="9">
        <f>IFERROR(__xludf.DUMMYFUNCTION("""COMPUTED_VALUE"""),1.0)</f>
        <v>1</v>
      </c>
      <c r="I4137" s="9"/>
      <c r="J4137" s="9"/>
      <c r="K4137" s="9"/>
      <c r="L4137" s="9"/>
      <c r="M4137" s="9"/>
      <c r="N4137" s="9"/>
      <c r="O4137" s="9"/>
      <c r="P4137" s="9"/>
      <c r="Q4137" s="9"/>
      <c r="R4137" s="9"/>
      <c r="S4137" s="9"/>
      <c r="T4137" s="9"/>
    </row>
    <row r="4138" ht="15.75" customHeight="1">
      <c r="A4138" s="11">
        <f>IFERROR(__xludf.DUMMYFUNCTION("""COMPUTED_VALUE"""),44471.0)</f>
        <v>44471</v>
      </c>
      <c r="B4138" s="9">
        <f>IFERROR(__xludf.DUMMYFUNCTION("""COMPUTED_VALUE"""),1003879.0)</f>
        <v>1003879</v>
      </c>
      <c r="C4138" s="9">
        <f>IFERROR(__xludf.DUMMYFUNCTION("""COMPUTED_VALUE"""),111946.0)</f>
        <v>111946</v>
      </c>
      <c r="D4138" s="9"/>
      <c r="E4138" s="9"/>
      <c r="F4138" s="9">
        <f>IFERROR(__xludf.DUMMYFUNCTION("""COMPUTED_VALUE"""),3.48)</f>
        <v>3.48</v>
      </c>
      <c r="G4138" s="9">
        <f>IFERROR(__xludf.DUMMYFUNCTION("""COMPUTED_VALUE"""),3.48)</f>
        <v>3.48</v>
      </c>
      <c r="H4138" s="9">
        <f>IFERROR(__xludf.DUMMYFUNCTION("""COMPUTED_VALUE"""),1.0)</f>
        <v>1</v>
      </c>
      <c r="I4138" s="9"/>
      <c r="J4138" s="9"/>
      <c r="K4138" s="9"/>
      <c r="L4138" s="9"/>
      <c r="M4138" s="9"/>
      <c r="N4138" s="9"/>
      <c r="O4138" s="9"/>
      <c r="P4138" s="9"/>
      <c r="Q4138" s="9"/>
      <c r="R4138" s="9"/>
      <c r="S4138" s="9"/>
      <c r="T4138" s="9"/>
    </row>
    <row r="4139" ht="15.75" customHeight="1">
      <c r="A4139" s="11">
        <f>IFERROR(__xludf.DUMMYFUNCTION("""COMPUTED_VALUE"""),44471.0)</f>
        <v>44471</v>
      </c>
      <c r="B4139" s="9">
        <f>IFERROR(__xludf.DUMMYFUNCTION("""COMPUTED_VALUE"""),1003879.0)</f>
        <v>1003879</v>
      </c>
      <c r="C4139" s="9">
        <f>IFERROR(__xludf.DUMMYFUNCTION("""COMPUTED_VALUE"""),119244.0)</f>
        <v>119244</v>
      </c>
      <c r="D4139" s="9"/>
      <c r="E4139" s="9"/>
      <c r="F4139" s="9">
        <f>IFERROR(__xludf.DUMMYFUNCTION("""COMPUTED_VALUE"""),3.99)</f>
        <v>3.99</v>
      </c>
      <c r="G4139" s="9">
        <f>IFERROR(__xludf.DUMMYFUNCTION("""COMPUTED_VALUE"""),3.99)</f>
        <v>3.99</v>
      </c>
      <c r="H4139" s="9">
        <f>IFERROR(__xludf.DUMMYFUNCTION("""COMPUTED_VALUE"""),1.0)</f>
        <v>1</v>
      </c>
      <c r="I4139" s="9"/>
      <c r="J4139" s="9"/>
      <c r="K4139" s="9"/>
      <c r="L4139" s="9"/>
      <c r="M4139" s="9"/>
      <c r="N4139" s="9"/>
      <c r="O4139" s="9"/>
      <c r="P4139" s="9"/>
      <c r="Q4139" s="9"/>
      <c r="R4139" s="9"/>
      <c r="S4139" s="9"/>
      <c r="T4139" s="9"/>
    </row>
    <row r="4140" ht="15.75" customHeight="1">
      <c r="A4140" s="11">
        <f>IFERROR(__xludf.DUMMYFUNCTION("""COMPUTED_VALUE"""),44471.0)</f>
        <v>44471</v>
      </c>
      <c r="B4140" s="9">
        <f>IFERROR(__xludf.DUMMYFUNCTION("""COMPUTED_VALUE"""),1003879.0)</f>
        <v>1003879</v>
      </c>
      <c r="C4140" s="9">
        <f>IFERROR(__xludf.DUMMYFUNCTION("""COMPUTED_VALUE"""),76661.0)</f>
        <v>76661</v>
      </c>
      <c r="D4140" s="9"/>
      <c r="E4140" s="9"/>
      <c r="F4140" s="9">
        <f>IFERROR(__xludf.DUMMYFUNCTION("""COMPUTED_VALUE"""),2.37)</f>
        <v>2.37</v>
      </c>
      <c r="G4140" s="9">
        <f>IFERROR(__xludf.DUMMYFUNCTION("""COMPUTED_VALUE"""),2.37)</f>
        <v>2.37</v>
      </c>
      <c r="H4140" s="9">
        <f>IFERROR(__xludf.DUMMYFUNCTION("""COMPUTED_VALUE"""),1.0)</f>
        <v>1</v>
      </c>
      <c r="I4140" s="9"/>
      <c r="J4140" s="9"/>
      <c r="K4140" s="9"/>
      <c r="L4140" s="9"/>
      <c r="M4140" s="9"/>
      <c r="N4140" s="9"/>
      <c r="O4140" s="9"/>
      <c r="P4140" s="9"/>
      <c r="Q4140" s="9"/>
      <c r="R4140" s="9"/>
      <c r="S4140" s="9"/>
      <c r="T4140" s="9"/>
    </row>
    <row r="4141" ht="15.75" customHeight="1">
      <c r="A4141" s="11">
        <f>IFERROR(__xludf.DUMMYFUNCTION("""COMPUTED_VALUE"""),44471.0)</f>
        <v>44471</v>
      </c>
      <c r="B4141" s="9">
        <f>IFERROR(__xludf.DUMMYFUNCTION("""COMPUTED_VALUE"""),1003879.0)</f>
        <v>1003879</v>
      </c>
      <c r="C4141" s="9">
        <f>IFERROR(__xludf.DUMMYFUNCTION("""COMPUTED_VALUE"""),109293.0)</f>
        <v>109293</v>
      </c>
      <c r="D4141" s="9"/>
      <c r="E4141" s="9"/>
      <c r="F4141" s="9">
        <f>IFERROR(__xludf.DUMMYFUNCTION("""COMPUTED_VALUE"""),2.37)</f>
        <v>2.37</v>
      </c>
      <c r="G4141" s="9">
        <f>IFERROR(__xludf.DUMMYFUNCTION("""COMPUTED_VALUE"""),2.37)</f>
        <v>2.37</v>
      </c>
      <c r="H4141" s="9">
        <f>IFERROR(__xludf.DUMMYFUNCTION("""COMPUTED_VALUE"""),1.0)</f>
        <v>1</v>
      </c>
      <c r="I4141" s="9"/>
      <c r="J4141" s="9"/>
      <c r="K4141" s="9"/>
      <c r="L4141" s="9"/>
      <c r="M4141" s="9"/>
      <c r="N4141" s="9"/>
      <c r="O4141" s="9"/>
      <c r="P4141" s="9"/>
      <c r="Q4141" s="9"/>
      <c r="R4141" s="9"/>
      <c r="S4141" s="9"/>
      <c r="T4141" s="9"/>
    </row>
    <row r="4142" ht="15.75" customHeight="1">
      <c r="A4142" s="11">
        <f>IFERROR(__xludf.DUMMYFUNCTION("""COMPUTED_VALUE"""),44471.0)</f>
        <v>44471</v>
      </c>
      <c r="B4142" s="9">
        <f>IFERROR(__xludf.DUMMYFUNCTION("""COMPUTED_VALUE"""),1003879.0)</f>
        <v>1003879</v>
      </c>
      <c r="C4142" s="9">
        <f>IFERROR(__xludf.DUMMYFUNCTION("""COMPUTED_VALUE"""),88268.0)</f>
        <v>88268</v>
      </c>
      <c r="D4142" s="9"/>
      <c r="E4142" s="9"/>
      <c r="F4142" s="9">
        <f>IFERROR(__xludf.DUMMYFUNCTION("""COMPUTED_VALUE"""),1.06)</f>
        <v>1.06</v>
      </c>
      <c r="G4142" s="9">
        <f>IFERROR(__xludf.DUMMYFUNCTION("""COMPUTED_VALUE"""),1.06)</f>
        <v>1.06</v>
      </c>
      <c r="H4142" s="9">
        <f>IFERROR(__xludf.DUMMYFUNCTION("""COMPUTED_VALUE"""),1.0)</f>
        <v>1</v>
      </c>
      <c r="I4142" s="9"/>
      <c r="J4142" s="9"/>
      <c r="K4142" s="9"/>
      <c r="L4142" s="9"/>
      <c r="M4142" s="9"/>
      <c r="N4142" s="9"/>
      <c r="O4142" s="9"/>
      <c r="P4142" s="9"/>
      <c r="Q4142" s="9"/>
      <c r="R4142" s="9"/>
      <c r="S4142" s="9"/>
      <c r="T4142" s="9"/>
    </row>
    <row r="4143" ht="15.75" customHeight="1">
      <c r="A4143" s="11">
        <f>IFERROR(__xludf.DUMMYFUNCTION("""COMPUTED_VALUE"""),44471.0)</f>
        <v>44471</v>
      </c>
      <c r="B4143" s="9">
        <f>IFERROR(__xludf.DUMMYFUNCTION("""COMPUTED_VALUE"""),1003880.0)</f>
        <v>1003880</v>
      </c>
      <c r="C4143" s="9">
        <f>IFERROR(__xludf.DUMMYFUNCTION("""COMPUTED_VALUE"""),19340.0)</f>
        <v>19340</v>
      </c>
      <c r="D4143" s="9"/>
      <c r="E4143" s="9"/>
      <c r="F4143" s="9">
        <f>IFERROR(__xludf.DUMMYFUNCTION("""COMPUTED_VALUE"""),3.25)</f>
        <v>3.25</v>
      </c>
      <c r="G4143" s="9">
        <f>IFERROR(__xludf.DUMMYFUNCTION("""COMPUTED_VALUE"""),3.25)</f>
        <v>3.25</v>
      </c>
      <c r="H4143" s="9">
        <f>IFERROR(__xludf.DUMMYFUNCTION("""COMPUTED_VALUE"""),1.0)</f>
        <v>1</v>
      </c>
      <c r="I4143" s="9"/>
      <c r="J4143" s="9"/>
      <c r="K4143" s="9"/>
      <c r="L4143" s="9"/>
      <c r="M4143" s="9"/>
      <c r="N4143" s="9"/>
      <c r="O4143" s="9"/>
      <c r="P4143" s="9"/>
      <c r="Q4143" s="9"/>
      <c r="R4143" s="9"/>
      <c r="S4143" s="9"/>
      <c r="T4143" s="9"/>
    </row>
    <row r="4144" ht="15.75" customHeight="1">
      <c r="A4144" s="11">
        <f>IFERROR(__xludf.DUMMYFUNCTION("""COMPUTED_VALUE"""),44471.0)</f>
        <v>44471</v>
      </c>
      <c r="B4144" s="9">
        <f>IFERROR(__xludf.DUMMYFUNCTION("""COMPUTED_VALUE"""),1003880.0)</f>
        <v>1003880</v>
      </c>
      <c r="C4144" s="9">
        <f>IFERROR(__xludf.DUMMYFUNCTION("""COMPUTED_VALUE"""),44117.0)</f>
        <v>44117</v>
      </c>
      <c r="D4144" s="9"/>
      <c r="E4144" s="9"/>
      <c r="F4144" s="9">
        <f>IFERROR(__xludf.DUMMYFUNCTION("""COMPUTED_VALUE"""),1.2)</f>
        <v>1.2</v>
      </c>
      <c r="G4144" s="9">
        <f>IFERROR(__xludf.DUMMYFUNCTION("""COMPUTED_VALUE"""),1.2)</f>
        <v>1.2</v>
      </c>
      <c r="H4144" s="9">
        <f>IFERROR(__xludf.DUMMYFUNCTION("""COMPUTED_VALUE"""),1.0)</f>
        <v>1</v>
      </c>
      <c r="I4144" s="9"/>
      <c r="J4144" s="9"/>
      <c r="K4144" s="9"/>
      <c r="L4144" s="9"/>
      <c r="M4144" s="9"/>
      <c r="N4144" s="9"/>
      <c r="O4144" s="9"/>
      <c r="P4144" s="9"/>
      <c r="Q4144" s="9"/>
      <c r="R4144" s="9"/>
      <c r="S4144" s="9"/>
      <c r="T4144" s="9"/>
    </row>
    <row r="4145" ht="15.75" customHeight="1">
      <c r="A4145" s="11">
        <f>IFERROR(__xludf.DUMMYFUNCTION("""COMPUTED_VALUE"""),44471.0)</f>
        <v>44471</v>
      </c>
      <c r="B4145" s="9">
        <f>IFERROR(__xludf.DUMMYFUNCTION("""COMPUTED_VALUE"""),1003880.0)</f>
        <v>1003880</v>
      </c>
      <c r="C4145" s="9">
        <f>IFERROR(__xludf.DUMMYFUNCTION("""COMPUTED_VALUE"""),122395.0)</f>
        <v>122395</v>
      </c>
      <c r="D4145" s="9"/>
      <c r="E4145" s="9"/>
      <c r="F4145" s="9">
        <f>IFERROR(__xludf.DUMMYFUNCTION("""COMPUTED_VALUE"""),15.62)</f>
        <v>15.62</v>
      </c>
      <c r="G4145" s="9">
        <f>IFERROR(__xludf.DUMMYFUNCTION("""COMPUTED_VALUE"""),15.62)</f>
        <v>15.62</v>
      </c>
      <c r="H4145" s="9">
        <f>IFERROR(__xludf.DUMMYFUNCTION("""COMPUTED_VALUE"""),1.0)</f>
        <v>1</v>
      </c>
      <c r="I4145" s="9"/>
      <c r="J4145" s="9"/>
      <c r="K4145" s="9"/>
      <c r="L4145" s="9"/>
      <c r="M4145" s="9"/>
      <c r="N4145" s="9"/>
      <c r="O4145" s="9"/>
      <c r="P4145" s="9"/>
      <c r="Q4145" s="9"/>
      <c r="R4145" s="9"/>
      <c r="S4145" s="9"/>
      <c r="T4145" s="9"/>
    </row>
    <row r="4146" ht="15.75" customHeight="1">
      <c r="A4146" s="11">
        <f>IFERROR(__xludf.DUMMYFUNCTION("""COMPUTED_VALUE"""),44471.0)</f>
        <v>44471</v>
      </c>
      <c r="B4146" s="9">
        <f>IFERROR(__xludf.DUMMYFUNCTION("""COMPUTED_VALUE"""),1003880.0)</f>
        <v>1003880</v>
      </c>
      <c r="C4146" s="9">
        <f>IFERROR(__xludf.DUMMYFUNCTION("""COMPUTED_VALUE"""),16771.0)</f>
        <v>16771</v>
      </c>
      <c r="D4146" s="9"/>
      <c r="E4146" s="9"/>
      <c r="F4146" s="9">
        <f>IFERROR(__xludf.DUMMYFUNCTION("""COMPUTED_VALUE"""),8.24)</f>
        <v>8.24</v>
      </c>
      <c r="G4146" s="9">
        <f>IFERROR(__xludf.DUMMYFUNCTION("""COMPUTED_VALUE"""),8.24)</f>
        <v>8.24</v>
      </c>
      <c r="H4146" s="9">
        <f>IFERROR(__xludf.DUMMYFUNCTION("""COMPUTED_VALUE"""),1.0)</f>
        <v>1</v>
      </c>
      <c r="I4146" s="9"/>
      <c r="J4146" s="9"/>
      <c r="K4146" s="9"/>
      <c r="L4146" s="9"/>
      <c r="M4146" s="9"/>
      <c r="N4146" s="9"/>
      <c r="O4146" s="9"/>
      <c r="P4146" s="9"/>
      <c r="Q4146" s="9"/>
      <c r="R4146" s="9"/>
      <c r="S4146" s="9"/>
      <c r="T4146" s="9"/>
    </row>
    <row r="4147" ht="15.75" customHeight="1">
      <c r="A4147" s="11">
        <f>IFERROR(__xludf.DUMMYFUNCTION("""COMPUTED_VALUE"""),44471.0)</f>
        <v>44471</v>
      </c>
      <c r="B4147" s="9">
        <f>IFERROR(__xludf.DUMMYFUNCTION("""COMPUTED_VALUE"""),1003880.0)</f>
        <v>1003880</v>
      </c>
      <c r="C4147" s="9">
        <f>IFERROR(__xludf.DUMMYFUNCTION("""COMPUTED_VALUE"""),27764.0)</f>
        <v>27764</v>
      </c>
      <c r="D4147" s="9"/>
      <c r="E4147" s="9"/>
      <c r="F4147" s="9">
        <f>IFERROR(__xludf.DUMMYFUNCTION("""COMPUTED_VALUE"""),9.32)</f>
        <v>9.32</v>
      </c>
      <c r="G4147" s="9">
        <f>IFERROR(__xludf.DUMMYFUNCTION("""COMPUTED_VALUE"""),9.32)</f>
        <v>9.32</v>
      </c>
      <c r="H4147" s="9">
        <f>IFERROR(__xludf.DUMMYFUNCTION("""COMPUTED_VALUE"""),1.0)</f>
        <v>1</v>
      </c>
      <c r="I4147" s="9"/>
      <c r="J4147" s="9"/>
      <c r="K4147" s="9"/>
      <c r="L4147" s="9"/>
      <c r="M4147" s="9"/>
      <c r="N4147" s="9"/>
      <c r="O4147" s="9"/>
      <c r="P4147" s="9"/>
      <c r="Q4147" s="9"/>
      <c r="R4147" s="9"/>
      <c r="S4147" s="9"/>
      <c r="T4147" s="9"/>
    </row>
    <row r="4148" ht="15.75" customHeight="1">
      <c r="A4148" s="11">
        <f>IFERROR(__xludf.DUMMYFUNCTION("""COMPUTED_VALUE"""),44471.0)</f>
        <v>44471</v>
      </c>
      <c r="B4148" s="9">
        <f>IFERROR(__xludf.DUMMYFUNCTION("""COMPUTED_VALUE"""),1003880.0)</f>
        <v>1003880</v>
      </c>
      <c r="C4148" s="9">
        <f>IFERROR(__xludf.DUMMYFUNCTION("""COMPUTED_VALUE"""),149507.0)</f>
        <v>149507</v>
      </c>
      <c r="D4148" s="9"/>
      <c r="E4148" s="9"/>
      <c r="F4148" s="9">
        <f>IFERROR(__xludf.DUMMYFUNCTION("""COMPUTED_VALUE"""),5.55)</f>
        <v>5.55</v>
      </c>
      <c r="G4148" s="9">
        <f>IFERROR(__xludf.DUMMYFUNCTION("""COMPUTED_VALUE"""),5.55)</f>
        <v>5.55</v>
      </c>
      <c r="H4148" s="9">
        <f>IFERROR(__xludf.DUMMYFUNCTION("""COMPUTED_VALUE"""),2.0)</f>
        <v>2</v>
      </c>
      <c r="I4148" s="9"/>
      <c r="J4148" s="9"/>
      <c r="K4148" s="9"/>
      <c r="L4148" s="9"/>
      <c r="M4148" s="9"/>
      <c r="N4148" s="9"/>
      <c r="O4148" s="9"/>
      <c r="P4148" s="9"/>
      <c r="Q4148" s="9"/>
      <c r="R4148" s="9"/>
      <c r="S4148" s="9"/>
      <c r="T4148" s="9"/>
    </row>
    <row r="4149" ht="15.75" customHeight="1">
      <c r="A4149" s="11">
        <f>IFERROR(__xludf.DUMMYFUNCTION("""COMPUTED_VALUE"""),44471.0)</f>
        <v>44471</v>
      </c>
      <c r="B4149" s="9">
        <f>IFERROR(__xludf.DUMMYFUNCTION("""COMPUTED_VALUE"""),1003880.0)</f>
        <v>1003880</v>
      </c>
      <c r="C4149" s="9">
        <f>IFERROR(__xludf.DUMMYFUNCTION("""COMPUTED_VALUE"""),117787.0)</f>
        <v>117787</v>
      </c>
      <c r="D4149" s="10" t="str">
        <f>IFERROR(__xludf.DUMMYFUNCTION("""COMPUTED_VALUE"""),"DLC courtes")</f>
        <v>DLC courtes</v>
      </c>
      <c r="E4149" s="10"/>
      <c r="F4149" s="9">
        <f>IFERROR(__xludf.DUMMYFUNCTION("""COMPUTED_VALUE"""),4.44)</f>
        <v>4.44</v>
      </c>
      <c r="G4149" s="9">
        <f>IFERROR(__xludf.DUMMYFUNCTION("""COMPUTED_VALUE"""),2.22)</f>
        <v>2.22</v>
      </c>
      <c r="H4149" s="9">
        <f>IFERROR(__xludf.DUMMYFUNCTION("""COMPUTED_VALUE"""),2.0)</f>
        <v>2</v>
      </c>
      <c r="I4149" s="9"/>
      <c r="J4149" s="9"/>
      <c r="K4149" s="9"/>
      <c r="L4149" s="9"/>
      <c r="M4149" s="9"/>
      <c r="N4149" s="9"/>
      <c r="O4149" s="9"/>
      <c r="P4149" s="9"/>
      <c r="Q4149" s="9"/>
      <c r="R4149" s="9"/>
      <c r="S4149" s="9"/>
      <c r="T4149" s="9"/>
    </row>
    <row r="4150" ht="15.75" customHeight="1">
      <c r="A4150" s="11">
        <f>IFERROR(__xludf.DUMMYFUNCTION("""COMPUTED_VALUE"""),44471.0)</f>
        <v>44471</v>
      </c>
      <c r="B4150" s="9">
        <f>IFERROR(__xludf.DUMMYFUNCTION("""COMPUTED_VALUE"""),1003881.0)</f>
        <v>1003881</v>
      </c>
      <c r="C4150" s="9">
        <f>IFERROR(__xludf.DUMMYFUNCTION("""COMPUTED_VALUE"""),90294.0)</f>
        <v>90294</v>
      </c>
      <c r="D4150" s="9"/>
      <c r="E4150" s="10" t="str">
        <f>IFERROR(__xludf.DUMMYFUNCTION("""COMPUTED_VALUE"""),"GREENRELAIS")</f>
        <v>GREENRELAIS</v>
      </c>
      <c r="F4150" s="10">
        <f>IFERROR(__xludf.DUMMYFUNCTION("""COMPUTED_VALUE"""),6.5)</f>
        <v>6.5</v>
      </c>
      <c r="G4150" s="9">
        <f>IFERROR(__xludf.DUMMYFUNCTION("""COMPUTED_VALUE"""),6.5)</f>
        <v>6.5</v>
      </c>
      <c r="H4150" s="9">
        <f>IFERROR(__xludf.DUMMYFUNCTION("""COMPUTED_VALUE"""),1.0)</f>
        <v>1</v>
      </c>
      <c r="I4150" s="9"/>
      <c r="J4150" s="9"/>
      <c r="K4150" s="9"/>
      <c r="L4150" s="9"/>
      <c r="M4150" s="9"/>
      <c r="N4150" s="9"/>
      <c r="O4150" s="9"/>
      <c r="P4150" s="9"/>
      <c r="Q4150" s="9"/>
      <c r="R4150" s="9"/>
      <c r="S4150" s="9"/>
      <c r="T4150" s="9"/>
    </row>
    <row r="4151" ht="15.75" customHeight="1">
      <c r="A4151" s="11">
        <f>IFERROR(__xludf.DUMMYFUNCTION("""COMPUTED_VALUE"""),44471.0)</f>
        <v>44471</v>
      </c>
      <c r="B4151" s="9">
        <f>IFERROR(__xludf.DUMMYFUNCTION("""COMPUTED_VALUE"""),1003881.0)</f>
        <v>1003881</v>
      </c>
      <c r="C4151" s="9">
        <f>IFERROR(__xludf.DUMMYFUNCTION("""COMPUTED_VALUE"""),43943.0)</f>
        <v>43943</v>
      </c>
      <c r="D4151" s="9"/>
      <c r="E4151" s="10" t="str">
        <f>IFERROR(__xludf.DUMMYFUNCTION("""COMPUTED_VALUE"""),"GREENRELAIS")</f>
        <v>GREENRELAIS</v>
      </c>
      <c r="F4151" s="10">
        <f>IFERROR(__xludf.DUMMYFUNCTION("""COMPUTED_VALUE"""),16.54)</f>
        <v>16.54</v>
      </c>
      <c r="G4151" s="9">
        <f>IFERROR(__xludf.DUMMYFUNCTION("""COMPUTED_VALUE"""),16.54)</f>
        <v>16.54</v>
      </c>
      <c r="H4151" s="9">
        <f>IFERROR(__xludf.DUMMYFUNCTION("""COMPUTED_VALUE"""),1.0)</f>
        <v>1</v>
      </c>
      <c r="I4151" s="9"/>
      <c r="J4151" s="9"/>
      <c r="K4151" s="9"/>
      <c r="L4151" s="9"/>
      <c r="M4151" s="9"/>
      <c r="N4151" s="9"/>
      <c r="O4151" s="9"/>
      <c r="P4151" s="9"/>
      <c r="Q4151" s="9"/>
      <c r="R4151" s="9"/>
      <c r="S4151" s="9"/>
      <c r="T4151" s="9"/>
    </row>
    <row r="4152" ht="15.75" customHeight="1">
      <c r="A4152" s="11">
        <f>IFERROR(__xludf.DUMMYFUNCTION("""COMPUTED_VALUE"""),44471.0)</f>
        <v>44471</v>
      </c>
      <c r="B4152" s="9">
        <f>IFERROR(__xludf.DUMMYFUNCTION("""COMPUTED_VALUE"""),1003881.0)</f>
        <v>1003881</v>
      </c>
      <c r="C4152" s="9">
        <f>IFERROR(__xludf.DUMMYFUNCTION("""COMPUTED_VALUE"""),9635.0)</f>
        <v>9635</v>
      </c>
      <c r="D4152" s="9"/>
      <c r="E4152" s="10" t="str">
        <f>IFERROR(__xludf.DUMMYFUNCTION("""COMPUTED_VALUE"""),"GREENRELAIS")</f>
        <v>GREENRELAIS</v>
      </c>
      <c r="F4152" s="10">
        <f>IFERROR(__xludf.DUMMYFUNCTION("""COMPUTED_VALUE"""),1.88)</f>
        <v>1.88</v>
      </c>
      <c r="G4152" s="9">
        <f>IFERROR(__xludf.DUMMYFUNCTION("""COMPUTED_VALUE"""),1.88)</f>
        <v>1.88</v>
      </c>
      <c r="H4152" s="9">
        <f>IFERROR(__xludf.DUMMYFUNCTION("""COMPUTED_VALUE"""),1.0)</f>
        <v>1</v>
      </c>
      <c r="I4152" s="9"/>
      <c r="J4152" s="9"/>
      <c r="K4152" s="9"/>
      <c r="L4152" s="9"/>
      <c r="M4152" s="9"/>
      <c r="N4152" s="9"/>
      <c r="O4152" s="9"/>
      <c r="P4152" s="9"/>
      <c r="Q4152" s="9"/>
      <c r="R4152" s="9"/>
      <c r="S4152" s="9"/>
      <c r="T4152" s="9"/>
    </row>
    <row r="4153" ht="15.75" customHeight="1">
      <c r="A4153" s="11">
        <f>IFERROR(__xludf.DUMMYFUNCTION("""COMPUTED_VALUE"""),44471.0)</f>
        <v>44471</v>
      </c>
      <c r="B4153" s="9">
        <f>IFERROR(__xludf.DUMMYFUNCTION("""COMPUTED_VALUE"""),1003881.0)</f>
        <v>1003881</v>
      </c>
      <c r="C4153" s="9">
        <f>IFERROR(__xludf.DUMMYFUNCTION("""COMPUTED_VALUE"""),70415.0)</f>
        <v>70415</v>
      </c>
      <c r="D4153" s="9"/>
      <c r="E4153" s="10" t="str">
        <f>IFERROR(__xludf.DUMMYFUNCTION("""COMPUTED_VALUE"""),"GREENRELAIS")</f>
        <v>GREENRELAIS</v>
      </c>
      <c r="F4153" s="10">
        <f>IFERROR(__xludf.DUMMYFUNCTION("""COMPUTED_VALUE"""),1.64)</f>
        <v>1.64</v>
      </c>
      <c r="G4153" s="9">
        <f>IFERROR(__xludf.DUMMYFUNCTION("""COMPUTED_VALUE"""),1.64)</f>
        <v>1.64</v>
      </c>
      <c r="H4153" s="9">
        <f>IFERROR(__xludf.DUMMYFUNCTION("""COMPUTED_VALUE"""),1.0)</f>
        <v>1</v>
      </c>
      <c r="I4153" s="9"/>
      <c r="J4153" s="9"/>
      <c r="K4153" s="9"/>
      <c r="L4153" s="9"/>
      <c r="M4153" s="9"/>
      <c r="N4153" s="9"/>
      <c r="O4153" s="9"/>
      <c r="P4153" s="9"/>
      <c r="Q4153" s="9"/>
      <c r="R4153" s="9"/>
      <c r="S4153" s="9"/>
      <c r="T4153" s="9"/>
    </row>
    <row r="4154" ht="15.75" customHeight="1">
      <c r="A4154" s="11">
        <f>IFERROR(__xludf.DUMMYFUNCTION("""COMPUTED_VALUE"""),44471.0)</f>
        <v>44471</v>
      </c>
      <c r="B4154" s="9">
        <f>IFERROR(__xludf.DUMMYFUNCTION("""COMPUTED_VALUE"""),1003881.0)</f>
        <v>1003881</v>
      </c>
      <c r="C4154" s="9">
        <f>IFERROR(__xludf.DUMMYFUNCTION("""COMPUTED_VALUE"""),6477.0)</f>
        <v>6477</v>
      </c>
      <c r="D4154" s="9"/>
      <c r="E4154" s="10" t="str">
        <f>IFERROR(__xludf.DUMMYFUNCTION("""COMPUTED_VALUE"""),"GREENRELAIS")</f>
        <v>GREENRELAIS</v>
      </c>
      <c r="F4154" s="10">
        <f>IFERROR(__xludf.DUMMYFUNCTION("""COMPUTED_VALUE"""),2.44)</f>
        <v>2.44</v>
      </c>
      <c r="G4154" s="9">
        <f>IFERROR(__xludf.DUMMYFUNCTION("""COMPUTED_VALUE"""),2.44)</f>
        <v>2.44</v>
      </c>
      <c r="H4154" s="9">
        <f>IFERROR(__xludf.DUMMYFUNCTION("""COMPUTED_VALUE"""),1.0)</f>
        <v>1</v>
      </c>
      <c r="I4154" s="9"/>
      <c r="J4154" s="9"/>
      <c r="K4154" s="9"/>
      <c r="L4154" s="9"/>
      <c r="M4154" s="9"/>
      <c r="N4154" s="9"/>
      <c r="O4154" s="9"/>
      <c r="P4154" s="9"/>
      <c r="Q4154" s="9"/>
      <c r="R4154" s="9"/>
      <c r="S4154" s="9"/>
      <c r="T4154" s="9"/>
    </row>
    <row r="4155" ht="15.75" customHeight="1">
      <c r="A4155" s="11">
        <f>IFERROR(__xludf.DUMMYFUNCTION("""COMPUTED_VALUE"""),44471.0)</f>
        <v>44471</v>
      </c>
      <c r="B4155" s="9">
        <f>IFERROR(__xludf.DUMMYFUNCTION("""COMPUTED_VALUE"""),1003881.0)</f>
        <v>1003881</v>
      </c>
      <c r="C4155" s="9">
        <f>IFERROR(__xludf.DUMMYFUNCTION("""COMPUTED_VALUE"""),99248.0)</f>
        <v>99248</v>
      </c>
      <c r="D4155" s="9"/>
      <c r="E4155" s="10" t="str">
        <f>IFERROR(__xludf.DUMMYFUNCTION("""COMPUTED_VALUE"""),"GREENRELAIS")</f>
        <v>GREENRELAIS</v>
      </c>
      <c r="F4155" s="10">
        <f>IFERROR(__xludf.DUMMYFUNCTION("""COMPUTED_VALUE"""),3.58)</f>
        <v>3.58</v>
      </c>
      <c r="G4155" s="9">
        <f>IFERROR(__xludf.DUMMYFUNCTION("""COMPUTED_VALUE"""),3.58)</f>
        <v>3.58</v>
      </c>
      <c r="H4155" s="9">
        <f>IFERROR(__xludf.DUMMYFUNCTION("""COMPUTED_VALUE"""),1.0)</f>
        <v>1</v>
      </c>
      <c r="I4155" s="9"/>
      <c r="J4155" s="9"/>
      <c r="K4155" s="9"/>
      <c r="L4155" s="9"/>
      <c r="M4155" s="9"/>
      <c r="N4155" s="9"/>
      <c r="O4155" s="9"/>
      <c r="P4155" s="9"/>
      <c r="Q4155" s="9"/>
      <c r="R4155" s="9"/>
      <c r="S4155" s="9"/>
      <c r="T4155" s="9"/>
    </row>
    <row r="4156" ht="15.75" customHeight="1">
      <c r="A4156" s="11">
        <f>IFERROR(__xludf.DUMMYFUNCTION("""COMPUTED_VALUE"""),44471.0)</f>
        <v>44471</v>
      </c>
      <c r="B4156" s="9">
        <f>IFERROR(__xludf.DUMMYFUNCTION("""COMPUTED_VALUE"""),1003881.0)</f>
        <v>1003881</v>
      </c>
      <c r="C4156" s="9">
        <f>IFERROR(__xludf.DUMMYFUNCTION("""COMPUTED_VALUE"""),9639.0)</f>
        <v>9639</v>
      </c>
      <c r="D4156" s="9"/>
      <c r="E4156" s="10" t="str">
        <f>IFERROR(__xludf.DUMMYFUNCTION("""COMPUTED_VALUE"""),"GREENRELAIS")</f>
        <v>GREENRELAIS</v>
      </c>
      <c r="F4156" s="10">
        <f>IFERROR(__xludf.DUMMYFUNCTION("""COMPUTED_VALUE"""),1.98)</f>
        <v>1.98</v>
      </c>
      <c r="G4156" s="9">
        <f>IFERROR(__xludf.DUMMYFUNCTION("""COMPUTED_VALUE"""),1.98)</f>
        <v>1.98</v>
      </c>
      <c r="H4156" s="9">
        <f>IFERROR(__xludf.DUMMYFUNCTION("""COMPUTED_VALUE"""),1.0)</f>
        <v>1</v>
      </c>
      <c r="I4156" s="9"/>
      <c r="J4156" s="9"/>
      <c r="K4156" s="9"/>
      <c r="L4156" s="9"/>
      <c r="M4156" s="9"/>
      <c r="N4156" s="9"/>
      <c r="O4156" s="9"/>
      <c r="P4156" s="9"/>
      <c r="Q4156" s="9"/>
      <c r="R4156" s="9"/>
      <c r="S4156" s="9"/>
      <c r="T4156" s="9"/>
    </row>
    <row r="4157" ht="15.75" customHeight="1">
      <c r="A4157" s="11">
        <f>IFERROR(__xludf.DUMMYFUNCTION("""COMPUTED_VALUE"""),44471.0)</f>
        <v>44471</v>
      </c>
      <c r="B4157" s="9">
        <f>IFERROR(__xludf.DUMMYFUNCTION("""COMPUTED_VALUE"""),1003881.0)</f>
        <v>1003881</v>
      </c>
      <c r="C4157" s="9">
        <f>IFERROR(__xludf.DUMMYFUNCTION("""COMPUTED_VALUE"""),9643.0)</f>
        <v>9643</v>
      </c>
      <c r="D4157" s="9"/>
      <c r="E4157" s="10" t="str">
        <f>IFERROR(__xludf.DUMMYFUNCTION("""COMPUTED_VALUE"""),"GREENRELAIS")</f>
        <v>GREENRELAIS</v>
      </c>
      <c r="F4157" s="10">
        <f>IFERROR(__xludf.DUMMYFUNCTION("""COMPUTED_VALUE"""),1.99)</f>
        <v>1.99</v>
      </c>
      <c r="G4157" s="9">
        <f>IFERROR(__xludf.DUMMYFUNCTION("""COMPUTED_VALUE"""),1.99)</f>
        <v>1.99</v>
      </c>
      <c r="H4157" s="9">
        <f>IFERROR(__xludf.DUMMYFUNCTION("""COMPUTED_VALUE"""),1.0)</f>
        <v>1</v>
      </c>
      <c r="I4157" s="9"/>
      <c r="J4157" s="9"/>
      <c r="K4157" s="9"/>
      <c r="L4157" s="9"/>
      <c r="M4157" s="9"/>
      <c r="N4157" s="9"/>
      <c r="O4157" s="9"/>
      <c r="P4157" s="9"/>
      <c r="Q4157" s="9"/>
      <c r="R4157" s="9"/>
      <c r="S4157" s="9"/>
      <c r="T4157" s="9"/>
    </row>
    <row r="4158" ht="15.75" customHeight="1">
      <c r="A4158" s="11">
        <f>IFERROR(__xludf.DUMMYFUNCTION("""COMPUTED_VALUE"""),44471.0)</f>
        <v>44471</v>
      </c>
      <c r="B4158" s="9">
        <f>IFERROR(__xludf.DUMMYFUNCTION("""COMPUTED_VALUE"""),1003881.0)</f>
        <v>1003881</v>
      </c>
      <c r="C4158" s="9">
        <f>IFERROR(__xludf.DUMMYFUNCTION("""COMPUTED_VALUE"""),26320.0)</f>
        <v>26320</v>
      </c>
      <c r="D4158" s="9"/>
      <c r="E4158" s="10" t="str">
        <f>IFERROR(__xludf.DUMMYFUNCTION("""COMPUTED_VALUE"""),"GREENRELAIS")</f>
        <v>GREENRELAIS</v>
      </c>
      <c r="F4158" s="10">
        <f>IFERROR(__xludf.DUMMYFUNCTION("""COMPUTED_VALUE"""),3.11)</f>
        <v>3.11</v>
      </c>
      <c r="G4158" s="9">
        <f>IFERROR(__xludf.DUMMYFUNCTION("""COMPUTED_VALUE"""),3.11)</f>
        <v>3.11</v>
      </c>
      <c r="H4158" s="9">
        <f>IFERROR(__xludf.DUMMYFUNCTION("""COMPUTED_VALUE"""),1.0)</f>
        <v>1</v>
      </c>
      <c r="I4158" s="9"/>
      <c r="J4158" s="9"/>
      <c r="K4158" s="9"/>
      <c r="L4158" s="9"/>
      <c r="M4158" s="9"/>
      <c r="N4158" s="9"/>
      <c r="O4158" s="9"/>
      <c r="P4158" s="9"/>
      <c r="Q4158" s="9"/>
      <c r="R4158" s="9"/>
      <c r="S4158" s="9"/>
      <c r="T4158" s="9"/>
    </row>
    <row r="4159" ht="15.75" customHeight="1">
      <c r="A4159" s="11">
        <f>IFERROR(__xludf.DUMMYFUNCTION("""COMPUTED_VALUE"""),44471.0)</f>
        <v>44471</v>
      </c>
      <c r="B4159" s="9">
        <f>IFERROR(__xludf.DUMMYFUNCTION("""COMPUTED_VALUE"""),1003881.0)</f>
        <v>1003881</v>
      </c>
      <c r="C4159" s="9">
        <f>IFERROR(__xludf.DUMMYFUNCTION("""COMPUTED_VALUE"""),11666.0)</f>
        <v>11666</v>
      </c>
      <c r="D4159" s="9"/>
      <c r="E4159" s="10" t="str">
        <f>IFERROR(__xludf.DUMMYFUNCTION("""COMPUTED_VALUE"""),"GREENRELAIS")</f>
        <v>GREENRELAIS</v>
      </c>
      <c r="F4159" s="10">
        <f>IFERROR(__xludf.DUMMYFUNCTION("""COMPUTED_VALUE"""),12.68)</f>
        <v>12.68</v>
      </c>
      <c r="G4159" s="9">
        <f>IFERROR(__xludf.DUMMYFUNCTION("""COMPUTED_VALUE"""),12.68)</f>
        <v>12.68</v>
      </c>
      <c r="H4159" s="9">
        <f>IFERROR(__xludf.DUMMYFUNCTION("""COMPUTED_VALUE"""),2.0)</f>
        <v>2</v>
      </c>
      <c r="I4159" s="9"/>
      <c r="J4159" s="9"/>
      <c r="K4159" s="9"/>
      <c r="L4159" s="9"/>
      <c r="M4159" s="9"/>
      <c r="N4159" s="9"/>
      <c r="O4159" s="9"/>
      <c r="P4159" s="9"/>
      <c r="Q4159" s="9"/>
      <c r="R4159" s="9"/>
      <c r="S4159" s="9"/>
      <c r="T4159" s="9"/>
    </row>
    <row r="4160" ht="15.75" customHeight="1">
      <c r="A4160" s="11">
        <f>IFERROR(__xludf.DUMMYFUNCTION("""COMPUTED_VALUE"""),44471.0)</f>
        <v>44471</v>
      </c>
      <c r="B4160" s="9">
        <f>IFERROR(__xludf.DUMMYFUNCTION("""COMPUTED_VALUE"""),1003881.0)</f>
        <v>1003881</v>
      </c>
      <c r="C4160" s="9">
        <f>IFERROR(__xludf.DUMMYFUNCTION("""COMPUTED_VALUE"""),116816.0)</f>
        <v>116816</v>
      </c>
      <c r="D4160" s="9"/>
      <c r="E4160" s="10" t="str">
        <f>IFERROR(__xludf.DUMMYFUNCTION("""COMPUTED_VALUE"""),"GREENRELAIS")</f>
        <v>GREENRELAIS</v>
      </c>
      <c r="F4160" s="10">
        <f>IFERROR(__xludf.DUMMYFUNCTION("""COMPUTED_VALUE"""),43.72)</f>
        <v>43.72</v>
      </c>
      <c r="G4160" s="9">
        <f>IFERROR(__xludf.DUMMYFUNCTION("""COMPUTED_VALUE"""),43.72)</f>
        <v>43.72</v>
      </c>
      <c r="H4160" s="9">
        <f>IFERROR(__xludf.DUMMYFUNCTION("""COMPUTED_VALUE"""),6.0)</f>
        <v>6</v>
      </c>
      <c r="I4160" s="9"/>
      <c r="J4160" s="9"/>
      <c r="K4160" s="9"/>
      <c r="L4160" s="9"/>
      <c r="M4160" s="9"/>
      <c r="N4160" s="9"/>
      <c r="O4160" s="9"/>
      <c r="P4160" s="9"/>
      <c r="Q4160" s="9"/>
      <c r="R4160" s="9"/>
      <c r="S4160" s="9"/>
      <c r="T4160" s="9"/>
    </row>
    <row r="4161" ht="15.75" customHeight="1">
      <c r="A4161" s="11">
        <f>IFERROR(__xludf.DUMMYFUNCTION("""COMPUTED_VALUE"""),44471.0)</f>
        <v>44471</v>
      </c>
      <c r="B4161" s="9">
        <f>IFERROR(__xludf.DUMMYFUNCTION("""COMPUTED_VALUE"""),1003882.0)</f>
        <v>1003882</v>
      </c>
      <c r="C4161" s="9">
        <f>IFERROR(__xludf.DUMMYFUNCTION("""COMPUTED_VALUE"""),103829.0)</f>
        <v>103829</v>
      </c>
      <c r="D4161" s="9"/>
      <c r="E4161" s="9"/>
      <c r="F4161" s="9">
        <f>IFERROR(__xludf.DUMMYFUNCTION("""COMPUTED_VALUE"""),18.29)</f>
        <v>18.29</v>
      </c>
      <c r="G4161" s="9">
        <f>IFERROR(__xludf.DUMMYFUNCTION("""COMPUTED_VALUE"""),18.29)</f>
        <v>18.29</v>
      </c>
      <c r="H4161" s="9">
        <f>IFERROR(__xludf.DUMMYFUNCTION("""COMPUTED_VALUE"""),1.0)</f>
        <v>1</v>
      </c>
      <c r="I4161" s="9"/>
      <c r="J4161" s="9"/>
      <c r="K4161" s="9"/>
      <c r="L4161" s="9"/>
      <c r="M4161" s="9"/>
      <c r="N4161" s="9"/>
      <c r="O4161" s="9"/>
      <c r="P4161" s="9"/>
      <c r="Q4161" s="9"/>
      <c r="R4161" s="9"/>
      <c r="S4161" s="9"/>
      <c r="T4161" s="9"/>
    </row>
    <row r="4162" ht="15.75" customHeight="1">
      <c r="A4162" s="11">
        <f>IFERROR(__xludf.DUMMYFUNCTION("""COMPUTED_VALUE"""),44471.0)</f>
        <v>44471</v>
      </c>
      <c r="B4162" s="9">
        <f>IFERROR(__xludf.DUMMYFUNCTION("""COMPUTED_VALUE"""),1003883.0)</f>
        <v>1003883</v>
      </c>
      <c r="C4162" s="9">
        <f>IFERROR(__xludf.DUMMYFUNCTION("""COMPUTED_VALUE"""),111726.0)</f>
        <v>111726</v>
      </c>
      <c r="D4162" s="9"/>
      <c r="E4162" s="10" t="str">
        <f>IFERROR(__xludf.DUMMYFUNCTION("""COMPUTED_VALUE"""),"GREENRELAIS")</f>
        <v>GREENRELAIS</v>
      </c>
      <c r="F4162" s="10">
        <f>IFERROR(__xludf.DUMMYFUNCTION("""COMPUTED_VALUE"""),2.26)</f>
        <v>2.26</v>
      </c>
      <c r="G4162" s="9">
        <f>IFERROR(__xludf.DUMMYFUNCTION("""COMPUTED_VALUE"""),2.26)</f>
        <v>2.26</v>
      </c>
      <c r="H4162" s="9">
        <f>IFERROR(__xludf.DUMMYFUNCTION("""COMPUTED_VALUE"""),1.0)</f>
        <v>1</v>
      </c>
      <c r="I4162" s="9"/>
      <c r="J4162" s="9"/>
      <c r="K4162" s="9"/>
      <c r="L4162" s="9"/>
      <c r="M4162" s="9"/>
      <c r="N4162" s="9"/>
      <c r="O4162" s="9"/>
      <c r="P4162" s="9"/>
      <c r="Q4162" s="9"/>
      <c r="R4162" s="9"/>
      <c r="S4162" s="9"/>
      <c r="T4162" s="9"/>
    </row>
    <row r="4163" ht="15.75" customHeight="1">
      <c r="A4163" s="11">
        <f>IFERROR(__xludf.DUMMYFUNCTION("""COMPUTED_VALUE"""),44471.0)</f>
        <v>44471</v>
      </c>
      <c r="B4163" s="9">
        <f>IFERROR(__xludf.DUMMYFUNCTION("""COMPUTED_VALUE"""),1003883.0)</f>
        <v>1003883</v>
      </c>
      <c r="C4163" s="9">
        <f>IFERROR(__xludf.DUMMYFUNCTION("""COMPUTED_VALUE"""),122484.0)</f>
        <v>122484</v>
      </c>
      <c r="D4163" s="9"/>
      <c r="E4163" s="10" t="str">
        <f>IFERROR(__xludf.DUMMYFUNCTION("""COMPUTED_VALUE"""),"GREENRELAIS")</f>
        <v>GREENRELAIS</v>
      </c>
      <c r="F4163" s="10">
        <f>IFERROR(__xludf.DUMMYFUNCTION("""COMPUTED_VALUE"""),5.77)</f>
        <v>5.77</v>
      </c>
      <c r="G4163" s="9">
        <f>IFERROR(__xludf.DUMMYFUNCTION("""COMPUTED_VALUE"""),5.77)</f>
        <v>5.77</v>
      </c>
      <c r="H4163" s="9">
        <f>IFERROR(__xludf.DUMMYFUNCTION("""COMPUTED_VALUE"""),1.0)</f>
        <v>1</v>
      </c>
      <c r="I4163" s="9"/>
      <c r="J4163" s="9"/>
      <c r="K4163" s="9"/>
      <c r="L4163" s="9"/>
      <c r="M4163" s="9"/>
      <c r="N4163" s="9"/>
      <c r="O4163" s="9"/>
      <c r="P4163" s="9"/>
      <c r="Q4163" s="9"/>
      <c r="R4163" s="9"/>
      <c r="S4163" s="9"/>
      <c r="T4163" s="9"/>
    </row>
    <row r="4164" ht="15.75" customHeight="1">
      <c r="A4164" s="11">
        <f>IFERROR(__xludf.DUMMYFUNCTION("""COMPUTED_VALUE"""),44471.0)</f>
        <v>44471</v>
      </c>
      <c r="B4164" s="9">
        <f>IFERROR(__xludf.DUMMYFUNCTION("""COMPUTED_VALUE"""),1003883.0)</f>
        <v>1003883</v>
      </c>
      <c r="C4164" s="9">
        <f>IFERROR(__xludf.DUMMYFUNCTION("""COMPUTED_VALUE"""),79355.0)</f>
        <v>79355</v>
      </c>
      <c r="D4164" s="10" t="str">
        <f>IFERROR(__xludf.DUMMYFUNCTION("""COMPUTED_VALUE"""),"Offre Speciale")</f>
        <v>Offre Speciale</v>
      </c>
      <c r="E4164" s="10" t="str">
        <f>IFERROR(__xludf.DUMMYFUNCTION("""COMPUTED_VALUE"""),"GREENRELAIS")</f>
        <v>GREENRELAIS</v>
      </c>
      <c r="F4164" s="10">
        <f>IFERROR(__xludf.DUMMYFUNCTION("""COMPUTED_VALUE"""),7.3)</f>
        <v>7.3</v>
      </c>
      <c r="G4164" s="9">
        <f>IFERROR(__xludf.DUMMYFUNCTION("""COMPUTED_VALUE"""),5.84)</f>
        <v>5.84</v>
      </c>
      <c r="H4164" s="9">
        <f>IFERROR(__xludf.DUMMYFUNCTION("""COMPUTED_VALUE"""),1.0)</f>
        <v>1</v>
      </c>
      <c r="I4164" s="9"/>
      <c r="J4164" s="9"/>
      <c r="K4164" s="9"/>
      <c r="L4164" s="9"/>
      <c r="M4164" s="9"/>
      <c r="N4164" s="9"/>
      <c r="O4164" s="9"/>
      <c r="P4164" s="9"/>
      <c r="Q4164" s="9"/>
      <c r="R4164" s="9"/>
      <c r="S4164" s="9"/>
      <c r="T4164" s="9"/>
    </row>
    <row r="4165" ht="15.75" customHeight="1">
      <c r="A4165" s="11">
        <f>IFERROR(__xludf.DUMMYFUNCTION("""COMPUTED_VALUE"""),44471.0)</f>
        <v>44471</v>
      </c>
      <c r="B4165" s="9">
        <f>IFERROR(__xludf.DUMMYFUNCTION("""COMPUTED_VALUE"""),1003883.0)</f>
        <v>1003883</v>
      </c>
      <c r="C4165" s="9">
        <f>IFERROR(__xludf.DUMMYFUNCTION("""COMPUTED_VALUE"""),109308.0)</f>
        <v>109308</v>
      </c>
      <c r="D4165" s="9"/>
      <c r="E4165" s="10" t="str">
        <f>IFERROR(__xludf.DUMMYFUNCTION("""COMPUTED_VALUE"""),"GREENRELAIS")</f>
        <v>GREENRELAIS</v>
      </c>
      <c r="F4165" s="10">
        <f>IFERROR(__xludf.DUMMYFUNCTION("""COMPUTED_VALUE"""),8.17)</f>
        <v>8.17</v>
      </c>
      <c r="G4165" s="9">
        <f>IFERROR(__xludf.DUMMYFUNCTION("""COMPUTED_VALUE"""),8.17)</f>
        <v>8.17</v>
      </c>
      <c r="H4165" s="9">
        <f>IFERROR(__xludf.DUMMYFUNCTION("""COMPUTED_VALUE"""),1.0)</f>
        <v>1</v>
      </c>
      <c r="I4165" s="9"/>
      <c r="J4165" s="9"/>
      <c r="K4165" s="9"/>
      <c r="L4165" s="9"/>
      <c r="M4165" s="9"/>
      <c r="N4165" s="9"/>
      <c r="O4165" s="9"/>
      <c r="P4165" s="9"/>
      <c r="Q4165" s="9"/>
      <c r="R4165" s="9"/>
      <c r="S4165" s="9"/>
      <c r="T4165" s="9"/>
    </row>
    <row r="4166" ht="15.75" customHeight="1">
      <c r="A4166" s="11">
        <f>IFERROR(__xludf.DUMMYFUNCTION("""COMPUTED_VALUE"""),44471.0)</f>
        <v>44471</v>
      </c>
      <c r="B4166" s="9">
        <f>IFERROR(__xludf.DUMMYFUNCTION("""COMPUTED_VALUE"""),1003883.0)</f>
        <v>1003883</v>
      </c>
      <c r="C4166" s="9">
        <f>IFERROR(__xludf.DUMMYFUNCTION("""COMPUTED_VALUE"""),121869.0)</f>
        <v>121869</v>
      </c>
      <c r="D4166" s="9"/>
      <c r="E4166" s="10" t="str">
        <f>IFERROR(__xludf.DUMMYFUNCTION("""COMPUTED_VALUE"""),"GREENRELAIS")</f>
        <v>GREENRELAIS</v>
      </c>
      <c r="F4166" s="10">
        <f>IFERROR(__xludf.DUMMYFUNCTION("""COMPUTED_VALUE"""),34.4)</f>
        <v>34.4</v>
      </c>
      <c r="G4166" s="9">
        <f>IFERROR(__xludf.DUMMYFUNCTION("""COMPUTED_VALUE"""),34.4)</f>
        <v>34.4</v>
      </c>
      <c r="H4166" s="9">
        <f>IFERROR(__xludf.DUMMYFUNCTION("""COMPUTED_VALUE"""),2.0)</f>
        <v>2</v>
      </c>
      <c r="I4166" s="9"/>
      <c r="J4166" s="9"/>
      <c r="K4166" s="9"/>
      <c r="L4166" s="9"/>
      <c r="M4166" s="9"/>
      <c r="N4166" s="9"/>
      <c r="O4166" s="9"/>
      <c r="P4166" s="9"/>
      <c r="Q4166" s="9"/>
      <c r="R4166" s="9"/>
      <c r="S4166" s="9"/>
      <c r="T4166" s="9"/>
    </row>
    <row r="4167" ht="15.75" customHeight="1">
      <c r="A4167" s="11">
        <f>IFERROR(__xludf.DUMMYFUNCTION("""COMPUTED_VALUE"""),44471.0)</f>
        <v>44471</v>
      </c>
      <c r="B4167" s="9">
        <f>IFERROR(__xludf.DUMMYFUNCTION("""COMPUTED_VALUE"""),1003884.0)</f>
        <v>1003884</v>
      </c>
      <c r="C4167" s="9">
        <f>IFERROR(__xludf.DUMMYFUNCTION("""COMPUTED_VALUE"""),86438.0)</f>
        <v>86438</v>
      </c>
      <c r="D4167" s="9"/>
      <c r="E4167" s="10" t="str">
        <f>IFERROR(__xludf.DUMMYFUNCTION("""COMPUTED_VALUE"""),"GREENRELAIS")</f>
        <v>GREENRELAIS</v>
      </c>
      <c r="F4167" s="10">
        <f>IFERROR(__xludf.DUMMYFUNCTION("""COMPUTED_VALUE"""),2.25)</f>
        <v>2.25</v>
      </c>
      <c r="G4167" s="9">
        <f>IFERROR(__xludf.DUMMYFUNCTION("""COMPUTED_VALUE"""),2.25)</f>
        <v>2.25</v>
      </c>
      <c r="H4167" s="9">
        <f>IFERROR(__xludf.DUMMYFUNCTION("""COMPUTED_VALUE"""),1.0)</f>
        <v>1</v>
      </c>
      <c r="I4167" s="9"/>
      <c r="J4167" s="9"/>
      <c r="K4167" s="9"/>
      <c r="L4167" s="9"/>
      <c r="M4167" s="9"/>
      <c r="N4167" s="9"/>
      <c r="O4167" s="9"/>
      <c r="P4167" s="9"/>
      <c r="Q4167" s="9"/>
      <c r="R4167" s="9"/>
      <c r="S4167" s="9"/>
      <c r="T4167" s="9"/>
    </row>
    <row r="4168" ht="15.75" customHeight="1">
      <c r="A4168" s="11">
        <f>IFERROR(__xludf.DUMMYFUNCTION("""COMPUTED_VALUE"""),44471.0)</f>
        <v>44471</v>
      </c>
      <c r="B4168" s="9">
        <f>IFERROR(__xludf.DUMMYFUNCTION("""COMPUTED_VALUE"""),1003884.0)</f>
        <v>1003884</v>
      </c>
      <c r="C4168" s="9">
        <f>IFERROR(__xludf.DUMMYFUNCTION("""COMPUTED_VALUE"""),182012.0)</f>
        <v>182012</v>
      </c>
      <c r="D4168" s="9"/>
      <c r="E4168" s="10" t="str">
        <f>IFERROR(__xludf.DUMMYFUNCTION("""COMPUTED_VALUE"""),"GREENRELAIS")</f>
        <v>GREENRELAIS</v>
      </c>
      <c r="F4168" s="10">
        <f>IFERROR(__xludf.DUMMYFUNCTION("""COMPUTED_VALUE"""),8.27)</f>
        <v>8.27</v>
      </c>
      <c r="G4168" s="9">
        <f>IFERROR(__xludf.DUMMYFUNCTION("""COMPUTED_VALUE"""),8.27)</f>
        <v>8.27</v>
      </c>
      <c r="H4168" s="9">
        <f>IFERROR(__xludf.DUMMYFUNCTION("""COMPUTED_VALUE"""),1.0)</f>
        <v>1</v>
      </c>
      <c r="I4168" s="9"/>
      <c r="J4168" s="9"/>
      <c r="K4168" s="9"/>
      <c r="L4168" s="9"/>
      <c r="M4168" s="9"/>
      <c r="N4168" s="9"/>
      <c r="O4168" s="9"/>
      <c r="P4168" s="9"/>
      <c r="Q4168" s="9"/>
      <c r="R4168" s="9"/>
      <c r="S4168" s="9"/>
      <c r="T4168" s="9"/>
    </row>
    <row r="4169" ht="15.75" customHeight="1">
      <c r="A4169" s="11">
        <f>IFERROR(__xludf.DUMMYFUNCTION("""COMPUTED_VALUE"""),44471.0)</f>
        <v>44471</v>
      </c>
      <c r="B4169" s="9">
        <f>IFERROR(__xludf.DUMMYFUNCTION("""COMPUTED_VALUE"""),1003884.0)</f>
        <v>1003884</v>
      </c>
      <c r="C4169" s="9">
        <f>IFERROR(__xludf.DUMMYFUNCTION("""COMPUTED_VALUE"""),109310.0)</f>
        <v>109310</v>
      </c>
      <c r="D4169" s="9"/>
      <c r="E4169" s="10" t="str">
        <f>IFERROR(__xludf.DUMMYFUNCTION("""COMPUTED_VALUE"""),"GREENRELAIS")</f>
        <v>GREENRELAIS</v>
      </c>
      <c r="F4169" s="10">
        <f>IFERROR(__xludf.DUMMYFUNCTION("""COMPUTED_VALUE"""),6.27)</f>
        <v>6.27</v>
      </c>
      <c r="G4169" s="9">
        <f>IFERROR(__xludf.DUMMYFUNCTION("""COMPUTED_VALUE"""),6.27)</f>
        <v>6.27</v>
      </c>
      <c r="H4169" s="9">
        <f>IFERROR(__xludf.DUMMYFUNCTION("""COMPUTED_VALUE"""),1.0)</f>
        <v>1</v>
      </c>
      <c r="I4169" s="9"/>
      <c r="J4169" s="9"/>
      <c r="K4169" s="9"/>
      <c r="L4169" s="9"/>
      <c r="M4169" s="9"/>
      <c r="N4169" s="9"/>
      <c r="O4169" s="9"/>
      <c r="P4169" s="9"/>
      <c r="Q4169" s="9"/>
      <c r="R4169" s="9"/>
      <c r="S4169" s="9"/>
      <c r="T4169" s="9"/>
    </row>
    <row r="4170" ht="15.75" customHeight="1">
      <c r="A4170" s="11">
        <f>IFERROR(__xludf.DUMMYFUNCTION("""COMPUTED_VALUE"""),44471.0)</f>
        <v>44471</v>
      </c>
      <c r="B4170" s="9">
        <f>IFERROR(__xludf.DUMMYFUNCTION("""COMPUTED_VALUE"""),1003884.0)</f>
        <v>1003884</v>
      </c>
      <c r="C4170" s="9">
        <f>IFERROR(__xludf.DUMMYFUNCTION("""COMPUTED_VALUE"""),76664.0)</f>
        <v>76664</v>
      </c>
      <c r="D4170" s="10" t="str">
        <f>IFERROR(__xludf.DUMMYFUNCTION("""COMPUTED_VALUE"""),"Vive le bio")</f>
        <v>Vive le bio</v>
      </c>
      <c r="E4170" s="10" t="str">
        <f>IFERROR(__xludf.DUMMYFUNCTION("""COMPUTED_VALUE"""),"GREENRELAIS")</f>
        <v>GREENRELAIS</v>
      </c>
      <c r="F4170" s="10">
        <f>IFERROR(__xludf.DUMMYFUNCTION("""COMPUTED_VALUE"""),4.18888888888888)</f>
        <v>4.188888889</v>
      </c>
      <c r="G4170" s="9">
        <f>IFERROR(__xludf.DUMMYFUNCTION("""COMPUTED_VALUE"""),3.77)</f>
        <v>3.77</v>
      </c>
      <c r="H4170" s="9">
        <f>IFERROR(__xludf.DUMMYFUNCTION("""COMPUTED_VALUE"""),1.0)</f>
        <v>1</v>
      </c>
      <c r="I4170" s="9"/>
      <c r="J4170" s="9"/>
      <c r="K4170" s="9"/>
      <c r="L4170" s="9"/>
      <c r="M4170" s="9"/>
      <c r="N4170" s="9"/>
      <c r="O4170" s="9"/>
      <c r="P4170" s="9"/>
      <c r="Q4170" s="9"/>
      <c r="R4170" s="9"/>
      <c r="S4170" s="9"/>
      <c r="T4170" s="9"/>
    </row>
    <row r="4171" ht="15.75" customHeight="1">
      <c r="A4171" s="11">
        <f>IFERROR(__xludf.DUMMYFUNCTION("""COMPUTED_VALUE"""),44471.0)</f>
        <v>44471</v>
      </c>
      <c r="B4171" s="9">
        <f>IFERROR(__xludf.DUMMYFUNCTION("""COMPUTED_VALUE"""),1003884.0)</f>
        <v>1003884</v>
      </c>
      <c r="C4171" s="9">
        <f>IFERROR(__xludf.DUMMYFUNCTION("""COMPUTED_VALUE"""),95416.0)</f>
        <v>95416</v>
      </c>
      <c r="D4171" s="9"/>
      <c r="E4171" s="10" t="str">
        <f>IFERROR(__xludf.DUMMYFUNCTION("""COMPUTED_VALUE"""),"GREENRELAIS")</f>
        <v>GREENRELAIS</v>
      </c>
      <c r="F4171" s="10">
        <f>IFERROR(__xludf.DUMMYFUNCTION("""COMPUTED_VALUE"""),1.15)</f>
        <v>1.15</v>
      </c>
      <c r="G4171" s="9">
        <f>IFERROR(__xludf.DUMMYFUNCTION("""COMPUTED_VALUE"""),1.15)</f>
        <v>1.15</v>
      </c>
      <c r="H4171" s="9">
        <f>IFERROR(__xludf.DUMMYFUNCTION("""COMPUTED_VALUE"""),1.0)</f>
        <v>1</v>
      </c>
      <c r="I4171" s="9"/>
      <c r="J4171" s="9"/>
      <c r="K4171" s="9"/>
      <c r="L4171" s="9"/>
      <c r="M4171" s="9"/>
      <c r="N4171" s="9"/>
      <c r="O4171" s="9"/>
      <c r="P4171" s="9"/>
      <c r="Q4171" s="9"/>
      <c r="R4171" s="9"/>
      <c r="S4171" s="9"/>
      <c r="T4171" s="9"/>
    </row>
    <row r="4172" ht="15.75" customHeight="1">
      <c r="A4172" s="11">
        <f>IFERROR(__xludf.DUMMYFUNCTION("""COMPUTED_VALUE"""),44471.0)</f>
        <v>44471</v>
      </c>
      <c r="B4172" s="9">
        <f>IFERROR(__xludf.DUMMYFUNCTION("""COMPUTED_VALUE"""),1003884.0)</f>
        <v>1003884</v>
      </c>
      <c r="C4172" s="9">
        <f>IFERROR(__xludf.DUMMYFUNCTION("""COMPUTED_VALUE"""),78428.0)</f>
        <v>78428</v>
      </c>
      <c r="D4172" s="9"/>
      <c r="E4172" s="10" t="str">
        <f>IFERROR(__xludf.DUMMYFUNCTION("""COMPUTED_VALUE"""),"GREENRELAIS")</f>
        <v>GREENRELAIS</v>
      </c>
      <c r="F4172" s="10">
        <f>IFERROR(__xludf.DUMMYFUNCTION("""COMPUTED_VALUE"""),3.57)</f>
        <v>3.57</v>
      </c>
      <c r="G4172" s="9">
        <f>IFERROR(__xludf.DUMMYFUNCTION("""COMPUTED_VALUE"""),3.57)</f>
        <v>3.57</v>
      </c>
      <c r="H4172" s="9">
        <f>IFERROR(__xludf.DUMMYFUNCTION("""COMPUTED_VALUE"""),1.0)</f>
        <v>1</v>
      </c>
      <c r="I4172" s="9"/>
      <c r="J4172" s="9"/>
      <c r="K4172" s="9"/>
      <c r="L4172" s="9"/>
      <c r="M4172" s="9"/>
      <c r="N4172" s="9"/>
      <c r="O4172" s="9"/>
      <c r="P4172" s="9"/>
      <c r="Q4172" s="9"/>
      <c r="R4172" s="9"/>
      <c r="S4172" s="9"/>
      <c r="T4172" s="9"/>
    </row>
    <row r="4173" ht="15.75" customHeight="1">
      <c r="A4173" s="11">
        <f>IFERROR(__xludf.DUMMYFUNCTION("""COMPUTED_VALUE"""),44471.0)</f>
        <v>44471</v>
      </c>
      <c r="B4173" s="9">
        <f>IFERROR(__xludf.DUMMYFUNCTION("""COMPUTED_VALUE"""),1003884.0)</f>
        <v>1003884</v>
      </c>
      <c r="C4173" s="9">
        <f>IFERROR(__xludf.DUMMYFUNCTION("""COMPUTED_VALUE"""),119062.0)</f>
        <v>119062</v>
      </c>
      <c r="D4173" s="10" t="str">
        <f>IFERROR(__xludf.DUMMYFUNCTION("""COMPUTED_VALUE"""),"DLC courtes")</f>
        <v>DLC courtes</v>
      </c>
      <c r="E4173" s="10" t="str">
        <f>IFERROR(__xludf.DUMMYFUNCTION("""COMPUTED_VALUE"""),"GREENRELAIS")</f>
        <v>GREENRELAIS</v>
      </c>
      <c r="F4173" s="10">
        <f>IFERROR(__xludf.DUMMYFUNCTION("""COMPUTED_VALUE"""),2.325)</f>
        <v>2.325</v>
      </c>
      <c r="G4173" s="9">
        <f>IFERROR(__xludf.DUMMYFUNCTION("""COMPUTED_VALUE"""),1.86)</f>
        <v>1.86</v>
      </c>
      <c r="H4173" s="9">
        <f>IFERROR(__xludf.DUMMYFUNCTION("""COMPUTED_VALUE"""),1.0)</f>
        <v>1</v>
      </c>
      <c r="I4173" s="9"/>
      <c r="J4173" s="9"/>
      <c r="K4173" s="9"/>
      <c r="L4173" s="9"/>
      <c r="M4173" s="9"/>
      <c r="N4173" s="9"/>
      <c r="O4173" s="9"/>
      <c r="P4173" s="9"/>
      <c r="Q4173" s="9"/>
      <c r="R4173" s="9"/>
      <c r="S4173" s="9"/>
      <c r="T4173" s="9"/>
    </row>
    <row r="4174" ht="15.75" customHeight="1">
      <c r="A4174" s="11">
        <f>IFERROR(__xludf.DUMMYFUNCTION("""COMPUTED_VALUE"""),44471.0)</f>
        <v>44471</v>
      </c>
      <c r="B4174" s="9">
        <f>IFERROR(__xludf.DUMMYFUNCTION("""COMPUTED_VALUE"""),1003884.0)</f>
        <v>1003884</v>
      </c>
      <c r="C4174" s="9">
        <f>IFERROR(__xludf.DUMMYFUNCTION("""COMPUTED_VALUE"""),77441.0)</f>
        <v>77441</v>
      </c>
      <c r="D4174" s="9"/>
      <c r="E4174" s="10" t="str">
        <f>IFERROR(__xludf.DUMMYFUNCTION("""COMPUTED_VALUE"""),"GREENRELAIS")</f>
        <v>GREENRELAIS</v>
      </c>
      <c r="F4174" s="10">
        <f>IFERROR(__xludf.DUMMYFUNCTION("""COMPUTED_VALUE"""),2.7)</f>
        <v>2.7</v>
      </c>
      <c r="G4174" s="9">
        <f>IFERROR(__xludf.DUMMYFUNCTION("""COMPUTED_VALUE"""),2.7)</f>
        <v>2.7</v>
      </c>
      <c r="H4174" s="9">
        <f>IFERROR(__xludf.DUMMYFUNCTION("""COMPUTED_VALUE"""),1.0)</f>
        <v>1</v>
      </c>
      <c r="I4174" s="9"/>
      <c r="J4174" s="9"/>
      <c r="K4174" s="9"/>
      <c r="L4174" s="9"/>
      <c r="M4174" s="9"/>
      <c r="N4174" s="9"/>
      <c r="O4174" s="9"/>
      <c r="P4174" s="9"/>
      <c r="Q4174" s="9"/>
      <c r="R4174" s="9"/>
      <c r="S4174" s="9"/>
      <c r="T4174" s="9"/>
    </row>
    <row r="4175" ht="15.75" customHeight="1">
      <c r="A4175" s="11">
        <f>IFERROR(__xludf.DUMMYFUNCTION("""COMPUTED_VALUE"""),44471.0)</f>
        <v>44471</v>
      </c>
      <c r="B4175" s="9">
        <f>IFERROR(__xludf.DUMMYFUNCTION("""COMPUTED_VALUE"""),1003884.0)</f>
        <v>1003884</v>
      </c>
      <c r="C4175" s="9">
        <f>IFERROR(__xludf.DUMMYFUNCTION("""COMPUTED_VALUE"""),41681.0)</f>
        <v>41681</v>
      </c>
      <c r="D4175" s="10" t="str">
        <f>IFERROR(__xludf.DUMMYFUNCTION("""COMPUTED_VALUE"""),"Vive le bio")</f>
        <v>Vive le bio</v>
      </c>
      <c r="E4175" s="10" t="str">
        <f>IFERROR(__xludf.DUMMYFUNCTION("""COMPUTED_VALUE"""),"GREENRELAIS")</f>
        <v>GREENRELAIS</v>
      </c>
      <c r="F4175" s="10">
        <f>IFERROR(__xludf.DUMMYFUNCTION("""COMPUTED_VALUE"""),4.27777777777777)</f>
        <v>4.277777778</v>
      </c>
      <c r="G4175" s="9">
        <f>IFERROR(__xludf.DUMMYFUNCTION("""COMPUTED_VALUE"""),3.85)</f>
        <v>3.85</v>
      </c>
      <c r="H4175" s="9">
        <f>IFERROR(__xludf.DUMMYFUNCTION("""COMPUTED_VALUE"""),1.0)</f>
        <v>1</v>
      </c>
      <c r="I4175" s="9"/>
      <c r="J4175" s="9"/>
      <c r="K4175" s="9"/>
      <c r="L4175" s="9"/>
      <c r="M4175" s="9"/>
      <c r="N4175" s="9"/>
      <c r="O4175" s="9"/>
      <c r="P4175" s="9"/>
      <c r="Q4175" s="9"/>
      <c r="R4175" s="9"/>
      <c r="S4175" s="9"/>
      <c r="T4175" s="9"/>
    </row>
    <row r="4176" ht="15.75" customHeight="1">
      <c r="A4176" s="11">
        <f>IFERROR(__xludf.DUMMYFUNCTION("""COMPUTED_VALUE"""),44471.0)</f>
        <v>44471</v>
      </c>
      <c r="B4176" s="9">
        <f>IFERROR(__xludf.DUMMYFUNCTION("""COMPUTED_VALUE"""),1003884.0)</f>
        <v>1003884</v>
      </c>
      <c r="C4176" s="9">
        <f>IFERROR(__xludf.DUMMYFUNCTION("""COMPUTED_VALUE"""),107631.0)</f>
        <v>107631</v>
      </c>
      <c r="D4176" s="10" t="str">
        <f>IFERROR(__xludf.DUMMYFUNCTION("""COMPUTED_VALUE"""),"Offre speciale")</f>
        <v>Offre speciale</v>
      </c>
      <c r="E4176" s="10" t="str">
        <f>IFERROR(__xludf.DUMMYFUNCTION("""COMPUTED_VALUE"""),"GREENRELAIS")</f>
        <v>GREENRELAIS</v>
      </c>
      <c r="F4176" s="10">
        <f>IFERROR(__xludf.DUMMYFUNCTION("""COMPUTED_VALUE"""),7.70967741935483)</f>
        <v>7.709677419</v>
      </c>
      <c r="G4176" s="9">
        <f>IFERROR(__xludf.DUMMYFUNCTION("""COMPUTED_VALUE"""),7.17)</f>
        <v>7.17</v>
      </c>
      <c r="H4176" s="9">
        <f>IFERROR(__xludf.DUMMYFUNCTION("""COMPUTED_VALUE"""),1.0)</f>
        <v>1</v>
      </c>
      <c r="I4176" s="9"/>
      <c r="J4176" s="9"/>
      <c r="K4176" s="9"/>
      <c r="L4176" s="9"/>
      <c r="M4176" s="9"/>
      <c r="N4176" s="9"/>
      <c r="O4176" s="9"/>
      <c r="P4176" s="9"/>
      <c r="Q4176" s="9"/>
      <c r="R4176" s="9"/>
      <c r="S4176" s="9"/>
      <c r="T4176" s="9"/>
    </row>
    <row r="4177" ht="15.75" customHeight="1">
      <c r="A4177" s="11">
        <f>IFERROR(__xludf.DUMMYFUNCTION("""COMPUTED_VALUE"""),44471.0)</f>
        <v>44471</v>
      </c>
      <c r="B4177" s="9">
        <f>IFERROR(__xludf.DUMMYFUNCTION("""COMPUTED_VALUE"""),1003884.0)</f>
        <v>1003884</v>
      </c>
      <c r="C4177" s="9">
        <f>IFERROR(__xludf.DUMMYFUNCTION("""COMPUTED_VALUE"""),99351.0)</f>
        <v>99351</v>
      </c>
      <c r="D4177" s="9"/>
      <c r="E4177" s="10" t="str">
        <f>IFERROR(__xludf.DUMMYFUNCTION("""COMPUTED_VALUE"""),"GREENRELAIS")</f>
        <v>GREENRELAIS</v>
      </c>
      <c r="F4177" s="10">
        <f>IFERROR(__xludf.DUMMYFUNCTION("""COMPUTED_VALUE"""),1.24)</f>
        <v>1.24</v>
      </c>
      <c r="G4177" s="9">
        <f>IFERROR(__xludf.DUMMYFUNCTION("""COMPUTED_VALUE"""),1.24)</f>
        <v>1.24</v>
      </c>
      <c r="H4177" s="9">
        <f>IFERROR(__xludf.DUMMYFUNCTION("""COMPUTED_VALUE"""),1.0)</f>
        <v>1</v>
      </c>
      <c r="I4177" s="9"/>
      <c r="J4177" s="9"/>
      <c r="K4177" s="9"/>
      <c r="L4177" s="9"/>
      <c r="M4177" s="9"/>
      <c r="N4177" s="9"/>
      <c r="O4177" s="9"/>
      <c r="P4177" s="9"/>
      <c r="Q4177" s="9"/>
      <c r="R4177" s="9"/>
      <c r="S4177" s="9"/>
      <c r="T4177" s="9"/>
    </row>
    <row r="4178" ht="15.75" customHeight="1">
      <c r="A4178" s="11">
        <f>IFERROR(__xludf.DUMMYFUNCTION("""COMPUTED_VALUE"""),44471.0)</f>
        <v>44471</v>
      </c>
      <c r="B4178" s="9">
        <f>IFERROR(__xludf.DUMMYFUNCTION("""COMPUTED_VALUE"""),1003884.0)</f>
        <v>1003884</v>
      </c>
      <c r="C4178" s="9">
        <f>IFERROR(__xludf.DUMMYFUNCTION("""COMPUTED_VALUE"""),81198.0)</f>
        <v>81198</v>
      </c>
      <c r="D4178" s="9"/>
      <c r="E4178" s="10" t="str">
        <f>IFERROR(__xludf.DUMMYFUNCTION("""COMPUTED_VALUE"""),"GREENRELAIS")</f>
        <v>GREENRELAIS</v>
      </c>
      <c r="F4178" s="10">
        <f>IFERROR(__xludf.DUMMYFUNCTION("""COMPUTED_VALUE"""),3.11)</f>
        <v>3.11</v>
      </c>
      <c r="G4178" s="9">
        <f>IFERROR(__xludf.DUMMYFUNCTION("""COMPUTED_VALUE"""),3.11)</f>
        <v>3.11</v>
      </c>
      <c r="H4178" s="9">
        <f>IFERROR(__xludf.DUMMYFUNCTION("""COMPUTED_VALUE"""),1.0)</f>
        <v>1</v>
      </c>
      <c r="I4178" s="9"/>
      <c r="J4178" s="9"/>
      <c r="K4178" s="9"/>
      <c r="L4178" s="9"/>
      <c r="M4178" s="9"/>
      <c r="N4178" s="9"/>
      <c r="O4178" s="9"/>
      <c r="P4178" s="9"/>
      <c r="Q4178" s="9"/>
      <c r="R4178" s="9"/>
      <c r="S4178" s="9"/>
      <c r="T4178" s="9"/>
    </row>
    <row r="4179" ht="15.75" customHeight="1">
      <c r="A4179" s="11">
        <f>IFERROR(__xludf.DUMMYFUNCTION("""COMPUTED_VALUE"""),44471.0)</f>
        <v>44471</v>
      </c>
      <c r="B4179" s="9">
        <f>IFERROR(__xludf.DUMMYFUNCTION("""COMPUTED_VALUE"""),1003884.0)</f>
        <v>1003884</v>
      </c>
      <c r="C4179" s="9">
        <f>IFERROR(__xludf.DUMMYFUNCTION("""COMPUTED_VALUE"""),81191.0)</f>
        <v>81191</v>
      </c>
      <c r="D4179" s="9"/>
      <c r="E4179" s="10" t="str">
        <f>IFERROR(__xludf.DUMMYFUNCTION("""COMPUTED_VALUE"""),"GREENRELAIS")</f>
        <v>GREENRELAIS</v>
      </c>
      <c r="F4179" s="10">
        <f>IFERROR(__xludf.DUMMYFUNCTION("""COMPUTED_VALUE"""),3.11)</f>
        <v>3.11</v>
      </c>
      <c r="G4179" s="9">
        <f>IFERROR(__xludf.DUMMYFUNCTION("""COMPUTED_VALUE"""),3.11)</f>
        <v>3.11</v>
      </c>
      <c r="H4179" s="9">
        <f>IFERROR(__xludf.DUMMYFUNCTION("""COMPUTED_VALUE"""),1.0)</f>
        <v>1</v>
      </c>
      <c r="I4179" s="9"/>
      <c r="J4179" s="9"/>
      <c r="K4179" s="9"/>
      <c r="L4179" s="9"/>
      <c r="M4179" s="9"/>
      <c r="N4179" s="9"/>
      <c r="O4179" s="9"/>
      <c r="P4179" s="9"/>
      <c r="Q4179" s="9"/>
      <c r="R4179" s="9"/>
      <c r="S4179" s="9"/>
      <c r="T4179" s="9"/>
    </row>
    <row r="4180" ht="15.75" customHeight="1">
      <c r="A4180" s="11">
        <f>IFERROR(__xludf.DUMMYFUNCTION("""COMPUTED_VALUE"""),44471.0)</f>
        <v>44471</v>
      </c>
      <c r="B4180" s="9">
        <f>IFERROR(__xludf.DUMMYFUNCTION("""COMPUTED_VALUE"""),1003884.0)</f>
        <v>1003884</v>
      </c>
      <c r="C4180" s="9">
        <f>IFERROR(__xludf.DUMMYFUNCTION("""COMPUTED_VALUE"""),81193.0)</f>
        <v>81193</v>
      </c>
      <c r="D4180" s="9"/>
      <c r="E4180" s="10" t="str">
        <f>IFERROR(__xludf.DUMMYFUNCTION("""COMPUTED_VALUE"""),"GREENRELAIS")</f>
        <v>GREENRELAIS</v>
      </c>
      <c r="F4180" s="10">
        <f>IFERROR(__xludf.DUMMYFUNCTION("""COMPUTED_VALUE"""),3.11)</f>
        <v>3.11</v>
      </c>
      <c r="G4180" s="9">
        <f>IFERROR(__xludf.DUMMYFUNCTION("""COMPUTED_VALUE"""),3.11)</f>
        <v>3.11</v>
      </c>
      <c r="H4180" s="9">
        <f>IFERROR(__xludf.DUMMYFUNCTION("""COMPUTED_VALUE"""),1.0)</f>
        <v>1</v>
      </c>
      <c r="I4180" s="9"/>
      <c r="J4180" s="9"/>
      <c r="K4180" s="9"/>
      <c r="L4180" s="9"/>
      <c r="M4180" s="9"/>
      <c r="N4180" s="9"/>
      <c r="O4180" s="9"/>
      <c r="P4180" s="9"/>
      <c r="Q4180" s="9"/>
      <c r="R4180" s="9"/>
      <c r="S4180" s="9"/>
      <c r="T4180" s="9"/>
    </row>
    <row r="4181" ht="15.75" customHeight="1">
      <c r="A4181" s="11">
        <f>IFERROR(__xludf.DUMMYFUNCTION("""COMPUTED_VALUE"""),44471.0)</f>
        <v>44471</v>
      </c>
      <c r="B4181" s="9">
        <f>IFERROR(__xludf.DUMMYFUNCTION("""COMPUTED_VALUE"""),1003884.0)</f>
        <v>1003884</v>
      </c>
      <c r="C4181" s="9">
        <f>IFERROR(__xludf.DUMMYFUNCTION("""COMPUTED_VALUE"""),102607.0)</f>
        <v>102607</v>
      </c>
      <c r="D4181" s="9"/>
      <c r="E4181" s="10" t="str">
        <f>IFERROR(__xludf.DUMMYFUNCTION("""COMPUTED_VALUE"""),"GREENRELAIS")</f>
        <v>GREENRELAIS</v>
      </c>
      <c r="F4181" s="10">
        <f>IFERROR(__xludf.DUMMYFUNCTION("""COMPUTED_VALUE"""),5.99)</f>
        <v>5.99</v>
      </c>
      <c r="G4181" s="9">
        <f>IFERROR(__xludf.DUMMYFUNCTION("""COMPUTED_VALUE"""),5.99)</f>
        <v>5.99</v>
      </c>
      <c r="H4181" s="9">
        <f>IFERROR(__xludf.DUMMYFUNCTION("""COMPUTED_VALUE"""),1.0)</f>
        <v>1</v>
      </c>
      <c r="I4181" s="9"/>
      <c r="J4181" s="9"/>
      <c r="K4181" s="9"/>
      <c r="L4181" s="9"/>
      <c r="M4181" s="9"/>
      <c r="N4181" s="9"/>
      <c r="O4181" s="9"/>
      <c r="P4181" s="9"/>
      <c r="Q4181" s="9"/>
      <c r="R4181" s="9"/>
      <c r="S4181" s="9"/>
      <c r="T4181" s="9"/>
    </row>
    <row r="4182" ht="15.75" customHeight="1">
      <c r="A4182" s="11">
        <f>IFERROR(__xludf.DUMMYFUNCTION("""COMPUTED_VALUE"""),44471.0)</f>
        <v>44471</v>
      </c>
      <c r="B4182" s="9">
        <f>IFERROR(__xludf.DUMMYFUNCTION("""COMPUTED_VALUE"""),1003884.0)</f>
        <v>1003884</v>
      </c>
      <c r="C4182" s="9">
        <f>IFERROR(__xludf.DUMMYFUNCTION("""COMPUTED_VALUE"""),88268.0)</f>
        <v>88268</v>
      </c>
      <c r="D4182" s="9"/>
      <c r="E4182" s="10" t="str">
        <f>IFERROR(__xludf.DUMMYFUNCTION("""COMPUTED_VALUE"""),"GREENRELAIS")</f>
        <v>GREENRELAIS</v>
      </c>
      <c r="F4182" s="10">
        <f>IFERROR(__xludf.DUMMYFUNCTION("""COMPUTED_VALUE"""),1.06)</f>
        <v>1.06</v>
      </c>
      <c r="G4182" s="9">
        <f>IFERROR(__xludf.DUMMYFUNCTION("""COMPUTED_VALUE"""),1.06)</f>
        <v>1.06</v>
      </c>
      <c r="H4182" s="9">
        <f>IFERROR(__xludf.DUMMYFUNCTION("""COMPUTED_VALUE"""),1.0)</f>
        <v>1</v>
      </c>
      <c r="I4182" s="9"/>
      <c r="J4182" s="9"/>
      <c r="K4182" s="9"/>
      <c r="L4182" s="9"/>
      <c r="M4182" s="9"/>
      <c r="N4182" s="9"/>
      <c r="O4182" s="9"/>
      <c r="P4182" s="9"/>
      <c r="Q4182" s="9"/>
      <c r="R4182" s="9"/>
      <c r="S4182" s="9"/>
      <c r="T4182" s="9"/>
    </row>
    <row r="4183" ht="15.75" customHeight="1">
      <c r="A4183" s="11">
        <f>IFERROR(__xludf.DUMMYFUNCTION("""COMPUTED_VALUE"""),44471.0)</f>
        <v>44471</v>
      </c>
      <c r="B4183" s="9">
        <f>IFERROR(__xludf.DUMMYFUNCTION("""COMPUTED_VALUE"""),1003884.0)</f>
        <v>1003884</v>
      </c>
      <c r="C4183" s="9">
        <f>IFERROR(__xludf.DUMMYFUNCTION("""COMPUTED_VALUE"""),19345.0)</f>
        <v>19345</v>
      </c>
      <c r="D4183" s="9"/>
      <c r="E4183" s="10" t="str">
        <f>IFERROR(__xludf.DUMMYFUNCTION("""COMPUTED_VALUE"""),"GREENRELAIS")</f>
        <v>GREENRELAIS</v>
      </c>
      <c r="F4183" s="10">
        <f>IFERROR(__xludf.DUMMYFUNCTION("""COMPUTED_VALUE"""),4.61)</f>
        <v>4.61</v>
      </c>
      <c r="G4183" s="9">
        <f>IFERROR(__xludf.DUMMYFUNCTION("""COMPUTED_VALUE"""),4.61)</f>
        <v>4.61</v>
      </c>
      <c r="H4183" s="9">
        <f>IFERROR(__xludf.DUMMYFUNCTION("""COMPUTED_VALUE"""),2.0)</f>
        <v>2</v>
      </c>
      <c r="I4183" s="9"/>
      <c r="J4183" s="9"/>
      <c r="K4183" s="9"/>
      <c r="L4183" s="9"/>
      <c r="M4183" s="9"/>
      <c r="N4183" s="9"/>
      <c r="O4183" s="9"/>
      <c r="P4183" s="9"/>
      <c r="Q4183" s="9"/>
      <c r="R4183" s="9"/>
      <c r="S4183" s="9"/>
      <c r="T4183" s="9"/>
    </row>
    <row r="4184" ht="15.75" customHeight="1">
      <c r="A4184" s="11">
        <f>IFERROR(__xludf.DUMMYFUNCTION("""COMPUTED_VALUE"""),44471.0)</f>
        <v>44471</v>
      </c>
      <c r="B4184" s="9">
        <f>IFERROR(__xludf.DUMMYFUNCTION("""COMPUTED_VALUE"""),1003885.0)</f>
        <v>1003885</v>
      </c>
      <c r="C4184" s="9">
        <f>IFERROR(__xludf.DUMMYFUNCTION("""COMPUTED_VALUE"""),44607.0)</f>
        <v>44607</v>
      </c>
      <c r="D4184" s="9"/>
      <c r="E4184" s="9"/>
      <c r="F4184" s="9">
        <f>IFERROR(__xludf.DUMMYFUNCTION("""COMPUTED_VALUE"""),2.5)</f>
        <v>2.5</v>
      </c>
      <c r="G4184" s="9">
        <f>IFERROR(__xludf.DUMMYFUNCTION("""COMPUTED_VALUE"""),2.5)</f>
        <v>2.5</v>
      </c>
      <c r="H4184" s="9">
        <f>IFERROR(__xludf.DUMMYFUNCTION("""COMPUTED_VALUE"""),1.0)</f>
        <v>1</v>
      </c>
      <c r="I4184" s="9"/>
      <c r="J4184" s="9"/>
      <c r="K4184" s="9"/>
      <c r="L4184" s="9"/>
      <c r="M4184" s="9"/>
      <c r="N4184" s="9"/>
      <c r="O4184" s="9"/>
      <c r="P4184" s="9"/>
      <c r="Q4184" s="9"/>
      <c r="R4184" s="9"/>
      <c r="S4184" s="9"/>
      <c r="T4184" s="9"/>
    </row>
    <row r="4185" ht="15.75" customHeight="1">
      <c r="A4185" s="11">
        <f>IFERROR(__xludf.DUMMYFUNCTION("""COMPUTED_VALUE"""),44471.0)</f>
        <v>44471</v>
      </c>
      <c r="B4185" s="9">
        <f>IFERROR(__xludf.DUMMYFUNCTION("""COMPUTED_VALUE"""),1003885.0)</f>
        <v>1003885</v>
      </c>
      <c r="C4185" s="9">
        <f>IFERROR(__xludf.DUMMYFUNCTION("""COMPUTED_VALUE"""),9737.0)</f>
        <v>9737</v>
      </c>
      <c r="D4185" s="9"/>
      <c r="E4185" s="9"/>
      <c r="F4185" s="9">
        <f>IFERROR(__xludf.DUMMYFUNCTION("""COMPUTED_VALUE"""),4.29)</f>
        <v>4.29</v>
      </c>
      <c r="G4185" s="9">
        <f>IFERROR(__xludf.DUMMYFUNCTION("""COMPUTED_VALUE"""),4.29)</f>
        <v>4.29</v>
      </c>
      <c r="H4185" s="9">
        <f>IFERROR(__xludf.DUMMYFUNCTION("""COMPUTED_VALUE"""),1.0)</f>
        <v>1</v>
      </c>
      <c r="I4185" s="9"/>
      <c r="J4185" s="9"/>
      <c r="K4185" s="9"/>
      <c r="L4185" s="9"/>
      <c r="M4185" s="9"/>
      <c r="N4185" s="9"/>
      <c r="O4185" s="9"/>
      <c r="P4185" s="9"/>
      <c r="Q4185" s="9"/>
      <c r="R4185" s="9"/>
      <c r="S4185" s="9"/>
      <c r="T4185" s="9"/>
    </row>
    <row r="4186" ht="15.75" customHeight="1">
      <c r="A4186" s="11">
        <f>IFERROR(__xludf.DUMMYFUNCTION("""COMPUTED_VALUE"""),44471.0)</f>
        <v>44471</v>
      </c>
      <c r="B4186" s="9">
        <f>IFERROR(__xludf.DUMMYFUNCTION("""COMPUTED_VALUE"""),1003885.0)</f>
        <v>1003885</v>
      </c>
      <c r="C4186" s="9">
        <f>IFERROR(__xludf.DUMMYFUNCTION("""COMPUTED_VALUE"""),115747.0)</f>
        <v>115747</v>
      </c>
      <c r="D4186" s="9"/>
      <c r="E4186" s="9"/>
      <c r="F4186" s="9">
        <f>IFERROR(__xludf.DUMMYFUNCTION("""COMPUTED_VALUE"""),4.06)</f>
        <v>4.06</v>
      </c>
      <c r="G4186" s="9">
        <f>IFERROR(__xludf.DUMMYFUNCTION("""COMPUTED_VALUE"""),4.06)</f>
        <v>4.06</v>
      </c>
      <c r="H4186" s="9">
        <f>IFERROR(__xludf.DUMMYFUNCTION("""COMPUTED_VALUE"""),1.0)</f>
        <v>1</v>
      </c>
      <c r="I4186" s="9"/>
      <c r="J4186" s="9"/>
      <c r="K4186" s="9"/>
      <c r="L4186" s="9"/>
      <c r="M4186" s="9"/>
      <c r="N4186" s="9"/>
      <c r="O4186" s="9"/>
      <c r="P4186" s="9"/>
      <c r="Q4186" s="9"/>
      <c r="R4186" s="9"/>
      <c r="S4186" s="9"/>
      <c r="T4186" s="9"/>
    </row>
    <row r="4187" ht="15.75" customHeight="1">
      <c r="A4187" s="11">
        <f>IFERROR(__xludf.DUMMYFUNCTION("""COMPUTED_VALUE"""),44471.0)</f>
        <v>44471</v>
      </c>
      <c r="B4187" s="9">
        <f>IFERROR(__xludf.DUMMYFUNCTION("""COMPUTED_VALUE"""),1003885.0)</f>
        <v>1003885</v>
      </c>
      <c r="C4187" s="9">
        <f>IFERROR(__xludf.DUMMYFUNCTION("""COMPUTED_VALUE"""),44125.0)</f>
        <v>44125</v>
      </c>
      <c r="D4187" s="9"/>
      <c r="E4187" s="9"/>
      <c r="F4187" s="9">
        <f>IFERROR(__xludf.DUMMYFUNCTION("""COMPUTED_VALUE"""),2.16)</f>
        <v>2.16</v>
      </c>
      <c r="G4187" s="9">
        <f>IFERROR(__xludf.DUMMYFUNCTION("""COMPUTED_VALUE"""),2.16)</f>
        <v>2.16</v>
      </c>
      <c r="H4187" s="9">
        <f>IFERROR(__xludf.DUMMYFUNCTION("""COMPUTED_VALUE"""),1.0)</f>
        <v>1</v>
      </c>
      <c r="I4187" s="9"/>
      <c r="J4187" s="9"/>
      <c r="K4187" s="9"/>
      <c r="L4187" s="9"/>
      <c r="M4187" s="9"/>
      <c r="N4187" s="9"/>
      <c r="O4187" s="9"/>
      <c r="P4187" s="9"/>
      <c r="Q4187" s="9"/>
      <c r="R4187" s="9"/>
      <c r="S4187" s="9"/>
      <c r="T4187" s="9"/>
    </row>
    <row r="4188" ht="15.75" customHeight="1">
      <c r="A4188" s="11">
        <f>IFERROR(__xludf.DUMMYFUNCTION("""COMPUTED_VALUE"""),44471.0)</f>
        <v>44471</v>
      </c>
      <c r="B4188" s="9">
        <f>IFERROR(__xludf.DUMMYFUNCTION("""COMPUTED_VALUE"""),1003885.0)</f>
        <v>1003885</v>
      </c>
      <c r="C4188" s="9">
        <f>IFERROR(__xludf.DUMMYFUNCTION("""COMPUTED_VALUE"""),46330.0)</f>
        <v>46330</v>
      </c>
      <c r="D4188" s="10" t="str">
        <f>IFERROR(__xludf.DUMMYFUNCTION("""COMPUTED_VALUE"""),"Vive le bio")</f>
        <v>Vive le bio</v>
      </c>
      <c r="E4188" s="10"/>
      <c r="F4188" s="9">
        <f>IFERROR(__xludf.DUMMYFUNCTION("""COMPUTED_VALUE"""),1.51111111111111)</f>
        <v>1.511111111</v>
      </c>
      <c r="G4188" s="9">
        <f>IFERROR(__xludf.DUMMYFUNCTION("""COMPUTED_VALUE"""),1.36)</f>
        <v>1.36</v>
      </c>
      <c r="H4188" s="9">
        <f>IFERROR(__xludf.DUMMYFUNCTION("""COMPUTED_VALUE"""),1.0)</f>
        <v>1</v>
      </c>
      <c r="I4188" s="9"/>
      <c r="J4188" s="9"/>
      <c r="K4188" s="9"/>
      <c r="L4188" s="9"/>
      <c r="M4188" s="9"/>
      <c r="N4188" s="9"/>
      <c r="O4188" s="9"/>
      <c r="P4188" s="9"/>
      <c r="Q4188" s="9"/>
      <c r="R4188" s="9"/>
      <c r="S4188" s="9"/>
      <c r="T4188" s="9"/>
    </row>
    <row r="4189" ht="15.75" customHeight="1">
      <c r="A4189" s="11">
        <f>IFERROR(__xludf.DUMMYFUNCTION("""COMPUTED_VALUE"""),44471.0)</f>
        <v>44471</v>
      </c>
      <c r="B4189" s="9">
        <f>IFERROR(__xludf.DUMMYFUNCTION("""COMPUTED_VALUE"""),1003885.0)</f>
        <v>1003885</v>
      </c>
      <c r="C4189" s="9">
        <f>IFERROR(__xludf.DUMMYFUNCTION("""COMPUTED_VALUE"""),44115.0)</f>
        <v>44115</v>
      </c>
      <c r="D4189" s="9"/>
      <c r="E4189" s="9"/>
      <c r="F4189" s="9">
        <f>IFERROR(__xludf.DUMMYFUNCTION("""COMPUTED_VALUE"""),2.41)</f>
        <v>2.41</v>
      </c>
      <c r="G4189" s="9">
        <f>IFERROR(__xludf.DUMMYFUNCTION("""COMPUTED_VALUE"""),2.41)</f>
        <v>2.41</v>
      </c>
      <c r="H4189" s="9">
        <f>IFERROR(__xludf.DUMMYFUNCTION("""COMPUTED_VALUE"""),2.0)</f>
        <v>2</v>
      </c>
      <c r="I4189" s="9"/>
      <c r="J4189" s="9"/>
      <c r="K4189" s="9"/>
      <c r="L4189" s="9"/>
      <c r="M4189" s="9"/>
      <c r="N4189" s="9"/>
      <c r="O4189" s="9"/>
      <c r="P4189" s="9"/>
      <c r="Q4189" s="9"/>
      <c r="R4189" s="9"/>
      <c r="S4189" s="9"/>
      <c r="T4189" s="9"/>
    </row>
    <row r="4190" ht="15.75" customHeight="1">
      <c r="A4190" s="11">
        <f>IFERROR(__xludf.DUMMYFUNCTION("""COMPUTED_VALUE"""),44471.0)</f>
        <v>44471</v>
      </c>
      <c r="B4190" s="9">
        <f>IFERROR(__xludf.DUMMYFUNCTION("""COMPUTED_VALUE"""),1003885.0)</f>
        <v>1003885</v>
      </c>
      <c r="C4190" s="9">
        <f>IFERROR(__xludf.DUMMYFUNCTION("""COMPUTED_VALUE"""),112462.0)</f>
        <v>112462</v>
      </c>
      <c r="D4190" s="10" t="str">
        <f>IFERROR(__xludf.DUMMYFUNCTION("""COMPUTED_VALUE"""),"Offre speciale")</f>
        <v>Offre speciale</v>
      </c>
      <c r="E4190" s="10"/>
      <c r="F4190" s="9">
        <f>IFERROR(__xludf.DUMMYFUNCTION("""COMPUTED_VALUE"""),3.67058823529411)</f>
        <v>3.670588235</v>
      </c>
      <c r="G4190" s="9">
        <f>IFERROR(__xludf.DUMMYFUNCTION("""COMPUTED_VALUE"""),3.12)</f>
        <v>3.12</v>
      </c>
      <c r="H4190" s="9">
        <f>IFERROR(__xludf.DUMMYFUNCTION("""COMPUTED_VALUE"""),2.0)</f>
        <v>2</v>
      </c>
      <c r="I4190" s="9"/>
      <c r="J4190" s="9"/>
      <c r="K4190" s="9"/>
      <c r="L4190" s="9"/>
      <c r="M4190" s="9"/>
      <c r="N4190" s="9"/>
      <c r="O4190" s="9"/>
      <c r="P4190" s="9"/>
      <c r="Q4190" s="9"/>
      <c r="R4190" s="9"/>
      <c r="S4190" s="9"/>
      <c r="T4190" s="9"/>
    </row>
    <row r="4191" ht="15.75" customHeight="1">
      <c r="A4191" s="11">
        <f>IFERROR(__xludf.DUMMYFUNCTION("""COMPUTED_VALUE"""),44471.0)</f>
        <v>44471</v>
      </c>
      <c r="B4191" s="9">
        <f>IFERROR(__xludf.DUMMYFUNCTION("""COMPUTED_VALUE"""),1003885.0)</f>
        <v>1003885</v>
      </c>
      <c r="C4191" s="9">
        <f>IFERROR(__xludf.DUMMYFUNCTION("""COMPUTED_VALUE"""),77175.0)</f>
        <v>77175</v>
      </c>
      <c r="D4191" s="10" t="str">
        <f>IFERROR(__xludf.DUMMYFUNCTION("""COMPUTED_VALUE"""),"Vive le bio")</f>
        <v>Vive le bio</v>
      </c>
      <c r="E4191" s="10"/>
      <c r="F4191" s="9">
        <f>IFERROR(__xludf.DUMMYFUNCTION("""COMPUTED_VALUE"""),2.51111111111111)</f>
        <v>2.511111111</v>
      </c>
      <c r="G4191" s="9">
        <f>IFERROR(__xludf.DUMMYFUNCTION("""COMPUTED_VALUE"""),2.26)</f>
        <v>2.26</v>
      </c>
      <c r="H4191" s="9">
        <f>IFERROR(__xludf.DUMMYFUNCTION("""COMPUTED_VALUE"""),2.0)</f>
        <v>2</v>
      </c>
      <c r="I4191" s="9"/>
      <c r="J4191" s="9"/>
      <c r="K4191" s="9"/>
      <c r="L4191" s="9"/>
      <c r="M4191" s="9"/>
      <c r="N4191" s="9"/>
      <c r="O4191" s="9"/>
      <c r="P4191" s="9"/>
      <c r="Q4191" s="9"/>
      <c r="R4191" s="9"/>
      <c r="S4191" s="9"/>
      <c r="T4191" s="9"/>
    </row>
    <row r="4192" ht="15.75" customHeight="1">
      <c r="A4192" s="11">
        <f>IFERROR(__xludf.DUMMYFUNCTION("""COMPUTED_VALUE"""),44471.0)</f>
        <v>44471</v>
      </c>
      <c r="B4192" s="9">
        <f>IFERROR(__xludf.DUMMYFUNCTION("""COMPUTED_VALUE"""),1003885.0)</f>
        <v>1003885</v>
      </c>
      <c r="C4192" s="9">
        <f>IFERROR(__xludf.DUMMYFUNCTION("""COMPUTED_VALUE"""),44118.0)</f>
        <v>44118</v>
      </c>
      <c r="D4192" s="9"/>
      <c r="E4192" s="9"/>
      <c r="F4192" s="9">
        <f>IFERROR(__xludf.DUMMYFUNCTION("""COMPUTED_VALUE"""),2.71)</f>
        <v>2.71</v>
      </c>
      <c r="G4192" s="9">
        <f>IFERROR(__xludf.DUMMYFUNCTION("""COMPUTED_VALUE"""),2.71)</f>
        <v>2.71</v>
      </c>
      <c r="H4192" s="9">
        <f>IFERROR(__xludf.DUMMYFUNCTION("""COMPUTED_VALUE"""),2.0)</f>
        <v>2</v>
      </c>
      <c r="I4192" s="9"/>
      <c r="J4192" s="9"/>
      <c r="K4192" s="9"/>
      <c r="L4192" s="9"/>
      <c r="M4192" s="9"/>
      <c r="N4192" s="9"/>
      <c r="O4192" s="9"/>
      <c r="P4192" s="9"/>
      <c r="Q4192" s="9"/>
      <c r="R4192" s="9"/>
      <c r="S4192" s="9"/>
      <c r="T4192" s="9"/>
    </row>
    <row r="4193" ht="15.75" customHeight="1">
      <c r="A4193" s="11">
        <f>IFERROR(__xludf.DUMMYFUNCTION("""COMPUTED_VALUE"""),44471.0)</f>
        <v>44471</v>
      </c>
      <c r="B4193" s="9">
        <f>IFERROR(__xludf.DUMMYFUNCTION("""COMPUTED_VALUE"""),1003885.0)</f>
        <v>1003885</v>
      </c>
      <c r="C4193" s="9">
        <f>IFERROR(__xludf.DUMMYFUNCTION("""COMPUTED_VALUE"""),83272.0)</f>
        <v>83272</v>
      </c>
      <c r="D4193" s="9"/>
      <c r="E4193" s="9"/>
      <c r="F4193" s="9">
        <f>IFERROR(__xludf.DUMMYFUNCTION("""COMPUTED_VALUE"""),7.94)</f>
        <v>7.94</v>
      </c>
      <c r="G4193" s="9">
        <f>IFERROR(__xludf.DUMMYFUNCTION("""COMPUTED_VALUE"""),7.94)</f>
        <v>7.94</v>
      </c>
      <c r="H4193" s="9">
        <f>IFERROR(__xludf.DUMMYFUNCTION("""COMPUTED_VALUE"""),2.0)</f>
        <v>2</v>
      </c>
      <c r="I4193" s="9"/>
      <c r="J4193" s="9"/>
      <c r="K4193" s="9"/>
      <c r="L4193" s="9"/>
      <c r="M4193" s="9"/>
      <c r="N4193" s="9"/>
      <c r="O4193" s="9"/>
      <c r="P4193" s="9"/>
      <c r="Q4193" s="9"/>
      <c r="R4193" s="9"/>
      <c r="S4193" s="9"/>
      <c r="T4193" s="9"/>
    </row>
    <row r="4194" ht="15.75" customHeight="1">
      <c r="A4194" s="11">
        <f>IFERROR(__xludf.DUMMYFUNCTION("""COMPUTED_VALUE"""),44471.0)</f>
        <v>44471</v>
      </c>
      <c r="B4194" s="9">
        <f>IFERROR(__xludf.DUMMYFUNCTION("""COMPUTED_VALUE"""),1003885.0)</f>
        <v>1003885</v>
      </c>
      <c r="C4194" s="9">
        <f>IFERROR(__xludf.DUMMYFUNCTION("""COMPUTED_VALUE"""),121868.0)</f>
        <v>121868</v>
      </c>
      <c r="D4194" s="9"/>
      <c r="E4194" s="9"/>
      <c r="F4194" s="9">
        <f>IFERROR(__xludf.DUMMYFUNCTION("""COMPUTED_VALUE"""),19.11)</f>
        <v>19.11</v>
      </c>
      <c r="G4194" s="9">
        <f>IFERROR(__xludf.DUMMYFUNCTION("""COMPUTED_VALUE"""),19.11)</f>
        <v>19.11</v>
      </c>
      <c r="H4194" s="9">
        <f>IFERROR(__xludf.DUMMYFUNCTION("""COMPUTED_VALUE"""),3.0)</f>
        <v>3</v>
      </c>
      <c r="I4194" s="9"/>
      <c r="J4194" s="9"/>
      <c r="K4194" s="9"/>
      <c r="L4194" s="9"/>
      <c r="M4194" s="9"/>
      <c r="N4194" s="9"/>
      <c r="O4194" s="9"/>
      <c r="P4194" s="9"/>
      <c r="Q4194" s="9"/>
      <c r="R4194" s="9"/>
      <c r="S4194" s="9"/>
      <c r="T4194" s="9"/>
    </row>
    <row r="4195" ht="15.75" customHeight="1">
      <c r="A4195" s="11">
        <f>IFERROR(__xludf.DUMMYFUNCTION("""COMPUTED_VALUE"""),44471.0)</f>
        <v>44471</v>
      </c>
      <c r="B4195" s="9">
        <f>IFERROR(__xludf.DUMMYFUNCTION("""COMPUTED_VALUE"""),1003885.0)</f>
        <v>1003885</v>
      </c>
      <c r="C4195" s="9">
        <f>IFERROR(__xludf.DUMMYFUNCTION("""COMPUTED_VALUE"""),113741.0)</f>
        <v>113741</v>
      </c>
      <c r="D4195" s="9"/>
      <c r="E4195" s="9"/>
      <c r="F4195" s="9">
        <f>IFERROR(__xludf.DUMMYFUNCTION("""COMPUTED_VALUE"""),10.43)</f>
        <v>10.43</v>
      </c>
      <c r="G4195" s="9">
        <f>IFERROR(__xludf.DUMMYFUNCTION("""COMPUTED_VALUE"""),10.43)</f>
        <v>10.43</v>
      </c>
      <c r="H4195" s="9">
        <f>IFERROR(__xludf.DUMMYFUNCTION("""COMPUTED_VALUE"""),3.0)</f>
        <v>3</v>
      </c>
      <c r="I4195" s="9"/>
      <c r="J4195" s="9"/>
      <c r="K4195" s="9"/>
      <c r="L4195" s="9"/>
      <c r="M4195" s="9"/>
      <c r="N4195" s="9"/>
      <c r="O4195" s="9"/>
      <c r="P4195" s="9"/>
      <c r="Q4195" s="9"/>
      <c r="R4195" s="9"/>
      <c r="S4195" s="9"/>
      <c r="T4195" s="9"/>
    </row>
    <row r="4196" ht="15.75" customHeight="1">
      <c r="A4196" s="11">
        <f>IFERROR(__xludf.DUMMYFUNCTION("""COMPUTED_VALUE"""),44471.0)</f>
        <v>44471</v>
      </c>
      <c r="B4196" s="9">
        <f>IFERROR(__xludf.DUMMYFUNCTION("""COMPUTED_VALUE"""),1003885.0)</f>
        <v>1003885</v>
      </c>
      <c r="C4196" s="9">
        <f>IFERROR(__xludf.DUMMYFUNCTION("""COMPUTED_VALUE"""),110575.0)</f>
        <v>110575</v>
      </c>
      <c r="D4196" s="9"/>
      <c r="E4196" s="9"/>
      <c r="F4196" s="9">
        <f>IFERROR(__xludf.DUMMYFUNCTION("""COMPUTED_VALUE"""),5.66)</f>
        <v>5.66</v>
      </c>
      <c r="G4196" s="9">
        <f>IFERROR(__xludf.DUMMYFUNCTION("""COMPUTED_VALUE"""),5.66)</f>
        <v>5.66</v>
      </c>
      <c r="H4196" s="9">
        <f>IFERROR(__xludf.DUMMYFUNCTION("""COMPUTED_VALUE"""),3.0)</f>
        <v>3</v>
      </c>
      <c r="I4196" s="9"/>
      <c r="J4196" s="9"/>
      <c r="K4196" s="9"/>
      <c r="L4196" s="9"/>
      <c r="M4196" s="9"/>
      <c r="N4196" s="9"/>
      <c r="O4196" s="9"/>
      <c r="P4196" s="9"/>
      <c r="Q4196" s="9"/>
      <c r="R4196" s="9"/>
      <c r="S4196" s="9"/>
      <c r="T4196" s="9"/>
    </row>
    <row r="4197" ht="15.75" customHeight="1">
      <c r="A4197" s="11">
        <f>IFERROR(__xludf.DUMMYFUNCTION("""COMPUTED_VALUE"""),44471.0)</f>
        <v>44471</v>
      </c>
      <c r="B4197" s="9">
        <f>IFERROR(__xludf.DUMMYFUNCTION("""COMPUTED_VALUE"""),1003885.0)</f>
        <v>1003885</v>
      </c>
      <c r="C4197" s="9">
        <f>IFERROR(__xludf.DUMMYFUNCTION("""COMPUTED_VALUE"""),77293.0)</f>
        <v>77293</v>
      </c>
      <c r="D4197" s="10" t="str">
        <f>IFERROR(__xludf.DUMMYFUNCTION("""COMPUTED_VALUE"""),"Offre speciale")</f>
        <v>Offre speciale</v>
      </c>
      <c r="E4197" s="10"/>
      <c r="F4197" s="9">
        <f>IFERROR(__xludf.DUMMYFUNCTION("""COMPUTED_VALUE"""),10.8588235294117)</f>
        <v>10.85882353</v>
      </c>
      <c r="G4197" s="9">
        <f>IFERROR(__xludf.DUMMYFUNCTION("""COMPUTED_VALUE"""),9.23)</f>
        <v>9.23</v>
      </c>
      <c r="H4197" s="9">
        <f>IFERROR(__xludf.DUMMYFUNCTION("""COMPUTED_VALUE"""),3.0)</f>
        <v>3</v>
      </c>
      <c r="I4197" s="9"/>
      <c r="J4197" s="9"/>
      <c r="K4197" s="9"/>
      <c r="L4197" s="9"/>
      <c r="M4197" s="9"/>
      <c r="N4197" s="9"/>
      <c r="O4197" s="9"/>
      <c r="P4197" s="9"/>
      <c r="Q4197" s="9"/>
      <c r="R4197" s="9"/>
      <c r="S4197" s="9"/>
      <c r="T4197" s="9"/>
    </row>
    <row r="4198" ht="15.75" customHeight="1">
      <c r="A4198" s="11">
        <f>IFERROR(__xludf.DUMMYFUNCTION("""COMPUTED_VALUE"""),44471.0)</f>
        <v>44471</v>
      </c>
      <c r="B4198" s="9">
        <f>IFERROR(__xludf.DUMMYFUNCTION("""COMPUTED_VALUE"""),1003885.0)</f>
        <v>1003885</v>
      </c>
      <c r="C4198" s="9">
        <f>IFERROR(__xludf.DUMMYFUNCTION("""COMPUTED_VALUE"""),129473.0)</f>
        <v>129473</v>
      </c>
      <c r="D4198" s="9"/>
      <c r="E4198" s="9"/>
      <c r="F4198" s="9">
        <f>IFERROR(__xludf.DUMMYFUNCTION("""COMPUTED_VALUE"""),14.21)</f>
        <v>14.21</v>
      </c>
      <c r="G4198" s="9">
        <f>IFERROR(__xludf.DUMMYFUNCTION("""COMPUTED_VALUE"""),14.21)</f>
        <v>14.21</v>
      </c>
      <c r="H4198" s="9">
        <f>IFERROR(__xludf.DUMMYFUNCTION("""COMPUTED_VALUE"""),3.0)</f>
        <v>3</v>
      </c>
      <c r="I4198" s="9"/>
      <c r="J4198" s="9"/>
      <c r="K4198" s="9"/>
      <c r="L4198" s="9"/>
      <c r="M4198" s="9"/>
      <c r="N4198" s="9"/>
      <c r="O4198" s="9"/>
      <c r="P4198" s="9"/>
      <c r="Q4198" s="9"/>
      <c r="R4198" s="9"/>
      <c r="S4198" s="9"/>
      <c r="T4198" s="9"/>
    </row>
    <row r="4199" ht="15.75" customHeight="1">
      <c r="A4199" s="11">
        <f>IFERROR(__xludf.DUMMYFUNCTION("""COMPUTED_VALUE"""),44471.0)</f>
        <v>44471</v>
      </c>
      <c r="B4199" s="9">
        <f>IFERROR(__xludf.DUMMYFUNCTION("""COMPUTED_VALUE"""),1003885.0)</f>
        <v>1003885</v>
      </c>
      <c r="C4199" s="9">
        <f>IFERROR(__xludf.DUMMYFUNCTION("""COMPUTED_VALUE"""),118206.0)</f>
        <v>118206</v>
      </c>
      <c r="D4199" s="9"/>
      <c r="E4199" s="9"/>
      <c r="F4199" s="9">
        <f>IFERROR(__xludf.DUMMYFUNCTION("""COMPUTED_VALUE"""),8.53)</f>
        <v>8.53</v>
      </c>
      <c r="G4199" s="9">
        <f>IFERROR(__xludf.DUMMYFUNCTION("""COMPUTED_VALUE"""),8.53)</f>
        <v>8.53</v>
      </c>
      <c r="H4199" s="9">
        <f>IFERROR(__xludf.DUMMYFUNCTION("""COMPUTED_VALUE"""),4.0)</f>
        <v>4</v>
      </c>
      <c r="I4199" s="9"/>
      <c r="J4199" s="9"/>
      <c r="K4199" s="9"/>
      <c r="L4199" s="9"/>
      <c r="M4199" s="9"/>
      <c r="N4199" s="9"/>
      <c r="O4199" s="9"/>
      <c r="P4199" s="9"/>
      <c r="Q4199" s="9"/>
      <c r="R4199" s="9"/>
      <c r="S4199" s="9"/>
      <c r="T4199" s="9"/>
    </row>
    <row r="4200" ht="15.75" customHeight="1">
      <c r="A4200" s="11">
        <f>IFERROR(__xludf.DUMMYFUNCTION("""COMPUTED_VALUE"""),44471.0)</f>
        <v>44471</v>
      </c>
      <c r="B4200" s="9">
        <f>IFERROR(__xludf.DUMMYFUNCTION("""COMPUTED_VALUE"""),1003885.0)</f>
        <v>1003885</v>
      </c>
      <c r="C4200" s="9">
        <f>IFERROR(__xludf.DUMMYFUNCTION("""COMPUTED_VALUE"""),106725.0)</f>
        <v>106725</v>
      </c>
      <c r="D4200" s="10" t="str">
        <f>IFERROR(__xludf.DUMMYFUNCTION("""COMPUTED_VALUE"""),"Vive le bio")</f>
        <v>Vive le bio</v>
      </c>
      <c r="E4200" s="10"/>
      <c r="F4200" s="9">
        <f>IFERROR(__xludf.DUMMYFUNCTION("""COMPUTED_VALUE"""),13.4555555555555)</f>
        <v>13.45555556</v>
      </c>
      <c r="G4200" s="9">
        <f>IFERROR(__xludf.DUMMYFUNCTION("""COMPUTED_VALUE"""),12.11)</f>
        <v>12.11</v>
      </c>
      <c r="H4200" s="9">
        <f>IFERROR(__xludf.DUMMYFUNCTION("""COMPUTED_VALUE"""),4.0)</f>
        <v>4</v>
      </c>
      <c r="I4200" s="9"/>
      <c r="J4200" s="9"/>
      <c r="K4200" s="9"/>
      <c r="L4200" s="9"/>
      <c r="M4200" s="9"/>
      <c r="N4200" s="9"/>
      <c r="O4200" s="9"/>
      <c r="P4200" s="9"/>
      <c r="Q4200" s="9"/>
      <c r="R4200" s="9"/>
      <c r="S4200" s="9"/>
      <c r="T4200" s="9"/>
    </row>
    <row r="4201" ht="15.75" customHeight="1">
      <c r="A4201" s="11">
        <f>IFERROR(__xludf.DUMMYFUNCTION("""COMPUTED_VALUE"""),44471.0)</f>
        <v>44471</v>
      </c>
      <c r="B4201" s="9">
        <f>IFERROR(__xludf.DUMMYFUNCTION("""COMPUTED_VALUE"""),1003885.0)</f>
        <v>1003885</v>
      </c>
      <c r="C4201" s="9">
        <f>IFERROR(__xludf.DUMMYFUNCTION("""COMPUTED_VALUE"""),118195.0)</f>
        <v>118195</v>
      </c>
      <c r="D4201" s="9"/>
      <c r="E4201" s="9"/>
      <c r="F4201" s="9">
        <f>IFERROR(__xludf.DUMMYFUNCTION("""COMPUTED_VALUE"""),9.67)</f>
        <v>9.67</v>
      </c>
      <c r="G4201" s="9">
        <f>IFERROR(__xludf.DUMMYFUNCTION("""COMPUTED_VALUE"""),9.67)</f>
        <v>9.67</v>
      </c>
      <c r="H4201" s="9">
        <f>IFERROR(__xludf.DUMMYFUNCTION("""COMPUTED_VALUE"""),4.0)</f>
        <v>4</v>
      </c>
      <c r="I4201" s="9"/>
      <c r="J4201" s="9"/>
      <c r="K4201" s="9"/>
      <c r="L4201" s="9"/>
      <c r="M4201" s="9"/>
      <c r="N4201" s="9"/>
      <c r="O4201" s="9"/>
      <c r="P4201" s="9"/>
      <c r="Q4201" s="9"/>
      <c r="R4201" s="9"/>
      <c r="S4201" s="9"/>
      <c r="T4201" s="9"/>
    </row>
    <row r="4202" ht="15.75" customHeight="1">
      <c r="A4202" s="11">
        <f>IFERROR(__xludf.DUMMYFUNCTION("""COMPUTED_VALUE"""),44471.0)</f>
        <v>44471</v>
      </c>
      <c r="B4202" s="9">
        <f>IFERROR(__xludf.DUMMYFUNCTION("""COMPUTED_VALUE"""),1003887.0)</f>
        <v>1003887</v>
      </c>
      <c r="C4202" s="9">
        <f>IFERROR(__xludf.DUMMYFUNCTION("""COMPUTED_VALUE"""),114252.0)</f>
        <v>114252</v>
      </c>
      <c r="D4202" s="9"/>
      <c r="E4202" s="9"/>
      <c r="F4202" s="9">
        <f>IFERROR(__xludf.DUMMYFUNCTION("""COMPUTED_VALUE"""),45.71)</f>
        <v>45.71</v>
      </c>
      <c r="G4202" s="9">
        <f>IFERROR(__xludf.DUMMYFUNCTION("""COMPUTED_VALUE"""),45.71)</f>
        <v>45.71</v>
      </c>
      <c r="H4202" s="9">
        <f>IFERROR(__xludf.DUMMYFUNCTION("""COMPUTED_VALUE"""),3.0)</f>
        <v>3</v>
      </c>
      <c r="I4202" s="9"/>
      <c r="J4202" s="9"/>
      <c r="K4202" s="9"/>
      <c r="L4202" s="9"/>
      <c r="M4202" s="9"/>
      <c r="N4202" s="9"/>
      <c r="O4202" s="9"/>
      <c r="P4202" s="9"/>
      <c r="Q4202" s="9"/>
      <c r="R4202" s="9"/>
      <c r="S4202" s="9"/>
      <c r="T4202" s="9"/>
    </row>
    <row r="4203" ht="15.75" customHeight="1">
      <c r="A4203" s="11">
        <f>IFERROR(__xludf.DUMMYFUNCTION("""COMPUTED_VALUE"""),44471.0)</f>
        <v>44471</v>
      </c>
      <c r="B4203" s="9">
        <f>IFERROR(__xludf.DUMMYFUNCTION("""COMPUTED_VALUE"""),1003887.0)</f>
        <v>1003887</v>
      </c>
      <c r="C4203" s="9">
        <f>IFERROR(__xludf.DUMMYFUNCTION("""COMPUTED_VALUE"""),101316.0)</f>
        <v>101316</v>
      </c>
      <c r="D4203" s="10" t="str">
        <f>IFERROR(__xludf.DUMMYFUNCTION("""COMPUTED_VALUE"""),"Natur'vox Carryboo couches Sept 21")</f>
        <v>Natur'vox Carryboo couches Sept 21</v>
      </c>
      <c r="E4203" s="10"/>
      <c r="F4203" s="9">
        <f>IFERROR(__xludf.DUMMYFUNCTION("""COMPUTED_VALUE"""),34.12)</f>
        <v>34.12</v>
      </c>
      <c r="G4203" s="9">
        <f>IFERROR(__xludf.DUMMYFUNCTION("""COMPUTED_VALUE"""),25.59)</f>
        <v>25.59</v>
      </c>
      <c r="H4203" s="9">
        <f>IFERROR(__xludf.DUMMYFUNCTION("""COMPUTED_VALUE"""),4.0)</f>
        <v>4</v>
      </c>
      <c r="I4203" s="9"/>
      <c r="J4203" s="9"/>
      <c r="K4203" s="9"/>
      <c r="L4203" s="9"/>
      <c r="M4203" s="9"/>
      <c r="N4203" s="9"/>
      <c r="O4203" s="9"/>
      <c r="P4203" s="9"/>
      <c r="Q4203" s="9"/>
      <c r="R4203" s="9"/>
      <c r="S4203" s="9"/>
      <c r="T4203" s="9"/>
    </row>
    <row r="4204" ht="15.75" customHeight="1">
      <c r="A4204" s="11">
        <f>IFERROR(__xludf.DUMMYFUNCTION("""COMPUTED_VALUE"""),44471.0)</f>
        <v>44471</v>
      </c>
      <c r="B4204" s="9">
        <f>IFERROR(__xludf.DUMMYFUNCTION("""COMPUTED_VALUE"""),1003887.0)</f>
        <v>1003887</v>
      </c>
      <c r="C4204" s="9">
        <f>IFERROR(__xludf.DUMMYFUNCTION("""COMPUTED_VALUE"""),117736.0)</f>
        <v>117736</v>
      </c>
      <c r="D4204" s="9"/>
      <c r="E4204" s="9"/>
      <c r="F4204" s="9">
        <f>IFERROR(__xludf.DUMMYFUNCTION("""COMPUTED_VALUE"""),30.17)</f>
        <v>30.17</v>
      </c>
      <c r="G4204" s="9">
        <f>IFERROR(__xludf.DUMMYFUNCTION("""COMPUTED_VALUE"""),30.17)</f>
        <v>30.17</v>
      </c>
      <c r="H4204" s="9">
        <f>IFERROR(__xludf.DUMMYFUNCTION("""COMPUTED_VALUE"""),4.0)</f>
        <v>4</v>
      </c>
      <c r="I4204" s="9"/>
      <c r="J4204" s="9"/>
      <c r="K4204" s="9"/>
      <c r="L4204" s="9"/>
      <c r="M4204" s="9"/>
      <c r="N4204" s="9"/>
      <c r="O4204" s="9"/>
      <c r="P4204" s="9"/>
      <c r="Q4204" s="9"/>
      <c r="R4204" s="9"/>
      <c r="S4204" s="9"/>
      <c r="T4204" s="9"/>
    </row>
    <row r="4205" ht="15.75" customHeight="1">
      <c r="A4205" s="11">
        <f>IFERROR(__xludf.DUMMYFUNCTION("""COMPUTED_VALUE"""),44471.0)</f>
        <v>44471</v>
      </c>
      <c r="B4205" s="9">
        <f>IFERROR(__xludf.DUMMYFUNCTION("""COMPUTED_VALUE"""),1003887.0)</f>
        <v>1003887</v>
      </c>
      <c r="C4205" s="9">
        <f>IFERROR(__xludf.DUMMYFUNCTION("""COMPUTED_VALUE"""),117735.0)</f>
        <v>117735</v>
      </c>
      <c r="D4205" s="9"/>
      <c r="E4205" s="9"/>
      <c r="F4205" s="9">
        <f>IFERROR(__xludf.DUMMYFUNCTION("""COMPUTED_VALUE"""),30.67)</f>
        <v>30.67</v>
      </c>
      <c r="G4205" s="9">
        <f>IFERROR(__xludf.DUMMYFUNCTION("""COMPUTED_VALUE"""),30.67)</f>
        <v>30.67</v>
      </c>
      <c r="H4205" s="9">
        <f>IFERROR(__xludf.DUMMYFUNCTION("""COMPUTED_VALUE"""),4.0)</f>
        <v>4</v>
      </c>
      <c r="I4205" s="9"/>
      <c r="J4205" s="9"/>
      <c r="K4205" s="9"/>
      <c r="L4205" s="9"/>
      <c r="M4205" s="9"/>
      <c r="N4205" s="9"/>
      <c r="O4205" s="9"/>
      <c r="P4205" s="9"/>
      <c r="Q4205" s="9"/>
      <c r="R4205" s="9"/>
      <c r="S4205" s="9"/>
      <c r="T4205" s="9"/>
    </row>
    <row r="4206" ht="15.75" customHeight="1">
      <c r="A4206" s="11">
        <f>IFERROR(__xludf.DUMMYFUNCTION("""COMPUTED_VALUE"""),44471.0)</f>
        <v>44471</v>
      </c>
      <c r="B4206" s="9">
        <f>IFERROR(__xludf.DUMMYFUNCTION("""COMPUTED_VALUE"""),1003888.0)</f>
        <v>1003888</v>
      </c>
      <c r="C4206" s="9">
        <f>IFERROR(__xludf.DUMMYFUNCTION("""COMPUTED_VALUE"""),84092.0)</f>
        <v>84092</v>
      </c>
      <c r="D4206" s="9"/>
      <c r="E4206" s="9"/>
      <c r="F4206" s="9">
        <f>IFERROR(__xludf.DUMMYFUNCTION("""COMPUTED_VALUE"""),42.83)</f>
        <v>42.83</v>
      </c>
      <c r="G4206" s="9">
        <f>IFERROR(__xludf.DUMMYFUNCTION("""COMPUTED_VALUE"""),42.83)</f>
        <v>42.83</v>
      </c>
      <c r="H4206" s="9">
        <f>IFERROR(__xludf.DUMMYFUNCTION("""COMPUTED_VALUE"""),5.0)</f>
        <v>5</v>
      </c>
      <c r="I4206" s="9"/>
      <c r="J4206" s="9"/>
      <c r="K4206" s="9"/>
      <c r="L4206" s="9"/>
      <c r="M4206" s="9"/>
      <c r="N4206" s="9"/>
      <c r="O4206" s="9"/>
      <c r="P4206" s="9"/>
      <c r="Q4206" s="9"/>
      <c r="R4206" s="9"/>
      <c r="S4206" s="9"/>
      <c r="T4206" s="9"/>
    </row>
    <row r="4207" ht="15.75" customHeight="1">
      <c r="A4207" s="11">
        <f>IFERROR(__xludf.DUMMYFUNCTION("""COMPUTED_VALUE"""),44471.0)</f>
        <v>44471</v>
      </c>
      <c r="B4207" s="9">
        <f>IFERROR(__xludf.DUMMYFUNCTION("""COMPUTED_VALUE"""),1003889.0)</f>
        <v>1003889</v>
      </c>
      <c r="C4207" s="9">
        <f>IFERROR(__xludf.DUMMYFUNCTION("""COMPUTED_VALUE"""),71830.0)</f>
        <v>71830</v>
      </c>
      <c r="D4207" s="10" t="str">
        <f>IFERROR(__xludf.DUMMYFUNCTION("""COMPUTED_VALUE"""),"Vive le bio")</f>
        <v>Vive le bio</v>
      </c>
      <c r="E4207" s="10"/>
      <c r="F4207" s="9">
        <f>IFERROR(__xludf.DUMMYFUNCTION("""COMPUTED_VALUE"""),3.71111111111111)</f>
        <v>3.711111111</v>
      </c>
      <c r="G4207" s="9">
        <f>IFERROR(__xludf.DUMMYFUNCTION("""COMPUTED_VALUE"""),3.34)</f>
        <v>3.34</v>
      </c>
      <c r="H4207" s="9">
        <f>IFERROR(__xludf.DUMMYFUNCTION("""COMPUTED_VALUE"""),1.0)</f>
        <v>1</v>
      </c>
      <c r="I4207" s="9"/>
      <c r="J4207" s="9"/>
      <c r="K4207" s="9"/>
      <c r="L4207" s="9"/>
      <c r="M4207" s="9"/>
      <c r="N4207" s="9"/>
      <c r="O4207" s="9"/>
      <c r="P4207" s="9"/>
      <c r="Q4207" s="9"/>
      <c r="R4207" s="9"/>
      <c r="S4207" s="9"/>
      <c r="T4207" s="9"/>
    </row>
    <row r="4208" ht="15.75" customHeight="1">
      <c r="A4208" s="11">
        <f>IFERROR(__xludf.DUMMYFUNCTION("""COMPUTED_VALUE"""),44471.0)</f>
        <v>44471</v>
      </c>
      <c r="B4208" s="9">
        <f>IFERROR(__xludf.DUMMYFUNCTION("""COMPUTED_VALUE"""),1003889.0)</f>
        <v>1003889</v>
      </c>
      <c r="C4208" s="9">
        <f>IFERROR(__xludf.DUMMYFUNCTION("""COMPUTED_VALUE"""),17065.0)</f>
        <v>17065</v>
      </c>
      <c r="D4208" s="9"/>
      <c r="E4208" s="9"/>
      <c r="F4208" s="9">
        <f>IFERROR(__xludf.DUMMYFUNCTION("""COMPUTED_VALUE"""),1.94)</f>
        <v>1.94</v>
      </c>
      <c r="G4208" s="9">
        <f>IFERROR(__xludf.DUMMYFUNCTION("""COMPUTED_VALUE"""),1.94)</f>
        <v>1.94</v>
      </c>
      <c r="H4208" s="9">
        <f>IFERROR(__xludf.DUMMYFUNCTION("""COMPUTED_VALUE"""),1.0)</f>
        <v>1</v>
      </c>
      <c r="I4208" s="9"/>
      <c r="J4208" s="9"/>
      <c r="K4208" s="9"/>
      <c r="L4208" s="9"/>
      <c r="M4208" s="9"/>
      <c r="N4208" s="9"/>
      <c r="O4208" s="9"/>
      <c r="P4208" s="9"/>
      <c r="Q4208" s="9"/>
      <c r="R4208" s="9"/>
      <c r="S4208" s="9"/>
      <c r="T4208" s="9"/>
    </row>
    <row r="4209" ht="15.75" customHeight="1">
      <c r="A4209" s="11">
        <f>IFERROR(__xludf.DUMMYFUNCTION("""COMPUTED_VALUE"""),44471.0)</f>
        <v>44471</v>
      </c>
      <c r="B4209" s="9">
        <f>IFERROR(__xludf.DUMMYFUNCTION("""COMPUTED_VALUE"""),1003889.0)</f>
        <v>1003889</v>
      </c>
      <c r="C4209" s="9">
        <f>IFERROR(__xludf.DUMMYFUNCTION("""COMPUTED_VALUE"""),111173.0)</f>
        <v>111173</v>
      </c>
      <c r="D4209" s="10" t="str">
        <f>IFERROR(__xludf.DUMMYFUNCTION("""COMPUTED_VALUE"""),"Vive le bio")</f>
        <v>Vive le bio</v>
      </c>
      <c r="E4209" s="10"/>
      <c r="F4209" s="9">
        <f>IFERROR(__xludf.DUMMYFUNCTION("""COMPUTED_VALUE"""),3.45555555555555)</f>
        <v>3.455555556</v>
      </c>
      <c r="G4209" s="9">
        <f>IFERROR(__xludf.DUMMYFUNCTION("""COMPUTED_VALUE"""),3.11)</f>
        <v>3.11</v>
      </c>
      <c r="H4209" s="9">
        <f>IFERROR(__xludf.DUMMYFUNCTION("""COMPUTED_VALUE"""),1.0)</f>
        <v>1</v>
      </c>
      <c r="I4209" s="9"/>
      <c r="J4209" s="9"/>
      <c r="K4209" s="9"/>
      <c r="L4209" s="9"/>
      <c r="M4209" s="9"/>
      <c r="N4209" s="9"/>
      <c r="O4209" s="9"/>
      <c r="P4209" s="9"/>
      <c r="Q4209" s="9"/>
      <c r="R4209" s="9"/>
      <c r="S4209" s="9"/>
      <c r="T4209" s="9"/>
    </row>
    <row r="4210" ht="15.75" customHeight="1">
      <c r="A4210" s="11">
        <f>IFERROR(__xludf.DUMMYFUNCTION("""COMPUTED_VALUE"""),44471.0)</f>
        <v>44471</v>
      </c>
      <c r="B4210" s="9">
        <f>IFERROR(__xludf.DUMMYFUNCTION("""COMPUTED_VALUE"""),1003889.0)</f>
        <v>1003889</v>
      </c>
      <c r="C4210" s="9">
        <f>IFERROR(__xludf.DUMMYFUNCTION("""COMPUTED_VALUE"""),144008.0)</f>
        <v>144008</v>
      </c>
      <c r="D4210" s="9"/>
      <c r="E4210" s="9"/>
      <c r="F4210" s="9">
        <f>IFERROR(__xludf.DUMMYFUNCTION("""COMPUTED_VALUE"""),3.43)</f>
        <v>3.43</v>
      </c>
      <c r="G4210" s="9">
        <f>IFERROR(__xludf.DUMMYFUNCTION("""COMPUTED_VALUE"""),3.43)</f>
        <v>3.43</v>
      </c>
      <c r="H4210" s="9">
        <f>IFERROR(__xludf.DUMMYFUNCTION("""COMPUTED_VALUE"""),1.0)</f>
        <v>1</v>
      </c>
      <c r="I4210" s="9"/>
      <c r="J4210" s="9"/>
      <c r="K4210" s="9"/>
      <c r="L4210" s="9"/>
      <c r="M4210" s="9"/>
      <c r="N4210" s="9"/>
      <c r="O4210" s="9"/>
      <c r="P4210" s="9"/>
      <c r="Q4210" s="9"/>
      <c r="R4210" s="9"/>
      <c r="S4210" s="9"/>
      <c r="T4210" s="9"/>
    </row>
    <row r="4211" ht="15.75" customHeight="1">
      <c r="A4211" s="11">
        <f>IFERROR(__xludf.DUMMYFUNCTION("""COMPUTED_VALUE"""),44471.0)</f>
        <v>44471</v>
      </c>
      <c r="B4211" s="9">
        <f>IFERROR(__xludf.DUMMYFUNCTION("""COMPUTED_VALUE"""),1003889.0)</f>
        <v>1003889</v>
      </c>
      <c r="C4211" s="9">
        <f>IFERROR(__xludf.DUMMYFUNCTION("""COMPUTED_VALUE"""),75323.0)</f>
        <v>75323</v>
      </c>
      <c r="D4211" s="10" t="str">
        <f>IFERROR(__xludf.DUMMYFUNCTION("""COMPUTED_VALUE"""),"Offre Speciale")</f>
        <v>Offre Speciale</v>
      </c>
      <c r="E4211" s="10"/>
      <c r="F4211" s="9">
        <f>IFERROR(__xludf.DUMMYFUNCTION("""COMPUTED_VALUE"""),10.2470588235294)</f>
        <v>10.24705882</v>
      </c>
      <c r="G4211" s="9">
        <f>IFERROR(__xludf.DUMMYFUNCTION("""COMPUTED_VALUE"""),8.71)</f>
        <v>8.71</v>
      </c>
      <c r="H4211" s="9">
        <f>IFERROR(__xludf.DUMMYFUNCTION("""COMPUTED_VALUE"""),1.0)</f>
        <v>1</v>
      </c>
      <c r="I4211" s="9"/>
      <c r="J4211" s="9"/>
      <c r="K4211" s="9"/>
      <c r="L4211" s="9"/>
      <c r="M4211" s="9"/>
      <c r="N4211" s="9"/>
      <c r="O4211" s="9"/>
      <c r="P4211" s="9"/>
      <c r="Q4211" s="9"/>
      <c r="R4211" s="9"/>
      <c r="S4211" s="9"/>
      <c r="T4211" s="9"/>
    </row>
    <row r="4212" ht="15.75" customHeight="1">
      <c r="A4212" s="11">
        <f>IFERROR(__xludf.DUMMYFUNCTION("""COMPUTED_VALUE"""),44471.0)</f>
        <v>44471</v>
      </c>
      <c r="B4212" s="9">
        <f>IFERROR(__xludf.DUMMYFUNCTION("""COMPUTED_VALUE"""),1003889.0)</f>
        <v>1003889</v>
      </c>
      <c r="C4212" s="9">
        <f>IFERROR(__xludf.DUMMYFUNCTION("""COMPUTED_VALUE"""),44828.0)</f>
        <v>44828</v>
      </c>
      <c r="D4212" s="9"/>
      <c r="E4212" s="9"/>
      <c r="F4212" s="9">
        <f>IFERROR(__xludf.DUMMYFUNCTION("""COMPUTED_VALUE"""),1.67)</f>
        <v>1.67</v>
      </c>
      <c r="G4212" s="9">
        <f>IFERROR(__xludf.DUMMYFUNCTION("""COMPUTED_VALUE"""),1.67)</f>
        <v>1.67</v>
      </c>
      <c r="H4212" s="9">
        <f>IFERROR(__xludf.DUMMYFUNCTION("""COMPUTED_VALUE"""),1.0)</f>
        <v>1</v>
      </c>
      <c r="I4212" s="9"/>
      <c r="J4212" s="9"/>
      <c r="K4212" s="9"/>
      <c r="L4212" s="9"/>
      <c r="M4212" s="9"/>
      <c r="N4212" s="9"/>
      <c r="O4212" s="9"/>
      <c r="P4212" s="9"/>
      <c r="Q4212" s="9"/>
      <c r="R4212" s="9"/>
      <c r="S4212" s="9"/>
      <c r="T4212" s="9"/>
    </row>
    <row r="4213" ht="15.75" customHeight="1">
      <c r="A4213" s="11">
        <f>IFERROR(__xludf.DUMMYFUNCTION("""COMPUTED_VALUE"""),44471.0)</f>
        <v>44471</v>
      </c>
      <c r="B4213" s="9">
        <f>IFERROR(__xludf.DUMMYFUNCTION("""COMPUTED_VALUE"""),1003889.0)</f>
        <v>1003889</v>
      </c>
      <c r="C4213" s="9">
        <f>IFERROR(__xludf.DUMMYFUNCTION("""COMPUTED_VALUE"""),70426.0)</f>
        <v>70426</v>
      </c>
      <c r="D4213" s="9"/>
      <c r="E4213" s="9"/>
      <c r="F4213" s="9">
        <f>IFERROR(__xludf.DUMMYFUNCTION("""COMPUTED_VALUE"""),2.47)</f>
        <v>2.47</v>
      </c>
      <c r="G4213" s="9">
        <f>IFERROR(__xludf.DUMMYFUNCTION("""COMPUTED_VALUE"""),2.47)</f>
        <v>2.47</v>
      </c>
      <c r="H4213" s="9">
        <f>IFERROR(__xludf.DUMMYFUNCTION("""COMPUTED_VALUE"""),1.0)</f>
        <v>1</v>
      </c>
      <c r="I4213" s="9"/>
      <c r="J4213" s="9"/>
      <c r="K4213" s="9"/>
      <c r="L4213" s="9"/>
      <c r="M4213" s="9"/>
      <c r="N4213" s="9"/>
      <c r="O4213" s="9"/>
      <c r="P4213" s="9"/>
      <c r="Q4213" s="9"/>
      <c r="R4213" s="9"/>
      <c r="S4213" s="9"/>
      <c r="T4213" s="9"/>
    </row>
    <row r="4214" ht="15.75" customHeight="1">
      <c r="A4214" s="11">
        <f>IFERROR(__xludf.DUMMYFUNCTION("""COMPUTED_VALUE"""),44471.0)</f>
        <v>44471</v>
      </c>
      <c r="B4214" s="9">
        <f>IFERROR(__xludf.DUMMYFUNCTION("""COMPUTED_VALUE"""),1003889.0)</f>
        <v>1003889</v>
      </c>
      <c r="C4214" s="9">
        <f>IFERROR(__xludf.DUMMYFUNCTION("""COMPUTED_VALUE"""),117644.0)</f>
        <v>117644</v>
      </c>
      <c r="D4214" s="10" t="str">
        <f>IFERROR(__xludf.DUMMYFUNCTION("""COMPUTED_VALUE"""),"Hipp 2021")</f>
        <v>Hipp 2021</v>
      </c>
      <c r="E4214" s="10"/>
      <c r="F4214" s="9">
        <f>IFERROR(__xludf.DUMMYFUNCTION("""COMPUTED_VALUE"""),3.48235294117647)</f>
        <v>3.482352941</v>
      </c>
      <c r="G4214" s="9">
        <f>IFERROR(__xludf.DUMMYFUNCTION("""COMPUTED_VALUE"""),2.96)</f>
        <v>2.96</v>
      </c>
      <c r="H4214" s="9">
        <f>IFERROR(__xludf.DUMMYFUNCTION("""COMPUTED_VALUE"""),1.0)</f>
        <v>1</v>
      </c>
      <c r="I4214" s="9"/>
      <c r="J4214" s="9"/>
      <c r="K4214" s="9"/>
      <c r="L4214" s="9"/>
      <c r="M4214" s="9"/>
      <c r="N4214" s="9"/>
      <c r="O4214" s="9"/>
      <c r="P4214" s="9"/>
      <c r="Q4214" s="9"/>
      <c r="R4214" s="9"/>
      <c r="S4214" s="9"/>
      <c r="T4214" s="9"/>
    </row>
    <row r="4215" ht="15.75" customHeight="1">
      <c r="A4215" s="11">
        <f>IFERROR(__xludf.DUMMYFUNCTION("""COMPUTED_VALUE"""),44471.0)</f>
        <v>44471</v>
      </c>
      <c r="B4215" s="9">
        <f>IFERROR(__xludf.DUMMYFUNCTION("""COMPUTED_VALUE"""),1003889.0)</f>
        <v>1003889</v>
      </c>
      <c r="C4215" s="9">
        <f>IFERROR(__xludf.DUMMYFUNCTION("""COMPUTED_VALUE"""),4905.0)</f>
        <v>4905</v>
      </c>
      <c r="D4215" s="9"/>
      <c r="E4215" s="9"/>
      <c r="F4215" s="9">
        <f>IFERROR(__xludf.DUMMYFUNCTION("""COMPUTED_VALUE"""),1.68)</f>
        <v>1.68</v>
      </c>
      <c r="G4215" s="9">
        <f>IFERROR(__xludf.DUMMYFUNCTION("""COMPUTED_VALUE"""),1.68)</f>
        <v>1.68</v>
      </c>
      <c r="H4215" s="9">
        <f>IFERROR(__xludf.DUMMYFUNCTION("""COMPUTED_VALUE"""),1.0)</f>
        <v>1</v>
      </c>
      <c r="I4215" s="9"/>
      <c r="J4215" s="9"/>
      <c r="K4215" s="9"/>
      <c r="L4215" s="9"/>
      <c r="M4215" s="9"/>
      <c r="N4215" s="9"/>
      <c r="O4215" s="9"/>
      <c r="P4215" s="9"/>
      <c r="Q4215" s="9"/>
      <c r="R4215" s="9"/>
      <c r="S4215" s="9"/>
      <c r="T4215" s="9"/>
    </row>
    <row r="4216" ht="15.75" customHeight="1">
      <c r="A4216" s="11">
        <f>IFERROR(__xludf.DUMMYFUNCTION("""COMPUTED_VALUE"""),44471.0)</f>
        <v>44471</v>
      </c>
      <c r="B4216" s="9">
        <f>IFERROR(__xludf.DUMMYFUNCTION("""COMPUTED_VALUE"""),1003889.0)</f>
        <v>1003889</v>
      </c>
      <c r="C4216" s="9">
        <f>IFERROR(__xludf.DUMMYFUNCTION("""COMPUTED_VALUE"""),99038.0)</f>
        <v>99038</v>
      </c>
      <c r="D4216" s="9"/>
      <c r="E4216" s="9"/>
      <c r="F4216" s="9">
        <f>IFERROR(__xludf.DUMMYFUNCTION("""COMPUTED_VALUE"""),5.14)</f>
        <v>5.14</v>
      </c>
      <c r="G4216" s="9">
        <f>IFERROR(__xludf.DUMMYFUNCTION("""COMPUTED_VALUE"""),5.14)</f>
        <v>5.14</v>
      </c>
      <c r="H4216" s="9">
        <f>IFERROR(__xludf.DUMMYFUNCTION("""COMPUTED_VALUE"""),2.0)</f>
        <v>2</v>
      </c>
      <c r="I4216" s="9"/>
      <c r="J4216" s="9"/>
      <c r="K4216" s="9"/>
      <c r="L4216" s="9"/>
      <c r="M4216" s="9"/>
      <c r="N4216" s="9"/>
      <c r="O4216" s="9"/>
      <c r="P4216" s="9"/>
      <c r="Q4216" s="9"/>
      <c r="R4216" s="9"/>
      <c r="S4216" s="9"/>
      <c r="T4216" s="9"/>
    </row>
    <row r="4217" ht="15.75" customHeight="1">
      <c r="A4217" s="11">
        <f>IFERROR(__xludf.DUMMYFUNCTION("""COMPUTED_VALUE"""),44471.0)</f>
        <v>44471</v>
      </c>
      <c r="B4217" s="9">
        <f>IFERROR(__xludf.DUMMYFUNCTION("""COMPUTED_VALUE"""),1003889.0)</f>
        <v>1003889</v>
      </c>
      <c r="C4217" s="9">
        <f>IFERROR(__xludf.DUMMYFUNCTION("""COMPUTED_VALUE"""),117649.0)</f>
        <v>117649</v>
      </c>
      <c r="D4217" s="10" t="str">
        <f>IFERROR(__xludf.DUMMYFUNCTION("""COMPUTED_VALUE"""),"Hipp 2021")</f>
        <v>Hipp 2021</v>
      </c>
      <c r="E4217" s="10"/>
      <c r="F4217" s="9">
        <f>IFERROR(__xludf.DUMMYFUNCTION("""COMPUTED_VALUE"""),6.96470588235294)</f>
        <v>6.964705882</v>
      </c>
      <c r="G4217" s="9">
        <f>IFERROR(__xludf.DUMMYFUNCTION("""COMPUTED_VALUE"""),5.92)</f>
        <v>5.92</v>
      </c>
      <c r="H4217" s="9">
        <f>IFERROR(__xludf.DUMMYFUNCTION("""COMPUTED_VALUE"""),2.0)</f>
        <v>2</v>
      </c>
      <c r="I4217" s="9"/>
      <c r="J4217" s="9"/>
      <c r="K4217" s="9"/>
      <c r="L4217" s="9"/>
      <c r="M4217" s="9"/>
      <c r="N4217" s="9"/>
      <c r="O4217" s="9"/>
      <c r="P4217" s="9"/>
      <c r="Q4217" s="9"/>
      <c r="R4217" s="9"/>
      <c r="S4217" s="9"/>
      <c r="T4217" s="9"/>
    </row>
    <row r="4218" ht="15.75" customHeight="1">
      <c r="A4218" s="11">
        <f>IFERROR(__xludf.DUMMYFUNCTION("""COMPUTED_VALUE"""),44471.0)</f>
        <v>44471</v>
      </c>
      <c r="B4218" s="9">
        <f>IFERROR(__xludf.DUMMYFUNCTION("""COMPUTED_VALUE"""),1003889.0)</f>
        <v>1003889</v>
      </c>
      <c r="C4218" s="9">
        <f>IFERROR(__xludf.DUMMYFUNCTION("""COMPUTED_VALUE"""),122226.0)</f>
        <v>122226</v>
      </c>
      <c r="D4218" s="9"/>
      <c r="E4218" s="9"/>
      <c r="F4218" s="9">
        <f>IFERROR(__xludf.DUMMYFUNCTION("""COMPUTED_VALUE"""),4.03)</f>
        <v>4.03</v>
      </c>
      <c r="G4218" s="9">
        <f>IFERROR(__xludf.DUMMYFUNCTION("""COMPUTED_VALUE"""),4.03)</f>
        <v>4.03</v>
      </c>
      <c r="H4218" s="9">
        <f>IFERROR(__xludf.DUMMYFUNCTION("""COMPUTED_VALUE"""),3.0)</f>
        <v>3</v>
      </c>
      <c r="I4218" s="9"/>
      <c r="J4218" s="9"/>
      <c r="K4218" s="9"/>
      <c r="L4218" s="9"/>
      <c r="M4218" s="9"/>
      <c r="N4218" s="9"/>
      <c r="O4218" s="9"/>
      <c r="P4218" s="9"/>
      <c r="Q4218" s="9"/>
      <c r="R4218" s="9"/>
      <c r="S4218" s="9"/>
      <c r="T4218" s="9"/>
    </row>
    <row r="4219" ht="15.75" customHeight="1">
      <c r="A4219" s="11">
        <f>IFERROR(__xludf.DUMMYFUNCTION("""COMPUTED_VALUE"""),44471.0)</f>
        <v>44471</v>
      </c>
      <c r="B4219" s="9">
        <f>IFERROR(__xludf.DUMMYFUNCTION("""COMPUTED_VALUE"""),1003889.0)</f>
        <v>1003889</v>
      </c>
      <c r="C4219" s="9">
        <f>IFERROR(__xludf.DUMMYFUNCTION("""COMPUTED_VALUE"""),122229.0)</f>
        <v>122229</v>
      </c>
      <c r="D4219" s="9"/>
      <c r="E4219" s="9"/>
      <c r="F4219" s="9">
        <f>IFERROR(__xludf.DUMMYFUNCTION("""COMPUTED_VALUE"""),4.03)</f>
        <v>4.03</v>
      </c>
      <c r="G4219" s="9">
        <f>IFERROR(__xludf.DUMMYFUNCTION("""COMPUTED_VALUE"""),4.03)</f>
        <v>4.03</v>
      </c>
      <c r="H4219" s="9">
        <f>IFERROR(__xludf.DUMMYFUNCTION("""COMPUTED_VALUE"""),3.0)</f>
        <v>3</v>
      </c>
      <c r="I4219" s="9"/>
      <c r="J4219" s="9"/>
      <c r="K4219" s="9"/>
      <c r="L4219" s="9"/>
      <c r="M4219" s="9"/>
      <c r="N4219" s="9"/>
      <c r="O4219" s="9"/>
      <c r="P4219" s="9"/>
      <c r="Q4219" s="9"/>
      <c r="R4219" s="9"/>
      <c r="S4219" s="9"/>
      <c r="T4219" s="9"/>
    </row>
    <row r="4220" ht="15.75" customHeight="1">
      <c r="A4220" s="11">
        <f>IFERROR(__xludf.DUMMYFUNCTION("""COMPUTED_VALUE"""),44471.0)</f>
        <v>44471</v>
      </c>
      <c r="B4220" s="9">
        <f>IFERROR(__xludf.DUMMYFUNCTION("""COMPUTED_VALUE"""),1003889.0)</f>
        <v>1003889</v>
      </c>
      <c r="C4220" s="9">
        <f>IFERROR(__xludf.DUMMYFUNCTION("""COMPUTED_VALUE"""),122224.0)</f>
        <v>122224</v>
      </c>
      <c r="D4220" s="9"/>
      <c r="E4220" s="9"/>
      <c r="F4220" s="9">
        <f>IFERROR(__xludf.DUMMYFUNCTION("""COMPUTED_VALUE"""),4.03)</f>
        <v>4.03</v>
      </c>
      <c r="G4220" s="9">
        <f>IFERROR(__xludf.DUMMYFUNCTION("""COMPUTED_VALUE"""),4.03)</f>
        <v>4.03</v>
      </c>
      <c r="H4220" s="9">
        <f>IFERROR(__xludf.DUMMYFUNCTION("""COMPUTED_VALUE"""),3.0)</f>
        <v>3</v>
      </c>
      <c r="I4220" s="9"/>
      <c r="J4220" s="9"/>
      <c r="K4220" s="9"/>
      <c r="L4220" s="9"/>
      <c r="M4220" s="9"/>
      <c r="N4220" s="9"/>
      <c r="O4220" s="9"/>
      <c r="P4220" s="9"/>
      <c r="Q4220" s="9"/>
      <c r="R4220" s="9"/>
      <c r="S4220" s="9"/>
      <c r="T4220" s="9"/>
    </row>
    <row r="4221" ht="15.75" customHeight="1">
      <c r="A4221" s="11">
        <f>IFERROR(__xludf.DUMMYFUNCTION("""COMPUTED_VALUE"""),44471.0)</f>
        <v>44471</v>
      </c>
      <c r="B4221" s="9">
        <f>IFERROR(__xludf.DUMMYFUNCTION("""COMPUTED_VALUE"""),1003889.0)</f>
        <v>1003889</v>
      </c>
      <c r="C4221" s="9">
        <f>IFERROR(__xludf.DUMMYFUNCTION("""COMPUTED_VALUE"""),103589.0)</f>
        <v>103589</v>
      </c>
      <c r="D4221" s="10" t="str">
        <f>IFERROR(__xludf.DUMMYFUNCTION("""COMPUTED_VALUE"""),"Love &amp; Green Couches et Culottes sept 2021")</f>
        <v>Love &amp; Green Couches et Culottes sept 2021</v>
      </c>
      <c r="E4221" s="10"/>
      <c r="F4221" s="9">
        <f>IFERROR(__xludf.DUMMYFUNCTION("""COMPUTED_VALUE"""),124.042857142857)</f>
        <v>124.0428571</v>
      </c>
      <c r="G4221" s="9">
        <f>IFERROR(__xludf.DUMMYFUNCTION("""COMPUTED_VALUE"""),86.83)</f>
        <v>86.83</v>
      </c>
      <c r="H4221" s="9">
        <f>IFERROR(__xludf.DUMMYFUNCTION("""COMPUTED_VALUE"""),8.0)</f>
        <v>8</v>
      </c>
      <c r="I4221" s="9"/>
      <c r="J4221" s="9"/>
      <c r="K4221" s="9"/>
      <c r="L4221" s="9"/>
      <c r="M4221" s="9"/>
      <c r="N4221" s="9"/>
      <c r="O4221" s="9"/>
      <c r="P4221" s="9"/>
      <c r="Q4221" s="9"/>
      <c r="R4221" s="9"/>
      <c r="S4221" s="9"/>
      <c r="T4221" s="9"/>
    </row>
    <row r="4222" ht="15.75" customHeight="1">
      <c r="A4222" s="11">
        <f>IFERROR(__xludf.DUMMYFUNCTION("""COMPUTED_VALUE"""),44471.0)</f>
        <v>44471</v>
      </c>
      <c r="B4222" s="9">
        <f>IFERROR(__xludf.DUMMYFUNCTION("""COMPUTED_VALUE"""),1003890.0)</f>
        <v>1003890</v>
      </c>
      <c r="C4222" s="9">
        <f>IFERROR(__xludf.DUMMYFUNCTION("""COMPUTED_VALUE"""),110084.0)</f>
        <v>110084</v>
      </c>
      <c r="D4222" s="9"/>
      <c r="E4222" s="9"/>
      <c r="F4222" s="9">
        <f>IFERROR(__xludf.DUMMYFUNCTION("""COMPUTED_VALUE"""),1.69)</f>
        <v>1.69</v>
      </c>
      <c r="G4222" s="9">
        <f>IFERROR(__xludf.DUMMYFUNCTION("""COMPUTED_VALUE"""),1.69)</f>
        <v>1.69</v>
      </c>
      <c r="H4222" s="9">
        <f>IFERROR(__xludf.DUMMYFUNCTION("""COMPUTED_VALUE"""),1.0)</f>
        <v>1</v>
      </c>
      <c r="I4222" s="9"/>
      <c r="J4222" s="9"/>
      <c r="K4222" s="9"/>
      <c r="L4222" s="9"/>
      <c r="M4222" s="9"/>
      <c r="N4222" s="9"/>
      <c r="O4222" s="9"/>
      <c r="P4222" s="9"/>
      <c r="Q4222" s="9"/>
      <c r="R4222" s="9"/>
      <c r="S4222" s="9"/>
      <c r="T4222" s="9"/>
    </row>
    <row r="4223" ht="15.75" customHeight="1">
      <c r="A4223" s="11">
        <f>IFERROR(__xludf.DUMMYFUNCTION("""COMPUTED_VALUE"""),44471.0)</f>
        <v>44471</v>
      </c>
      <c r="B4223" s="9">
        <f>IFERROR(__xludf.DUMMYFUNCTION("""COMPUTED_VALUE"""),1003890.0)</f>
        <v>1003890</v>
      </c>
      <c r="C4223" s="9">
        <f>IFERROR(__xludf.DUMMYFUNCTION("""COMPUTED_VALUE"""),68382.0)</f>
        <v>68382</v>
      </c>
      <c r="D4223" s="9"/>
      <c r="E4223" s="9"/>
      <c r="F4223" s="9">
        <f>IFERROR(__xludf.DUMMYFUNCTION("""COMPUTED_VALUE"""),1.94)</f>
        <v>1.94</v>
      </c>
      <c r="G4223" s="9">
        <f>IFERROR(__xludf.DUMMYFUNCTION("""COMPUTED_VALUE"""),1.94)</f>
        <v>1.94</v>
      </c>
      <c r="H4223" s="9">
        <f>IFERROR(__xludf.DUMMYFUNCTION("""COMPUTED_VALUE"""),1.0)</f>
        <v>1</v>
      </c>
      <c r="I4223" s="9"/>
      <c r="J4223" s="9"/>
      <c r="K4223" s="9"/>
      <c r="L4223" s="9"/>
      <c r="M4223" s="9"/>
      <c r="N4223" s="9"/>
      <c r="O4223" s="9"/>
      <c r="P4223" s="9"/>
      <c r="Q4223" s="9"/>
      <c r="R4223" s="9"/>
      <c r="S4223" s="9"/>
      <c r="T4223" s="9"/>
    </row>
    <row r="4224" ht="15.75" customHeight="1">
      <c r="A4224" s="11">
        <f>IFERROR(__xludf.DUMMYFUNCTION("""COMPUTED_VALUE"""),44471.0)</f>
        <v>44471</v>
      </c>
      <c r="B4224" s="9">
        <f>IFERROR(__xludf.DUMMYFUNCTION("""COMPUTED_VALUE"""),1003890.0)</f>
        <v>1003890</v>
      </c>
      <c r="C4224" s="9">
        <f>IFERROR(__xludf.DUMMYFUNCTION("""COMPUTED_VALUE"""),70191.0)</f>
        <v>70191</v>
      </c>
      <c r="D4224" s="9"/>
      <c r="E4224" s="9"/>
      <c r="F4224" s="9">
        <f>IFERROR(__xludf.DUMMYFUNCTION("""COMPUTED_VALUE"""),2.89)</f>
        <v>2.89</v>
      </c>
      <c r="G4224" s="9">
        <f>IFERROR(__xludf.DUMMYFUNCTION("""COMPUTED_VALUE"""),2.89)</f>
        <v>2.89</v>
      </c>
      <c r="H4224" s="9">
        <f>IFERROR(__xludf.DUMMYFUNCTION("""COMPUTED_VALUE"""),1.0)</f>
        <v>1</v>
      </c>
      <c r="I4224" s="9"/>
      <c r="J4224" s="9"/>
      <c r="K4224" s="9"/>
      <c r="L4224" s="9"/>
      <c r="M4224" s="9"/>
      <c r="N4224" s="9"/>
      <c r="O4224" s="9"/>
      <c r="P4224" s="9"/>
      <c r="Q4224" s="9"/>
      <c r="R4224" s="9"/>
      <c r="S4224" s="9"/>
      <c r="T4224" s="9"/>
    </row>
    <row r="4225" ht="15.75" customHeight="1">
      <c r="A4225" s="11">
        <f>IFERROR(__xludf.DUMMYFUNCTION("""COMPUTED_VALUE"""),44471.0)</f>
        <v>44471</v>
      </c>
      <c r="B4225" s="9">
        <f>IFERROR(__xludf.DUMMYFUNCTION("""COMPUTED_VALUE"""),1003890.0)</f>
        <v>1003890</v>
      </c>
      <c r="C4225" s="9">
        <f>IFERROR(__xludf.DUMMYFUNCTION("""COMPUTED_VALUE"""),90710.0)</f>
        <v>90710</v>
      </c>
      <c r="D4225" s="9"/>
      <c r="E4225" s="9"/>
      <c r="F4225" s="9">
        <f>IFERROR(__xludf.DUMMYFUNCTION("""COMPUTED_VALUE"""),1.02)</f>
        <v>1.02</v>
      </c>
      <c r="G4225" s="9">
        <f>IFERROR(__xludf.DUMMYFUNCTION("""COMPUTED_VALUE"""),1.02)</f>
        <v>1.02</v>
      </c>
      <c r="H4225" s="9">
        <f>IFERROR(__xludf.DUMMYFUNCTION("""COMPUTED_VALUE"""),1.0)</f>
        <v>1</v>
      </c>
      <c r="I4225" s="9"/>
      <c r="J4225" s="9"/>
      <c r="K4225" s="9"/>
      <c r="L4225" s="9"/>
      <c r="M4225" s="9"/>
      <c r="N4225" s="9"/>
      <c r="O4225" s="9"/>
      <c r="P4225" s="9"/>
      <c r="Q4225" s="9"/>
      <c r="R4225" s="9"/>
      <c r="S4225" s="9"/>
      <c r="T4225" s="9"/>
    </row>
    <row r="4226" ht="15.75" customHeight="1">
      <c r="A4226" s="11">
        <f>IFERROR(__xludf.DUMMYFUNCTION("""COMPUTED_VALUE"""),44471.0)</f>
        <v>44471</v>
      </c>
      <c r="B4226" s="9">
        <f>IFERROR(__xludf.DUMMYFUNCTION("""COMPUTED_VALUE"""),1003890.0)</f>
        <v>1003890</v>
      </c>
      <c r="C4226" s="9">
        <f>IFERROR(__xludf.DUMMYFUNCTION("""COMPUTED_VALUE"""),16240.0)</f>
        <v>16240</v>
      </c>
      <c r="D4226" s="10" t="str">
        <f>IFERROR(__xludf.DUMMYFUNCTION("""COMPUTED_VALUE"""),"Zero Dechet")</f>
        <v>Zero Dechet</v>
      </c>
      <c r="E4226" s="10"/>
      <c r="F4226" s="9">
        <f>IFERROR(__xludf.DUMMYFUNCTION("""COMPUTED_VALUE"""),4.85)</f>
        <v>4.85</v>
      </c>
      <c r="G4226" s="9">
        <f>IFERROR(__xludf.DUMMYFUNCTION("""COMPUTED_VALUE"""),3.88)</f>
        <v>3.88</v>
      </c>
      <c r="H4226" s="9">
        <f>IFERROR(__xludf.DUMMYFUNCTION("""COMPUTED_VALUE"""),1.0)</f>
        <v>1</v>
      </c>
      <c r="I4226" s="9"/>
      <c r="J4226" s="9"/>
      <c r="K4226" s="9"/>
      <c r="L4226" s="9"/>
      <c r="M4226" s="9"/>
      <c r="N4226" s="9"/>
      <c r="O4226" s="9"/>
      <c r="P4226" s="9"/>
      <c r="Q4226" s="9"/>
      <c r="R4226" s="9"/>
      <c r="S4226" s="9"/>
      <c r="T4226" s="9"/>
    </row>
    <row r="4227" ht="15.75" customHeight="1">
      <c r="A4227" s="11">
        <f>IFERROR(__xludf.DUMMYFUNCTION("""COMPUTED_VALUE"""),44471.0)</f>
        <v>44471</v>
      </c>
      <c r="B4227" s="9">
        <f>IFERROR(__xludf.DUMMYFUNCTION("""COMPUTED_VALUE"""),1003890.0)</f>
        <v>1003890</v>
      </c>
      <c r="C4227" s="9">
        <f>IFERROR(__xludf.DUMMYFUNCTION("""COMPUTED_VALUE"""),100106.0)</f>
        <v>100106</v>
      </c>
      <c r="D4227" s="9"/>
      <c r="E4227" s="9"/>
      <c r="F4227" s="9">
        <f>IFERROR(__xludf.DUMMYFUNCTION("""COMPUTED_VALUE"""),4.85)</f>
        <v>4.85</v>
      </c>
      <c r="G4227" s="9">
        <f>IFERROR(__xludf.DUMMYFUNCTION("""COMPUTED_VALUE"""),4.85)</f>
        <v>4.85</v>
      </c>
      <c r="H4227" s="9">
        <f>IFERROR(__xludf.DUMMYFUNCTION("""COMPUTED_VALUE"""),1.0)</f>
        <v>1</v>
      </c>
      <c r="I4227" s="9"/>
      <c r="J4227" s="9"/>
      <c r="K4227" s="9"/>
      <c r="L4227" s="9"/>
      <c r="M4227" s="9"/>
      <c r="N4227" s="9"/>
      <c r="O4227" s="9"/>
      <c r="P4227" s="9"/>
      <c r="Q4227" s="9"/>
      <c r="R4227" s="9"/>
      <c r="S4227" s="9"/>
      <c r="T4227" s="9"/>
    </row>
    <row r="4228" ht="15.75" customHeight="1">
      <c r="A4228" s="11">
        <f>IFERROR(__xludf.DUMMYFUNCTION("""COMPUTED_VALUE"""),44471.0)</f>
        <v>44471</v>
      </c>
      <c r="B4228" s="9">
        <f>IFERROR(__xludf.DUMMYFUNCTION("""COMPUTED_VALUE"""),1003890.0)</f>
        <v>1003890</v>
      </c>
      <c r="C4228" s="9">
        <f>IFERROR(__xludf.DUMMYFUNCTION("""COMPUTED_VALUE"""),100104.0)</f>
        <v>100104</v>
      </c>
      <c r="D4228" s="9"/>
      <c r="E4228" s="9"/>
      <c r="F4228" s="9">
        <f>IFERROR(__xludf.DUMMYFUNCTION("""COMPUTED_VALUE"""),4.85)</f>
        <v>4.85</v>
      </c>
      <c r="G4228" s="9">
        <f>IFERROR(__xludf.DUMMYFUNCTION("""COMPUTED_VALUE"""),4.85)</f>
        <v>4.85</v>
      </c>
      <c r="H4228" s="9">
        <f>IFERROR(__xludf.DUMMYFUNCTION("""COMPUTED_VALUE"""),1.0)</f>
        <v>1</v>
      </c>
      <c r="I4228" s="9"/>
      <c r="J4228" s="9"/>
      <c r="K4228" s="9"/>
      <c r="L4228" s="9"/>
      <c r="M4228" s="9"/>
      <c r="N4228" s="9"/>
      <c r="O4228" s="9"/>
      <c r="P4228" s="9"/>
      <c r="Q4228" s="9"/>
      <c r="R4228" s="9"/>
      <c r="S4228" s="9"/>
      <c r="T4228" s="9"/>
    </row>
    <row r="4229" ht="15.75" customHeight="1">
      <c r="A4229" s="11">
        <f>IFERROR(__xludf.DUMMYFUNCTION("""COMPUTED_VALUE"""),44471.0)</f>
        <v>44471</v>
      </c>
      <c r="B4229" s="9">
        <f>IFERROR(__xludf.DUMMYFUNCTION("""COMPUTED_VALUE"""),1003890.0)</f>
        <v>1003890</v>
      </c>
      <c r="C4229" s="9">
        <f>IFERROR(__xludf.DUMMYFUNCTION("""COMPUTED_VALUE"""),24161.0)</f>
        <v>24161</v>
      </c>
      <c r="D4229" s="9"/>
      <c r="E4229" s="9"/>
      <c r="F4229" s="9">
        <f>IFERROR(__xludf.DUMMYFUNCTION("""COMPUTED_VALUE"""),2.56)</f>
        <v>2.56</v>
      </c>
      <c r="G4229" s="9">
        <f>IFERROR(__xludf.DUMMYFUNCTION("""COMPUTED_VALUE"""),2.56)</f>
        <v>2.56</v>
      </c>
      <c r="H4229" s="9">
        <f>IFERROR(__xludf.DUMMYFUNCTION("""COMPUTED_VALUE"""),1.0)</f>
        <v>1</v>
      </c>
      <c r="I4229" s="9"/>
      <c r="J4229" s="9"/>
      <c r="K4229" s="9"/>
      <c r="L4229" s="9"/>
      <c r="M4229" s="9"/>
      <c r="N4229" s="9"/>
      <c r="O4229" s="9"/>
      <c r="P4229" s="9"/>
      <c r="Q4229" s="9"/>
      <c r="R4229" s="9"/>
      <c r="S4229" s="9"/>
      <c r="T4229" s="9"/>
    </row>
    <row r="4230" ht="15.75" customHeight="1">
      <c r="A4230" s="11">
        <f>IFERROR(__xludf.DUMMYFUNCTION("""COMPUTED_VALUE"""),44471.0)</f>
        <v>44471</v>
      </c>
      <c r="B4230" s="9">
        <f>IFERROR(__xludf.DUMMYFUNCTION("""COMPUTED_VALUE"""),1003890.0)</f>
        <v>1003890</v>
      </c>
      <c r="C4230" s="9">
        <f>IFERROR(__xludf.DUMMYFUNCTION("""COMPUTED_VALUE"""),49355.0)</f>
        <v>49355</v>
      </c>
      <c r="D4230" s="10" t="str">
        <f>IFERROR(__xludf.DUMMYFUNCTION("""COMPUTED_VALUE"""),"Vive le bio")</f>
        <v>Vive le bio</v>
      </c>
      <c r="E4230" s="10"/>
      <c r="F4230" s="9">
        <f>IFERROR(__xludf.DUMMYFUNCTION("""COMPUTED_VALUE"""),4.39999999999999)</f>
        <v>4.4</v>
      </c>
      <c r="G4230" s="9">
        <f>IFERROR(__xludf.DUMMYFUNCTION("""COMPUTED_VALUE"""),3.96)</f>
        <v>3.96</v>
      </c>
      <c r="H4230" s="9">
        <f>IFERROR(__xludf.DUMMYFUNCTION("""COMPUTED_VALUE"""),1.0)</f>
        <v>1</v>
      </c>
      <c r="I4230" s="9"/>
      <c r="J4230" s="9"/>
      <c r="K4230" s="9"/>
      <c r="L4230" s="9"/>
      <c r="M4230" s="9"/>
      <c r="N4230" s="9"/>
      <c r="O4230" s="9"/>
      <c r="P4230" s="9"/>
      <c r="Q4230" s="9"/>
      <c r="R4230" s="9"/>
      <c r="S4230" s="9"/>
      <c r="T4230" s="9"/>
    </row>
    <row r="4231" ht="15.75" customHeight="1">
      <c r="A4231" s="11">
        <f>IFERROR(__xludf.DUMMYFUNCTION("""COMPUTED_VALUE"""),44471.0)</f>
        <v>44471</v>
      </c>
      <c r="B4231" s="9">
        <f>IFERROR(__xludf.DUMMYFUNCTION("""COMPUTED_VALUE"""),1003890.0)</f>
        <v>1003890</v>
      </c>
      <c r="C4231" s="9">
        <f>IFERROR(__xludf.DUMMYFUNCTION("""COMPUTED_VALUE"""),121066.0)</f>
        <v>121066</v>
      </c>
      <c r="D4231" s="10" t="str">
        <f>IFERROR(__xludf.DUMMYFUNCTION("""COMPUTED_VALUE"""),"Vive le bio")</f>
        <v>Vive le bio</v>
      </c>
      <c r="E4231" s="10"/>
      <c r="F4231" s="9">
        <f>IFERROR(__xludf.DUMMYFUNCTION("""COMPUTED_VALUE"""),3.96666666666666)</f>
        <v>3.966666667</v>
      </c>
      <c r="G4231" s="9">
        <f>IFERROR(__xludf.DUMMYFUNCTION("""COMPUTED_VALUE"""),3.57)</f>
        <v>3.57</v>
      </c>
      <c r="H4231" s="9">
        <f>IFERROR(__xludf.DUMMYFUNCTION("""COMPUTED_VALUE"""),1.0)</f>
        <v>1</v>
      </c>
      <c r="I4231" s="9"/>
      <c r="J4231" s="9"/>
      <c r="K4231" s="9"/>
      <c r="L4231" s="9"/>
      <c r="M4231" s="9"/>
      <c r="N4231" s="9"/>
      <c r="O4231" s="9"/>
      <c r="P4231" s="9"/>
      <c r="Q4231" s="9"/>
      <c r="R4231" s="9"/>
      <c r="S4231" s="9"/>
      <c r="T4231" s="9"/>
    </row>
    <row r="4232" ht="15.75" customHeight="1">
      <c r="A4232" s="11">
        <f>IFERROR(__xludf.DUMMYFUNCTION("""COMPUTED_VALUE"""),44471.0)</f>
        <v>44471</v>
      </c>
      <c r="B4232" s="9">
        <f>IFERROR(__xludf.DUMMYFUNCTION("""COMPUTED_VALUE"""),1003890.0)</f>
        <v>1003890</v>
      </c>
      <c r="C4232" s="9">
        <f>IFERROR(__xludf.DUMMYFUNCTION("""COMPUTED_VALUE"""),10535.0)</f>
        <v>10535</v>
      </c>
      <c r="D4232" s="10" t="str">
        <f>IFERROR(__xludf.DUMMYFUNCTION("""COMPUTED_VALUE"""),"Vive le bio")</f>
        <v>Vive le bio</v>
      </c>
      <c r="E4232" s="10"/>
      <c r="F4232" s="9">
        <f>IFERROR(__xludf.DUMMYFUNCTION("""COMPUTED_VALUE"""),4.27777777777777)</f>
        <v>4.277777778</v>
      </c>
      <c r="G4232" s="9">
        <f>IFERROR(__xludf.DUMMYFUNCTION("""COMPUTED_VALUE"""),3.85)</f>
        <v>3.85</v>
      </c>
      <c r="H4232" s="9">
        <f>IFERROR(__xludf.DUMMYFUNCTION("""COMPUTED_VALUE"""),1.0)</f>
        <v>1</v>
      </c>
      <c r="I4232" s="9"/>
      <c r="J4232" s="9"/>
      <c r="K4232" s="9"/>
      <c r="L4232" s="9"/>
      <c r="M4232" s="9"/>
      <c r="N4232" s="9"/>
      <c r="O4232" s="9"/>
      <c r="P4232" s="9"/>
      <c r="Q4232" s="9"/>
      <c r="R4232" s="9"/>
      <c r="S4232" s="9"/>
      <c r="T4232" s="9"/>
    </row>
    <row r="4233" ht="15.75" customHeight="1">
      <c r="A4233" s="11">
        <f>IFERROR(__xludf.DUMMYFUNCTION("""COMPUTED_VALUE"""),44471.0)</f>
        <v>44471</v>
      </c>
      <c r="B4233" s="9">
        <f>IFERROR(__xludf.DUMMYFUNCTION("""COMPUTED_VALUE"""),1003890.0)</f>
        <v>1003890</v>
      </c>
      <c r="C4233" s="9">
        <f>IFERROR(__xludf.DUMMYFUNCTION("""COMPUTED_VALUE"""),82446.0)</f>
        <v>82446</v>
      </c>
      <c r="D4233" s="10" t="str">
        <f>IFERROR(__xludf.DUMMYFUNCTION("""COMPUTED_VALUE"""),"Zero Dechet")</f>
        <v>Zero Dechet</v>
      </c>
      <c r="E4233" s="10"/>
      <c r="F4233" s="9">
        <f>IFERROR(__xludf.DUMMYFUNCTION("""COMPUTED_VALUE"""),5.1375)</f>
        <v>5.1375</v>
      </c>
      <c r="G4233" s="9">
        <f>IFERROR(__xludf.DUMMYFUNCTION("""COMPUTED_VALUE"""),4.11)</f>
        <v>4.11</v>
      </c>
      <c r="H4233" s="9">
        <f>IFERROR(__xludf.DUMMYFUNCTION("""COMPUTED_VALUE"""),1.0)</f>
        <v>1</v>
      </c>
      <c r="I4233" s="9"/>
      <c r="J4233" s="9"/>
      <c r="K4233" s="9"/>
      <c r="L4233" s="9"/>
      <c r="M4233" s="9"/>
      <c r="N4233" s="9"/>
      <c r="O4233" s="9"/>
      <c r="P4233" s="9"/>
      <c r="Q4233" s="9"/>
      <c r="R4233" s="9"/>
      <c r="S4233" s="9"/>
      <c r="T4233" s="9"/>
    </row>
    <row r="4234" ht="15.75" customHeight="1">
      <c r="A4234" s="11">
        <f>IFERROR(__xludf.DUMMYFUNCTION("""COMPUTED_VALUE"""),44471.0)</f>
        <v>44471</v>
      </c>
      <c r="B4234" s="9">
        <f>IFERROR(__xludf.DUMMYFUNCTION("""COMPUTED_VALUE"""),1003890.0)</f>
        <v>1003890</v>
      </c>
      <c r="C4234" s="9">
        <f>IFERROR(__xludf.DUMMYFUNCTION("""COMPUTED_VALUE"""),26148.0)</f>
        <v>26148</v>
      </c>
      <c r="D4234" s="9"/>
      <c r="E4234" s="9"/>
      <c r="F4234" s="9">
        <f>IFERROR(__xludf.DUMMYFUNCTION("""COMPUTED_VALUE"""),3.85)</f>
        <v>3.85</v>
      </c>
      <c r="G4234" s="9">
        <f>IFERROR(__xludf.DUMMYFUNCTION("""COMPUTED_VALUE"""),3.85)</f>
        <v>3.85</v>
      </c>
      <c r="H4234" s="9">
        <f>IFERROR(__xludf.DUMMYFUNCTION("""COMPUTED_VALUE"""),1.0)</f>
        <v>1</v>
      </c>
      <c r="I4234" s="9"/>
      <c r="J4234" s="9"/>
      <c r="K4234" s="9"/>
      <c r="L4234" s="9"/>
      <c r="M4234" s="9"/>
      <c r="N4234" s="9"/>
      <c r="O4234" s="9"/>
      <c r="P4234" s="9"/>
      <c r="Q4234" s="9"/>
      <c r="R4234" s="9"/>
      <c r="S4234" s="9"/>
      <c r="T4234" s="9"/>
    </row>
    <row r="4235" ht="15.75" customHeight="1">
      <c r="A4235" s="11">
        <f>IFERROR(__xludf.DUMMYFUNCTION("""COMPUTED_VALUE"""),44471.0)</f>
        <v>44471</v>
      </c>
      <c r="B4235" s="9">
        <f>IFERROR(__xludf.DUMMYFUNCTION("""COMPUTED_VALUE"""),1003890.0)</f>
        <v>1003890</v>
      </c>
      <c r="C4235" s="9">
        <f>IFERROR(__xludf.DUMMYFUNCTION("""COMPUTED_VALUE"""),110794.0)</f>
        <v>110794</v>
      </c>
      <c r="D4235" s="9"/>
      <c r="E4235" s="9"/>
      <c r="F4235" s="9">
        <f>IFERROR(__xludf.DUMMYFUNCTION("""COMPUTED_VALUE"""),6.73)</f>
        <v>6.73</v>
      </c>
      <c r="G4235" s="9">
        <f>IFERROR(__xludf.DUMMYFUNCTION("""COMPUTED_VALUE"""),6.73)</f>
        <v>6.73</v>
      </c>
      <c r="H4235" s="9">
        <f>IFERROR(__xludf.DUMMYFUNCTION("""COMPUTED_VALUE"""),1.0)</f>
        <v>1</v>
      </c>
      <c r="I4235" s="9"/>
      <c r="J4235" s="9"/>
      <c r="K4235" s="9"/>
      <c r="L4235" s="9"/>
      <c r="M4235" s="9"/>
      <c r="N4235" s="9"/>
      <c r="O4235" s="9"/>
      <c r="P4235" s="9"/>
      <c r="Q4235" s="9"/>
      <c r="R4235" s="9"/>
      <c r="S4235" s="9"/>
      <c r="T4235" s="9"/>
    </row>
    <row r="4236" ht="15.75" customHeight="1">
      <c r="A4236" s="11">
        <f>IFERROR(__xludf.DUMMYFUNCTION("""COMPUTED_VALUE"""),44471.0)</f>
        <v>44471</v>
      </c>
      <c r="B4236" s="9">
        <f>IFERROR(__xludf.DUMMYFUNCTION("""COMPUTED_VALUE"""),1003890.0)</f>
        <v>1003890</v>
      </c>
      <c r="C4236" s="9">
        <f>IFERROR(__xludf.DUMMYFUNCTION("""COMPUTED_VALUE"""),88268.0)</f>
        <v>88268</v>
      </c>
      <c r="D4236" s="9"/>
      <c r="E4236" s="9"/>
      <c r="F4236" s="9">
        <f>IFERROR(__xludf.DUMMYFUNCTION("""COMPUTED_VALUE"""),1.06)</f>
        <v>1.06</v>
      </c>
      <c r="G4236" s="9">
        <f>IFERROR(__xludf.DUMMYFUNCTION("""COMPUTED_VALUE"""),1.06)</f>
        <v>1.06</v>
      </c>
      <c r="H4236" s="9">
        <f>IFERROR(__xludf.DUMMYFUNCTION("""COMPUTED_VALUE"""),1.0)</f>
        <v>1</v>
      </c>
      <c r="I4236" s="9"/>
      <c r="J4236" s="9"/>
      <c r="K4236" s="9"/>
      <c r="L4236" s="9"/>
      <c r="M4236" s="9"/>
      <c r="N4236" s="9"/>
      <c r="O4236" s="9"/>
      <c r="P4236" s="9"/>
      <c r="Q4236" s="9"/>
      <c r="R4236" s="9"/>
      <c r="S4236" s="9"/>
      <c r="T4236" s="9"/>
    </row>
    <row r="4237" ht="15.75" customHeight="1">
      <c r="A4237" s="11">
        <f>IFERROR(__xludf.DUMMYFUNCTION("""COMPUTED_VALUE"""),44471.0)</f>
        <v>44471</v>
      </c>
      <c r="B4237" s="9">
        <f>IFERROR(__xludf.DUMMYFUNCTION("""COMPUTED_VALUE"""),1003890.0)</f>
        <v>1003890</v>
      </c>
      <c r="C4237" s="9">
        <f>IFERROR(__xludf.DUMMYFUNCTION("""COMPUTED_VALUE"""),48283.0)</f>
        <v>48283</v>
      </c>
      <c r="D4237" s="9"/>
      <c r="E4237" s="9"/>
      <c r="F4237" s="9">
        <f>IFERROR(__xludf.DUMMYFUNCTION("""COMPUTED_VALUE"""),2.78)</f>
        <v>2.78</v>
      </c>
      <c r="G4237" s="9">
        <f>IFERROR(__xludf.DUMMYFUNCTION("""COMPUTED_VALUE"""),2.78)</f>
        <v>2.78</v>
      </c>
      <c r="H4237" s="9">
        <f>IFERROR(__xludf.DUMMYFUNCTION("""COMPUTED_VALUE"""),2.0)</f>
        <v>2</v>
      </c>
      <c r="I4237" s="9"/>
      <c r="J4237" s="9"/>
      <c r="K4237" s="9"/>
      <c r="L4237" s="9"/>
      <c r="M4237" s="9"/>
      <c r="N4237" s="9"/>
      <c r="O4237" s="9"/>
      <c r="P4237" s="9"/>
      <c r="Q4237" s="9"/>
      <c r="R4237" s="9"/>
      <c r="S4237" s="9"/>
      <c r="T4237" s="9"/>
    </row>
    <row r="4238" ht="15.75" customHeight="1">
      <c r="A4238" s="11">
        <f>IFERROR(__xludf.DUMMYFUNCTION("""COMPUTED_VALUE"""),44471.0)</f>
        <v>44471</v>
      </c>
      <c r="B4238" s="9">
        <f>IFERROR(__xludf.DUMMYFUNCTION("""COMPUTED_VALUE"""),1003890.0)</f>
        <v>1003890</v>
      </c>
      <c r="C4238" s="9">
        <f>IFERROR(__xludf.DUMMYFUNCTION("""COMPUTED_VALUE"""),85159.0)</f>
        <v>85159</v>
      </c>
      <c r="D4238" s="9"/>
      <c r="E4238" s="9"/>
      <c r="F4238" s="9">
        <f>IFERROR(__xludf.DUMMYFUNCTION("""COMPUTED_VALUE"""),8.06)</f>
        <v>8.06</v>
      </c>
      <c r="G4238" s="9">
        <f>IFERROR(__xludf.DUMMYFUNCTION("""COMPUTED_VALUE"""),8.06)</f>
        <v>8.06</v>
      </c>
      <c r="H4238" s="9">
        <f>IFERROR(__xludf.DUMMYFUNCTION("""COMPUTED_VALUE"""),3.0)</f>
        <v>3</v>
      </c>
      <c r="I4238" s="9"/>
      <c r="J4238" s="9"/>
      <c r="K4238" s="9"/>
      <c r="L4238" s="9"/>
      <c r="M4238" s="9"/>
      <c r="N4238" s="9"/>
      <c r="O4238" s="9"/>
      <c r="P4238" s="9"/>
      <c r="Q4238" s="9"/>
      <c r="R4238" s="9"/>
      <c r="S4238" s="9"/>
      <c r="T4238" s="9"/>
    </row>
    <row r="4239" ht="15.75" customHeight="1">
      <c r="A4239" s="11">
        <f>IFERROR(__xludf.DUMMYFUNCTION("""COMPUTED_VALUE"""),44471.0)</f>
        <v>44471</v>
      </c>
      <c r="B4239" s="9">
        <f>IFERROR(__xludf.DUMMYFUNCTION("""COMPUTED_VALUE"""),1003890.0)</f>
        <v>1003890</v>
      </c>
      <c r="C4239" s="9">
        <f>IFERROR(__xludf.DUMMYFUNCTION("""COMPUTED_VALUE"""),102549.0)</f>
        <v>102549</v>
      </c>
      <c r="D4239" s="9"/>
      <c r="E4239" s="9"/>
      <c r="F4239" s="9">
        <f>IFERROR(__xludf.DUMMYFUNCTION("""COMPUTED_VALUE"""),23.91)</f>
        <v>23.91</v>
      </c>
      <c r="G4239" s="9">
        <f>IFERROR(__xludf.DUMMYFUNCTION("""COMPUTED_VALUE"""),23.91)</f>
        <v>23.91</v>
      </c>
      <c r="H4239" s="9">
        <f>IFERROR(__xludf.DUMMYFUNCTION("""COMPUTED_VALUE"""),4.0)</f>
        <v>4</v>
      </c>
      <c r="I4239" s="9"/>
      <c r="J4239" s="9"/>
      <c r="K4239" s="9"/>
      <c r="L4239" s="9"/>
      <c r="M4239" s="9"/>
      <c r="N4239" s="9"/>
      <c r="O4239" s="9"/>
      <c r="P4239" s="9"/>
      <c r="Q4239" s="9"/>
      <c r="R4239" s="9"/>
      <c r="S4239" s="9"/>
      <c r="T4239" s="9"/>
    </row>
    <row r="4240" ht="15.75" customHeight="1">
      <c r="A4240" s="11">
        <f>IFERROR(__xludf.DUMMYFUNCTION("""COMPUTED_VALUE"""),44471.0)</f>
        <v>44471</v>
      </c>
      <c r="B4240" s="9">
        <f>IFERROR(__xludf.DUMMYFUNCTION("""COMPUTED_VALUE"""),1003891.0)</f>
        <v>1003891</v>
      </c>
      <c r="C4240" s="9">
        <f>IFERROR(__xludf.DUMMYFUNCTION("""COMPUTED_VALUE"""),88989.0)</f>
        <v>88989</v>
      </c>
      <c r="D4240" s="9"/>
      <c r="E4240" s="9"/>
      <c r="F4240" s="9">
        <f>IFERROR(__xludf.DUMMYFUNCTION("""COMPUTED_VALUE"""),34.91)</f>
        <v>34.91</v>
      </c>
      <c r="G4240" s="9">
        <f>IFERROR(__xludf.DUMMYFUNCTION("""COMPUTED_VALUE"""),34.91)</f>
        <v>34.91</v>
      </c>
      <c r="H4240" s="9">
        <f>IFERROR(__xludf.DUMMYFUNCTION("""COMPUTED_VALUE"""),1.0)</f>
        <v>1</v>
      </c>
      <c r="I4240" s="9"/>
      <c r="J4240" s="9"/>
      <c r="K4240" s="9"/>
      <c r="L4240" s="9"/>
      <c r="M4240" s="9"/>
      <c r="N4240" s="9"/>
      <c r="O4240" s="9"/>
      <c r="P4240" s="9"/>
      <c r="Q4240" s="9"/>
      <c r="R4240" s="9"/>
      <c r="S4240" s="9"/>
      <c r="T4240" s="9"/>
    </row>
    <row r="4241" ht="15.75" customHeight="1">
      <c r="A4241" s="11">
        <f>IFERROR(__xludf.DUMMYFUNCTION("""COMPUTED_VALUE"""),44471.0)</f>
        <v>44471</v>
      </c>
      <c r="B4241" s="9">
        <f>IFERROR(__xludf.DUMMYFUNCTION("""COMPUTED_VALUE"""),1003891.0)</f>
        <v>1003891</v>
      </c>
      <c r="C4241" s="9">
        <f>IFERROR(__xludf.DUMMYFUNCTION("""COMPUTED_VALUE"""),46896.0)</f>
        <v>46896</v>
      </c>
      <c r="D4241" s="9"/>
      <c r="E4241" s="9"/>
      <c r="F4241" s="9">
        <f>IFERROR(__xludf.DUMMYFUNCTION("""COMPUTED_VALUE"""),4.87)</f>
        <v>4.87</v>
      </c>
      <c r="G4241" s="9">
        <f>IFERROR(__xludf.DUMMYFUNCTION("""COMPUTED_VALUE"""),4.87)</f>
        <v>4.87</v>
      </c>
      <c r="H4241" s="9">
        <f>IFERROR(__xludf.DUMMYFUNCTION("""COMPUTED_VALUE"""),1.0)</f>
        <v>1</v>
      </c>
      <c r="I4241" s="9"/>
      <c r="J4241" s="9"/>
      <c r="K4241" s="9"/>
      <c r="L4241" s="9"/>
      <c r="M4241" s="9"/>
      <c r="N4241" s="9"/>
      <c r="O4241" s="9"/>
      <c r="P4241" s="9"/>
      <c r="Q4241" s="9"/>
      <c r="R4241" s="9"/>
      <c r="S4241" s="9"/>
      <c r="T4241" s="9"/>
    </row>
    <row r="4242" ht="15.75" customHeight="1">
      <c r="A4242" s="11">
        <f>IFERROR(__xludf.DUMMYFUNCTION("""COMPUTED_VALUE"""),44471.0)</f>
        <v>44471</v>
      </c>
      <c r="B4242" s="9">
        <f>IFERROR(__xludf.DUMMYFUNCTION("""COMPUTED_VALUE"""),1003891.0)</f>
        <v>1003891</v>
      </c>
      <c r="C4242" s="9">
        <f>IFERROR(__xludf.DUMMYFUNCTION("""COMPUTED_VALUE"""),74419.0)</f>
        <v>74419</v>
      </c>
      <c r="D4242" s="9"/>
      <c r="E4242" s="9"/>
      <c r="F4242" s="9">
        <f>IFERROR(__xludf.DUMMYFUNCTION("""COMPUTED_VALUE"""),13.84)</f>
        <v>13.84</v>
      </c>
      <c r="G4242" s="9">
        <f>IFERROR(__xludf.DUMMYFUNCTION("""COMPUTED_VALUE"""),13.84)</f>
        <v>13.84</v>
      </c>
      <c r="H4242" s="9">
        <f>IFERROR(__xludf.DUMMYFUNCTION("""COMPUTED_VALUE"""),1.0)</f>
        <v>1</v>
      </c>
      <c r="I4242" s="9"/>
      <c r="J4242" s="9"/>
      <c r="K4242" s="9"/>
      <c r="L4242" s="9"/>
      <c r="M4242" s="9"/>
      <c r="N4242" s="9"/>
      <c r="O4242" s="9"/>
      <c r="P4242" s="9"/>
      <c r="Q4242" s="9"/>
      <c r="R4242" s="9"/>
      <c r="S4242" s="9"/>
      <c r="T4242" s="9"/>
    </row>
    <row r="4243" ht="15.75" customHeight="1">
      <c r="A4243" s="11">
        <f>IFERROR(__xludf.DUMMYFUNCTION("""COMPUTED_VALUE"""),44471.0)</f>
        <v>44471</v>
      </c>
      <c r="B4243" s="9">
        <f>IFERROR(__xludf.DUMMYFUNCTION("""COMPUTED_VALUE"""),1003891.0)</f>
        <v>1003891</v>
      </c>
      <c r="C4243" s="9">
        <f>IFERROR(__xludf.DUMMYFUNCTION("""COMPUTED_VALUE"""),74428.0)</f>
        <v>74428</v>
      </c>
      <c r="D4243" s="9"/>
      <c r="E4243" s="9"/>
      <c r="F4243" s="9">
        <f>IFERROR(__xludf.DUMMYFUNCTION("""COMPUTED_VALUE"""),16.92)</f>
        <v>16.92</v>
      </c>
      <c r="G4243" s="9">
        <f>IFERROR(__xludf.DUMMYFUNCTION("""COMPUTED_VALUE"""),16.92)</f>
        <v>16.92</v>
      </c>
      <c r="H4243" s="9">
        <f>IFERROR(__xludf.DUMMYFUNCTION("""COMPUTED_VALUE"""),1.0)</f>
        <v>1</v>
      </c>
      <c r="I4243" s="9"/>
      <c r="J4243" s="9"/>
      <c r="K4243" s="9"/>
      <c r="L4243" s="9"/>
      <c r="M4243" s="9"/>
      <c r="N4243" s="9"/>
      <c r="O4243" s="9"/>
      <c r="P4243" s="9"/>
      <c r="Q4243" s="9"/>
      <c r="R4243" s="9"/>
      <c r="S4243" s="9"/>
      <c r="T4243" s="9"/>
    </row>
    <row r="4244" ht="15.75" customHeight="1">
      <c r="A4244" s="11">
        <f>IFERROR(__xludf.DUMMYFUNCTION("""COMPUTED_VALUE"""),44471.0)</f>
        <v>44471</v>
      </c>
      <c r="B4244" s="9">
        <f>IFERROR(__xludf.DUMMYFUNCTION("""COMPUTED_VALUE"""),1003891.0)</f>
        <v>1003891</v>
      </c>
      <c r="C4244" s="9">
        <f>IFERROR(__xludf.DUMMYFUNCTION("""COMPUTED_VALUE"""),103589.0)</f>
        <v>103589</v>
      </c>
      <c r="D4244" s="10" t="str">
        <f>IFERROR(__xludf.DUMMYFUNCTION("""COMPUTED_VALUE"""),"Love &amp; Green Couches et Culottes sept 2021")</f>
        <v>Love &amp; Green Couches et Culottes sept 2021</v>
      </c>
      <c r="E4244" s="10"/>
      <c r="F4244" s="9">
        <f>IFERROR(__xludf.DUMMYFUNCTION("""COMPUTED_VALUE"""),124.042857142857)</f>
        <v>124.0428571</v>
      </c>
      <c r="G4244" s="9">
        <f>IFERROR(__xludf.DUMMYFUNCTION("""COMPUTED_VALUE"""),86.83)</f>
        <v>86.83</v>
      </c>
      <c r="H4244" s="9">
        <f>IFERROR(__xludf.DUMMYFUNCTION("""COMPUTED_VALUE"""),8.0)</f>
        <v>8</v>
      </c>
      <c r="I4244" s="9"/>
      <c r="J4244" s="9"/>
      <c r="K4244" s="9"/>
      <c r="L4244" s="9"/>
      <c r="M4244" s="9"/>
      <c r="N4244" s="9"/>
      <c r="O4244" s="9"/>
      <c r="P4244" s="9"/>
      <c r="Q4244" s="9"/>
      <c r="R4244" s="9"/>
      <c r="S4244" s="9"/>
      <c r="T4244" s="9"/>
    </row>
    <row r="4245" ht="15.75" customHeight="1">
      <c r="A4245" s="11">
        <f>IFERROR(__xludf.DUMMYFUNCTION("""COMPUTED_VALUE"""),44471.0)</f>
        <v>44471</v>
      </c>
      <c r="B4245" s="9">
        <f>IFERROR(__xludf.DUMMYFUNCTION("""COMPUTED_VALUE"""),1003892.0)</f>
        <v>1003892</v>
      </c>
      <c r="C4245" s="9">
        <f>IFERROR(__xludf.DUMMYFUNCTION("""COMPUTED_VALUE"""),14401.0)</f>
        <v>14401</v>
      </c>
      <c r="D4245" s="9"/>
      <c r="E4245" s="10" t="str">
        <f>IFERROR(__xludf.DUMMYFUNCTION("""COMPUTED_VALUE"""),"GREENRELAIS")</f>
        <v>GREENRELAIS</v>
      </c>
      <c r="F4245" s="10">
        <f>IFERROR(__xludf.DUMMYFUNCTION("""COMPUTED_VALUE"""),6.25)</f>
        <v>6.25</v>
      </c>
      <c r="G4245" s="9">
        <f>IFERROR(__xludf.DUMMYFUNCTION("""COMPUTED_VALUE"""),6.25)</f>
        <v>6.25</v>
      </c>
      <c r="H4245" s="9">
        <f>IFERROR(__xludf.DUMMYFUNCTION("""COMPUTED_VALUE"""),1.0)</f>
        <v>1</v>
      </c>
      <c r="I4245" s="9"/>
      <c r="J4245" s="9"/>
      <c r="K4245" s="9"/>
      <c r="L4245" s="9"/>
      <c r="M4245" s="9"/>
      <c r="N4245" s="9"/>
      <c r="O4245" s="9"/>
      <c r="P4245" s="9"/>
      <c r="Q4245" s="9"/>
      <c r="R4245" s="9"/>
      <c r="S4245" s="9"/>
      <c r="T4245" s="9"/>
    </row>
    <row r="4246" ht="15.75" customHeight="1">
      <c r="A4246" s="11">
        <f>IFERROR(__xludf.DUMMYFUNCTION("""COMPUTED_VALUE"""),44471.0)</f>
        <v>44471</v>
      </c>
      <c r="B4246" s="9">
        <f>IFERROR(__xludf.DUMMYFUNCTION("""COMPUTED_VALUE"""),1003892.0)</f>
        <v>1003892</v>
      </c>
      <c r="C4246" s="9">
        <f>IFERROR(__xludf.DUMMYFUNCTION("""COMPUTED_VALUE"""),42287.0)</f>
        <v>42287</v>
      </c>
      <c r="D4246" s="9"/>
      <c r="E4246" s="10" t="str">
        <f>IFERROR(__xludf.DUMMYFUNCTION("""COMPUTED_VALUE"""),"GREENRELAIS")</f>
        <v>GREENRELAIS</v>
      </c>
      <c r="F4246" s="10">
        <f>IFERROR(__xludf.DUMMYFUNCTION("""COMPUTED_VALUE"""),41.93)</f>
        <v>41.93</v>
      </c>
      <c r="G4246" s="9">
        <f>IFERROR(__xludf.DUMMYFUNCTION("""COMPUTED_VALUE"""),41.93)</f>
        <v>41.93</v>
      </c>
      <c r="H4246" s="9">
        <f>IFERROR(__xludf.DUMMYFUNCTION("""COMPUTED_VALUE"""),3.0)</f>
        <v>3</v>
      </c>
      <c r="I4246" s="9"/>
      <c r="J4246" s="9"/>
      <c r="K4246" s="9"/>
      <c r="L4246" s="9"/>
      <c r="M4246" s="9"/>
      <c r="N4246" s="9"/>
      <c r="O4246" s="9"/>
      <c r="P4246" s="9"/>
      <c r="Q4246" s="9"/>
      <c r="R4246" s="9"/>
      <c r="S4246" s="9"/>
      <c r="T4246" s="9"/>
    </row>
    <row r="4247" ht="15.75" customHeight="1">
      <c r="A4247" s="11">
        <f>IFERROR(__xludf.DUMMYFUNCTION("""COMPUTED_VALUE"""),44471.0)</f>
        <v>44471</v>
      </c>
      <c r="B4247" s="9">
        <f>IFERROR(__xludf.DUMMYFUNCTION("""COMPUTED_VALUE"""),1003892.0)</f>
        <v>1003892</v>
      </c>
      <c r="C4247" s="9">
        <f>IFERROR(__xludf.DUMMYFUNCTION("""COMPUTED_VALUE"""),110334.0)</f>
        <v>110334</v>
      </c>
      <c r="D4247" s="10" t="str">
        <f>IFERROR(__xludf.DUMMYFUNCTION("""COMPUTED_VALUE"""),"Love &amp; Green Couches et Culottes sept 2021")</f>
        <v>Love &amp; Green Couches et Culottes sept 2021</v>
      </c>
      <c r="E4247" s="10" t="str">
        <f>IFERROR(__xludf.DUMMYFUNCTION("""COMPUTED_VALUE"""),"GREENRELAIS")</f>
        <v>GREENRELAIS</v>
      </c>
      <c r="F4247" s="10">
        <f>IFERROR(__xludf.DUMMYFUNCTION("""COMPUTED_VALUE"""),82.8142857142857)</f>
        <v>82.81428571</v>
      </c>
      <c r="G4247" s="9">
        <f>IFERROR(__xludf.DUMMYFUNCTION("""COMPUTED_VALUE"""),57.97)</f>
        <v>57.97</v>
      </c>
      <c r="H4247" s="9">
        <f>IFERROR(__xludf.DUMMYFUNCTION("""COMPUTED_VALUE"""),8.0)</f>
        <v>8</v>
      </c>
      <c r="I4247" s="9"/>
      <c r="J4247" s="9"/>
      <c r="K4247" s="9"/>
      <c r="L4247" s="9"/>
      <c r="M4247" s="9"/>
      <c r="N4247" s="9"/>
      <c r="O4247" s="9"/>
      <c r="P4247" s="9"/>
      <c r="Q4247" s="9"/>
      <c r="R4247" s="9"/>
      <c r="S4247" s="9"/>
      <c r="T4247" s="9"/>
    </row>
    <row r="4248" ht="15.75" customHeight="1">
      <c r="A4248" s="11">
        <f>IFERROR(__xludf.DUMMYFUNCTION("""COMPUTED_VALUE"""),44471.0)</f>
        <v>44471</v>
      </c>
      <c r="B4248" s="9">
        <f>IFERROR(__xludf.DUMMYFUNCTION("""COMPUTED_VALUE"""),1003893.0)</f>
        <v>1003893</v>
      </c>
      <c r="C4248" s="9">
        <f>IFERROR(__xludf.DUMMYFUNCTION("""COMPUTED_VALUE"""),100914.0)</f>
        <v>100914</v>
      </c>
      <c r="D4248" s="9"/>
      <c r="E4248" s="10" t="str">
        <f>IFERROR(__xludf.DUMMYFUNCTION("""COMPUTED_VALUE"""),"GREENRELAIS")</f>
        <v>GREENRELAIS</v>
      </c>
      <c r="F4248" s="10">
        <f>IFERROR(__xludf.DUMMYFUNCTION("""COMPUTED_VALUE"""),5.5)</f>
        <v>5.5</v>
      </c>
      <c r="G4248" s="9">
        <f>IFERROR(__xludf.DUMMYFUNCTION("""COMPUTED_VALUE"""),5.5)</f>
        <v>5.5</v>
      </c>
      <c r="H4248" s="9">
        <f>IFERROR(__xludf.DUMMYFUNCTION("""COMPUTED_VALUE"""),2.0)</f>
        <v>2</v>
      </c>
      <c r="I4248" s="9"/>
      <c r="J4248" s="9"/>
      <c r="K4248" s="9"/>
      <c r="L4248" s="9"/>
      <c r="M4248" s="9"/>
      <c r="N4248" s="9"/>
      <c r="O4248" s="9"/>
      <c r="P4248" s="9"/>
      <c r="Q4248" s="9"/>
      <c r="R4248" s="9"/>
      <c r="S4248" s="9"/>
      <c r="T4248" s="9"/>
    </row>
    <row r="4249" ht="15.75" customHeight="1">
      <c r="A4249" s="11">
        <f>IFERROR(__xludf.DUMMYFUNCTION("""COMPUTED_VALUE"""),44471.0)</f>
        <v>44471</v>
      </c>
      <c r="B4249" s="9">
        <f>IFERROR(__xludf.DUMMYFUNCTION("""COMPUTED_VALUE"""),1003893.0)</f>
        <v>1003893</v>
      </c>
      <c r="C4249" s="9">
        <f>IFERROR(__xludf.DUMMYFUNCTION("""COMPUTED_VALUE"""),103589.0)</f>
        <v>103589</v>
      </c>
      <c r="D4249" s="10" t="str">
        <f>IFERROR(__xludf.DUMMYFUNCTION("""COMPUTED_VALUE"""),"Love &amp; Green Couches et Culottes sept 2021")</f>
        <v>Love &amp; Green Couches et Culottes sept 2021</v>
      </c>
      <c r="E4249" s="10" t="str">
        <f>IFERROR(__xludf.DUMMYFUNCTION("""COMPUTED_VALUE"""),"GREENRELAIS")</f>
        <v>GREENRELAIS</v>
      </c>
      <c r="F4249" s="10">
        <f>IFERROR(__xludf.DUMMYFUNCTION("""COMPUTED_VALUE"""),31.3285714285714)</f>
        <v>31.32857143</v>
      </c>
      <c r="G4249" s="9">
        <f>IFERROR(__xludf.DUMMYFUNCTION("""COMPUTED_VALUE"""),21.93)</f>
        <v>21.93</v>
      </c>
      <c r="H4249" s="9">
        <f>IFERROR(__xludf.DUMMYFUNCTION("""COMPUTED_VALUE"""),2.0)</f>
        <v>2</v>
      </c>
      <c r="I4249" s="9"/>
      <c r="J4249" s="9"/>
      <c r="K4249" s="9"/>
      <c r="L4249" s="9"/>
      <c r="M4249" s="9"/>
      <c r="N4249" s="9"/>
      <c r="O4249" s="9"/>
      <c r="P4249" s="9"/>
      <c r="Q4249" s="9"/>
      <c r="R4249" s="9"/>
      <c r="S4249" s="9"/>
      <c r="T4249" s="9"/>
    </row>
    <row r="4250" ht="15.75" customHeight="1">
      <c r="A4250" s="11">
        <f>IFERROR(__xludf.DUMMYFUNCTION("""COMPUTED_VALUE"""),44471.0)</f>
        <v>44471</v>
      </c>
      <c r="B4250" s="9">
        <f>IFERROR(__xludf.DUMMYFUNCTION("""COMPUTED_VALUE"""),1003893.0)</f>
        <v>1003893</v>
      </c>
      <c r="C4250" s="9">
        <f>IFERROR(__xludf.DUMMYFUNCTION("""COMPUTED_VALUE"""),101534.0)</f>
        <v>101534</v>
      </c>
      <c r="D4250" s="9"/>
      <c r="E4250" s="10" t="str">
        <f>IFERROR(__xludf.DUMMYFUNCTION("""COMPUTED_VALUE"""),"GREENRELAIS")</f>
        <v>GREENRELAIS</v>
      </c>
      <c r="F4250" s="10">
        <f>IFERROR(__xludf.DUMMYFUNCTION("""COMPUTED_VALUE"""),7.16)</f>
        <v>7.16</v>
      </c>
      <c r="G4250" s="9">
        <f>IFERROR(__xludf.DUMMYFUNCTION("""COMPUTED_VALUE"""),7.16)</f>
        <v>7.16</v>
      </c>
      <c r="H4250" s="9">
        <f>IFERROR(__xludf.DUMMYFUNCTION("""COMPUTED_VALUE"""),3.0)</f>
        <v>3</v>
      </c>
      <c r="I4250" s="9"/>
      <c r="J4250" s="9"/>
      <c r="K4250" s="9"/>
      <c r="L4250" s="9"/>
      <c r="M4250" s="9"/>
      <c r="N4250" s="9"/>
      <c r="O4250" s="9"/>
      <c r="P4250" s="9"/>
      <c r="Q4250" s="9"/>
      <c r="R4250" s="9"/>
      <c r="S4250" s="9"/>
      <c r="T4250" s="9"/>
    </row>
    <row r="4251" ht="15.75" customHeight="1">
      <c r="A4251" s="11">
        <f>IFERROR(__xludf.DUMMYFUNCTION("""COMPUTED_VALUE"""),44471.0)</f>
        <v>44471</v>
      </c>
      <c r="B4251" s="9">
        <f>IFERROR(__xludf.DUMMYFUNCTION("""COMPUTED_VALUE"""),1003893.0)</f>
        <v>1003893</v>
      </c>
      <c r="C4251" s="9">
        <f>IFERROR(__xludf.DUMMYFUNCTION("""COMPUTED_VALUE"""),110393.0)</f>
        <v>110393</v>
      </c>
      <c r="D4251" s="9"/>
      <c r="E4251" s="10" t="str">
        <f>IFERROR(__xludf.DUMMYFUNCTION("""COMPUTED_VALUE"""),"GREENRELAIS")</f>
        <v>GREENRELAIS</v>
      </c>
      <c r="F4251" s="10">
        <f>IFERROR(__xludf.DUMMYFUNCTION("""COMPUTED_VALUE"""),6.42)</f>
        <v>6.42</v>
      </c>
      <c r="G4251" s="9">
        <f>IFERROR(__xludf.DUMMYFUNCTION("""COMPUTED_VALUE"""),6.42)</f>
        <v>6.42</v>
      </c>
      <c r="H4251" s="9">
        <f>IFERROR(__xludf.DUMMYFUNCTION("""COMPUTED_VALUE"""),3.0)</f>
        <v>3</v>
      </c>
      <c r="I4251" s="9"/>
      <c r="J4251" s="9"/>
      <c r="K4251" s="9"/>
      <c r="L4251" s="9"/>
      <c r="M4251" s="9"/>
      <c r="N4251" s="9"/>
      <c r="O4251" s="9"/>
      <c r="P4251" s="9"/>
      <c r="Q4251" s="9"/>
      <c r="R4251" s="9"/>
      <c r="S4251" s="9"/>
      <c r="T4251" s="9"/>
    </row>
    <row r="4252" ht="15.75" customHeight="1">
      <c r="A4252" s="11">
        <f>IFERROR(__xludf.DUMMYFUNCTION("""COMPUTED_VALUE"""),44471.0)</f>
        <v>44471</v>
      </c>
      <c r="B4252" s="9">
        <f>IFERROR(__xludf.DUMMYFUNCTION("""COMPUTED_VALUE"""),1003893.0)</f>
        <v>1003893</v>
      </c>
      <c r="C4252" s="9">
        <f>IFERROR(__xludf.DUMMYFUNCTION("""COMPUTED_VALUE"""),103590.0)</f>
        <v>103590</v>
      </c>
      <c r="D4252" s="10" t="str">
        <f>IFERROR(__xludf.DUMMYFUNCTION("""COMPUTED_VALUE"""),"Love &amp; Green Couches et Culottes sept 2021")</f>
        <v>Love &amp; Green Couches et Culottes sept 2021</v>
      </c>
      <c r="E4252" s="10" t="str">
        <f>IFERROR(__xludf.DUMMYFUNCTION("""COMPUTED_VALUE"""),"GREENRELAIS")</f>
        <v>GREENRELAIS</v>
      </c>
      <c r="F4252" s="10">
        <f>IFERROR(__xludf.DUMMYFUNCTION("""COMPUTED_VALUE"""),62.0285714285714)</f>
        <v>62.02857143</v>
      </c>
      <c r="G4252" s="9">
        <f>IFERROR(__xludf.DUMMYFUNCTION("""COMPUTED_VALUE"""),43.42)</f>
        <v>43.42</v>
      </c>
      <c r="H4252" s="9">
        <f>IFERROR(__xludf.DUMMYFUNCTION("""COMPUTED_VALUE"""),4.0)</f>
        <v>4</v>
      </c>
      <c r="I4252" s="9"/>
      <c r="J4252" s="9"/>
      <c r="K4252" s="9"/>
      <c r="L4252" s="9"/>
      <c r="M4252" s="9"/>
      <c r="N4252" s="9"/>
      <c r="O4252" s="9"/>
      <c r="P4252" s="9"/>
      <c r="Q4252" s="9"/>
      <c r="R4252" s="9"/>
      <c r="S4252" s="9"/>
      <c r="T4252" s="9"/>
    </row>
    <row r="4253" ht="15.75" customHeight="1">
      <c r="A4253" s="11">
        <f>IFERROR(__xludf.DUMMYFUNCTION("""COMPUTED_VALUE"""),44471.0)</f>
        <v>44471</v>
      </c>
      <c r="B4253" s="9">
        <f>IFERROR(__xludf.DUMMYFUNCTION("""COMPUTED_VALUE"""),1003894.0)</f>
        <v>1003894</v>
      </c>
      <c r="C4253" s="9">
        <f>IFERROR(__xludf.DUMMYFUNCTION("""COMPUTED_VALUE"""),79695.0)</f>
        <v>79695</v>
      </c>
      <c r="D4253" s="9"/>
      <c r="E4253" s="9"/>
      <c r="F4253" s="9">
        <f>IFERROR(__xludf.DUMMYFUNCTION("""COMPUTED_VALUE"""),17.94)</f>
        <v>17.94</v>
      </c>
      <c r="G4253" s="9">
        <f>IFERROR(__xludf.DUMMYFUNCTION("""COMPUTED_VALUE"""),17.94)</f>
        <v>17.94</v>
      </c>
      <c r="H4253" s="9">
        <f>IFERROR(__xludf.DUMMYFUNCTION("""COMPUTED_VALUE"""),1.0)</f>
        <v>1</v>
      </c>
      <c r="I4253" s="9"/>
      <c r="J4253" s="9"/>
      <c r="K4253" s="9"/>
      <c r="L4253" s="9"/>
      <c r="M4253" s="9"/>
      <c r="N4253" s="9"/>
      <c r="O4253" s="9"/>
      <c r="P4253" s="9"/>
      <c r="Q4253" s="9"/>
      <c r="R4253" s="9"/>
      <c r="S4253" s="9"/>
      <c r="T4253" s="9"/>
    </row>
    <row r="4254" ht="15.75" customHeight="1">
      <c r="A4254" s="11">
        <f>IFERROR(__xludf.DUMMYFUNCTION("""COMPUTED_VALUE"""),44471.0)</f>
        <v>44471</v>
      </c>
      <c r="B4254" s="9">
        <f>IFERROR(__xludf.DUMMYFUNCTION("""COMPUTED_VALUE"""),1003895.0)</f>
        <v>1003895</v>
      </c>
      <c r="C4254" s="9">
        <f>IFERROR(__xludf.DUMMYFUNCTION("""COMPUTED_VALUE"""),24060.0)</f>
        <v>24060</v>
      </c>
      <c r="D4254" s="9"/>
      <c r="E4254" s="9"/>
      <c r="F4254" s="9">
        <f>IFERROR(__xludf.DUMMYFUNCTION("""COMPUTED_VALUE"""),7.51)</f>
        <v>7.51</v>
      </c>
      <c r="G4254" s="9">
        <f>IFERROR(__xludf.DUMMYFUNCTION("""COMPUTED_VALUE"""),7.51)</f>
        <v>7.51</v>
      </c>
      <c r="H4254" s="9">
        <f>IFERROR(__xludf.DUMMYFUNCTION("""COMPUTED_VALUE"""),1.0)</f>
        <v>1</v>
      </c>
      <c r="I4254" s="9"/>
      <c r="J4254" s="9"/>
      <c r="K4254" s="9"/>
      <c r="L4254" s="9"/>
      <c r="M4254" s="9"/>
      <c r="N4254" s="9"/>
      <c r="O4254" s="9"/>
      <c r="P4254" s="9"/>
      <c r="Q4254" s="9"/>
      <c r="R4254" s="9"/>
      <c r="S4254" s="9"/>
      <c r="T4254" s="9"/>
    </row>
    <row r="4255" ht="15.75" customHeight="1">
      <c r="A4255" s="11">
        <f>IFERROR(__xludf.DUMMYFUNCTION("""COMPUTED_VALUE"""),44471.0)</f>
        <v>44471</v>
      </c>
      <c r="B4255" s="9">
        <f>IFERROR(__xludf.DUMMYFUNCTION("""COMPUTED_VALUE"""),1003895.0)</f>
        <v>1003895</v>
      </c>
      <c r="C4255" s="9">
        <f>IFERROR(__xludf.DUMMYFUNCTION("""COMPUTED_VALUE"""),150294.0)</f>
        <v>150294</v>
      </c>
      <c r="D4255" s="9"/>
      <c r="E4255" s="9"/>
      <c r="F4255" s="9">
        <f>IFERROR(__xludf.DUMMYFUNCTION("""COMPUTED_VALUE"""),6.55)</f>
        <v>6.55</v>
      </c>
      <c r="G4255" s="9">
        <f>IFERROR(__xludf.DUMMYFUNCTION("""COMPUTED_VALUE"""),6.55)</f>
        <v>6.55</v>
      </c>
      <c r="H4255" s="9">
        <f>IFERROR(__xludf.DUMMYFUNCTION("""COMPUTED_VALUE"""),1.0)</f>
        <v>1</v>
      </c>
      <c r="I4255" s="9"/>
      <c r="J4255" s="9"/>
      <c r="K4255" s="9"/>
      <c r="L4255" s="9"/>
      <c r="M4255" s="9"/>
      <c r="N4255" s="9"/>
      <c r="O4255" s="9"/>
      <c r="P4255" s="9"/>
      <c r="Q4255" s="9"/>
      <c r="R4255" s="9"/>
      <c r="S4255" s="9"/>
      <c r="T4255" s="9"/>
    </row>
    <row r="4256" ht="15.75" customHeight="1">
      <c r="A4256" s="11">
        <f>IFERROR(__xludf.DUMMYFUNCTION("""COMPUTED_VALUE"""),44471.0)</f>
        <v>44471</v>
      </c>
      <c r="B4256" s="9">
        <f>IFERROR(__xludf.DUMMYFUNCTION("""COMPUTED_VALUE"""),1003895.0)</f>
        <v>1003895</v>
      </c>
      <c r="C4256" s="9">
        <f>IFERROR(__xludf.DUMMYFUNCTION("""COMPUTED_VALUE"""),128326.0)</f>
        <v>128326</v>
      </c>
      <c r="D4256" s="9"/>
      <c r="E4256" s="9"/>
      <c r="F4256" s="9">
        <f>IFERROR(__xludf.DUMMYFUNCTION("""COMPUTED_VALUE"""),4.89)</f>
        <v>4.89</v>
      </c>
      <c r="G4256" s="9">
        <f>IFERROR(__xludf.DUMMYFUNCTION("""COMPUTED_VALUE"""),4.89)</f>
        <v>4.89</v>
      </c>
      <c r="H4256" s="9">
        <f>IFERROR(__xludf.DUMMYFUNCTION("""COMPUTED_VALUE"""),1.0)</f>
        <v>1</v>
      </c>
      <c r="I4256" s="9"/>
      <c r="J4256" s="9"/>
      <c r="K4256" s="9"/>
      <c r="L4256" s="9"/>
      <c r="M4256" s="9"/>
      <c r="N4256" s="9"/>
      <c r="O4256" s="9"/>
      <c r="P4256" s="9"/>
      <c r="Q4256" s="9"/>
      <c r="R4256" s="9"/>
      <c r="S4256" s="9"/>
      <c r="T4256" s="9"/>
    </row>
    <row r="4257" ht="15.75" customHeight="1">
      <c r="A4257" s="11">
        <f>IFERROR(__xludf.DUMMYFUNCTION("""COMPUTED_VALUE"""),44471.0)</f>
        <v>44471</v>
      </c>
      <c r="B4257" s="9">
        <f>IFERROR(__xludf.DUMMYFUNCTION("""COMPUTED_VALUE"""),1003895.0)</f>
        <v>1003895</v>
      </c>
      <c r="C4257" s="9">
        <f>IFERROR(__xludf.DUMMYFUNCTION("""COMPUTED_VALUE"""),102750.0)</f>
        <v>102750</v>
      </c>
      <c r="D4257" s="9"/>
      <c r="E4257" s="9"/>
      <c r="F4257" s="9">
        <f>IFERROR(__xludf.DUMMYFUNCTION("""COMPUTED_VALUE"""),11.8)</f>
        <v>11.8</v>
      </c>
      <c r="G4257" s="9">
        <f>IFERROR(__xludf.DUMMYFUNCTION("""COMPUTED_VALUE"""),11.8)</f>
        <v>11.8</v>
      </c>
      <c r="H4257" s="9">
        <f>IFERROR(__xludf.DUMMYFUNCTION("""COMPUTED_VALUE"""),1.0)</f>
        <v>1</v>
      </c>
      <c r="I4257" s="9"/>
      <c r="J4257" s="9"/>
      <c r="K4257" s="9"/>
      <c r="L4257" s="9"/>
      <c r="M4257" s="9"/>
      <c r="N4257" s="9"/>
      <c r="O4257" s="9"/>
      <c r="P4257" s="9"/>
      <c r="Q4257" s="9"/>
      <c r="R4257" s="9"/>
      <c r="S4257" s="9"/>
      <c r="T4257" s="9"/>
    </row>
    <row r="4258" ht="15.75" customHeight="1">
      <c r="A4258" s="11">
        <f>IFERROR(__xludf.DUMMYFUNCTION("""COMPUTED_VALUE"""),44471.0)</f>
        <v>44471</v>
      </c>
      <c r="B4258" s="9">
        <f>IFERROR(__xludf.DUMMYFUNCTION("""COMPUTED_VALUE"""),1003895.0)</f>
        <v>1003895</v>
      </c>
      <c r="C4258" s="9">
        <f>IFERROR(__xludf.DUMMYFUNCTION("""COMPUTED_VALUE"""),79000.0)</f>
        <v>79000</v>
      </c>
      <c r="D4258" s="9"/>
      <c r="E4258" s="9"/>
      <c r="F4258" s="9">
        <f>IFERROR(__xludf.DUMMYFUNCTION("""COMPUTED_VALUE"""),2.99)</f>
        <v>2.99</v>
      </c>
      <c r="G4258" s="9">
        <f>IFERROR(__xludf.DUMMYFUNCTION("""COMPUTED_VALUE"""),2.99)</f>
        <v>2.99</v>
      </c>
      <c r="H4258" s="9">
        <f>IFERROR(__xludf.DUMMYFUNCTION("""COMPUTED_VALUE"""),1.0)</f>
        <v>1</v>
      </c>
      <c r="I4258" s="9"/>
      <c r="J4258" s="9"/>
      <c r="K4258" s="9"/>
      <c r="L4258" s="9"/>
      <c r="M4258" s="9"/>
      <c r="N4258" s="9"/>
      <c r="O4258" s="9"/>
      <c r="P4258" s="9"/>
      <c r="Q4258" s="9"/>
      <c r="R4258" s="9"/>
      <c r="S4258" s="9"/>
      <c r="T4258" s="9"/>
    </row>
    <row r="4259" ht="15.75" customHeight="1">
      <c r="A4259" s="11">
        <f>IFERROR(__xludf.DUMMYFUNCTION("""COMPUTED_VALUE"""),44471.0)</f>
        <v>44471</v>
      </c>
      <c r="B4259" s="9">
        <f>IFERROR(__xludf.DUMMYFUNCTION("""COMPUTED_VALUE"""),1003895.0)</f>
        <v>1003895</v>
      </c>
      <c r="C4259" s="9">
        <f>IFERROR(__xludf.DUMMYFUNCTION("""COMPUTED_VALUE"""),7358.0)</f>
        <v>7358</v>
      </c>
      <c r="D4259" s="9"/>
      <c r="E4259" s="9"/>
      <c r="F4259" s="9">
        <f>IFERROR(__xludf.DUMMYFUNCTION("""COMPUTED_VALUE"""),8.41)</f>
        <v>8.41</v>
      </c>
      <c r="G4259" s="9">
        <f>IFERROR(__xludf.DUMMYFUNCTION("""COMPUTED_VALUE"""),8.41)</f>
        <v>8.41</v>
      </c>
      <c r="H4259" s="9">
        <f>IFERROR(__xludf.DUMMYFUNCTION("""COMPUTED_VALUE"""),2.0)</f>
        <v>2</v>
      </c>
      <c r="I4259" s="9"/>
      <c r="J4259" s="9"/>
      <c r="K4259" s="9"/>
      <c r="L4259" s="9"/>
      <c r="M4259" s="9"/>
      <c r="N4259" s="9"/>
      <c r="O4259" s="9"/>
      <c r="P4259" s="9"/>
      <c r="Q4259" s="9"/>
      <c r="R4259" s="9"/>
      <c r="S4259" s="9"/>
      <c r="T4259" s="9"/>
    </row>
    <row r="4260" ht="15.75" customHeight="1">
      <c r="A4260" s="11">
        <f>IFERROR(__xludf.DUMMYFUNCTION("""COMPUTED_VALUE"""),44471.0)</f>
        <v>44471</v>
      </c>
      <c r="B4260" s="9">
        <f>IFERROR(__xludf.DUMMYFUNCTION("""COMPUTED_VALUE"""),1003895.0)</f>
        <v>1003895</v>
      </c>
      <c r="C4260" s="9">
        <f>IFERROR(__xludf.DUMMYFUNCTION("""COMPUTED_VALUE"""),72818.0)</f>
        <v>72818</v>
      </c>
      <c r="D4260" s="9"/>
      <c r="E4260" s="9"/>
      <c r="F4260" s="9">
        <f>IFERROR(__xludf.DUMMYFUNCTION("""COMPUTED_VALUE"""),3.86)</f>
        <v>3.86</v>
      </c>
      <c r="G4260" s="9">
        <f>IFERROR(__xludf.DUMMYFUNCTION("""COMPUTED_VALUE"""),3.86)</f>
        <v>3.86</v>
      </c>
      <c r="H4260" s="9">
        <f>IFERROR(__xludf.DUMMYFUNCTION("""COMPUTED_VALUE"""),2.0)</f>
        <v>2</v>
      </c>
      <c r="I4260" s="9"/>
      <c r="J4260" s="9"/>
      <c r="K4260" s="9"/>
      <c r="L4260" s="9"/>
      <c r="M4260" s="9"/>
      <c r="N4260" s="9"/>
      <c r="O4260" s="9"/>
      <c r="P4260" s="9"/>
      <c r="Q4260" s="9"/>
      <c r="R4260" s="9"/>
      <c r="S4260" s="9"/>
      <c r="T4260" s="9"/>
    </row>
    <row r="4261" ht="15.75" customHeight="1">
      <c r="A4261" s="11">
        <f>IFERROR(__xludf.DUMMYFUNCTION("""COMPUTED_VALUE"""),44471.0)</f>
        <v>44471</v>
      </c>
      <c r="B4261" s="9">
        <f>IFERROR(__xludf.DUMMYFUNCTION("""COMPUTED_VALUE"""),1003895.0)</f>
        <v>1003895</v>
      </c>
      <c r="C4261" s="9">
        <f>IFERROR(__xludf.DUMMYFUNCTION("""COMPUTED_VALUE"""),88268.0)</f>
        <v>88268</v>
      </c>
      <c r="D4261" s="9"/>
      <c r="E4261" s="9"/>
      <c r="F4261" s="9">
        <f>IFERROR(__xludf.DUMMYFUNCTION("""COMPUTED_VALUE"""),2.12)</f>
        <v>2.12</v>
      </c>
      <c r="G4261" s="9">
        <f>IFERROR(__xludf.DUMMYFUNCTION("""COMPUTED_VALUE"""),2.12)</f>
        <v>2.12</v>
      </c>
      <c r="H4261" s="9">
        <f>IFERROR(__xludf.DUMMYFUNCTION("""COMPUTED_VALUE"""),2.0)</f>
        <v>2</v>
      </c>
      <c r="I4261" s="9"/>
      <c r="J4261" s="9"/>
      <c r="K4261" s="9"/>
      <c r="L4261" s="9"/>
      <c r="M4261" s="9"/>
      <c r="N4261" s="9"/>
      <c r="O4261" s="9"/>
      <c r="P4261" s="9"/>
      <c r="Q4261" s="9"/>
      <c r="R4261" s="9"/>
      <c r="S4261" s="9"/>
      <c r="T4261" s="9"/>
    </row>
    <row r="4262" ht="15.75" customHeight="1">
      <c r="A4262" s="11">
        <f>IFERROR(__xludf.DUMMYFUNCTION("""COMPUTED_VALUE"""),44471.0)</f>
        <v>44471</v>
      </c>
      <c r="B4262" s="9">
        <f>IFERROR(__xludf.DUMMYFUNCTION("""COMPUTED_VALUE"""),1003896.0)</f>
        <v>1003896</v>
      </c>
      <c r="C4262" s="9">
        <f>IFERROR(__xludf.DUMMYFUNCTION("""COMPUTED_VALUE"""),86512.0)</f>
        <v>86512</v>
      </c>
      <c r="D4262" s="9"/>
      <c r="E4262" s="10" t="str">
        <f>IFERROR(__xludf.DUMMYFUNCTION("""COMPUTED_VALUE"""),"GREENRELAIS")</f>
        <v>GREENRELAIS</v>
      </c>
      <c r="F4262" s="10">
        <f>IFERROR(__xludf.DUMMYFUNCTION("""COMPUTED_VALUE"""),4.25)</f>
        <v>4.25</v>
      </c>
      <c r="G4262" s="9">
        <f>IFERROR(__xludf.DUMMYFUNCTION("""COMPUTED_VALUE"""),4.25)</f>
        <v>4.25</v>
      </c>
      <c r="H4262" s="9">
        <f>IFERROR(__xludf.DUMMYFUNCTION("""COMPUTED_VALUE"""),1.0)</f>
        <v>1</v>
      </c>
      <c r="I4262" s="9"/>
      <c r="J4262" s="9"/>
      <c r="K4262" s="9"/>
      <c r="L4262" s="9"/>
      <c r="M4262" s="9"/>
      <c r="N4262" s="9"/>
      <c r="O4262" s="9"/>
      <c r="P4262" s="9"/>
      <c r="Q4262" s="9"/>
      <c r="R4262" s="9"/>
      <c r="S4262" s="9"/>
      <c r="T4262" s="9"/>
    </row>
    <row r="4263" ht="15.75" customHeight="1">
      <c r="A4263" s="11">
        <f>IFERROR(__xludf.DUMMYFUNCTION("""COMPUTED_VALUE"""),44471.0)</f>
        <v>44471</v>
      </c>
      <c r="B4263" s="9">
        <f>IFERROR(__xludf.DUMMYFUNCTION("""COMPUTED_VALUE"""),1003896.0)</f>
        <v>1003896</v>
      </c>
      <c r="C4263" s="9">
        <f>IFERROR(__xludf.DUMMYFUNCTION("""COMPUTED_VALUE"""),113566.0)</f>
        <v>113566</v>
      </c>
      <c r="D4263" s="9"/>
      <c r="E4263" s="10" t="str">
        <f>IFERROR(__xludf.DUMMYFUNCTION("""COMPUTED_VALUE"""),"GREENRELAIS")</f>
        <v>GREENRELAIS</v>
      </c>
      <c r="F4263" s="10">
        <f>IFERROR(__xludf.DUMMYFUNCTION("""COMPUTED_VALUE"""),5.04)</f>
        <v>5.04</v>
      </c>
      <c r="G4263" s="9">
        <f>IFERROR(__xludf.DUMMYFUNCTION("""COMPUTED_VALUE"""),5.04)</f>
        <v>5.04</v>
      </c>
      <c r="H4263" s="9">
        <f>IFERROR(__xludf.DUMMYFUNCTION("""COMPUTED_VALUE"""),1.0)</f>
        <v>1</v>
      </c>
      <c r="I4263" s="9"/>
      <c r="J4263" s="9"/>
      <c r="K4263" s="9"/>
      <c r="L4263" s="9"/>
      <c r="M4263" s="9"/>
      <c r="N4263" s="9"/>
      <c r="O4263" s="9"/>
      <c r="P4263" s="9"/>
      <c r="Q4263" s="9"/>
      <c r="R4263" s="9"/>
      <c r="S4263" s="9"/>
      <c r="T4263" s="9"/>
    </row>
    <row r="4264" ht="15.75" customHeight="1">
      <c r="A4264" s="11">
        <f>IFERROR(__xludf.DUMMYFUNCTION("""COMPUTED_VALUE"""),44471.0)</f>
        <v>44471</v>
      </c>
      <c r="B4264" s="9">
        <f>IFERROR(__xludf.DUMMYFUNCTION("""COMPUTED_VALUE"""),1003896.0)</f>
        <v>1003896</v>
      </c>
      <c r="C4264" s="9">
        <f>IFERROR(__xludf.DUMMYFUNCTION("""COMPUTED_VALUE"""),80187.0)</f>
        <v>80187</v>
      </c>
      <c r="D4264" s="10" t="str">
        <f>IFERROR(__xludf.DUMMYFUNCTION("""COMPUTED_VALUE"""),"Vive le bio")</f>
        <v>Vive le bio</v>
      </c>
      <c r="E4264" s="10" t="str">
        <f>IFERROR(__xludf.DUMMYFUNCTION("""COMPUTED_VALUE"""),"GREENRELAIS")</f>
        <v>GREENRELAIS</v>
      </c>
      <c r="F4264" s="10">
        <f>IFERROR(__xludf.DUMMYFUNCTION("""COMPUTED_VALUE"""),2.9)</f>
        <v>2.9</v>
      </c>
      <c r="G4264" s="9">
        <f>IFERROR(__xludf.DUMMYFUNCTION("""COMPUTED_VALUE"""),2.61)</f>
        <v>2.61</v>
      </c>
      <c r="H4264" s="9">
        <f>IFERROR(__xludf.DUMMYFUNCTION("""COMPUTED_VALUE"""),1.0)</f>
        <v>1</v>
      </c>
      <c r="I4264" s="9"/>
      <c r="J4264" s="9"/>
      <c r="K4264" s="9"/>
      <c r="L4264" s="9"/>
      <c r="M4264" s="9"/>
      <c r="N4264" s="9"/>
      <c r="O4264" s="9"/>
      <c r="P4264" s="9"/>
      <c r="Q4264" s="9"/>
      <c r="R4264" s="9"/>
      <c r="S4264" s="9"/>
      <c r="T4264" s="9"/>
    </row>
    <row r="4265" ht="15.75" customHeight="1">
      <c r="A4265" s="11">
        <f>IFERROR(__xludf.DUMMYFUNCTION("""COMPUTED_VALUE"""),44471.0)</f>
        <v>44471</v>
      </c>
      <c r="B4265" s="9">
        <f>IFERROR(__xludf.DUMMYFUNCTION("""COMPUTED_VALUE"""),1003896.0)</f>
        <v>1003896</v>
      </c>
      <c r="C4265" s="9">
        <f>IFERROR(__xludf.DUMMYFUNCTION("""COMPUTED_VALUE"""),68303.0)</f>
        <v>68303</v>
      </c>
      <c r="D4265" s="9"/>
      <c r="E4265" s="10" t="str">
        <f>IFERROR(__xludf.DUMMYFUNCTION("""COMPUTED_VALUE"""),"GREENRELAIS")</f>
        <v>GREENRELAIS</v>
      </c>
      <c r="F4265" s="10">
        <f>IFERROR(__xludf.DUMMYFUNCTION("""COMPUTED_VALUE"""),4.36)</f>
        <v>4.36</v>
      </c>
      <c r="G4265" s="9">
        <f>IFERROR(__xludf.DUMMYFUNCTION("""COMPUTED_VALUE"""),4.36)</f>
        <v>4.36</v>
      </c>
      <c r="H4265" s="9">
        <f>IFERROR(__xludf.DUMMYFUNCTION("""COMPUTED_VALUE"""),1.0)</f>
        <v>1</v>
      </c>
      <c r="I4265" s="9"/>
      <c r="J4265" s="9"/>
      <c r="K4265" s="9"/>
      <c r="L4265" s="9"/>
      <c r="M4265" s="9"/>
      <c r="N4265" s="9"/>
      <c r="O4265" s="9"/>
      <c r="P4265" s="9"/>
      <c r="Q4265" s="9"/>
      <c r="R4265" s="9"/>
      <c r="S4265" s="9"/>
      <c r="T4265" s="9"/>
    </row>
    <row r="4266" ht="15.75" customHeight="1">
      <c r="A4266" s="11">
        <f>IFERROR(__xludf.DUMMYFUNCTION("""COMPUTED_VALUE"""),44471.0)</f>
        <v>44471</v>
      </c>
      <c r="B4266" s="9">
        <f>IFERROR(__xludf.DUMMYFUNCTION("""COMPUTED_VALUE"""),1003896.0)</f>
        <v>1003896</v>
      </c>
      <c r="C4266" s="9">
        <f>IFERROR(__xludf.DUMMYFUNCTION("""COMPUTED_VALUE"""),121803.0)</f>
        <v>121803</v>
      </c>
      <c r="D4266" s="9"/>
      <c r="E4266" s="10" t="str">
        <f>IFERROR(__xludf.DUMMYFUNCTION("""COMPUTED_VALUE"""),"GREENRELAIS")</f>
        <v>GREENRELAIS</v>
      </c>
      <c r="F4266" s="10">
        <f>IFERROR(__xludf.DUMMYFUNCTION("""COMPUTED_VALUE"""),1.84)</f>
        <v>1.84</v>
      </c>
      <c r="G4266" s="9">
        <f>IFERROR(__xludf.DUMMYFUNCTION("""COMPUTED_VALUE"""),1.84)</f>
        <v>1.84</v>
      </c>
      <c r="H4266" s="9">
        <f>IFERROR(__xludf.DUMMYFUNCTION("""COMPUTED_VALUE"""),1.0)</f>
        <v>1</v>
      </c>
      <c r="I4266" s="9"/>
      <c r="J4266" s="9"/>
      <c r="K4266" s="9"/>
      <c r="L4266" s="9"/>
      <c r="M4266" s="9"/>
      <c r="N4266" s="9"/>
      <c r="O4266" s="9"/>
      <c r="P4266" s="9"/>
      <c r="Q4266" s="9"/>
      <c r="R4266" s="9"/>
      <c r="S4266" s="9"/>
      <c r="T4266" s="9"/>
    </row>
    <row r="4267" ht="15.75" customHeight="1">
      <c r="A4267" s="11">
        <f>IFERROR(__xludf.DUMMYFUNCTION("""COMPUTED_VALUE"""),44471.0)</f>
        <v>44471</v>
      </c>
      <c r="B4267" s="9">
        <f>IFERROR(__xludf.DUMMYFUNCTION("""COMPUTED_VALUE"""),1003896.0)</f>
        <v>1003896</v>
      </c>
      <c r="C4267" s="9">
        <f>IFERROR(__xludf.DUMMYFUNCTION("""COMPUTED_VALUE"""),79107.0)</f>
        <v>79107</v>
      </c>
      <c r="D4267" s="9"/>
      <c r="E4267" s="10" t="str">
        <f>IFERROR(__xludf.DUMMYFUNCTION("""COMPUTED_VALUE"""),"GREENRELAIS")</f>
        <v>GREENRELAIS</v>
      </c>
      <c r="F4267" s="10">
        <f>IFERROR(__xludf.DUMMYFUNCTION("""COMPUTED_VALUE"""),3.32)</f>
        <v>3.32</v>
      </c>
      <c r="G4267" s="9">
        <f>IFERROR(__xludf.DUMMYFUNCTION("""COMPUTED_VALUE"""),3.32)</f>
        <v>3.32</v>
      </c>
      <c r="H4267" s="9">
        <f>IFERROR(__xludf.DUMMYFUNCTION("""COMPUTED_VALUE"""),1.0)</f>
        <v>1</v>
      </c>
      <c r="I4267" s="9"/>
      <c r="J4267" s="9"/>
      <c r="K4267" s="9"/>
      <c r="L4267" s="9"/>
      <c r="M4267" s="9"/>
      <c r="N4267" s="9"/>
      <c r="O4267" s="9"/>
      <c r="P4267" s="9"/>
      <c r="Q4267" s="9"/>
      <c r="R4267" s="9"/>
      <c r="S4267" s="9"/>
      <c r="T4267" s="9"/>
    </row>
    <row r="4268" ht="15.75" customHeight="1">
      <c r="A4268" s="11">
        <f>IFERROR(__xludf.DUMMYFUNCTION("""COMPUTED_VALUE"""),44471.0)</f>
        <v>44471</v>
      </c>
      <c r="B4268" s="9">
        <f>IFERROR(__xludf.DUMMYFUNCTION("""COMPUTED_VALUE"""),1003896.0)</f>
        <v>1003896</v>
      </c>
      <c r="C4268" s="9">
        <f>IFERROR(__xludf.DUMMYFUNCTION("""COMPUTED_VALUE"""),108342.0)</f>
        <v>108342</v>
      </c>
      <c r="D4268" s="9"/>
      <c r="E4268" s="10" t="str">
        <f>IFERROR(__xludf.DUMMYFUNCTION("""COMPUTED_VALUE"""),"GREENRELAIS")</f>
        <v>GREENRELAIS</v>
      </c>
      <c r="F4268" s="10">
        <f>IFERROR(__xludf.DUMMYFUNCTION("""COMPUTED_VALUE"""),1.74)</f>
        <v>1.74</v>
      </c>
      <c r="G4268" s="9">
        <f>IFERROR(__xludf.DUMMYFUNCTION("""COMPUTED_VALUE"""),1.74)</f>
        <v>1.74</v>
      </c>
      <c r="H4268" s="9">
        <f>IFERROR(__xludf.DUMMYFUNCTION("""COMPUTED_VALUE"""),1.0)</f>
        <v>1</v>
      </c>
      <c r="I4268" s="9"/>
      <c r="J4268" s="9"/>
      <c r="K4268" s="9"/>
      <c r="L4268" s="9"/>
      <c r="M4268" s="9"/>
      <c r="N4268" s="9"/>
      <c r="O4268" s="9"/>
      <c r="P4268" s="9"/>
      <c r="Q4268" s="9"/>
      <c r="R4268" s="9"/>
      <c r="S4268" s="9"/>
      <c r="T4268" s="9"/>
    </row>
    <row r="4269" ht="15.75" customHeight="1">
      <c r="A4269" s="11">
        <f>IFERROR(__xludf.DUMMYFUNCTION("""COMPUTED_VALUE"""),44471.0)</f>
        <v>44471</v>
      </c>
      <c r="B4269" s="9">
        <f>IFERROR(__xludf.DUMMYFUNCTION("""COMPUTED_VALUE"""),1003896.0)</f>
        <v>1003896</v>
      </c>
      <c r="C4269" s="9">
        <f>IFERROR(__xludf.DUMMYFUNCTION("""COMPUTED_VALUE"""),107163.0)</f>
        <v>107163</v>
      </c>
      <c r="D4269" s="10" t="str">
        <f>IFERROR(__xludf.DUMMYFUNCTION("""COMPUTED_VALUE"""),"Vive le bio")</f>
        <v>Vive le bio</v>
      </c>
      <c r="E4269" s="10" t="str">
        <f>IFERROR(__xludf.DUMMYFUNCTION("""COMPUTED_VALUE"""),"GREENRELAIS")</f>
        <v>GREENRELAIS</v>
      </c>
      <c r="F4269" s="10">
        <f>IFERROR(__xludf.DUMMYFUNCTION("""COMPUTED_VALUE"""),5.22222222222222)</f>
        <v>5.222222222</v>
      </c>
      <c r="G4269" s="9">
        <f>IFERROR(__xludf.DUMMYFUNCTION("""COMPUTED_VALUE"""),4.7)</f>
        <v>4.7</v>
      </c>
      <c r="H4269" s="9">
        <f>IFERROR(__xludf.DUMMYFUNCTION("""COMPUTED_VALUE"""),2.0)</f>
        <v>2</v>
      </c>
      <c r="I4269" s="9"/>
      <c r="J4269" s="9"/>
      <c r="K4269" s="9"/>
      <c r="L4269" s="9"/>
      <c r="M4269" s="9"/>
      <c r="N4269" s="9"/>
      <c r="O4269" s="9"/>
      <c r="P4269" s="9"/>
      <c r="Q4269" s="9"/>
      <c r="R4269" s="9"/>
      <c r="S4269" s="9"/>
      <c r="T4269" s="9"/>
    </row>
    <row r="4270" ht="15.75" customHeight="1">
      <c r="A4270" s="11">
        <f>IFERROR(__xludf.DUMMYFUNCTION("""COMPUTED_VALUE"""),44471.0)</f>
        <v>44471</v>
      </c>
      <c r="B4270" s="9">
        <f>IFERROR(__xludf.DUMMYFUNCTION("""COMPUTED_VALUE"""),1003896.0)</f>
        <v>1003896</v>
      </c>
      <c r="C4270" s="9">
        <f>IFERROR(__xludf.DUMMYFUNCTION("""COMPUTED_VALUE"""),84164.0)</f>
        <v>84164</v>
      </c>
      <c r="D4270" s="10" t="str">
        <f>IFERROR(__xludf.DUMMYFUNCTION("""COMPUTED_VALUE"""),"Offre speciale")</f>
        <v>Offre speciale</v>
      </c>
      <c r="E4270" s="10" t="str">
        <f>IFERROR(__xludf.DUMMYFUNCTION("""COMPUTED_VALUE"""),"GREENRELAIS")</f>
        <v>GREENRELAIS</v>
      </c>
      <c r="F4270" s="10">
        <f>IFERROR(__xludf.DUMMYFUNCTION("""COMPUTED_VALUE"""),7.30588235294117)</f>
        <v>7.305882353</v>
      </c>
      <c r="G4270" s="9">
        <f>IFERROR(__xludf.DUMMYFUNCTION("""COMPUTED_VALUE"""),6.21)</f>
        <v>6.21</v>
      </c>
      <c r="H4270" s="9">
        <f>IFERROR(__xludf.DUMMYFUNCTION("""COMPUTED_VALUE"""),4.0)</f>
        <v>4</v>
      </c>
      <c r="I4270" s="9"/>
      <c r="J4270" s="9"/>
      <c r="K4270" s="9"/>
      <c r="L4270" s="9"/>
      <c r="M4270" s="9"/>
      <c r="N4270" s="9"/>
      <c r="O4270" s="9"/>
      <c r="P4270" s="9"/>
      <c r="Q4270" s="9"/>
      <c r="R4270" s="9"/>
      <c r="S4270" s="9"/>
      <c r="T4270" s="9"/>
    </row>
    <row r="4271" ht="15.75" customHeight="1">
      <c r="A4271" s="11">
        <f>IFERROR(__xludf.DUMMYFUNCTION("""COMPUTED_VALUE"""),44471.0)</f>
        <v>44471</v>
      </c>
      <c r="B4271" s="9">
        <f>IFERROR(__xludf.DUMMYFUNCTION("""COMPUTED_VALUE"""),1003896.0)</f>
        <v>1003896</v>
      </c>
      <c r="C4271" s="9">
        <f>IFERROR(__xludf.DUMMYFUNCTION("""COMPUTED_VALUE"""),78397.0)</f>
        <v>78397</v>
      </c>
      <c r="D4271" s="9"/>
      <c r="E4271" s="10" t="str">
        <f>IFERROR(__xludf.DUMMYFUNCTION("""COMPUTED_VALUE"""),"GREENRELAIS")</f>
        <v>GREENRELAIS</v>
      </c>
      <c r="F4271" s="10">
        <f>IFERROR(__xludf.DUMMYFUNCTION("""COMPUTED_VALUE"""),22.27)</f>
        <v>22.27</v>
      </c>
      <c r="G4271" s="9">
        <f>IFERROR(__xludf.DUMMYFUNCTION("""COMPUTED_VALUE"""),22.27)</f>
        <v>22.27</v>
      </c>
      <c r="H4271" s="9">
        <f>IFERROR(__xludf.DUMMYFUNCTION("""COMPUTED_VALUE"""),8.0)</f>
        <v>8</v>
      </c>
      <c r="I4271" s="9"/>
      <c r="J4271" s="9"/>
      <c r="K4271" s="9"/>
      <c r="L4271" s="9"/>
      <c r="M4271" s="9"/>
      <c r="N4271" s="9"/>
      <c r="O4271" s="9"/>
      <c r="P4271" s="9"/>
      <c r="Q4271" s="9"/>
      <c r="R4271" s="9"/>
      <c r="S4271" s="9"/>
      <c r="T4271" s="9"/>
    </row>
    <row r="4272" ht="15.75" customHeight="1">
      <c r="A4272" s="11">
        <f>IFERROR(__xludf.DUMMYFUNCTION("""COMPUTED_VALUE"""),44471.0)</f>
        <v>44471</v>
      </c>
      <c r="B4272" s="9">
        <f>IFERROR(__xludf.DUMMYFUNCTION("""COMPUTED_VALUE"""),1003897.0)</f>
        <v>1003897</v>
      </c>
      <c r="C4272" s="9">
        <f>IFERROR(__xludf.DUMMYFUNCTION("""COMPUTED_VALUE"""),110579.0)</f>
        <v>110579</v>
      </c>
      <c r="D4272" s="10" t="str">
        <f>IFERROR(__xludf.DUMMYFUNCTION("""COMPUTED_VALUE"""),"Vive le bio")</f>
        <v>Vive le bio</v>
      </c>
      <c r="E4272" s="10" t="str">
        <f>IFERROR(__xludf.DUMMYFUNCTION("""COMPUTED_VALUE"""),"GREENRELAIS")</f>
        <v>GREENRELAIS</v>
      </c>
      <c r="F4272" s="10">
        <f>IFERROR(__xludf.DUMMYFUNCTION("""COMPUTED_VALUE"""),14.6333333333333)</f>
        <v>14.63333333</v>
      </c>
      <c r="G4272" s="9">
        <f>IFERROR(__xludf.DUMMYFUNCTION("""COMPUTED_VALUE"""),13.17)</f>
        <v>13.17</v>
      </c>
      <c r="H4272" s="9">
        <f>IFERROR(__xludf.DUMMYFUNCTION("""COMPUTED_VALUE"""),1.0)</f>
        <v>1</v>
      </c>
      <c r="I4272" s="9"/>
      <c r="J4272" s="9"/>
      <c r="K4272" s="9"/>
      <c r="L4272" s="9"/>
      <c r="M4272" s="9"/>
      <c r="N4272" s="9"/>
      <c r="O4272" s="9"/>
      <c r="P4272" s="9"/>
      <c r="Q4272" s="9"/>
      <c r="R4272" s="9"/>
      <c r="S4272" s="9"/>
      <c r="T4272" s="9"/>
    </row>
    <row r="4273" ht="15.75" customHeight="1">
      <c r="A4273" s="11">
        <f>IFERROR(__xludf.DUMMYFUNCTION("""COMPUTED_VALUE"""),44471.0)</f>
        <v>44471</v>
      </c>
      <c r="B4273" s="9">
        <f>IFERROR(__xludf.DUMMYFUNCTION("""COMPUTED_VALUE"""),1003897.0)</f>
        <v>1003897</v>
      </c>
      <c r="C4273" s="9">
        <f>IFERROR(__xludf.DUMMYFUNCTION("""COMPUTED_VALUE"""),90906.0)</f>
        <v>90906</v>
      </c>
      <c r="D4273" s="10" t="str">
        <f>IFERROR(__xludf.DUMMYFUNCTION("""COMPUTED_VALUE"""),"Offre speciale")</f>
        <v>Offre speciale</v>
      </c>
      <c r="E4273" s="10" t="str">
        <f>IFERROR(__xludf.DUMMYFUNCTION("""COMPUTED_VALUE"""),"GREENRELAIS")</f>
        <v>GREENRELAIS</v>
      </c>
      <c r="F4273" s="10">
        <f>IFERROR(__xludf.DUMMYFUNCTION("""COMPUTED_VALUE"""),3.2840909090909)</f>
        <v>3.284090909</v>
      </c>
      <c r="G4273" s="9">
        <f>IFERROR(__xludf.DUMMYFUNCTION("""COMPUTED_VALUE"""),2.89)</f>
        <v>2.89</v>
      </c>
      <c r="H4273" s="9">
        <f>IFERROR(__xludf.DUMMYFUNCTION("""COMPUTED_VALUE"""),1.0)</f>
        <v>1</v>
      </c>
      <c r="I4273" s="9"/>
      <c r="J4273" s="9"/>
      <c r="K4273" s="9"/>
      <c r="L4273" s="9"/>
      <c r="M4273" s="9"/>
      <c r="N4273" s="9"/>
      <c r="O4273" s="9"/>
      <c r="P4273" s="9"/>
      <c r="Q4273" s="9"/>
      <c r="R4273" s="9"/>
      <c r="S4273" s="9"/>
      <c r="T4273" s="9"/>
    </row>
    <row r="4274" ht="15.75" customHeight="1">
      <c r="A4274" s="11">
        <f>IFERROR(__xludf.DUMMYFUNCTION("""COMPUTED_VALUE"""),44471.0)</f>
        <v>44471</v>
      </c>
      <c r="B4274" s="9">
        <f>IFERROR(__xludf.DUMMYFUNCTION("""COMPUTED_VALUE"""),1003897.0)</f>
        <v>1003897</v>
      </c>
      <c r="C4274" s="9">
        <f>IFERROR(__xludf.DUMMYFUNCTION("""COMPUTED_VALUE"""),76373.0)</f>
        <v>76373</v>
      </c>
      <c r="D4274" s="9"/>
      <c r="E4274" s="10" t="str">
        <f>IFERROR(__xludf.DUMMYFUNCTION("""COMPUTED_VALUE"""),"GREENRELAIS")</f>
        <v>GREENRELAIS</v>
      </c>
      <c r="F4274" s="10">
        <f>IFERROR(__xludf.DUMMYFUNCTION("""COMPUTED_VALUE"""),2.54)</f>
        <v>2.54</v>
      </c>
      <c r="G4274" s="9">
        <f>IFERROR(__xludf.DUMMYFUNCTION("""COMPUTED_VALUE"""),2.54)</f>
        <v>2.54</v>
      </c>
      <c r="H4274" s="9">
        <f>IFERROR(__xludf.DUMMYFUNCTION("""COMPUTED_VALUE"""),1.0)</f>
        <v>1</v>
      </c>
      <c r="I4274" s="9"/>
      <c r="J4274" s="9"/>
      <c r="K4274" s="9"/>
      <c r="L4274" s="9"/>
      <c r="M4274" s="9"/>
      <c r="N4274" s="9"/>
      <c r="O4274" s="9"/>
      <c r="P4274" s="9"/>
      <c r="Q4274" s="9"/>
      <c r="R4274" s="9"/>
      <c r="S4274" s="9"/>
      <c r="T4274" s="9"/>
    </row>
    <row r="4275" ht="15.75" customHeight="1">
      <c r="A4275" s="11">
        <f>IFERROR(__xludf.DUMMYFUNCTION("""COMPUTED_VALUE"""),44471.0)</f>
        <v>44471</v>
      </c>
      <c r="B4275" s="9">
        <f>IFERROR(__xludf.DUMMYFUNCTION("""COMPUTED_VALUE"""),1003897.0)</f>
        <v>1003897</v>
      </c>
      <c r="C4275" s="9">
        <f>IFERROR(__xludf.DUMMYFUNCTION("""COMPUTED_VALUE"""),46955.0)</f>
        <v>46955</v>
      </c>
      <c r="D4275" s="9"/>
      <c r="E4275" s="10" t="str">
        <f>IFERROR(__xludf.DUMMYFUNCTION("""COMPUTED_VALUE"""),"GREENRELAIS")</f>
        <v>GREENRELAIS</v>
      </c>
      <c r="F4275" s="10">
        <f>IFERROR(__xludf.DUMMYFUNCTION("""COMPUTED_VALUE"""),7.84)</f>
        <v>7.84</v>
      </c>
      <c r="G4275" s="9">
        <f>IFERROR(__xludf.DUMMYFUNCTION("""COMPUTED_VALUE"""),7.84)</f>
        <v>7.84</v>
      </c>
      <c r="H4275" s="9">
        <f>IFERROR(__xludf.DUMMYFUNCTION("""COMPUTED_VALUE"""),1.0)</f>
        <v>1</v>
      </c>
      <c r="I4275" s="9"/>
      <c r="J4275" s="9"/>
      <c r="K4275" s="9"/>
      <c r="L4275" s="9"/>
      <c r="M4275" s="9"/>
      <c r="N4275" s="9"/>
      <c r="O4275" s="9"/>
      <c r="P4275" s="9"/>
      <c r="Q4275" s="9"/>
      <c r="R4275" s="9"/>
      <c r="S4275" s="9"/>
      <c r="T4275" s="9"/>
    </row>
    <row r="4276" ht="15.75" customHeight="1">
      <c r="A4276" s="11">
        <f>IFERROR(__xludf.DUMMYFUNCTION("""COMPUTED_VALUE"""),44471.0)</f>
        <v>44471</v>
      </c>
      <c r="B4276" s="9">
        <f>IFERROR(__xludf.DUMMYFUNCTION("""COMPUTED_VALUE"""),1003897.0)</f>
        <v>1003897</v>
      </c>
      <c r="C4276" s="9">
        <f>IFERROR(__xludf.DUMMYFUNCTION("""COMPUTED_VALUE"""),122292.0)</f>
        <v>122292</v>
      </c>
      <c r="D4276" s="9"/>
      <c r="E4276" s="10" t="str">
        <f>IFERROR(__xludf.DUMMYFUNCTION("""COMPUTED_VALUE"""),"GREENRELAIS")</f>
        <v>GREENRELAIS</v>
      </c>
      <c r="F4276" s="10">
        <f>IFERROR(__xludf.DUMMYFUNCTION("""COMPUTED_VALUE"""),15.76)</f>
        <v>15.76</v>
      </c>
      <c r="G4276" s="9">
        <f>IFERROR(__xludf.DUMMYFUNCTION("""COMPUTED_VALUE"""),15.76)</f>
        <v>15.76</v>
      </c>
      <c r="H4276" s="9">
        <f>IFERROR(__xludf.DUMMYFUNCTION("""COMPUTED_VALUE"""),1.0)</f>
        <v>1</v>
      </c>
      <c r="I4276" s="9"/>
      <c r="J4276" s="9"/>
      <c r="K4276" s="9"/>
      <c r="L4276" s="9"/>
      <c r="M4276" s="9"/>
      <c r="N4276" s="9"/>
      <c r="O4276" s="9"/>
      <c r="P4276" s="9"/>
      <c r="Q4276" s="9"/>
      <c r="R4276" s="9"/>
      <c r="S4276" s="9"/>
      <c r="T4276" s="9"/>
    </row>
    <row r="4277" ht="15.75" customHeight="1">
      <c r="A4277" s="11">
        <f>IFERROR(__xludf.DUMMYFUNCTION("""COMPUTED_VALUE"""),44471.0)</f>
        <v>44471</v>
      </c>
      <c r="B4277" s="9">
        <f>IFERROR(__xludf.DUMMYFUNCTION("""COMPUTED_VALUE"""),1003897.0)</f>
        <v>1003897</v>
      </c>
      <c r="C4277" s="9">
        <f>IFERROR(__xludf.DUMMYFUNCTION("""COMPUTED_VALUE"""),10565.0)</f>
        <v>10565</v>
      </c>
      <c r="D4277" s="9"/>
      <c r="E4277" s="10" t="str">
        <f>IFERROR(__xludf.DUMMYFUNCTION("""COMPUTED_VALUE"""),"GREENRELAIS")</f>
        <v>GREENRELAIS</v>
      </c>
      <c r="F4277" s="10">
        <f>IFERROR(__xludf.DUMMYFUNCTION("""COMPUTED_VALUE"""),7.93)</f>
        <v>7.93</v>
      </c>
      <c r="G4277" s="9">
        <f>IFERROR(__xludf.DUMMYFUNCTION("""COMPUTED_VALUE"""),7.93)</f>
        <v>7.93</v>
      </c>
      <c r="H4277" s="9">
        <f>IFERROR(__xludf.DUMMYFUNCTION("""COMPUTED_VALUE"""),1.0)</f>
        <v>1</v>
      </c>
      <c r="I4277" s="9"/>
      <c r="J4277" s="9"/>
      <c r="K4277" s="9"/>
      <c r="L4277" s="9"/>
      <c r="M4277" s="9"/>
      <c r="N4277" s="9"/>
      <c r="O4277" s="9"/>
      <c r="P4277" s="9"/>
      <c r="Q4277" s="9"/>
      <c r="R4277" s="9"/>
      <c r="S4277" s="9"/>
      <c r="T4277" s="9"/>
    </row>
    <row r="4278" ht="15.75" customHeight="1">
      <c r="A4278" s="11">
        <f>IFERROR(__xludf.DUMMYFUNCTION("""COMPUTED_VALUE"""),44471.0)</f>
        <v>44471</v>
      </c>
      <c r="B4278" s="9">
        <f>IFERROR(__xludf.DUMMYFUNCTION("""COMPUTED_VALUE"""),1003897.0)</f>
        <v>1003897</v>
      </c>
      <c r="C4278" s="9">
        <f>IFERROR(__xludf.DUMMYFUNCTION("""COMPUTED_VALUE"""),109311.0)</f>
        <v>109311</v>
      </c>
      <c r="D4278" s="9"/>
      <c r="E4278" s="10" t="str">
        <f>IFERROR(__xludf.DUMMYFUNCTION("""COMPUTED_VALUE"""),"GREENRELAIS")</f>
        <v>GREENRELAIS</v>
      </c>
      <c r="F4278" s="10">
        <f>IFERROR(__xludf.DUMMYFUNCTION("""COMPUTED_VALUE"""),8.13)</f>
        <v>8.13</v>
      </c>
      <c r="G4278" s="9">
        <f>IFERROR(__xludf.DUMMYFUNCTION("""COMPUTED_VALUE"""),8.13)</f>
        <v>8.13</v>
      </c>
      <c r="H4278" s="9">
        <f>IFERROR(__xludf.DUMMYFUNCTION("""COMPUTED_VALUE"""),1.0)</f>
        <v>1</v>
      </c>
      <c r="I4278" s="9"/>
      <c r="J4278" s="9"/>
      <c r="K4278" s="9"/>
      <c r="L4278" s="9"/>
      <c r="M4278" s="9"/>
      <c r="N4278" s="9"/>
      <c r="O4278" s="9"/>
      <c r="P4278" s="9"/>
      <c r="Q4278" s="9"/>
      <c r="R4278" s="9"/>
      <c r="S4278" s="9"/>
      <c r="T4278" s="9"/>
    </row>
    <row r="4279" ht="15.75" customHeight="1">
      <c r="A4279" s="11">
        <f>IFERROR(__xludf.DUMMYFUNCTION("""COMPUTED_VALUE"""),44471.0)</f>
        <v>44471</v>
      </c>
      <c r="B4279" s="9">
        <f>IFERROR(__xludf.DUMMYFUNCTION("""COMPUTED_VALUE"""),1003897.0)</f>
        <v>1003897</v>
      </c>
      <c r="C4279" s="9">
        <f>IFERROR(__xludf.DUMMYFUNCTION("""COMPUTED_VALUE"""),10572.0)</f>
        <v>10572</v>
      </c>
      <c r="D4279" s="9"/>
      <c r="E4279" s="10" t="str">
        <f>IFERROR(__xludf.DUMMYFUNCTION("""COMPUTED_VALUE"""),"GREENRELAIS")</f>
        <v>GREENRELAIS</v>
      </c>
      <c r="F4279" s="10">
        <f>IFERROR(__xludf.DUMMYFUNCTION("""COMPUTED_VALUE"""),3.22)</f>
        <v>3.22</v>
      </c>
      <c r="G4279" s="9">
        <f>IFERROR(__xludf.DUMMYFUNCTION("""COMPUTED_VALUE"""),3.22)</f>
        <v>3.22</v>
      </c>
      <c r="H4279" s="9">
        <f>IFERROR(__xludf.DUMMYFUNCTION("""COMPUTED_VALUE"""),1.0)</f>
        <v>1</v>
      </c>
      <c r="I4279" s="9"/>
      <c r="J4279" s="9"/>
      <c r="K4279" s="9"/>
      <c r="L4279" s="9"/>
      <c r="M4279" s="9"/>
      <c r="N4279" s="9"/>
      <c r="O4279" s="9"/>
      <c r="P4279" s="9"/>
      <c r="Q4279" s="9"/>
      <c r="R4279" s="9"/>
      <c r="S4279" s="9"/>
      <c r="T4279" s="9"/>
    </row>
    <row r="4280" ht="15.75" customHeight="1">
      <c r="A4280" s="11">
        <f>IFERROR(__xludf.DUMMYFUNCTION("""COMPUTED_VALUE"""),44471.0)</f>
        <v>44471</v>
      </c>
      <c r="B4280" s="9">
        <f>IFERROR(__xludf.DUMMYFUNCTION("""COMPUTED_VALUE"""),1003897.0)</f>
        <v>1003897</v>
      </c>
      <c r="C4280" s="9">
        <f>IFERROR(__xludf.DUMMYFUNCTION("""COMPUTED_VALUE"""),10569.0)</f>
        <v>10569</v>
      </c>
      <c r="D4280" s="9"/>
      <c r="E4280" s="10" t="str">
        <f>IFERROR(__xludf.DUMMYFUNCTION("""COMPUTED_VALUE"""),"GREENRELAIS")</f>
        <v>GREENRELAIS</v>
      </c>
      <c r="F4280" s="10">
        <f>IFERROR(__xludf.DUMMYFUNCTION("""COMPUTED_VALUE"""),7.69)</f>
        <v>7.69</v>
      </c>
      <c r="G4280" s="9">
        <f>IFERROR(__xludf.DUMMYFUNCTION("""COMPUTED_VALUE"""),7.69)</f>
        <v>7.69</v>
      </c>
      <c r="H4280" s="9">
        <f>IFERROR(__xludf.DUMMYFUNCTION("""COMPUTED_VALUE"""),1.0)</f>
        <v>1</v>
      </c>
      <c r="I4280" s="9"/>
      <c r="J4280" s="9"/>
      <c r="K4280" s="9"/>
      <c r="L4280" s="9"/>
      <c r="M4280" s="9"/>
      <c r="N4280" s="9"/>
      <c r="O4280" s="9"/>
      <c r="P4280" s="9"/>
      <c r="Q4280" s="9"/>
      <c r="R4280" s="9"/>
      <c r="S4280" s="9"/>
      <c r="T4280" s="9"/>
    </row>
    <row r="4281" ht="15.75" customHeight="1">
      <c r="A4281" s="11">
        <f>IFERROR(__xludf.DUMMYFUNCTION("""COMPUTED_VALUE"""),44471.0)</f>
        <v>44471</v>
      </c>
      <c r="B4281" s="9">
        <f>IFERROR(__xludf.DUMMYFUNCTION("""COMPUTED_VALUE"""),1003897.0)</f>
        <v>1003897</v>
      </c>
      <c r="C4281" s="9">
        <f>IFERROR(__xludf.DUMMYFUNCTION("""COMPUTED_VALUE"""),76366.0)</f>
        <v>76366</v>
      </c>
      <c r="D4281" s="10" t="str">
        <f>IFERROR(__xludf.DUMMYFUNCTION("""COMPUTED_VALUE"""),"Vive le bio")</f>
        <v>Vive le bio</v>
      </c>
      <c r="E4281" s="10" t="str">
        <f>IFERROR(__xludf.DUMMYFUNCTION("""COMPUTED_VALUE"""),"GREENRELAIS")</f>
        <v>GREENRELAIS</v>
      </c>
      <c r="F4281" s="10">
        <f>IFERROR(__xludf.DUMMYFUNCTION("""COMPUTED_VALUE"""),2.88888888888888)</f>
        <v>2.888888889</v>
      </c>
      <c r="G4281" s="9">
        <f>IFERROR(__xludf.DUMMYFUNCTION("""COMPUTED_VALUE"""),2.6)</f>
        <v>2.6</v>
      </c>
      <c r="H4281" s="9">
        <f>IFERROR(__xludf.DUMMYFUNCTION("""COMPUTED_VALUE"""),1.0)</f>
        <v>1</v>
      </c>
      <c r="I4281" s="9"/>
      <c r="J4281" s="9"/>
      <c r="K4281" s="9"/>
      <c r="L4281" s="9"/>
      <c r="M4281" s="9"/>
      <c r="N4281" s="9"/>
      <c r="O4281" s="9"/>
      <c r="P4281" s="9"/>
      <c r="Q4281" s="9"/>
      <c r="R4281" s="9"/>
      <c r="S4281" s="9"/>
      <c r="T4281" s="9"/>
    </row>
    <row r="4282" ht="15.75" customHeight="1">
      <c r="A4282" s="11">
        <f>IFERROR(__xludf.DUMMYFUNCTION("""COMPUTED_VALUE"""),44471.0)</f>
        <v>44471</v>
      </c>
      <c r="B4282" s="9">
        <f>IFERROR(__xludf.DUMMYFUNCTION("""COMPUTED_VALUE"""),1003897.0)</f>
        <v>1003897</v>
      </c>
      <c r="C4282" s="9">
        <f>IFERROR(__xludf.DUMMYFUNCTION("""COMPUTED_VALUE"""),166090.0)</f>
        <v>166090</v>
      </c>
      <c r="D4282" s="10" t="str">
        <f>IFERROR(__xludf.DUMMYFUNCTION("""COMPUTED_VALUE"""),"Zero Dechet")</f>
        <v>Zero Dechet</v>
      </c>
      <c r="E4282" s="10" t="str">
        <f>IFERROR(__xludf.DUMMYFUNCTION("""COMPUTED_VALUE"""),"GREENRELAIS")</f>
        <v>GREENRELAIS</v>
      </c>
      <c r="F4282" s="10">
        <f>IFERROR(__xludf.DUMMYFUNCTION("""COMPUTED_VALUE"""),6.73333333333333)</f>
        <v>6.733333333</v>
      </c>
      <c r="G4282" s="9">
        <f>IFERROR(__xludf.DUMMYFUNCTION("""COMPUTED_VALUE"""),6.06)</f>
        <v>6.06</v>
      </c>
      <c r="H4282" s="9">
        <f>IFERROR(__xludf.DUMMYFUNCTION("""COMPUTED_VALUE"""),1.0)</f>
        <v>1</v>
      </c>
      <c r="I4282" s="9"/>
      <c r="J4282" s="9"/>
      <c r="K4282" s="9"/>
      <c r="L4282" s="9"/>
      <c r="M4282" s="9"/>
      <c r="N4282" s="9"/>
      <c r="O4282" s="9"/>
      <c r="P4282" s="9"/>
      <c r="Q4282" s="9"/>
      <c r="R4282" s="9"/>
      <c r="S4282" s="9"/>
      <c r="T4282" s="9"/>
    </row>
    <row r="4283" ht="15.75" customHeight="1">
      <c r="A4283" s="11">
        <f>IFERROR(__xludf.DUMMYFUNCTION("""COMPUTED_VALUE"""),44471.0)</f>
        <v>44471</v>
      </c>
      <c r="B4283" s="9">
        <f>IFERROR(__xludf.DUMMYFUNCTION("""COMPUTED_VALUE"""),1003898.0)</f>
        <v>1003898</v>
      </c>
      <c r="C4283" s="9">
        <f>IFERROR(__xludf.DUMMYFUNCTION("""COMPUTED_VALUE"""),109310.0)</f>
        <v>109310</v>
      </c>
      <c r="D4283" s="9"/>
      <c r="E4283" s="10" t="str">
        <f>IFERROR(__xludf.DUMMYFUNCTION("""COMPUTED_VALUE"""),"PREMIERE")</f>
        <v>PREMIERE</v>
      </c>
      <c r="F4283" s="10">
        <f>IFERROR(__xludf.DUMMYFUNCTION("""COMPUTED_VALUE"""),12.54)</f>
        <v>12.54</v>
      </c>
      <c r="G4283" s="9">
        <f>IFERROR(__xludf.DUMMYFUNCTION("""COMPUTED_VALUE"""),12.54)</f>
        <v>12.54</v>
      </c>
      <c r="H4283" s="9">
        <f>IFERROR(__xludf.DUMMYFUNCTION("""COMPUTED_VALUE"""),2.0)</f>
        <v>2</v>
      </c>
      <c r="I4283" s="9"/>
      <c r="J4283" s="9"/>
      <c r="K4283" s="9"/>
      <c r="L4283" s="9"/>
      <c r="M4283" s="9"/>
      <c r="N4283" s="9"/>
      <c r="O4283" s="9"/>
      <c r="P4283" s="9"/>
      <c r="Q4283" s="9"/>
      <c r="R4283" s="9"/>
      <c r="S4283" s="9"/>
      <c r="T4283" s="9"/>
    </row>
    <row r="4284" ht="15.75" customHeight="1">
      <c r="A4284" s="11">
        <f>IFERROR(__xludf.DUMMYFUNCTION("""COMPUTED_VALUE"""),44471.0)</f>
        <v>44471</v>
      </c>
      <c r="B4284" s="9">
        <f>IFERROR(__xludf.DUMMYFUNCTION("""COMPUTED_VALUE"""),1003898.0)</f>
        <v>1003898</v>
      </c>
      <c r="C4284" s="9">
        <f>IFERROR(__xludf.DUMMYFUNCTION("""COMPUTED_VALUE"""),109308.0)</f>
        <v>109308</v>
      </c>
      <c r="D4284" s="9"/>
      <c r="E4284" s="10" t="str">
        <f>IFERROR(__xludf.DUMMYFUNCTION("""COMPUTED_VALUE"""),"PREMIERE")</f>
        <v>PREMIERE</v>
      </c>
      <c r="F4284" s="10">
        <f>IFERROR(__xludf.DUMMYFUNCTION("""COMPUTED_VALUE"""),16.33)</f>
        <v>16.33</v>
      </c>
      <c r="G4284" s="9">
        <f>IFERROR(__xludf.DUMMYFUNCTION("""COMPUTED_VALUE"""),16.33)</f>
        <v>16.33</v>
      </c>
      <c r="H4284" s="9">
        <f>IFERROR(__xludf.DUMMYFUNCTION("""COMPUTED_VALUE"""),2.0)</f>
        <v>2</v>
      </c>
      <c r="I4284" s="9"/>
      <c r="J4284" s="9"/>
      <c r="K4284" s="9"/>
      <c r="L4284" s="9"/>
      <c r="M4284" s="9"/>
      <c r="N4284" s="9"/>
      <c r="O4284" s="9"/>
      <c r="P4284" s="9"/>
      <c r="Q4284" s="9"/>
      <c r="R4284" s="9"/>
      <c r="S4284" s="9"/>
      <c r="T4284" s="9"/>
    </row>
    <row r="4285" ht="15.75" customHeight="1">
      <c r="A4285" s="11">
        <f>IFERROR(__xludf.DUMMYFUNCTION("""COMPUTED_VALUE"""),44471.0)</f>
        <v>44471</v>
      </c>
      <c r="B4285" s="9">
        <f>IFERROR(__xludf.DUMMYFUNCTION("""COMPUTED_VALUE"""),1003898.0)</f>
        <v>1003898</v>
      </c>
      <c r="C4285" s="9">
        <f>IFERROR(__xludf.DUMMYFUNCTION("""COMPUTED_VALUE"""),126541.0)</f>
        <v>126541</v>
      </c>
      <c r="D4285" s="9"/>
      <c r="E4285" s="10" t="str">
        <f>IFERROR(__xludf.DUMMYFUNCTION("""COMPUTED_VALUE"""),"PREMIERE")</f>
        <v>PREMIERE</v>
      </c>
      <c r="F4285" s="10">
        <f>IFERROR(__xludf.DUMMYFUNCTION("""COMPUTED_VALUE"""),9.75)</f>
        <v>9.75</v>
      </c>
      <c r="G4285" s="9">
        <f>IFERROR(__xludf.DUMMYFUNCTION("""COMPUTED_VALUE"""),9.75)</f>
        <v>9.75</v>
      </c>
      <c r="H4285" s="9">
        <f>IFERROR(__xludf.DUMMYFUNCTION("""COMPUTED_VALUE"""),3.0)</f>
        <v>3</v>
      </c>
      <c r="I4285" s="9"/>
      <c r="J4285" s="9"/>
      <c r="K4285" s="9"/>
      <c r="L4285" s="9"/>
      <c r="M4285" s="9"/>
      <c r="N4285" s="9"/>
      <c r="O4285" s="9"/>
      <c r="P4285" s="9"/>
      <c r="Q4285" s="9"/>
      <c r="R4285" s="9"/>
      <c r="S4285" s="9"/>
      <c r="T4285" s="9"/>
    </row>
    <row r="4286" ht="15.75" customHeight="1">
      <c r="A4286" s="11">
        <f>IFERROR(__xludf.DUMMYFUNCTION("""COMPUTED_VALUE"""),44471.0)</f>
        <v>44471</v>
      </c>
      <c r="B4286" s="9">
        <f>IFERROR(__xludf.DUMMYFUNCTION("""COMPUTED_VALUE"""),1003899.0)</f>
        <v>1003899</v>
      </c>
      <c r="C4286" s="9">
        <f>IFERROR(__xludf.DUMMYFUNCTION("""COMPUTED_VALUE"""),114899.0)</f>
        <v>114899</v>
      </c>
      <c r="D4286" s="9"/>
      <c r="E4286" s="9"/>
      <c r="F4286" s="9">
        <f>IFERROR(__xludf.DUMMYFUNCTION("""COMPUTED_VALUE"""),9.1)</f>
        <v>9.1</v>
      </c>
      <c r="G4286" s="9">
        <f>IFERROR(__xludf.DUMMYFUNCTION("""COMPUTED_VALUE"""),9.1)</f>
        <v>9.1</v>
      </c>
      <c r="H4286" s="9">
        <f>IFERROR(__xludf.DUMMYFUNCTION("""COMPUTED_VALUE"""),1.0)</f>
        <v>1</v>
      </c>
      <c r="I4286" s="9"/>
      <c r="J4286" s="9"/>
      <c r="K4286" s="9"/>
      <c r="L4286" s="9"/>
      <c r="M4286" s="9"/>
      <c r="N4286" s="9"/>
      <c r="O4286" s="9"/>
      <c r="P4286" s="9"/>
      <c r="Q4286" s="9"/>
      <c r="R4286" s="9"/>
      <c r="S4286" s="9"/>
      <c r="T4286" s="9"/>
    </row>
    <row r="4287" ht="15.75" customHeight="1">
      <c r="A4287" s="11">
        <f>IFERROR(__xludf.DUMMYFUNCTION("""COMPUTED_VALUE"""),44471.0)</f>
        <v>44471</v>
      </c>
      <c r="B4287" s="9">
        <f>IFERROR(__xludf.DUMMYFUNCTION("""COMPUTED_VALUE"""),1003899.0)</f>
        <v>1003899</v>
      </c>
      <c r="C4287" s="9">
        <f>IFERROR(__xludf.DUMMYFUNCTION("""COMPUTED_VALUE"""),121869.0)</f>
        <v>121869</v>
      </c>
      <c r="D4287" s="9"/>
      <c r="E4287" s="9"/>
      <c r="F4287" s="9">
        <f>IFERROR(__xludf.DUMMYFUNCTION("""COMPUTED_VALUE"""),17.2)</f>
        <v>17.2</v>
      </c>
      <c r="G4287" s="9">
        <f>IFERROR(__xludf.DUMMYFUNCTION("""COMPUTED_VALUE"""),17.2)</f>
        <v>17.2</v>
      </c>
      <c r="H4287" s="9">
        <f>IFERROR(__xludf.DUMMYFUNCTION("""COMPUTED_VALUE"""),1.0)</f>
        <v>1</v>
      </c>
      <c r="I4287" s="9"/>
      <c r="J4287" s="9"/>
      <c r="K4287" s="9"/>
      <c r="L4287" s="9"/>
      <c r="M4287" s="9"/>
      <c r="N4287" s="9"/>
      <c r="O4287" s="9"/>
      <c r="P4287" s="9"/>
      <c r="Q4287" s="9"/>
      <c r="R4287" s="9"/>
      <c r="S4287" s="9"/>
      <c r="T4287" s="9"/>
    </row>
    <row r="4288" ht="15.75" customHeight="1">
      <c r="A4288" s="11">
        <f>IFERROR(__xludf.DUMMYFUNCTION("""COMPUTED_VALUE"""),44471.0)</f>
        <v>44471</v>
      </c>
      <c r="B4288" s="9">
        <f>IFERROR(__xludf.DUMMYFUNCTION("""COMPUTED_VALUE"""),1003899.0)</f>
        <v>1003899</v>
      </c>
      <c r="C4288" s="9">
        <f>IFERROR(__xludf.DUMMYFUNCTION("""COMPUTED_VALUE"""),46955.0)</f>
        <v>46955</v>
      </c>
      <c r="D4288" s="9"/>
      <c r="E4288" s="9"/>
      <c r="F4288" s="9">
        <f>IFERROR(__xludf.DUMMYFUNCTION("""COMPUTED_VALUE"""),7.84)</f>
        <v>7.84</v>
      </c>
      <c r="G4288" s="9">
        <f>IFERROR(__xludf.DUMMYFUNCTION("""COMPUTED_VALUE"""),7.84)</f>
        <v>7.84</v>
      </c>
      <c r="H4288" s="9">
        <f>IFERROR(__xludf.DUMMYFUNCTION("""COMPUTED_VALUE"""),1.0)</f>
        <v>1</v>
      </c>
      <c r="I4288" s="9"/>
      <c r="J4288" s="9"/>
      <c r="K4288" s="9"/>
      <c r="L4288" s="9"/>
      <c r="M4288" s="9"/>
      <c r="N4288" s="9"/>
      <c r="O4288" s="9"/>
      <c r="P4288" s="9"/>
      <c r="Q4288" s="9"/>
      <c r="R4288" s="9"/>
      <c r="S4288" s="9"/>
      <c r="T4288" s="9"/>
    </row>
    <row r="4289" ht="15.75" customHeight="1">
      <c r="A4289" s="11">
        <f>IFERROR(__xludf.DUMMYFUNCTION("""COMPUTED_VALUE"""),44471.0)</f>
        <v>44471</v>
      </c>
      <c r="B4289" s="9">
        <f>IFERROR(__xludf.DUMMYFUNCTION("""COMPUTED_VALUE"""),1003899.0)</f>
        <v>1003899</v>
      </c>
      <c r="C4289" s="9">
        <f>IFERROR(__xludf.DUMMYFUNCTION("""COMPUTED_VALUE"""),110719.0)</f>
        <v>110719</v>
      </c>
      <c r="D4289" s="9"/>
      <c r="E4289" s="9"/>
      <c r="F4289" s="9">
        <f>IFERROR(__xludf.DUMMYFUNCTION("""COMPUTED_VALUE"""),3.95)</f>
        <v>3.95</v>
      </c>
      <c r="G4289" s="9">
        <f>IFERROR(__xludf.DUMMYFUNCTION("""COMPUTED_VALUE"""),3.95)</f>
        <v>3.95</v>
      </c>
      <c r="H4289" s="9">
        <f>IFERROR(__xludf.DUMMYFUNCTION("""COMPUTED_VALUE"""),1.0)</f>
        <v>1</v>
      </c>
      <c r="I4289" s="9"/>
      <c r="J4289" s="9"/>
      <c r="K4289" s="9"/>
      <c r="L4289" s="9"/>
      <c r="M4289" s="9"/>
      <c r="N4289" s="9"/>
      <c r="O4289" s="9"/>
      <c r="P4289" s="9"/>
      <c r="Q4289" s="9"/>
      <c r="R4289" s="9"/>
      <c r="S4289" s="9"/>
      <c r="T4289" s="9"/>
    </row>
    <row r="4290" ht="15.75" customHeight="1">
      <c r="A4290" s="11">
        <f>IFERROR(__xludf.DUMMYFUNCTION("""COMPUTED_VALUE"""),44471.0)</f>
        <v>44471</v>
      </c>
      <c r="B4290" s="9">
        <f>IFERROR(__xludf.DUMMYFUNCTION("""COMPUTED_VALUE"""),1003899.0)</f>
        <v>1003899</v>
      </c>
      <c r="C4290" s="9">
        <f>IFERROR(__xludf.DUMMYFUNCTION("""COMPUTED_VALUE"""),70339.0)</f>
        <v>70339</v>
      </c>
      <c r="D4290" s="9"/>
      <c r="E4290" s="9"/>
      <c r="F4290" s="9">
        <f>IFERROR(__xludf.DUMMYFUNCTION("""COMPUTED_VALUE"""),28.64)</f>
        <v>28.64</v>
      </c>
      <c r="G4290" s="9">
        <f>IFERROR(__xludf.DUMMYFUNCTION("""COMPUTED_VALUE"""),28.64)</f>
        <v>28.64</v>
      </c>
      <c r="H4290" s="9">
        <f>IFERROR(__xludf.DUMMYFUNCTION("""COMPUTED_VALUE"""),1.0)</f>
        <v>1</v>
      </c>
      <c r="I4290" s="9"/>
      <c r="J4290" s="9"/>
      <c r="K4290" s="9"/>
      <c r="L4290" s="9"/>
      <c r="M4290" s="9"/>
      <c r="N4290" s="9"/>
      <c r="O4290" s="9"/>
      <c r="P4290" s="9"/>
      <c r="Q4290" s="9"/>
      <c r="R4290" s="9"/>
      <c r="S4290" s="9"/>
      <c r="T4290" s="9"/>
    </row>
    <row r="4291" ht="15.75" customHeight="1">
      <c r="A4291" s="11">
        <f>IFERROR(__xludf.DUMMYFUNCTION("""COMPUTED_VALUE"""),44471.0)</f>
        <v>44471</v>
      </c>
      <c r="B4291" s="9">
        <f>IFERROR(__xludf.DUMMYFUNCTION("""COMPUTED_VALUE"""),1003899.0)</f>
        <v>1003899</v>
      </c>
      <c r="C4291" s="9">
        <f>IFERROR(__xludf.DUMMYFUNCTION("""COMPUTED_VALUE"""),5869.0)</f>
        <v>5869</v>
      </c>
      <c r="D4291" s="9"/>
      <c r="E4291" s="9"/>
      <c r="F4291" s="9">
        <f>IFERROR(__xludf.DUMMYFUNCTION("""COMPUTED_VALUE"""),5.64)</f>
        <v>5.64</v>
      </c>
      <c r="G4291" s="9">
        <f>IFERROR(__xludf.DUMMYFUNCTION("""COMPUTED_VALUE"""),5.64)</f>
        <v>5.64</v>
      </c>
      <c r="H4291" s="9">
        <f>IFERROR(__xludf.DUMMYFUNCTION("""COMPUTED_VALUE"""),2.0)</f>
        <v>2</v>
      </c>
      <c r="I4291" s="9"/>
      <c r="J4291" s="9"/>
      <c r="K4291" s="9"/>
      <c r="L4291" s="9"/>
      <c r="M4291" s="9"/>
      <c r="N4291" s="9"/>
      <c r="O4291" s="9"/>
      <c r="P4291" s="9"/>
      <c r="Q4291" s="9"/>
      <c r="R4291" s="9"/>
      <c r="S4291" s="9"/>
      <c r="T4291" s="9"/>
    </row>
    <row r="4292" ht="15.75" customHeight="1">
      <c r="A4292" s="11">
        <f>IFERROR(__xludf.DUMMYFUNCTION("""COMPUTED_VALUE"""),44471.0)</f>
        <v>44471</v>
      </c>
      <c r="B4292" s="9">
        <f>IFERROR(__xludf.DUMMYFUNCTION("""COMPUTED_VALUE"""),1003900.0)</f>
        <v>1003900</v>
      </c>
      <c r="C4292" s="9">
        <f>IFERROR(__xludf.DUMMYFUNCTION("""COMPUTED_VALUE"""),125182.0)</f>
        <v>125182</v>
      </c>
      <c r="D4292" s="9"/>
      <c r="E4292" s="9"/>
      <c r="F4292" s="9">
        <f>IFERROR(__xludf.DUMMYFUNCTION("""COMPUTED_VALUE"""),5.69)</f>
        <v>5.69</v>
      </c>
      <c r="G4292" s="9">
        <f>IFERROR(__xludf.DUMMYFUNCTION("""COMPUTED_VALUE"""),5.69)</f>
        <v>5.69</v>
      </c>
      <c r="H4292" s="9">
        <f>IFERROR(__xludf.DUMMYFUNCTION("""COMPUTED_VALUE"""),2.0)</f>
        <v>2</v>
      </c>
      <c r="I4292" s="9"/>
      <c r="J4292" s="9"/>
      <c r="K4292" s="9"/>
      <c r="L4292" s="9"/>
      <c r="M4292" s="9"/>
      <c r="N4292" s="9"/>
      <c r="O4292" s="9"/>
      <c r="P4292" s="9"/>
      <c r="Q4292" s="9"/>
      <c r="R4292" s="9"/>
      <c r="S4292" s="9"/>
      <c r="T4292" s="9"/>
    </row>
    <row r="4293" ht="15.75" customHeight="1">
      <c r="A4293" s="11">
        <f>IFERROR(__xludf.DUMMYFUNCTION("""COMPUTED_VALUE"""),44471.0)</f>
        <v>44471</v>
      </c>
      <c r="B4293" s="9">
        <f>IFERROR(__xludf.DUMMYFUNCTION("""COMPUTED_VALUE"""),1003901.0)</f>
        <v>1003901</v>
      </c>
      <c r="C4293" s="9">
        <f>IFERROR(__xludf.DUMMYFUNCTION("""COMPUTED_VALUE"""),86172.0)</f>
        <v>86172</v>
      </c>
      <c r="D4293" s="9"/>
      <c r="E4293" s="9"/>
      <c r="F4293" s="9">
        <f>IFERROR(__xludf.DUMMYFUNCTION("""COMPUTED_VALUE"""),8.31)</f>
        <v>8.31</v>
      </c>
      <c r="G4293" s="9">
        <f>IFERROR(__xludf.DUMMYFUNCTION("""COMPUTED_VALUE"""),8.31)</f>
        <v>8.31</v>
      </c>
      <c r="H4293" s="9">
        <f>IFERROR(__xludf.DUMMYFUNCTION("""COMPUTED_VALUE"""),1.0)</f>
        <v>1</v>
      </c>
      <c r="I4293" s="9"/>
      <c r="J4293" s="9"/>
      <c r="K4293" s="9"/>
      <c r="L4293" s="9"/>
      <c r="M4293" s="9"/>
      <c r="N4293" s="9"/>
      <c r="O4293" s="9"/>
      <c r="P4293" s="9"/>
      <c r="Q4293" s="9"/>
      <c r="R4293" s="9"/>
      <c r="S4293" s="9"/>
      <c r="T4293" s="9"/>
    </row>
    <row r="4294" ht="15.75" customHeight="1">
      <c r="A4294" s="11">
        <f>IFERROR(__xludf.DUMMYFUNCTION("""COMPUTED_VALUE"""),44471.0)</f>
        <v>44471</v>
      </c>
      <c r="B4294" s="9">
        <f>IFERROR(__xludf.DUMMYFUNCTION("""COMPUTED_VALUE"""),1003901.0)</f>
        <v>1003901</v>
      </c>
      <c r="C4294" s="9">
        <f>IFERROR(__xludf.DUMMYFUNCTION("""COMPUTED_VALUE"""),89981.0)</f>
        <v>89981</v>
      </c>
      <c r="D4294" s="10" t="str">
        <f>IFERROR(__xludf.DUMMYFUNCTION("""COMPUTED_VALUE"""),"Offre speciale")</f>
        <v>Offre speciale</v>
      </c>
      <c r="E4294" s="10"/>
      <c r="F4294" s="9">
        <f>IFERROR(__xludf.DUMMYFUNCTION("""COMPUTED_VALUE"""),6.4235294117647)</f>
        <v>6.423529412</v>
      </c>
      <c r="G4294" s="9">
        <f>IFERROR(__xludf.DUMMYFUNCTION("""COMPUTED_VALUE"""),5.46)</f>
        <v>5.46</v>
      </c>
      <c r="H4294" s="9">
        <f>IFERROR(__xludf.DUMMYFUNCTION("""COMPUTED_VALUE"""),1.0)</f>
        <v>1</v>
      </c>
      <c r="I4294" s="9"/>
      <c r="J4294" s="9"/>
      <c r="K4294" s="9"/>
      <c r="L4294" s="9"/>
      <c r="M4294" s="9"/>
      <c r="N4294" s="9"/>
      <c r="O4294" s="9"/>
      <c r="P4294" s="9"/>
      <c r="Q4294" s="9"/>
      <c r="R4294" s="9"/>
      <c r="S4294" s="9"/>
      <c r="T4294" s="9"/>
    </row>
    <row r="4295" ht="15.75" customHeight="1">
      <c r="A4295" s="11">
        <f>IFERROR(__xludf.DUMMYFUNCTION("""COMPUTED_VALUE"""),44471.0)</f>
        <v>44471</v>
      </c>
      <c r="B4295" s="9">
        <f>IFERROR(__xludf.DUMMYFUNCTION("""COMPUTED_VALUE"""),1003901.0)</f>
        <v>1003901</v>
      </c>
      <c r="C4295" s="9">
        <f>IFERROR(__xludf.DUMMYFUNCTION("""COMPUTED_VALUE"""),119244.0)</f>
        <v>119244</v>
      </c>
      <c r="D4295" s="9"/>
      <c r="E4295" s="9"/>
      <c r="F4295" s="9">
        <f>IFERROR(__xludf.DUMMYFUNCTION("""COMPUTED_VALUE"""),3.99)</f>
        <v>3.99</v>
      </c>
      <c r="G4295" s="9">
        <f>IFERROR(__xludf.DUMMYFUNCTION("""COMPUTED_VALUE"""),3.99)</f>
        <v>3.99</v>
      </c>
      <c r="H4295" s="9">
        <f>IFERROR(__xludf.DUMMYFUNCTION("""COMPUTED_VALUE"""),1.0)</f>
        <v>1</v>
      </c>
      <c r="I4295" s="9"/>
      <c r="J4295" s="9"/>
      <c r="K4295" s="9"/>
      <c r="L4295" s="9"/>
      <c r="M4295" s="9"/>
      <c r="N4295" s="9"/>
      <c r="O4295" s="9"/>
      <c r="P4295" s="9"/>
      <c r="Q4295" s="9"/>
      <c r="R4295" s="9"/>
      <c r="S4295" s="9"/>
      <c r="T4295" s="9"/>
    </row>
    <row r="4296" ht="15.75" customHeight="1">
      <c r="A4296" s="11">
        <f>IFERROR(__xludf.DUMMYFUNCTION("""COMPUTED_VALUE"""),44471.0)</f>
        <v>44471</v>
      </c>
      <c r="B4296" s="9">
        <f>IFERROR(__xludf.DUMMYFUNCTION("""COMPUTED_VALUE"""),1003901.0)</f>
        <v>1003901</v>
      </c>
      <c r="C4296" s="9">
        <f>IFERROR(__xludf.DUMMYFUNCTION("""COMPUTED_VALUE"""),77506.0)</f>
        <v>77506</v>
      </c>
      <c r="D4296" s="10" t="str">
        <f>IFERROR(__xludf.DUMMYFUNCTION("""COMPUTED_VALUE"""),"Vive le bio")</f>
        <v>Vive le bio</v>
      </c>
      <c r="E4296" s="10"/>
      <c r="F4296" s="9">
        <f>IFERROR(__xludf.DUMMYFUNCTION("""COMPUTED_VALUE"""),2.78888888888888)</f>
        <v>2.788888889</v>
      </c>
      <c r="G4296" s="9">
        <f>IFERROR(__xludf.DUMMYFUNCTION("""COMPUTED_VALUE"""),2.51)</f>
        <v>2.51</v>
      </c>
      <c r="H4296" s="9">
        <f>IFERROR(__xludf.DUMMYFUNCTION("""COMPUTED_VALUE"""),1.0)</f>
        <v>1</v>
      </c>
      <c r="I4296" s="9"/>
      <c r="J4296" s="9"/>
      <c r="K4296" s="9"/>
      <c r="L4296" s="9"/>
      <c r="M4296" s="9"/>
      <c r="N4296" s="9"/>
      <c r="O4296" s="9"/>
      <c r="P4296" s="9"/>
      <c r="Q4296" s="9"/>
      <c r="R4296" s="9"/>
      <c r="S4296" s="9"/>
      <c r="T4296" s="9"/>
    </row>
    <row r="4297" ht="15.75" customHeight="1">
      <c r="A4297" s="11">
        <f>IFERROR(__xludf.DUMMYFUNCTION("""COMPUTED_VALUE"""),44471.0)</f>
        <v>44471</v>
      </c>
      <c r="B4297" s="9">
        <f>IFERROR(__xludf.DUMMYFUNCTION("""COMPUTED_VALUE"""),1003902.0)</f>
        <v>1003902</v>
      </c>
      <c r="C4297" s="9">
        <f>IFERROR(__xludf.DUMMYFUNCTION("""COMPUTED_VALUE"""),119876.0)</f>
        <v>119876</v>
      </c>
      <c r="D4297" s="9"/>
      <c r="E4297" s="10" t="str">
        <f>IFERROR(__xludf.DUMMYFUNCTION("""COMPUTED_VALUE"""),"PREMIERE")</f>
        <v>PREMIERE</v>
      </c>
      <c r="F4297" s="10">
        <f>IFERROR(__xludf.DUMMYFUNCTION("""COMPUTED_VALUE"""),24.45)</f>
        <v>24.45</v>
      </c>
      <c r="G4297" s="9">
        <f>IFERROR(__xludf.DUMMYFUNCTION("""COMPUTED_VALUE"""),24.45)</f>
        <v>24.45</v>
      </c>
      <c r="H4297" s="9">
        <f>IFERROR(__xludf.DUMMYFUNCTION("""COMPUTED_VALUE"""),1.0)</f>
        <v>1</v>
      </c>
      <c r="I4297" s="9"/>
      <c r="J4297" s="9"/>
      <c r="K4297" s="9"/>
      <c r="L4297" s="9"/>
      <c r="M4297" s="9"/>
      <c r="N4297" s="9"/>
      <c r="O4297" s="9"/>
      <c r="P4297" s="9"/>
      <c r="Q4297" s="9"/>
      <c r="R4297" s="9"/>
      <c r="S4297" s="9"/>
      <c r="T4297" s="9"/>
    </row>
    <row r="4298" ht="15.75" customHeight="1">
      <c r="A4298" s="11">
        <f>IFERROR(__xludf.DUMMYFUNCTION("""COMPUTED_VALUE"""),44471.0)</f>
        <v>44471</v>
      </c>
      <c r="B4298" s="9">
        <f>IFERROR(__xludf.DUMMYFUNCTION("""COMPUTED_VALUE"""),1003902.0)</f>
        <v>1003902</v>
      </c>
      <c r="C4298" s="9">
        <f>IFERROR(__xludf.DUMMYFUNCTION("""COMPUTED_VALUE"""),11728.0)</f>
        <v>11728</v>
      </c>
      <c r="D4298" s="9"/>
      <c r="E4298" s="10" t="str">
        <f>IFERROR(__xludf.DUMMYFUNCTION("""COMPUTED_VALUE"""),"PREMIERE")</f>
        <v>PREMIERE</v>
      </c>
      <c r="F4298" s="10">
        <f>IFERROR(__xludf.DUMMYFUNCTION("""COMPUTED_VALUE"""),10.35)</f>
        <v>10.35</v>
      </c>
      <c r="G4298" s="9">
        <f>IFERROR(__xludf.DUMMYFUNCTION("""COMPUTED_VALUE"""),10.35)</f>
        <v>10.35</v>
      </c>
      <c r="H4298" s="9">
        <f>IFERROR(__xludf.DUMMYFUNCTION("""COMPUTED_VALUE"""),1.0)</f>
        <v>1</v>
      </c>
      <c r="I4298" s="9"/>
      <c r="J4298" s="9"/>
      <c r="K4298" s="9"/>
      <c r="L4298" s="9"/>
      <c r="M4298" s="9"/>
      <c r="N4298" s="9"/>
      <c r="O4298" s="9"/>
      <c r="P4298" s="9"/>
      <c r="Q4298" s="9"/>
      <c r="R4298" s="9"/>
      <c r="S4298" s="9"/>
      <c r="T4298" s="9"/>
    </row>
    <row r="4299" ht="15.75" customHeight="1">
      <c r="A4299" s="11">
        <f>IFERROR(__xludf.DUMMYFUNCTION("""COMPUTED_VALUE"""),44471.0)</f>
        <v>44471</v>
      </c>
      <c r="B4299" s="9">
        <f>IFERROR(__xludf.DUMMYFUNCTION("""COMPUTED_VALUE"""),1003902.0)</f>
        <v>1003902</v>
      </c>
      <c r="C4299" s="9">
        <f>IFERROR(__xludf.DUMMYFUNCTION("""COMPUTED_VALUE"""),117419.0)</f>
        <v>117419</v>
      </c>
      <c r="D4299" s="9"/>
      <c r="E4299" s="10" t="str">
        <f>IFERROR(__xludf.DUMMYFUNCTION("""COMPUTED_VALUE"""),"PREMIERE")</f>
        <v>PREMIERE</v>
      </c>
      <c r="F4299" s="10">
        <f>IFERROR(__xludf.DUMMYFUNCTION("""COMPUTED_VALUE"""),11.15)</f>
        <v>11.15</v>
      </c>
      <c r="G4299" s="9">
        <f>IFERROR(__xludf.DUMMYFUNCTION("""COMPUTED_VALUE"""),11.15)</f>
        <v>11.15</v>
      </c>
      <c r="H4299" s="9">
        <f>IFERROR(__xludf.DUMMYFUNCTION("""COMPUTED_VALUE"""),1.0)</f>
        <v>1</v>
      </c>
      <c r="I4299" s="9"/>
      <c r="J4299" s="9"/>
      <c r="K4299" s="9"/>
      <c r="L4299" s="9"/>
      <c r="M4299" s="9"/>
      <c r="N4299" s="9"/>
      <c r="O4299" s="9"/>
      <c r="P4299" s="9"/>
      <c r="Q4299" s="9"/>
      <c r="R4299" s="9"/>
      <c r="S4299" s="9"/>
      <c r="T4299" s="9"/>
    </row>
    <row r="4300" ht="15.75" customHeight="1">
      <c r="A4300" s="11">
        <f>IFERROR(__xludf.DUMMYFUNCTION("""COMPUTED_VALUE"""),44471.0)</f>
        <v>44471</v>
      </c>
      <c r="B4300" s="9">
        <f>IFERROR(__xludf.DUMMYFUNCTION("""COMPUTED_VALUE"""),1003903.0)</f>
        <v>1003903</v>
      </c>
      <c r="C4300" s="9">
        <f>IFERROR(__xludf.DUMMYFUNCTION("""COMPUTED_VALUE"""),75825.0)</f>
        <v>75825</v>
      </c>
      <c r="D4300" s="9"/>
      <c r="E4300" s="10" t="str">
        <f>IFERROR(__xludf.DUMMYFUNCTION("""COMPUTED_VALUE"""),"GREENRELAIS")</f>
        <v>GREENRELAIS</v>
      </c>
      <c r="F4300" s="10">
        <f>IFERROR(__xludf.DUMMYFUNCTION("""COMPUTED_VALUE"""),8.12)</f>
        <v>8.12</v>
      </c>
      <c r="G4300" s="9">
        <f>IFERROR(__xludf.DUMMYFUNCTION("""COMPUTED_VALUE"""),8.12)</f>
        <v>8.12</v>
      </c>
      <c r="H4300" s="9">
        <f>IFERROR(__xludf.DUMMYFUNCTION("""COMPUTED_VALUE"""),1.0)</f>
        <v>1</v>
      </c>
      <c r="I4300" s="9"/>
      <c r="J4300" s="9"/>
      <c r="K4300" s="9"/>
      <c r="L4300" s="9"/>
      <c r="M4300" s="9"/>
      <c r="N4300" s="9"/>
      <c r="O4300" s="9"/>
      <c r="P4300" s="9"/>
      <c r="Q4300" s="9"/>
      <c r="R4300" s="9"/>
      <c r="S4300" s="9"/>
      <c r="T4300" s="9"/>
    </row>
    <row r="4301" ht="15.75" customHeight="1">
      <c r="A4301" s="11">
        <f>IFERROR(__xludf.DUMMYFUNCTION("""COMPUTED_VALUE"""),44471.0)</f>
        <v>44471</v>
      </c>
      <c r="B4301" s="9">
        <f>IFERROR(__xludf.DUMMYFUNCTION("""COMPUTED_VALUE"""),1003903.0)</f>
        <v>1003903</v>
      </c>
      <c r="C4301" s="9">
        <f>IFERROR(__xludf.DUMMYFUNCTION("""COMPUTED_VALUE"""),158671.0)</f>
        <v>158671</v>
      </c>
      <c r="D4301" s="9"/>
      <c r="E4301" s="10" t="str">
        <f>IFERROR(__xludf.DUMMYFUNCTION("""COMPUTED_VALUE"""),"GREENRELAIS")</f>
        <v>GREENRELAIS</v>
      </c>
      <c r="F4301" s="10">
        <f>IFERROR(__xludf.DUMMYFUNCTION("""COMPUTED_VALUE"""),8.7)</f>
        <v>8.7</v>
      </c>
      <c r="G4301" s="9">
        <f>IFERROR(__xludf.DUMMYFUNCTION("""COMPUTED_VALUE"""),8.7)</f>
        <v>8.7</v>
      </c>
      <c r="H4301" s="9">
        <f>IFERROR(__xludf.DUMMYFUNCTION("""COMPUTED_VALUE"""),1.0)</f>
        <v>1</v>
      </c>
      <c r="I4301" s="9"/>
      <c r="J4301" s="9"/>
      <c r="K4301" s="9"/>
      <c r="L4301" s="9"/>
      <c r="M4301" s="9"/>
      <c r="N4301" s="9"/>
      <c r="O4301" s="9"/>
      <c r="P4301" s="9"/>
      <c r="Q4301" s="9"/>
      <c r="R4301" s="9"/>
      <c r="S4301" s="9"/>
      <c r="T4301" s="9"/>
    </row>
    <row r="4302" ht="15.75" customHeight="1">
      <c r="A4302" s="11">
        <f>IFERROR(__xludf.DUMMYFUNCTION("""COMPUTED_VALUE"""),44471.0)</f>
        <v>44471</v>
      </c>
      <c r="B4302" s="9">
        <f>IFERROR(__xludf.DUMMYFUNCTION("""COMPUTED_VALUE"""),1003903.0)</f>
        <v>1003903</v>
      </c>
      <c r="C4302" s="9">
        <f>IFERROR(__xludf.DUMMYFUNCTION("""COMPUTED_VALUE"""),45479.0)</f>
        <v>45479</v>
      </c>
      <c r="D4302" s="9"/>
      <c r="E4302" s="10" t="str">
        <f>IFERROR(__xludf.DUMMYFUNCTION("""COMPUTED_VALUE"""),"GREENRELAIS")</f>
        <v>GREENRELAIS</v>
      </c>
      <c r="F4302" s="10">
        <f>IFERROR(__xludf.DUMMYFUNCTION("""COMPUTED_VALUE"""),2.95)</f>
        <v>2.95</v>
      </c>
      <c r="G4302" s="9">
        <f>IFERROR(__xludf.DUMMYFUNCTION("""COMPUTED_VALUE"""),2.95)</f>
        <v>2.95</v>
      </c>
      <c r="H4302" s="9">
        <f>IFERROR(__xludf.DUMMYFUNCTION("""COMPUTED_VALUE"""),1.0)</f>
        <v>1</v>
      </c>
      <c r="I4302" s="9"/>
      <c r="J4302" s="9"/>
      <c r="K4302" s="9"/>
      <c r="L4302" s="9"/>
      <c r="M4302" s="9"/>
      <c r="N4302" s="9"/>
      <c r="O4302" s="9"/>
      <c r="P4302" s="9"/>
      <c r="Q4302" s="9"/>
      <c r="R4302" s="9"/>
      <c r="S4302" s="9"/>
      <c r="T4302" s="9"/>
    </row>
    <row r="4303" ht="15.75" customHeight="1">
      <c r="A4303" s="11">
        <f>IFERROR(__xludf.DUMMYFUNCTION("""COMPUTED_VALUE"""),44471.0)</f>
        <v>44471</v>
      </c>
      <c r="B4303" s="9">
        <f>IFERROR(__xludf.DUMMYFUNCTION("""COMPUTED_VALUE"""),1003903.0)</f>
        <v>1003903</v>
      </c>
      <c r="C4303" s="9">
        <f>IFERROR(__xludf.DUMMYFUNCTION("""COMPUTED_VALUE"""),70415.0)</f>
        <v>70415</v>
      </c>
      <c r="D4303" s="9"/>
      <c r="E4303" s="10" t="str">
        <f>IFERROR(__xludf.DUMMYFUNCTION("""COMPUTED_VALUE"""),"GREENRELAIS")</f>
        <v>GREENRELAIS</v>
      </c>
      <c r="F4303" s="10">
        <f>IFERROR(__xludf.DUMMYFUNCTION("""COMPUTED_VALUE"""),3.28)</f>
        <v>3.28</v>
      </c>
      <c r="G4303" s="9">
        <f>IFERROR(__xludf.DUMMYFUNCTION("""COMPUTED_VALUE"""),3.28)</f>
        <v>3.28</v>
      </c>
      <c r="H4303" s="9">
        <f>IFERROR(__xludf.DUMMYFUNCTION("""COMPUTED_VALUE"""),2.0)</f>
        <v>2</v>
      </c>
      <c r="I4303" s="9"/>
      <c r="J4303" s="9"/>
      <c r="K4303" s="9"/>
      <c r="L4303" s="9"/>
      <c r="M4303" s="9"/>
      <c r="N4303" s="9"/>
      <c r="O4303" s="9"/>
      <c r="P4303" s="9"/>
      <c r="Q4303" s="9"/>
      <c r="R4303" s="9"/>
      <c r="S4303" s="9"/>
      <c r="T4303" s="9"/>
    </row>
    <row r="4304" ht="15.75" customHeight="1">
      <c r="A4304" s="11">
        <f>IFERROR(__xludf.DUMMYFUNCTION("""COMPUTED_VALUE"""),44471.0)</f>
        <v>44471</v>
      </c>
      <c r="B4304" s="9">
        <f>IFERROR(__xludf.DUMMYFUNCTION("""COMPUTED_VALUE"""),1003903.0)</f>
        <v>1003903</v>
      </c>
      <c r="C4304" s="9">
        <f>IFERROR(__xludf.DUMMYFUNCTION("""COMPUTED_VALUE"""),119087.0)</f>
        <v>119087</v>
      </c>
      <c r="D4304" s="9"/>
      <c r="E4304" s="10" t="str">
        <f>IFERROR(__xludf.DUMMYFUNCTION("""COMPUTED_VALUE"""),"GREENRELAIS")</f>
        <v>GREENRELAIS</v>
      </c>
      <c r="F4304" s="10">
        <f>IFERROR(__xludf.DUMMYFUNCTION("""COMPUTED_VALUE"""),4.08)</f>
        <v>4.08</v>
      </c>
      <c r="G4304" s="9">
        <f>IFERROR(__xludf.DUMMYFUNCTION("""COMPUTED_VALUE"""),4.08)</f>
        <v>4.08</v>
      </c>
      <c r="H4304" s="9">
        <f>IFERROR(__xludf.DUMMYFUNCTION("""COMPUTED_VALUE"""),2.0)</f>
        <v>2</v>
      </c>
      <c r="I4304" s="9"/>
      <c r="J4304" s="9"/>
      <c r="K4304" s="9"/>
      <c r="L4304" s="9"/>
      <c r="M4304" s="9"/>
      <c r="N4304" s="9"/>
      <c r="O4304" s="9"/>
      <c r="P4304" s="9"/>
      <c r="Q4304" s="9"/>
      <c r="R4304" s="9"/>
      <c r="S4304" s="9"/>
      <c r="T4304" s="9"/>
    </row>
    <row r="4305" ht="15.75" customHeight="1">
      <c r="A4305" s="11">
        <f>IFERROR(__xludf.DUMMYFUNCTION("""COMPUTED_VALUE"""),44471.0)</f>
        <v>44471</v>
      </c>
      <c r="B4305" s="9">
        <f>IFERROR(__xludf.DUMMYFUNCTION("""COMPUTED_VALUE"""),1003903.0)</f>
        <v>1003903</v>
      </c>
      <c r="C4305" s="9">
        <f>IFERROR(__xludf.DUMMYFUNCTION("""COMPUTED_VALUE"""),118220.0)</f>
        <v>118220</v>
      </c>
      <c r="D4305" s="9"/>
      <c r="E4305" s="10" t="str">
        <f>IFERROR(__xludf.DUMMYFUNCTION("""COMPUTED_VALUE"""),"GREENRELAIS")</f>
        <v>GREENRELAIS</v>
      </c>
      <c r="F4305" s="10">
        <f>IFERROR(__xludf.DUMMYFUNCTION("""COMPUTED_VALUE"""),27.14)</f>
        <v>27.14</v>
      </c>
      <c r="G4305" s="9">
        <f>IFERROR(__xludf.DUMMYFUNCTION("""COMPUTED_VALUE"""),27.14)</f>
        <v>27.14</v>
      </c>
      <c r="H4305" s="9">
        <f>IFERROR(__xludf.DUMMYFUNCTION("""COMPUTED_VALUE"""),2.0)</f>
        <v>2</v>
      </c>
      <c r="I4305" s="9"/>
      <c r="J4305" s="9"/>
      <c r="K4305" s="9"/>
      <c r="L4305" s="9"/>
      <c r="M4305" s="9"/>
      <c r="N4305" s="9"/>
      <c r="O4305" s="9"/>
      <c r="P4305" s="9"/>
      <c r="Q4305" s="9"/>
      <c r="R4305" s="9"/>
      <c r="S4305" s="9"/>
      <c r="T4305" s="9"/>
    </row>
    <row r="4306" ht="15.75" customHeight="1">
      <c r="A4306" s="11">
        <f>IFERROR(__xludf.DUMMYFUNCTION("""COMPUTED_VALUE"""),44471.0)</f>
        <v>44471</v>
      </c>
      <c r="B4306" s="9">
        <f>IFERROR(__xludf.DUMMYFUNCTION("""COMPUTED_VALUE"""),1003903.0)</f>
        <v>1003903</v>
      </c>
      <c r="C4306" s="9">
        <f>IFERROR(__xludf.DUMMYFUNCTION("""COMPUTED_VALUE"""),9639.0)</f>
        <v>9639</v>
      </c>
      <c r="D4306" s="9"/>
      <c r="E4306" s="10" t="str">
        <f>IFERROR(__xludf.DUMMYFUNCTION("""COMPUTED_VALUE"""),"GREENRELAIS")</f>
        <v>GREENRELAIS</v>
      </c>
      <c r="F4306" s="10">
        <f>IFERROR(__xludf.DUMMYFUNCTION("""COMPUTED_VALUE"""),3.97)</f>
        <v>3.97</v>
      </c>
      <c r="G4306" s="9">
        <f>IFERROR(__xludf.DUMMYFUNCTION("""COMPUTED_VALUE"""),3.97)</f>
        <v>3.97</v>
      </c>
      <c r="H4306" s="9">
        <f>IFERROR(__xludf.DUMMYFUNCTION("""COMPUTED_VALUE"""),2.0)</f>
        <v>2</v>
      </c>
      <c r="I4306" s="9"/>
      <c r="J4306" s="9"/>
      <c r="K4306" s="9"/>
      <c r="L4306" s="9"/>
      <c r="M4306" s="9"/>
      <c r="N4306" s="9"/>
      <c r="O4306" s="9"/>
      <c r="P4306" s="9"/>
      <c r="Q4306" s="9"/>
      <c r="R4306" s="9"/>
      <c r="S4306" s="9"/>
      <c r="T4306" s="9"/>
    </row>
    <row r="4307" ht="15.75" customHeight="1">
      <c r="A4307" s="11">
        <f>IFERROR(__xludf.DUMMYFUNCTION("""COMPUTED_VALUE"""),44471.0)</f>
        <v>44471</v>
      </c>
      <c r="B4307" s="9">
        <f>IFERROR(__xludf.DUMMYFUNCTION("""COMPUTED_VALUE"""),1003903.0)</f>
        <v>1003903</v>
      </c>
      <c r="C4307" s="9">
        <f>IFERROR(__xludf.DUMMYFUNCTION("""COMPUTED_VALUE"""),9643.0)</f>
        <v>9643</v>
      </c>
      <c r="D4307" s="9"/>
      <c r="E4307" s="10" t="str">
        <f>IFERROR(__xludf.DUMMYFUNCTION("""COMPUTED_VALUE"""),"GREENRELAIS")</f>
        <v>GREENRELAIS</v>
      </c>
      <c r="F4307" s="10">
        <f>IFERROR(__xludf.DUMMYFUNCTION("""COMPUTED_VALUE"""),3.98)</f>
        <v>3.98</v>
      </c>
      <c r="G4307" s="9">
        <f>IFERROR(__xludf.DUMMYFUNCTION("""COMPUTED_VALUE"""),3.98)</f>
        <v>3.98</v>
      </c>
      <c r="H4307" s="9">
        <f>IFERROR(__xludf.DUMMYFUNCTION("""COMPUTED_VALUE"""),2.0)</f>
        <v>2</v>
      </c>
      <c r="I4307" s="9"/>
      <c r="J4307" s="9"/>
      <c r="K4307" s="9"/>
      <c r="L4307" s="9"/>
      <c r="M4307" s="9"/>
      <c r="N4307" s="9"/>
      <c r="O4307" s="9"/>
      <c r="P4307" s="9"/>
      <c r="Q4307" s="9"/>
      <c r="R4307" s="9"/>
      <c r="S4307" s="9"/>
      <c r="T4307" s="9"/>
    </row>
    <row r="4308" ht="15.75" customHeight="1">
      <c r="A4308" s="11">
        <f>IFERROR(__xludf.DUMMYFUNCTION("""COMPUTED_VALUE"""),44471.0)</f>
        <v>44471</v>
      </c>
      <c r="B4308" s="9">
        <f>IFERROR(__xludf.DUMMYFUNCTION("""COMPUTED_VALUE"""),1003904.0)</f>
        <v>1003904</v>
      </c>
      <c r="C4308" s="9">
        <f>IFERROR(__xludf.DUMMYFUNCTION("""COMPUTED_VALUE"""),124704.0)</f>
        <v>124704</v>
      </c>
      <c r="D4308" s="9"/>
      <c r="E4308" s="9"/>
      <c r="F4308" s="9">
        <f>IFERROR(__xludf.DUMMYFUNCTION("""COMPUTED_VALUE"""),9.18)</f>
        <v>9.18</v>
      </c>
      <c r="G4308" s="9">
        <f>IFERROR(__xludf.DUMMYFUNCTION("""COMPUTED_VALUE"""),9.18)</f>
        <v>9.18</v>
      </c>
      <c r="H4308" s="9">
        <f>IFERROR(__xludf.DUMMYFUNCTION("""COMPUTED_VALUE"""),1.0)</f>
        <v>1</v>
      </c>
      <c r="I4308" s="9"/>
      <c r="J4308" s="9"/>
      <c r="K4308" s="9"/>
      <c r="L4308" s="9"/>
      <c r="M4308" s="9"/>
      <c r="N4308" s="9"/>
      <c r="O4308" s="9"/>
      <c r="P4308" s="9"/>
      <c r="Q4308" s="9"/>
      <c r="R4308" s="9"/>
      <c r="S4308" s="9"/>
      <c r="T4308" s="9"/>
    </row>
    <row r="4309" ht="15.75" customHeight="1">
      <c r="A4309" s="11">
        <f>IFERROR(__xludf.DUMMYFUNCTION("""COMPUTED_VALUE"""),44471.0)</f>
        <v>44471</v>
      </c>
      <c r="B4309" s="9">
        <f>IFERROR(__xludf.DUMMYFUNCTION("""COMPUTED_VALUE"""),1003904.0)</f>
        <v>1003904</v>
      </c>
      <c r="C4309" s="9">
        <f>IFERROR(__xludf.DUMMYFUNCTION("""COMPUTED_VALUE"""),105340.0)</f>
        <v>105340</v>
      </c>
      <c r="D4309" s="9"/>
      <c r="E4309" s="9"/>
      <c r="F4309" s="9">
        <f>IFERROR(__xludf.DUMMYFUNCTION("""COMPUTED_VALUE"""),19.99)</f>
        <v>19.99</v>
      </c>
      <c r="G4309" s="9">
        <f>IFERROR(__xludf.DUMMYFUNCTION("""COMPUTED_VALUE"""),19.99)</f>
        <v>19.99</v>
      </c>
      <c r="H4309" s="9">
        <f>IFERROR(__xludf.DUMMYFUNCTION("""COMPUTED_VALUE"""),4.0)</f>
        <v>4</v>
      </c>
      <c r="I4309" s="9"/>
      <c r="J4309" s="9"/>
      <c r="K4309" s="9"/>
      <c r="L4309" s="9"/>
      <c r="M4309" s="9"/>
      <c r="N4309" s="9"/>
      <c r="O4309" s="9"/>
      <c r="P4309" s="9"/>
      <c r="Q4309" s="9"/>
      <c r="R4309" s="9"/>
      <c r="S4309" s="9"/>
      <c r="T4309" s="9"/>
    </row>
    <row r="4310" ht="15.75" customHeight="1">
      <c r="A4310" s="11">
        <f>IFERROR(__xludf.DUMMYFUNCTION("""COMPUTED_VALUE"""),44471.0)</f>
        <v>44471</v>
      </c>
      <c r="B4310" s="9">
        <f>IFERROR(__xludf.DUMMYFUNCTION("""COMPUTED_VALUE"""),1003904.0)</f>
        <v>1003904</v>
      </c>
      <c r="C4310" s="9">
        <f>IFERROR(__xludf.DUMMYFUNCTION("""COMPUTED_VALUE"""),88694.0)</f>
        <v>88694</v>
      </c>
      <c r="D4310" s="10" t="str">
        <f>IFERROR(__xludf.DUMMYFUNCTION("""COMPUTED_VALUE"""),"Vive le bio")</f>
        <v>Vive le bio</v>
      </c>
      <c r="E4310" s="10"/>
      <c r="F4310" s="9">
        <f>IFERROR(__xludf.DUMMYFUNCTION("""COMPUTED_VALUE"""),20.5666666666666)</f>
        <v>20.56666667</v>
      </c>
      <c r="G4310" s="9">
        <f>IFERROR(__xludf.DUMMYFUNCTION("""COMPUTED_VALUE"""),18.51)</f>
        <v>18.51</v>
      </c>
      <c r="H4310" s="9">
        <f>IFERROR(__xludf.DUMMYFUNCTION("""COMPUTED_VALUE"""),7.0)</f>
        <v>7</v>
      </c>
      <c r="I4310" s="9"/>
      <c r="J4310" s="9"/>
      <c r="K4310" s="9"/>
      <c r="L4310" s="9"/>
      <c r="M4310" s="9"/>
      <c r="N4310" s="9"/>
      <c r="O4310" s="9"/>
      <c r="P4310" s="9"/>
      <c r="Q4310" s="9"/>
      <c r="R4310" s="9"/>
      <c r="S4310" s="9"/>
      <c r="T4310" s="9"/>
    </row>
    <row r="4311" ht="15.75" customHeight="1">
      <c r="A4311" s="11">
        <f>IFERROR(__xludf.DUMMYFUNCTION("""COMPUTED_VALUE"""),44471.0)</f>
        <v>44471</v>
      </c>
      <c r="B4311" s="9">
        <f>IFERROR(__xludf.DUMMYFUNCTION("""COMPUTED_VALUE"""),1003905.0)</f>
        <v>1003905</v>
      </c>
      <c r="C4311" s="9">
        <f>IFERROR(__xludf.DUMMYFUNCTION("""COMPUTED_VALUE"""),9671.0)</f>
        <v>9671</v>
      </c>
      <c r="D4311" s="9"/>
      <c r="E4311" s="10" t="str">
        <f>IFERROR(__xludf.DUMMYFUNCTION("""COMPUTED_VALUE"""),"HAPPEEZ")</f>
        <v>HAPPEEZ</v>
      </c>
      <c r="F4311" s="10">
        <f>IFERROR(__xludf.DUMMYFUNCTION("""COMPUTED_VALUE"""),1.88)</f>
        <v>1.88</v>
      </c>
      <c r="G4311" s="9">
        <f>IFERROR(__xludf.DUMMYFUNCTION("""COMPUTED_VALUE"""),1.88)</f>
        <v>1.88</v>
      </c>
      <c r="H4311" s="9">
        <f>IFERROR(__xludf.DUMMYFUNCTION("""COMPUTED_VALUE"""),1.0)</f>
        <v>1</v>
      </c>
      <c r="I4311" s="9"/>
      <c r="J4311" s="9"/>
      <c r="K4311" s="9"/>
      <c r="L4311" s="9"/>
      <c r="M4311" s="9"/>
      <c r="N4311" s="9"/>
      <c r="O4311" s="9"/>
      <c r="P4311" s="9"/>
      <c r="Q4311" s="9"/>
      <c r="R4311" s="9"/>
      <c r="S4311" s="9"/>
      <c r="T4311" s="9"/>
    </row>
    <row r="4312" ht="15.75" customHeight="1">
      <c r="A4312" s="11">
        <f>IFERROR(__xludf.DUMMYFUNCTION("""COMPUTED_VALUE"""),44471.0)</f>
        <v>44471</v>
      </c>
      <c r="B4312" s="9">
        <f>IFERROR(__xludf.DUMMYFUNCTION("""COMPUTED_VALUE"""),1003905.0)</f>
        <v>1003905</v>
      </c>
      <c r="C4312" s="9">
        <f>IFERROR(__xludf.DUMMYFUNCTION("""COMPUTED_VALUE"""),122614.0)</f>
        <v>122614</v>
      </c>
      <c r="D4312" s="10" t="str">
        <f>IFERROR(__xludf.DUMMYFUNCTION("""COMPUTED_VALUE"""),"Zero Dechet")</f>
        <v>Zero Dechet</v>
      </c>
      <c r="E4312" s="10" t="str">
        <f>IFERROR(__xludf.DUMMYFUNCTION("""COMPUTED_VALUE"""),"HAPPEEZ")</f>
        <v>HAPPEEZ</v>
      </c>
      <c r="F4312" s="10">
        <f>IFERROR(__xludf.DUMMYFUNCTION("""COMPUTED_VALUE"""),2.38823529411764)</f>
        <v>2.388235294</v>
      </c>
      <c r="G4312" s="9">
        <f>IFERROR(__xludf.DUMMYFUNCTION("""COMPUTED_VALUE"""),2.03)</f>
        <v>2.03</v>
      </c>
      <c r="H4312" s="9">
        <f>IFERROR(__xludf.DUMMYFUNCTION("""COMPUTED_VALUE"""),1.0)</f>
        <v>1</v>
      </c>
      <c r="I4312" s="9"/>
      <c r="J4312" s="9"/>
      <c r="K4312" s="9"/>
      <c r="L4312" s="9"/>
      <c r="M4312" s="9"/>
      <c r="N4312" s="9"/>
      <c r="O4312" s="9"/>
      <c r="P4312" s="9"/>
      <c r="Q4312" s="9"/>
      <c r="R4312" s="9"/>
      <c r="S4312" s="9"/>
      <c r="T4312" s="9"/>
    </row>
    <row r="4313" ht="15.75" customHeight="1">
      <c r="A4313" s="11">
        <f>IFERROR(__xludf.DUMMYFUNCTION("""COMPUTED_VALUE"""),44471.0)</f>
        <v>44471</v>
      </c>
      <c r="B4313" s="9">
        <f>IFERROR(__xludf.DUMMYFUNCTION("""COMPUTED_VALUE"""),1003905.0)</f>
        <v>1003905</v>
      </c>
      <c r="C4313" s="9">
        <f>IFERROR(__xludf.DUMMYFUNCTION("""COMPUTED_VALUE"""),121617.0)</f>
        <v>121617</v>
      </c>
      <c r="D4313" s="9"/>
      <c r="E4313" s="10" t="str">
        <f>IFERROR(__xludf.DUMMYFUNCTION("""COMPUTED_VALUE"""),"HAPPEEZ")</f>
        <v>HAPPEEZ</v>
      </c>
      <c r="F4313" s="10">
        <f>IFERROR(__xludf.DUMMYFUNCTION("""COMPUTED_VALUE"""),3.39)</f>
        <v>3.39</v>
      </c>
      <c r="G4313" s="9">
        <f>IFERROR(__xludf.DUMMYFUNCTION("""COMPUTED_VALUE"""),3.39)</f>
        <v>3.39</v>
      </c>
      <c r="H4313" s="9">
        <f>IFERROR(__xludf.DUMMYFUNCTION("""COMPUTED_VALUE"""),1.0)</f>
        <v>1</v>
      </c>
      <c r="I4313" s="9"/>
      <c r="J4313" s="9"/>
      <c r="K4313" s="9"/>
      <c r="L4313" s="9"/>
      <c r="M4313" s="9"/>
      <c r="N4313" s="9"/>
      <c r="O4313" s="9"/>
      <c r="P4313" s="9"/>
      <c r="Q4313" s="9"/>
      <c r="R4313" s="9"/>
      <c r="S4313" s="9"/>
      <c r="T4313" s="9"/>
    </row>
    <row r="4314" ht="15.75" customHeight="1">
      <c r="A4314" s="11">
        <f>IFERROR(__xludf.DUMMYFUNCTION("""COMPUTED_VALUE"""),44471.0)</f>
        <v>44471</v>
      </c>
      <c r="B4314" s="9">
        <f>IFERROR(__xludf.DUMMYFUNCTION("""COMPUTED_VALUE"""),1003905.0)</f>
        <v>1003905</v>
      </c>
      <c r="C4314" s="9">
        <f>IFERROR(__xludf.DUMMYFUNCTION("""COMPUTED_VALUE"""),121619.0)</f>
        <v>121619</v>
      </c>
      <c r="D4314" s="9"/>
      <c r="E4314" s="10" t="str">
        <f>IFERROR(__xludf.DUMMYFUNCTION("""COMPUTED_VALUE"""),"HAPPEEZ")</f>
        <v>HAPPEEZ</v>
      </c>
      <c r="F4314" s="10">
        <f>IFERROR(__xludf.DUMMYFUNCTION("""COMPUTED_VALUE"""),3.39)</f>
        <v>3.39</v>
      </c>
      <c r="G4314" s="9">
        <f>IFERROR(__xludf.DUMMYFUNCTION("""COMPUTED_VALUE"""),3.39)</f>
        <v>3.39</v>
      </c>
      <c r="H4314" s="9">
        <f>IFERROR(__xludf.DUMMYFUNCTION("""COMPUTED_VALUE"""),1.0)</f>
        <v>1</v>
      </c>
      <c r="I4314" s="9"/>
      <c r="J4314" s="9"/>
      <c r="K4314" s="9"/>
      <c r="L4314" s="9"/>
      <c r="M4314" s="9"/>
      <c r="N4314" s="9"/>
      <c r="O4314" s="9"/>
      <c r="P4314" s="9"/>
      <c r="Q4314" s="9"/>
      <c r="R4314" s="9"/>
      <c r="S4314" s="9"/>
      <c r="T4314" s="9"/>
    </row>
    <row r="4315" ht="15.75" customHeight="1">
      <c r="A4315" s="11">
        <f>IFERROR(__xludf.DUMMYFUNCTION("""COMPUTED_VALUE"""),44471.0)</f>
        <v>44471</v>
      </c>
      <c r="B4315" s="9">
        <f>IFERROR(__xludf.DUMMYFUNCTION("""COMPUTED_VALUE"""),1003905.0)</f>
        <v>1003905</v>
      </c>
      <c r="C4315" s="9">
        <f>IFERROR(__xludf.DUMMYFUNCTION("""COMPUTED_VALUE"""),118166.0)</f>
        <v>118166</v>
      </c>
      <c r="D4315" s="9"/>
      <c r="E4315" s="10" t="str">
        <f>IFERROR(__xludf.DUMMYFUNCTION("""COMPUTED_VALUE"""),"HAPPEEZ")</f>
        <v>HAPPEEZ</v>
      </c>
      <c r="F4315" s="10">
        <f>IFERROR(__xludf.DUMMYFUNCTION("""COMPUTED_VALUE"""),3.64)</f>
        <v>3.64</v>
      </c>
      <c r="G4315" s="9">
        <f>IFERROR(__xludf.DUMMYFUNCTION("""COMPUTED_VALUE"""),3.64)</f>
        <v>3.64</v>
      </c>
      <c r="H4315" s="9">
        <f>IFERROR(__xludf.DUMMYFUNCTION("""COMPUTED_VALUE"""),1.0)</f>
        <v>1</v>
      </c>
      <c r="I4315" s="9"/>
      <c r="J4315" s="9"/>
      <c r="K4315" s="9"/>
      <c r="L4315" s="9"/>
      <c r="M4315" s="9"/>
      <c r="N4315" s="9"/>
      <c r="O4315" s="9"/>
      <c r="P4315" s="9"/>
      <c r="Q4315" s="9"/>
      <c r="R4315" s="9"/>
      <c r="S4315" s="9"/>
      <c r="T4315" s="9"/>
    </row>
    <row r="4316" ht="15.75" customHeight="1">
      <c r="A4316" s="11">
        <f>IFERROR(__xludf.DUMMYFUNCTION("""COMPUTED_VALUE"""),44471.0)</f>
        <v>44471</v>
      </c>
      <c r="B4316" s="9">
        <f>IFERROR(__xludf.DUMMYFUNCTION("""COMPUTED_VALUE"""),1003905.0)</f>
        <v>1003905</v>
      </c>
      <c r="C4316" s="9">
        <f>IFERROR(__xludf.DUMMYFUNCTION("""COMPUTED_VALUE"""),44123.0)</f>
        <v>44123</v>
      </c>
      <c r="D4316" s="9"/>
      <c r="E4316" s="10" t="str">
        <f>IFERROR(__xludf.DUMMYFUNCTION("""COMPUTED_VALUE"""),"HAPPEEZ")</f>
        <v>HAPPEEZ</v>
      </c>
      <c r="F4316" s="10">
        <f>IFERROR(__xludf.DUMMYFUNCTION("""COMPUTED_VALUE"""),5.03)</f>
        <v>5.03</v>
      </c>
      <c r="G4316" s="9">
        <f>IFERROR(__xludf.DUMMYFUNCTION("""COMPUTED_VALUE"""),5.03)</f>
        <v>5.03</v>
      </c>
      <c r="H4316" s="9">
        <f>IFERROR(__xludf.DUMMYFUNCTION("""COMPUTED_VALUE"""),1.0)</f>
        <v>1</v>
      </c>
      <c r="I4316" s="9"/>
      <c r="J4316" s="9"/>
      <c r="K4316" s="9"/>
      <c r="L4316" s="9"/>
      <c r="M4316" s="9"/>
      <c r="N4316" s="9"/>
      <c r="O4316" s="9"/>
      <c r="P4316" s="9"/>
      <c r="Q4316" s="9"/>
      <c r="R4316" s="9"/>
      <c r="S4316" s="9"/>
      <c r="T4316" s="9"/>
    </row>
    <row r="4317" ht="15.75" customHeight="1">
      <c r="A4317" s="11">
        <f>IFERROR(__xludf.DUMMYFUNCTION("""COMPUTED_VALUE"""),44471.0)</f>
        <v>44471</v>
      </c>
      <c r="B4317" s="9">
        <f>IFERROR(__xludf.DUMMYFUNCTION("""COMPUTED_VALUE"""),1003905.0)</f>
        <v>1003905</v>
      </c>
      <c r="C4317" s="9">
        <f>IFERROR(__xludf.DUMMYFUNCTION("""COMPUTED_VALUE"""),116276.0)</f>
        <v>116276</v>
      </c>
      <c r="D4317" s="9"/>
      <c r="E4317" s="10" t="str">
        <f>IFERROR(__xludf.DUMMYFUNCTION("""COMPUTED_VALUE"""),"HAPPEEZ")</f>
        <v>HAPPEEZ</v>
      </c>
      <c r="F4317" s="10">
        <f>IFERROR(__xludf.DUMMYFUNCTION("""COMPUTED_VALUE"""),3.52)</f>
        <v>3.52</v>
      </c>
      <c r="G4317" s="9">
        <f>IFERROR(__xludf.DUMMYFUNCTION("""COMPUTED_VALUE"""),3.52)</f>
        <v>3.52</v>
      </c>
      <c r="H4317" s="9">
        <f>IFERROR(__xludf.DUMMYFUNCTION("""COMPUTED_VALUE"""),1.0)</f>
        <v>1</v>
      </c>
      <c r="I4317" s="9"/>
      <c r="J4317" s="9"/>
      <c r="K4317" s="9"/>
      <c r="L4317" s="9"/>
      <c r="M4317" s="9"/>
      <c r="N4317" s="9"/>
      <c r="O4317" s="9"/>
      <c r="P4317" s="9"/>
      <c r="Q4317" s="9"/>
      <c r="R4317" s="9"/>
      <c r="S4317" s="9"/>
      <c r="T4317" s="9"/>
    </row>
    <row r="4318" ht="15.75" customHeight="1">
      <c r="A4318" s="11">
        <f>IFERROR(__xludf.DUMMYFUNCTION("""COMPUTED_VALUE"""),44471.0)</f>
        <v>44471</v>
      </c>
      <c r="B4318" s="9">
        <f>IFERROR(__xludf.DUMMYFUNCTION("""COMPUTED_VALUE"""),1003905.0)</f>
        <v>1003905</v>
      </c>
      <c r="C4318" s="9">
        <f>IFERROR(__xludf.DUMMYFUNCTION("""COMPUTED_VALUE"""),19377.0)</f>
        <v>19377</v>
      </c>
      <c r="D4318" s="9"/>
      <c r="E4318" s="10" t="str">
        <f>IFERROR(__xludf.DUMMYFUNCTION("""COMPUTED_VALUE"""),"HAPPEEZ")</f>
        <v>HAPPEEZ</v>
      </c>
      <c r="F4318" s="10">
        <f>IFERROR(__xludf.DUMMYFUNCTION("""COMPUTED_VALUE"""),2.91)</f>
        <v>2.91</v>
      </c>
      <c r="G4318" s="9">
        <f>IFERROR(__xludf.DUMMYFUNCTION("""COMPUTED_VALUE"""),2.91)</f>
        <v>2.91</v>
      </c>
      <c r="H4318" s="9">
        <f>IFERROR(__xludf.DUMMYFUNCTION("""COMPUTED_VALUE"""),1.0)</f>
        <v>1</v>
      </c>
      <c r="I4318" s="9"/>
      <c r="J4318" s="9"/>
      <c r="K4318" s="9"/>
      <c r="L4318" s="9"/>
      <c r="M4318" s="9"/>
      <c r="N4318" s="9"/>
      <c r="O4318" s="9"/>
      <c r="P4318" s="9"/>
      <c r="Q4318" s="9"/>
      <c r="R4318" s="9"/>
      <c r="S4318" s="9"/>
      <c r="T4318" s="9"/>
    </row>
    <row r="4319" ht="15.75" customHeight="1">
      <c r="A4319" s="11">
        <f>IFERROR(__xludf.DUMMYFUNCTION("""COMPUTED_VALUE"""),44471.0)</f>
        <v>44471</v>
      </c>
      <c r="B4319" s="9">
        <f>IFERROR(__xludf.DUMMYFUNCTION("""COMPUTED_VALUE"""),1003905.0)</f>
        <v>1003905</v>
      </c>
      <c r="C4319" s="9">
        <f>IFERROR(__xludf.DUMMYFUNCTION("""COMPUTED_VALUE"""),14715.0)</f>
        <v>14715</v>
      </c>
      <c r="D4319" s="9"/>
      <c r="E4319" s="10" t="str">
        <f>IFERROR(__xludf.DUMMYFUNCTION("""COMPUTED_VALUE"""),"HAPPEEZ")</f>
        <v>HAPPEEZ</v>
      </c>
      <c r="F4319" s="10">
        <f>IFERROR(__xludf.DUMMYFUNCTION("""COMPUTED_VALUE"""),5.34)</f>
        <v>5.34</v>
      </c>
      <c r="G4319" s="9">
        <f>IFERROR(__xludf.DUMMYFUNCTION("""COMPUTED_VALUE"""),5.34)</f>
        <v>5.34</v>
      </c>
      <c r="H4319" s="9">
        <f>IFERROR(__xludf.DUMMYFUNCTION("""COMPUTED_VALUE"""),1.0)</f>
        <v>1</v>
      </c>
      <c r="I4319" s="9"/>
      <c r="J4319" s="9"/>
      <c r="K4319" s="9"/>
      <c r="L4319" s="9"/>
      <c r="M4319" s="9"/>
      <c r="N4319" s="9"/>
      <c r="O4319" s="9"/>
      <c r="P4319" s="9"/>
      <c r="Q4319" s="9"/>
      <c r="R4319" s="9"/>
      <c r="S4319" s="9"/>
      <c r="T4319" s="9"/>
    </row>
    <row r="4320" ht="15.75" customHeight="1">
      <c r="A4320" s="11">
        <f>IFERROR(__xludf.DUMMYFUNCTION("""COMPUTED_VALUE"""),44471.0)</f>
        <v>44471</v>
      </c>
      <c r="B4320" s="9">
        <f>IFERROR(__xludf.DUMMYFUNCTION("""COMPUTED_VALUE"""),1003905.0)</f>
        <v>1003905</v>
      </c>
      <c r="C4320" s="9">
        <f>IFERROR(__xludf.DUMMYFUNCTION("""COMPUTED_VALUE"""),69332.0)</f>
        <v>69332</v>
      </c>
      <c r="D4320" s="9"/>
      <c r="E4320" s="10" t="str">
        <f>IFERROR(__xludf.DUMMYFUNCTION("""COMPUTED_VALUE"""),"HAPPEEZ")</f>
        <v>HAPPEEZ</v>
      </c>
      <c r="F4320" s="10">
        <f>IFERROR(__xludf.DUMMYFUNCTION("""COMPUTED_VALUE"""),11.68)</f>
        <v>11.68</v>
      </c>
      <c r="G4320" s="9">
        <f>IFERROR(__xludf.DUMMYFUNCTION("""COMPUTED_VALUE"""),11.68)</f>
        <v>11.68</v>
      </c>
      <c r="H4320" s="9">
        <f>IFERROR(__xludf.DUMMYFUNCTION("""COMPUTED_VALUE"""),1.0)</f>
        <v>1</v>
      </c>
      <c r="I4320" s="9"/>
      <c r="J4320" s="9"/>
      <c r="K4320" s="9"/>
      <c r="L4320" s="9"/>
      <c r="M4320" s="9"/>
      <c r="N4320" s="9"/>
      <c r="O4320" s="9"/>
      <c r="P4320" s="9"/>
      <c r="Q4320" s="9"/>
      <c r="R4320" s="9"/>
      <c r="S4320" s="9"/>
      <c r="T4320" s="9"/>
    </row>
    <row r="4321" ht="15.75" customHeight="1">
      <c r="A4321" s="11">
        <f>IFERROR(__xludf.DUMMYFUNCTION("""COMPUTED_VALUE"""),44471.0)</f>
        <v>44471</v>
      </c>
      <c r="B4321" s="9">
        <f>IFERROR(__xludf.DUMMYFUNCTION("""COMPUTED_VALUE"""),1003905.0)</f>
        <v>1003905</v>
      </c>
      <c r="C4321" s="9">
        <f>IFERROR(__xludf.DUMMYFUNCTION("""COMPUTED_VALUE"""),46896.0)</f>
        <v>46896</v>
      </c>
      <c r="D4321" s="9"/>
      <c r="E4321" s="10" t="str">
        <f>IFERROR(__xludf.DUMMYFUNCTION("""COMPUTED_VALUE"""),"HAPPEEZ")</f>
        <v>HAPPEEZ</v>
      </c>
      <c r="F4321" s="10">
        <f>IFERROR(__xludf.DUMMYFUNCTION("""COMPUTED_VALUE"""),4.87)</f>
        <v>4.87</v>
      </c>
      <c r="G4321" s="9">
        <f>IFERROR(__xludf.DUMMYFUNCTION("""COMPUTED_VALUE"""),4.87)</f>
        <v>4.87</v>
      </c>
      <c r="H4321" s="9">
        <f>IFERROR(__xludf.DUMMYFUNCTION("""COMPUTED_VALUE"""),1.0)</f>
        <v>1</v>
      </c>
      <c r="I4321" s="9"/>
      <c r="J4321" s="9"/>
      <c r="K4321" s="9"/>
      <c r="L4321" s="9"/>
      <c r="M4321" s="9"/>
      <c r="N4321" s="9"/>
      <c r="O4321" s="9"/>
      <c r="P4321" s="9"/>
      <c r="Q4321" s="9"/>
      <c r="R4321" s="9"/>
      <c r="S4321" s="9"/>
      <c r="T4321" s="9"/>
    </row>
    <row r="4322" ht="15.75" customHeight="1">
      <c r="A4322" s="11">
        <f>IFERROR(__xludf.DUMMYFUNCTION("""COMPUTED_VALUE"""),44471.0)</f>
        <v>44471</v>
      </c>
      <c r="B4322" s="9">
        <f>IFERROR(__xludf.DUMMYFUNCTION("""COMPUTED_VALUE"""),1003905.0)</f>
        <v>1003905</v>
      </c>
      <c r="C4322" s="9">
        <f>IFERROR(__xludf.DUMMYFUNCTION("""COMPUTED_VALUE"""),14682.0)</f>
        <v>14682</v>
      </c>
      <c r="D4322" s="9"/>
      <c r="E4322" s="10" t="str">
        <f>IFERROR(__xludf.DUMMYFUNCTION("""COMPUTED_VALUE"""),"HAPPEEZ")</f>
        <v>HAPPEEZ</v>
      </c>
      <c r="F4322" s="10">
        <f>IFERROR(__xludf.DUMMYFUNCTION("""COMPUTED_VALUE"""),1.35)</f>
        <v>1.35</v>
      </c>
      <c r="G4322" s="9">
        <f>IFERROR(__xludf.DUMMYFUNCTION("""COMPUTED_VALUE"""),1.35)</f>
        <v>1.35</v>
      </c>
      <c r="H4322" s="9">
        <f>IFERROR(__xludf.DUMMYFUNCTION("""COMPUTED_VALUE"""),1.0)</f>
        <v>1</v>
      </c>
      <c r="I4322" s="9"/>
      <c r="J4322" s="9"/>
      <c r="K4322" s="9"/>
      <c r="L4322" s="9"/>
      <c r="M4322" s="9"/>
      <c r="N4322" s="9"/>
      <c r="O4322" s="9"/>
      <c r="P4322" s="9"/>
      <c r="Q4322" s="9"/>
      <c r="R4322" s="9"/>
      <c r="S4322" s="9"/>
      <c r="T4322" s="9"/>
    </row>
    <row r="4323" ht="15.75" customHeight="1">
      <c r="A4323" s="11">
        <f>IFERROR(__xludf.DUMMYFUNCTION("""COMPUTED_VALUE"""),44471.0)</f>
        <v>44471</v>
      </c>
      <c r="B4323" s="9">
        <f>IFERROR(__xludf.DUMMYFUNCTION("""COMPUTED_VALUE"""),1003905.0)</f>
        <v>1003905</v>
      </c>
      <c r="C4323" s="9">
        <f>IFERROR(__xludf.DUMMYFUNCTION("""COMPUTED_VALUE"""),20226.0)</f>
        <v>20226</v>
      </c>
      <c r="D4323" s="10" t="str">
        <f>IFERROR(__xludf.DUMMYFUNCTION("""COMPUTED_VALUE"""),"Offre Speciale")</f>
        <v>Offre Speciale</v>
      </c>
      <c r="E4323" s="10" t="str">
        <f>IFERROR(__xludf.DUMMYFUNCTION("""COMPUTED_VALUE"""),"HAPPEEZ")</f>
        <v>HAPPEEZ</v>
      </c>
      <c r="F4323" s="10">
        <f>IFERROR(__xludf.DUMMYFUNCTION("""COMPUTED_VALUE"""),5.65882352941176)</f>
        <v>5.658823529</v>
      </c>
      <c r="G4323" s="9">
        <f>IFERROR(__xludf.DUMMYFUNCTION("""COMPUTED_VALUE"""),4.81)</f>
        <v>4.81</v>
      </c>
      <c r="H4323" s="9">
        <f>IFERROR(__xludf.DUMMYFUNCTION("""COMPUTED_VALUE"""),1.0)</f>
        <v>1</v>
      </c>
      <c r="I4323" s="9"/>
      <c r="J4323" s="9"/>
      <c r="K4323" s="9"/>
      <c r="L4323" s="9"/>
      <c r="M4323" s="9"/>
      <c r="N4323" s="9"/>
      <c r="O4323" s="9"/>
      <c r="P4323" s="9"/>
      <c r="Q4323" s="9"/>
      <c r="R4323" s="9"/>
      <c r="S4323" s="9"/>
      <c r="T4323" s="9"/>
    </row>
    <row r="4324" ht="15.75" customHeight="1">
      <c r="A4324" s="11">
        <f>IFERROR(__xludf.DUMMYFUNCTION("""COMPUTED_VALUE"""),44471.0)</f>
        <v>44471</v>
      </c>
      <c r="B4324" s="9">
        <f>IFERROR(__xludf.DUMMYFUNCTION("""COMPUTED_VALUE"""),1003905.0)</f>
        <v>1003905</v>
      </c>
      <c r="C4324" s="9">
        <f>IFERROR(__xludf.DUMMYFUNCTION("""COMPUTED_VALUE"""),79419.0)</f>
        <v>79419</v>
      </c>
      <c r="D4324" s="9"/>
      <c r="E4324" s="10" t="str">
        <f>IFERROR(__xludf.DUMMYFUNCTION("""COMPUTED_VALUE"""),"HAPPEEZ")</f>
        <v>HAPPEEZ</v>
      </c>
      <c r="F4324" s="10">
        <f>IFERROR(__xludf.DUMMYFUNCTION("""COMPUTED_VALUE"""),2.21)</f>
        <v>2.21</v>
      </c>
      <c r="G4324" s="9">
        <f>IFERROR(__xludf.DUMMYFUNCTION("""COMPUTED_VALUE"""),2.21)</f>
        <v>2.21</v>
      </c>
      <c r="H4324" s="9">
        <f>IFERROR(__xludf.DUMMYFUNCTION("""COMPUTED_VALUE"""),1.0)</f>
        <v>1</v>
      </c>
      <c r="I4324" s="9"/>
      <c r="J4324" s="9"/>
      <c r="K4324" s="9"/>
      <c r="L4324" s="9"/>
      <c r="M4324" s="9"/>
      <c r="N4324" s="9"/>
      <c r="O4324" s="9"/>
      <c r="P4324" s="9"/>
      <c r="Q4324" s="9"/>
      <c r="R4324" s="9"/>
      <c r="S4324" s="9"/>
      <c r="T4324" s="9"/>
    </row>
    <row r="4325" ht="15.75" customHeight="1">
      <c r="A4325" s="11">
        <f>IFERROR(__xludf.DUMMYFUNCTION("""COMPUTED_VALUE"""),44471.0)</f>
        <v>44471</v>
      </c>
      <c r="B4325" s="9">
        <f>IFERROR(__xludf.DUMMYFUNCTION("""COMPUTED_VALUE"""),1003905.0)</f>
        <v>1003905</v>
      </c>
      <c r="C4325" s="9">
        <f>IFERROR(__xludf.DUMMYFUNCTION("""COMPUTED_VALUE"""),9639.0)</f>
        <v>9639</v>
      </c>
      <c r="D4325" s="9"/>
      <c r="E4325" s="10" t="str">
        <f>IFERROR(__xludf.DUMMYFUNCTION("""COMPUTED_VALUE"""),"HAPPEEZ")</f>
        <v>HAPPEEZ</v>
      </c>
      <c r="F4325" s="10">
        <f>IFERROR(__xludf.DUMMYFUNCTION("""COMPUTED_VALUE"""),1.98)</f>
        <v>1.98</v>
      </c>
      <c r="G4325" s="9">
        <f>IFERROR(__xludf.DUMMYFUNCTION("""COMPUTED_VALUE"""),1.98)</f>
        <v>1.98</v>
      </c>
      <c r="H4325" s="9">
        <f>IFERROR(__xludf.DUMMYFUNCTION("""COMPUTED_VALUE"""),1.0)</f>
        <v>1</v>
      </c>
      <c r="I4325" s="9"/>
      <c r="J4325" s="9"/>
      <c r="K4325" s="9"/>
      <c r="L4325" s="9"/>
      <c r="M4325" s="9"/>
      <c r="N4325" s="9"/>
      <c r="O4325" s="9"/>
      <c r="P4325" s="9"/>
      <c r="Q4325" s="9"/>
      <c r="R4325" s="9"/>
      <c r="S4325" s="9"/>
      <c r="T4325" s="9"/>
    </row>
    <row r="4326" ht="15.75" customHeight="1">
      <c r="A4326" s="11">
        <f>IFERROR(__xludf.DUMMYFUNCTION("""COMPUTED_VALUE"""),44471.0)</f>
        <v>44471</v>
      </c>
      <c r="B4326" s="9">
        <f>IFERROR(__xludf.DUMMYFUNCTION("""COMPUTED_VALUE"""),1003905.0)</f>
        <v>1003905</v>
      </c>
      <c r="C4326" s="9">
        <f>IFERROR(__xludf.DUMMYFUNCTION("""COMPUTED_VALUE"""),108081.0)</f>
        <v>108081</v>
      </c>
      <c r="D4326" s="9"/>
      <c r="E4326" s="10" t="str">
        <f>IFERROR(__xludf.DUMMYFUNCTION("""COMPUTED_VALUE"""),"HAPPEEZ")</f>
        <v>HAPPEEZ</v>
      </c>
      <c r="F4326" s="10">
        <f>IFERROR(__xludf.DUMMYFUNCTION("""COMPUTED_VALUE"""),2.09)</f>
        <v>2.09</v>
      </c>
      <c r="G4326" s="9">
        <f>IFERROR(__xludf.DUMMYFUNCTION("""COMPUTED_VALUE"""),2.09)</f>
        <v>2.09</v>
      </c>
      <c r="H4326" s="9">
        <f>IFERROR(__xludf.DUMMYFUNCTION("""COMPUTED_VALUE"""),1.0)</f>
        <v>1</v>
      </c>
      <c r="I4326" s="9"/>
      <c r="J4326" s="9"/>
      <c r="K4326" s="9"/>
      <c r="L4326" s="9"/>
      <c r="M4326" s="9"/>
      <c r="N4326" s="9"/>
      <c r="O4326" s="9"/>
      <c r="P4326" s="9"/>
      <c r="Q4326" s="9"/>
      <c r="R4326" s="9"/>
      <c r="S4326" s="9"/>
      <c r="T4326" s="9"/>
    </row>
    <row r="4327" ht="15.75" customHeight="1">
      <c r="A4327" s="11">
        <f>IFERROR(__xludf.DUMMYFUNCTION("""COMPUTED_VALUE"""),44471.0)</f>
        <v>44471</v>
      </c>
      <c r="B4327" s="9">
        <f>IFERROR(__xludf.DUMMYFUNCTION("""COMPUTED_VALUE"""),1003905.0)</f>
        <v>1003905</v>
      </c>
      <c r="C4327" s="9">
        <f>IFERROR(__xludf.DUMMYFUNCTION("""COMPUTED_VALUE"""),133912.0)</f>
        <v>133912</v>
      </c>
      <c r="D4327" s="9"/>
      <c r="E4327" s="10" t="str">
        <f>IFERROR(__xludf.DUMMYFUNCTION("""COMPUTED_VALUE"""),"HAPPEEZ")</f>
        <v>HAPPEEZ</v>
      </c>
      <c r="F4327" s="10">
        <f>IFERROR(__xludf.DUMMYFUNCTION("""COMPUTED_VALUE"""),3.09)</f>
        <v>3.09</v>
      </c>
      <c r="G4327" s="9">
        <f>IFERROR(__xludf.DUMMYFUNCTION("""COMPUTED_VALUE"""),3.09)</f>
        <v>3.09</v>
      </c>
      <c r="H4327" s="9">
        <f>IFERROR(__xludf.DUMMYFUNCTION("""COMPUTED_VALUE"""),1.0)</f>
        <v>1</v>
      </c>
      <c r="I4327" s="9"/>
      <c r="J4327" s="9"/>
      <c r="K4327" s="9"/>
      <c r="L4327" s="9"/>
      <c r="M4327" s="9"/>
      <c r="N4327" s="9"/>
      <c r="O4327" s="9"/>
      <c r="P4327" s="9"/>
      <c r="Q4327" s="9"/>
      <c r="R4327" s="9"/>
      <c r="S4327" s="9"/>
      <c r="T4327" s="9"/>
    </row>
    <row r="4328" ht="15.75" customHeight="1">
      <c r="A4328" s="11">
        <f>IFERROR(__xludf.DUMMYFUNCTION("""COMPUTED_VALUE"""),44471.0)</f>
        <v>44471</v>
      </c>
      <c r="B4328" s="9">
        <f>IFERROR(__xludf.DUMMYFUNCTION("""COMPUTED_VALUE"""),1003905.0)</f>
        <v>1003905</v>
      </c>
      <c r="C4328" s="9">
        <f>IFERROR(__xludf.DUMMYFUNCTION("""COMPUTED_VALUE"""),5646.0)</f>
        <v>5646</v>
      </c>
      <c r="D4328" s="10" t="str">
        <f>IFERROR(__xludf.DUMMYFUNCTION("""COMPUTED_VALUE"""),"Vive le bio")</f>
        <v>Vive le bio</v>
      </c>
      <c r="E4328" s="10" t="str">
        <f>IFERROR(__xludf.DUMMYFUNCTION("""COMPUTED_VALUE"""),"HAPPEEZ")</f>
        <v>HAPPEEZ</v>
      </c>
      <c r="F4328" s="10">
        <f>IFERROR(__xludf.DUMMYFUNCTION("""COMPUTED_VALUE"""),1.44444444444444)</f>
        <v>1.444444444</v>
      </c>
      <c r="G4328" s="9">
        <f>IFERROR(__xludf.DUMMYFUNCTION("""COMPUTED_VALUE"""),1.3)</f>
        <v>1.3</v>
      </c>
      <c r="H4328" s="9">
        <f>IFERROR(__xludf.DUMMYFUNCTION("""COMPUTED_VALUE"""),1.0)</f>
        <v>1</v>
      </c>
      <c r="I4328" s="9"/>
      <c r="J4328" s="9"/>
      <c r="K4328" s="9"/>
      <c r="L4328" s="9"/>
      <c r="M4328" s="9"/>
      <c r="N4328" s="9"/>
      <c r="O4328" s="9"/>
      <c r="P4328" s="9"/>
      <c r="Q4328" s="9"/>
      <c r="R4328" s="9"/>
      <c r="S4328" s="9"/>
      <c r="T4328" s="9"/>
    </row>
    <row r="4329" ht="15.75" customHeight="1">
      <c r="A4329" s="11">
        <f>IFERROR(__xludf.DUMMYFUNCTION("""COMPUTED_VALUE"""),44471.0)</f>
        <v>44471</v>
      </c>
      <c r="B4329" s="9">
        <f>IFERROR(__xludf.DUMMYFUNCTION("""COMPUTED_VALUE"""),1003905.0)</f>
        <v>1003905</v>
      </c>
      <c r="C4329" s="9">
        <f>IFERROR(__xludf.DUMMYFUNCTION("""COMPUTED_VALUE"""),11458.0)</f>
        <v>11458</v>
      </c>
      <c r="D4329" s="9"/>
      <c r="E4329" s="10" t="str">
        <f>IFERROR(__xludf.DUMMYFUNCTION("""COMPUTED_VALUE"""),"HAPPEEZ")</f>
        <v>HAPPEEZ</v>
      </c>
      <c r="F4329" s="10">
        <f>IFERROR(__xludf.DUMMYFUNCTION("""COMPUTED_VALUE"""),9.15)</f>
        <v>9.15</v>
      </c>
      <c r="G4329" s="9">
        <f>IFERROR(__xludf.DUMMYFUNCTION("""COMPUTED_VALUE"""),9.15)</f>
        <v>9.15</v>
      </c>
      <c r="H4329" s="9">
        <f>IFERROR(__xludf.DUMMYFUNCTION("""COMPUTED_VALUE"""),1.0)</f>
        <v>1</v>
      </c>
      <c r="I4329" s="9"/>
      <c r="J4329" s="9"/>
      <c r="K4329" s="9"/>
      <c r="L4329" s="9"/>
      <c r="M4329" s="9"/>
      <c r="N4329" s="9"/>
      <c r="O4329" s="9"/>
      <c r="P4329" s="9"/>
      <c r="Q4329" s="9"/>
      <c r="R4329" s="9"/>
      <c r="S4329" s="9"/>
      <c r="T4329" s="9"/>
    </row>
    <row r="4330" ht="15.75" customHeight="1">
      <c r="A4330" s="11">
        <f>IFERROR(__xludf.DUMMYFUNCTION("""COMPUTED_VALUE"""),44471.0)</f>
        <v>44471</v>
      </c>
      <c r="B4330" s="9">
        <f>IFERROR(__xludf.DUMMYFUNCTION("""COMPUTED_VALUE"""),1003905.0)</f>
        <v>1003905</v>
      </c>
      <c r="C4330" s="9">
        <f>IFERROR(__xludf.DUMMYFUNCTION("""COMPUTED_VALUE"""),104623.0)</f>
        <v>104623</v>
      </c>
      <c r="D4330" s="9"/>
      <c r="E4330" s="10" t="str">
        <f>IFERROR(__xludf.DUMMYFUNCTION("""COMPUTED_VALUE"""),"HAPPEEZ")</f>
        <v>HAPPEEZ</v>
      </c>
      <c r="F4330" s="10">
        <f>IFERROR(__xludf.DUMMYFUNCTION("""COMPUTED_VALUE"""),5.2)</f>
        <v>5.2</v>
      </c>
      <c r="G4330" s="9">
        <f>IFERROR(__xludf.DUMMYFUNCTION("""COMPUTED_VALUE"""),5.2)</f>
        <v>5.2</v>
      </c>
      <c r="H4330" s="9">
        <f>IFERROR(__xludf.DUMMYFUNCTION("""COMPUTED_VALUE"""),1.0)</f>
        <v>1</v>
      </c>
      <c r="I4330" s="9"/>
      <c r="J4330" s="9"/>
      <c r="K4330" s="9"/>
      <c r="L4330" s="9"/>
      <c r="M4330" s="9"/>
      <c r="N4330" s="9"/>
      <c r="O4330" s="9"/>
      <c r="P4330" s="9"/>
      <c r="Q4330" s="9"/>
      <c r="R4330" s="9"/>
      <c r="S4330" s="9"/>
      <c r="T4330" s="9"/>
    </row>
    <row r="4331" ht="15.75" customHeight="1">
      <c r="A4331" s="11">
        <f>IFERROR(__xludf.DUMMYFUNCTION("""COMPUTED_VALUE"""),44471.0)</f>
        <v>44471</v>
      </c>
      <c r="B4331" s="9">
        <f>IFERROR(__xludf.DUMMYFUNCTION("""COMPUTED_VALUE"""),1003905.0)</f>
        <v>1003905</v>
      </c>
      <c r="C4331" s="9">
        <f>IFERROR(__xludf.DUMMYFUNCTION("""COMPUTED_VALUE"""),190103.0)</f>
        <v>190103</v>
      </c>
      <c r="D4331" s="9"/>
      <c r="E4331" s="10" t="str">
        <f>IFERROR(__xludf.DUMMYFUNCTION("""COMPUTED_VALUE"""),"HAPPEEZ")</f>
        <v>HAPPEEZ</v>
      </c>
      <c r="F4331" s="10">
        <f>IFERROR(__xludf.DUMMYFUNCTION("""COMPUTED_VALUE"""),2.23)</f>
        <v>2.23</v>
      </c>
      <c r="G4331" s="9">
        <f>IFERROR(__xludf.DUMMYFUNCTION("""COMPUTED_VALUE"""),2.23)</f>
        <v>2.23</v>
      </c>
      <c r="H4331" s="9">
        <f>IFERROR(__xludf.DUMMYFUNCTION("""COMPUTED_VALUE"""),1.0)</f>
        <v>1</v>
      </c>
      <c r="I4331" s="9"/>
      <c r="J4331" s="9"/>
      <c r="K4331" s="9"/>
      <c r="L4331" s="9"/>
      <c r="M4331" s="9"/>
      <c r="N4331" s="9"/>
      <c r="O4331" s="9"/>
      <c r="P4331" s="9"/>
      <c r="Q4331" s="9"/>
      <c r="R4331" s="9"/>
      <c r="S4331" s="9"/>
      <c r="T4331" s="9"/>
    </row>
    <row r="4332" ht="15.75" customHeight="1">
      <c r="A4332" s="11">
        <f>IFERROR(__xludf.DUMMYFUNCTION("""COMPUTED_VALUE"""),44471.0)</f>
        <v>44471</v>
      </c>
      <c r="B4332" s="9">
        <f>IFERROR(__xludf.DUMMYFUNCTION("""COMPUTED_VALUE"""),1003905.0)</f>
        <v>1003905</v>
      </c>
      <c r="C4332" s="9">
        <f>IFERROR(__xludf.DUMMYFUNCTION("""COMPUTED_VALUE"""),108087.0)</f>
        <v>108087</v>
      </c>
      <c r="D4332" s="9"/>
      <c r="E4332" s="10" t="str">
        <f>IFERROR(__xludf.DUMMYFUNCTION("""COMPUTED_VALUE"""),"HAPPEEZ")</f>
        <v>HAPPEEZ</v>
      </c>
      <c r="F4332" s="10">
        <f>IFERROR(__xludf.DUMMYFUNCTION("""COMPUTED_VALUE"""),1.24)</f>
        <v>1.24</v>
      </c>
      <c r="G4332" s="9">
        <f>IFERROR(__xludf.DUMMYFUNCTION("""COMPUTED_VALUE"""),1.24)</f>
        <v>1.24</v>
      </c>
      <c r="H4332" s="9">
        <f>IFERROR(__xludf.DUMMYFUNCTION("""COMPUTED_VALUE"""),1.0)</f>
        <v>1</v>
      </c>
      <c r="I4332" s="9"/>
      <c r="J4332" s="9"/>
      <c r="K4332" s="9"/>
      <c r="L4332" s="9"/>
      <c r="M4332" s="9"/>
      <c r="N4332" s="9"/>
      <c r="O4332" s="9"/>
      <c r="P4332" s="9"/>
      <c r="Q4332" s="9"/>
      <c r="R4332" s="9"/>
      <c r="S4332" s="9"/>
      <c r="T4332" s="9"/>
    </row>
    <row r="4333" ht="15.75" customHeight="1">
      <c r="A4333" s="11">
        <f>IFERROR(__xludf.DUMMYFUNCTION("""COMPUTED_VALUE"""),44471.0)</f>
        <v>44471</v>
      </c>
      <c r="B4333" s="9">
        <f>IFERROR(__xludf.DUMMYFUNCTION("""COMPUTED_VALUE"""),1003905.0)</f>
        <v>1003905</v>
      </c>
      <c r="C4333" s="9">
        <f>IFERROR(__xludf.DUMMYFUNCTION("""COMPUTED_VALUE"""),9643.0)</f>
        <v>9643</v>
      </c>
      <c r="D4333" s="9"/>
      <c r="E4333" s="10" t="str">
        <f>IFERROR(__xludf.DUMMYFUNCTION("""COMPUTED_VALUE"""),"HAPPEEZ")</f>
        <v>HAPPEEZ</v>
      </c>
      <c r="F4333" s="10">
        <f>IFERROR(__xludf.DUMMYFUNCTION("""COMPUTED_VALUE"""),1.99)</f>
        <v>1.99</v>
      </c>
      <c r="G4333" s="9">
        <f>IFERROR(__xludf.DUMMYFUNCTION("""COMPUTED_VALUE"""),1.99)</f>
        <v>1.99</v>
      </c>
      <c r="H4333" s="9">
        <f>IFERROR(__xludf.DUMMYFUNCTION("""COMPUTED_VALUE"""),1.0)</f>
        <v>1</v>
      </c>
      <c r="I4333" s="9"/>
      <c r="J4333" s="9"/>
      <c r="K4333" s="9"/>
      <c r="L4333" s="9"/>
      <c r="M4333" s="9"/>
      <c r="N4333" s="9"/>
      <c r="O4333" s="9"/>
      <c r="P4333" s="9"/>
      <c r="Q4333" s="9"/>
      <c r="R4333" s="9"/>
      <c r="S4333" s="9"/>
      <c r="T4333" s="9"/>
    </row>
    <row r="4334" ht="15.75" customHeight="1">
      <c r="A4334" s="11">
        <f>IFERROR(__xludf.DUMMYFUNCTION("""COMPUTED_VALUE"""),44471.0)</f>
        <v>44471</v>
      </c>
      <c r="B4334" s="9">
        <f>IFERROR(__xludf.DUMMYFUNCTION("""COMPUTED_VALUE"""),1003905.0)</f>
        <v>1003905</v>
      </c>
      <c r="C4334" s="9">
        <f>IFERROR(__xludf.DUMMYFUNCTION("""COMPUTED_VALUE"""),9646.0)</f>
        <v>9646</v>
      </c>
      <c r="D4334" s="9"/>
      <c r="E4334" s="10" t="str">
        <f>IFERROR(__xludf.DUMMYFUNCTION("""COMPUTED_VALUE"""),"HAPPEEZ")</f>
        <v>HAPPEEZ</v>
      </c>
      <c r="F4334" s="10">
        <f>IFERROR(__xludf.DUMMYFUNCTION("""COMPUTED_VALUE"""),1.99)</f>
        <v>1.99</v>
      </c>
      <c r="G4334" s="9">
        <f>IFERROR(__xludf.DUMMYFUNCTION("""COMPUTED_VALUE"""),1.99)</f>
        <v>1.99</v>
      </c>
      <c r="H4334" s="9">
        <f>IFERROR(__xludf.DUMMYFUNCTION("""COMPUTED_VALUE"""),1.0)</f>
        <v>1</v>
      </c>
      <c r="I4334" s="9"/>
      <c r="J4334" s="9"/>
      <c r="K4334" s="9"/>
      <c r="L4334" s="9"/>
      <c r="M4334" s="9"/>
      <c r="N4334" s="9"/>
      <c r="O4334" s="9"/>
      <c r="P4334" s="9"/>
      <c r="Q4334" s="9"/>
      <c r="R4334" s="9"/>
      <c r="S4334" s="9"/>
      <c r="T4334" s="9"/>
    </row>
    <row r="4335" ht="15.75" customHeight="1">
      <c r="A4335" s="11">
        <f>IFERROR(__xludf.DUMMYFUNCTION("""COMPUTED_VALUE"""),44471.0)</f>
        <v>44471</v>
      </c>
      <c r="B4335" s="9">
        <f>IFERROR(__xludf.DUMMYFUNCTION("""COMPUTED_VALUE"""),1003905.0)</f>
        <v>1003905</v>
      </c>
      <c r="C4335" s="9">
        <f>IFERROR(__xludf.DUMMYFUNCTION("""COMPUTED_VALUE"""),9644.0)</f>
        <v>9644</v>
      </c>
      <c r="D4335" s="9"/>
      <c r="E4335" s="10" t="str">
        <f>IFERROR(__xludf.DUMMYFUNCTION("""COMPUTED_VALUE"""),"HAPPEEZ")</f>
        <v>HAPPEEZ</v>
      </c>
      <c r="F4335" s="10">
        <f>IFERROR(__xludf.DUMMYFUNCTION("""COMPUTED_VALUE"""),1.99)</f>
        <v>1.99</v>
      </c>
      <c r="G4335" s="9">
        <f>IFERROR(__xludf.DUMMYFUNCTION("""COMPUTED_VALUE"""),1.99)</f>
        <v>1.99</v>
      </c>
      <c r="H4335" s="9">
        <f>IFERROR(__xludf.DUMMYFUNCTION("""COMPUTED_VALUE"""),1.0)</f>
        <v>1</v>
      </c>
      <c r="I4335" s="9"/>
      <c r="J4335" s="9"/>
      <c r="K4335" s="9"/>
      <c r="L4335" s="9"/>
      <c r="M4335" s="9"/>
      <c r="N4335" s="9"/>
      <c r="O4335" s="9"/>
      <c r="P4335" s="9"/>
      <c r="Q4335" s="9"/>
      <c r="R4335" s="9"/>
      <c r="S4335" s="9"/>
      <c r="T4335" s="9"/>
    </row>
    <row r="4336" ht="15.75" customHeight="1">
      <c r="A4336" s="11">
        <f>IFERROR(__xludf.DUMMYFUNCTION("""COMPUTED_VALUE"""),44471.0)</f>
        <v>44471</v>
      </c>
      <c r="B4336" s="9">
        <f>IFERROR(__xludf.DUMMYFUNCTION("""COMPUTED_VALUE"""),1003905.0)</f>
        <v>1003905</v>
      </c>
      <c r="C4336" s="9">
        <f>IFERROR(__xludf.DUMMYFUNCTION("""COMPUTED_VALUE"""),108084.0)</f>
        <v>108084</v>
      </c>
      <c r="D4336" s="9"/>
      <c r="E4336" s="10" t="str">
        <f>IFERROR(__xludf.DUMMYFUNCTION("""COMPUTED_VALUE"""),"HAPPEEZ")</f>
        <v>HAPPEEZ</v>
      </c>
      <c r="F4336" s="10">
        <f>IFERROR(__xludf.DUMMYFUNCTION("""COMPUTED_VALUE"""),1.18)</f>
        <v>1.18</v>
      </c>
      <c r="G4336" s="9">
        <f>IFERROR(__xludf.DUMMYFUNCTION("""COMPUTED_VALUE"""),1.18)</f>
        <v>1.18</v>
      </c>
      <c r="H4336" s="9">
        <f>IFERROR(__xludf.DUMMYFUNCTION("""COMPUTED_VALUE"""),1.0)</f>
        <v>1</v>
      </c>
      <c r="I4336" s="9"/>
      <c r="J4336" s="9"/>
      <c r="K4336" s="9"/>
      <c r="L4336" s="9"/>
      <c r="M4336" s="9"/>
      <c r="N4336" s="9"/>
      <c r="O4336" s="9"/>
      <c r="P4336" s="9"/>
      <c r="Q4336" s="9"/>
      <c r="R4336" s="9"/>
      <c r="S4336" s="9"/>
      <c r="T4336" s="9"/>
    </row>
    <row r="4337" ht="15.75" customHeight="1">
      <c r="A4337" s="11">
        <f>IFERROR(__xludf.DUMMYFUNCTION("""COMPUTED_VALUE"""),44471.0)</f>
        <v>44471</v>
      </c>
      <c r="B4337" s="9">
        <f>IFERROR(__xludf.DUMMYFUNCTION("""COMPUTED_VALUE"""),1003905.0)</f>
        <v>1003905</v>
      </c>
      <c r="C4337" s="9">
        <f>IFERROR(__xludf.DUMMYFUNCTION("""COMPUTED_VALUE"""),9657.0)</f>
        <v>9657</v>
      </c>
      <c r="D4337" s="9"/>
      <c r="E4337" s="10" t="str">
        <f>IFERROR(__xludf.DUMMYFUNCTION("""COMPUTED_VALUE"""),"HAPPEEZ")</f>
        <v>HAPPEEZ</v>
      </c>
      <c r="F4337" s="10">
        <f>IFERROR(__xludf.DUMMYFUNCTION("""COMPUTED_VALUE"""),2.49)</f>
        <v>2.49</v>
      </c>
      <c r="G4337" s="9">
        <f>IFERROR(__xludf.DUMMYFUNCTION("""COMPUTED_VALUE"""),2.49)</f>
        <v>2.49</v>
      </c>
      <c r="H4337" s="9">
        <f>IFERROR(__xludf.DUMMYFUNCTION("""COMPUTED_VALUE"""),1.0)</f>
        <v>1</v>
      </c>
      <c r="I4337" s="9"/>
      <c r="J4337" s="9"/>
      <c r="K4337" s="9"/>
      <c r="L4337" s="9"/>
      <c r="M4337" s="9"/>
      <c r="N4337" s="9"/>
      <c r="O4337" s="9"/>
      <c r="P4337" s="9"/>
      <c r="Q4337" s="9"/>
      <c r="R4337" s="9"/>
      <c r="S4337" s="9"/>
      <c r="T4337" s="9"/>
    </row>
    <row r="4338" ht="15.75" customHeight="1">
      <c r="A4338" s="11">
        <f>IFERROR(__xludf.DUMMYFUNCTION("""COMPUTED_VALUE"""),44471.0)</f>
        <v>44471</v>
      </c>
      <c r="B4338" s="9">
        <f>IFERROR(__xludf.DUMMYFUNCTION("""COMPUTED_VALUE"""),1003905.0)</f>
        <v>1003905</v>
      </c>
      <c r="C4338" s="9">
        <f>IFERROR(__xludf.DUMMYFUNCTION("""COMPUTED_VALUE"""),119106.0)</f>
        <v>119106</v>
      </c>
      <c r="D4338" s="9"/>
      <c r="E4338" s="10" t="str">
        <f>IFERROR(__xludf.DUMMYFUNCTION("""COMPUTED_VALUE"""),"HAPPEEZ")</f>
        <v>HAPPEEZ</v>
      </c>
      <c r="F4338" s="10">
        <f>IFERROR(__xludf.DUMMYFUNCTION("""COMPUTED_VALUE"""),2.74)</f>
        <v>2.74</v>
      </c>
      <c r="G4338" s="9">
        <f>IFERROR(__xludf.DUMMYFUNCTION("""COMPUTED_VALUE"""),2.74)</f>
        <v>2.74</v>
      </c>
      <c r="H4338" s="9">
        <f>IFERROR(__xludf.DUMMYFUNCTION("""COMPUTED_VALUE"""),1.0)</f>
        <v>1</v>
      </c>
      <c r="I4338" s="9"/>
      <c r="J4338" s="9"/>
      <c r="K4338" s="9"/>
      <c r="L4338" s="9"/>
      <c r="M4338" s="9"/>
      <c r="N4338" s="9"/>
      <c r="O4338" s="9"/>
      <c r="P4338" s="9"/>
      <c r="Q4338" s="9"/>
      <c r="R4338" s="9"/>
      <c r="S4338" s="9"/>
      <c r="T4338" s="9"/>
    </row>
    <row r="4339" ht="15.75" customHeight="1">
      <c r="A4339" s="11">
        <f>IFERROR(__xludf.DUMMYFUNCTION("""COMPUTED_VALUE"""),44471.0)</f>
        <v>44471</v>
      </c>
      <c r="B4339" s="9">
        <f>IFERROR(__xludf.DUMMYFUNCTION("""COMPUTED_VALUE"""),1003905.0)</f>
        <v>1003905</v>
      </c>
      <c r="C4339" s="9">
        <f>IFERROR(__xludf.DUMMYFUNCTION("""COMPUTED_VALUE"""),11404.0)</f>
        <v>11404</v>
      </c>
      <c r="D4339" s="9"/>
      <c r="E4339" s="10" t="str">
        <f>IFERROR(__xludf.DUMMYFUNCTION("""COMPUTED_VALUE"""),"HAPPEEZ")</f>
        <v>HAPPEEZ</v>
      </c>
      <c r="F4339" s="10">
        <f>IFERROR(__xludf.DUMMYFUNCTION("""COMPUTED_VALUE"""),5.74)</f>
        <v>5.74</v>
      </c>
      <c r="G4339" s="9">
        <f>IFERROR(__xludf.DUMMYFUNCTION("""COMPUTED_VALUE"""),5.74)</f>
        <v>5.74</v>
      </c>
      <c r="H4339" s="9">
        <f>IFERROR(__xludf.DUMMYFUNCTION("""COMPUTED_VALUE"""),1.0)</f>
        <v>1</v>
      </c>
      <c r="I4339" s="9"/>
      <c r="J4339" s="9"/>
      <c r="K4339" s="9"/>
      <c r="L4339" s="9"/>
      <c r="M4339" s="9"/>
      <c r="N4339" s="9"/>
      <c r="O4339" s="9"/>
      <c r="P4339" s="9"/>
      <c r="Q4339" s="9"/>
      <c r="R4339" s="9"/>
      <c r="S4339" s="9"/>
      <c r="T4339" s="9"/>
    </row>
    <row r="4340" ht="15.75" customHeight="1">
      <c r="A4340" s="11">
        <f>IFERROR(__xludf.DUMMYFUNCTION("""COMPUTED_VALUE"""),44471.0)</f>
        <v>44471</v>
      </c>
      <c r="B4340" s="9">
        <f>IFERROR(__xludf.DUMMYFUNCTION("""COMPUTED_VALUE"""),1003905.0)</f>
        <v>1003905</v>
      </c>
      <c r="C4340" s="9">
        <f>IFERROR(__xludf.DUMMYFUNCTION("""COMPUTED_VALUE"""),133914.0)</f>
        <v>133914</v>
      </c>
      <c r="D4340" s="9"/>
      <c r="E4340" s="10" t="str">
        <f>IFERROR(__xludf.DUMMYFUNCTION("""COMPUTED_VALUE"""),"HAPPEEZ")</f>
        <v>HAPPEEZ</v>
      </c>
      <c r="F4340" s="10">
        <f>IFERROR(__xludf.DUMMYFUNCTION("""COMPUTED_VALUE"""),5.77)</f>
        <v>5.77</v>
      </c>
      <c r="G4340" s="9">
        <f>IFERROR(__xludf.DUMMYFUNCTION("""COMPUTED_VALUE"""),5.77)</f>
        <v>5.77</v>
      </c>
      <c r="H4340" s="9">
        <f>IFERROR(__xludf.DUMMYFUNCTION("""COMPUTED_VALUE"""),2.0)</f>
        <v>2</v>
      </c>
      <c r="I4340" s="9"/>
      <c r="J4340" s="9"/>
      <c r="K4340" s="9"/>
      <c r="L4340" s="9"/>
      <c r="M4340" s="9"/>
      <c r="N4340" s="9"/>
      <c r="O4340" s="9"/>
      <c r="P4340" s="9"/>
      <c r="Q4340" s="9"/>
      <c r="R4340" s="9"/>
      <c r="S4340" s="9"/>
      <c r="T4340" s="9"/>
    </row>
    <row r="4341" ht="15.75" customHeight="1">
      <c r="A4341" s="11">
        <f>IFERROR(__xludf.DUMMYFUNCTION("""COMPUTED_VALUE"""),44471.0)</f>
        <v>44471</v>
      </c>
      <c r="B4341" s="9">
        <f>IFERROR(__xludf.DUMMYFUNCTION("""COMPUTED_VALUE"""),1003905.0)</f>
        <v>1003905</v>
      </c>
      <c r="C4341" s="9">
        <f>IFERROR(__xludf.DUMMYFUNCTION("""COMPUTED_VALUE"""),113278.0)</f>
        <v>113278</v>
      </c>
      <c r="D4341" s="9"/>
      <c r="E4341" s="10" t="str">
        <f>IFERROR(__xludf.DUMMYFUNCTION("""COMPUTED_VALUE"""),"HAPPEEZ")</f>
        <v>HAPPEEZ</v>
      </c>
      <c r="F4341" s="10">
        <f>IFERROR(__xludf.DUMMYFUNCTION("""COMPUTED_VALUE"""),10.51)</f>
        <v>10.51</v>
      </c>
      <c r="G4341" s="9">
        <f>IFERROR(__xludf.DUMMYFUNCTION("""COMPUTED_VALUE"""),10.51)</f>
        <v>10.51</v>
      </c>
      <c r="H4341" s="9">
        <f>IFERROR(__xludf.DUMMYFUNCTION("""COMPUTED_VALUE"""),2.0)</f>
        <v>2</v>
      </c>
      <c r="I4341" s="9"/>
      <c r="J4341" s="9"/>
      <c r="K4341" s="9"/>
      <c r="L4341" s="9"/>
      <c r="M4341" s="9"/>
      <c r="N4341" s="9"/>
      <c r="O4341" s="9"/>
      <c r="P4341" s="9"/>
      <c r="Q4341" s="9"/>
      <c r="R4341" s="9"/>
      <c r="S4341" s="9"/>
      <c r="T4341" s="9"/>
    </row>
    <row r="4342" ht="15.75" customHeight="1">
      <c r="A4342" s="11">
        <f>IFERROR(__xludf.DUMMYFUNCTION("""COMPUTED_VALUE"""),44471.0)</f>
        <v>44471</v>
      </c>
      <c r="B4342" s="9">
        <f>IFERROR(__xludf.DUMMYFUNCTION("""COMPUTED_VALUE"""),1003905.0)</f>
        <v>1003905</v>
      </c>
      <c r="C4342" s="9">
        <f>IFERROR(__xludf.DUMMYFUNCTION("""COMPUTED_VALUE"""),11452.0)</f>
        <v>11452</v>
      </c>
      <c r="D4342" s="9"/>
      <c r="E4342" s="10" t="str">
        <f>IFERROR(__xludf.DUMMYFUNCTION("""COMPUTED_VALUE"""),"HAPPEEZ")</f>
        <v>HAPPEEZ</v>
      </c>
      <c r="F4342" s="10">
        <f>IFERROR(__xludf.DUMMYFUNCTION("""COMPUTED_VALUE"""),19.77)</f>
        <v>19.77</v>
      </c>
      <c r="G4342" s="9">
        <f>IFERROR(__xludf.DUMMYFUNCTION("""COMPUTED_VALUE"""),19.77)</f>
        <v>19.77</v>
      </c>
      <c r="H4342" s="9">
        <f>IFERROR(__xludf.DUMMYFUNCTION("""COMPUTED_VALUE"""),2.0)</f>
        <v>2</v>
      </c>
      <c r="I4342" s="9"/>
      <c r="J4342" s="9"/>
      <c r="K4342" s="9"/>
      <c r="L4342" s="9"/>
      <c r="M4342" s="9"/>
      <c r="N4342" s="9"/>
      <c r="O4342" s="9"/>
      <c r="P4342" s="9"/>
      <c r="Q4342" s="9"/>
      <c r="R4342" s="9"/>
      <c r="S4342" s="9"/>
      <c r="T4342" s="9"/>
    </row>
    <row r="4343" ht="15.75" customHeight="1">
      <c r="A4343" s="11">
        <f>IFERROR(__xludf.DUMMYFUNCTION("""COMPUTED_VALUE"""),44471.0)</f>
        <v>44471</v>
      </c>
      <c r="B4343" s="9">
        <f>IFERROR(__xludf.DUMMYFUNCTION("""COMPUTED_VALUE"""),1003906.0)</f>
        <v>1003906</v>
      </c>
      <c r="C4343" s="9">
        <f>IFERROR(__xludf.DUMMYFUNCTION("""COMPUTED_VALUE"""),194748.0)</f>
        <v>194748</v>
      </c>
      <c r="D4343" s="9"/>
      <c r="E4343" s="9"/>
      <c r="F4343" s="9">
        <f>IFERROR(__xludf.DUMMYFUNCTION("""COMPUTED_VALUE"""),3.38)</f>
        <v>3.38</v>
      </c>
      <c r="G4343" s="9">
        <f>IFERROR(__xludf.DUMMYFUNCTION("""COMPUTED_VALUE"""),3.38)</f>
        <v>3.38</v>
      </c>
      <c r="H4343" s="9">
        <f>IFERROR(__xludf.DUMMYFUNCTION("""COMPUTED_VALUE"""),1.0)</f>
        <v>1</v>
      </c>
      <c r="I4343" s="9"/>
      <c r="J4343" s="9"/>
      <c r="K4343" s="9"/>
      <c r="L4343" s="9"/>
      <c r="M4343" s="9"/>
      <c r="N4343" s="9"/>
      <c r="O4343" s="9"/>
      <c r="P4343" s="9"/>
      <c r="Q4343" s="9"/>
      <c r="R4343" s="9"/>
      <c r="S4343" s="9"/>
      <c r="T4343" s="9"/>
    </row>
    <row r="4344" ht="15.75" customHeight="1">
      <c r="A4344" s="11">
        <f>IFERROR(__xludf.DUMMYFUNCTION("""COMPUTED_VALUE"""),44471.0)</f>
        <v>44471</v>
      </c>
      <c r="B4344" s="9">
        <f>IFERROR(__xludf.DUMMYFUNCTION("""COMPUTED_VALUE"""),1003906.0)</f>
        <v>1003906</v>
      </c>
      <c r="C4344" s="9">
        <f>IFERROR(__xludf.DUMMYFUNCTION("""COMPUTED_VALUE"""),117839.0)</f>
        <v>117839</v>
      </c>
      <c r="D4344" s="10" t="str">
        <f>IFERROR(__xludf.DUMMYFUNCTION("""COMPUTED_VALUE"""),"Vive le bio")</f>
        <v>Vive le bio</v>
      </c>
      <c r="E4344" s="10"/>
      <c r="F4344" s="9">
        <f>IFERROR(__xludf.DUMMYFUNCTION("""COMPUTED_VALUE"""),11.7999999999999)</f>
        <v>11.8</v>
      </c>
      <c r="G4344" s="9">
        <f>IFERROR(__xludf.DUMMYFUNCTION("""COMPUTED_VALUE"""),10.62)</f>
        <v>10.62</v>
      </c>
      <c r="H4344" s="9">
        <f>IFERROR(__xludf.DUMMYFUNCTION("""COMPUTED_VALUE"""),1.0)</f>
        <v>1</v>
      </c>
      <c r="I4344" s="9"/>
      <c r="J4344" s="9"/>
      <c r="K4344" s="9"/>
      <c r="L4344" s="9"/>
      <c r="M4344" s="9"/>
      <c r="N4344" s="9"/>
      <c r="O4344" s="9"/>
      <c r="P4344" s="9"/>
      <c r="Q4344" s="9"/>
      <c r="R4344" s="9"/>
      <c r="S4344" s="9"/>
      <c r="T4344" s="9"/>
    </row>
    <row r="4345" ht="15.75" customHeight="1">
      <c r="A4345" s="11">
        <f>IFERROR(__xludf.DUMMYFUNCTION("""COMPUTED_VALUE"""),44471.0)</f>
        <v>44471</v>
      </c>
      <c r="B4345" s="9">
        <f>IFERROR(__xludf.DUMMYFUNCTION("""COMPUTED_VALUE"""),1003906.0)</f>
        <v>1003906</v>
      </c>
      <c r="C4345" s="9">
        <f>IFERROR(__xludf.DUMMYFUNCTION("""COMPUTED_VALUE"""),101549.0)</f>
        <v>101549</v>
      </c>
      <c r="D4345" s="9"/>
      <c r="E4345" s="9"/>
      <c r="F4345" s="9">
        <f>IFERROR(__xludf.DUMMYFUNCTION("""COMPUTED_VALUE"""),9.22)</f>
        <v>9.22</v>
      </c>
      <c r="G4345" s="9">
        <f>IFERROR(__xludf.DUMMYFUNCTION("""COMPUTED_VALUE"""),9.22)</f>
        <v>9.22</v>
      </c>
      <c r="H4345" s="9">
        <f>IFERROR(__xludf.DUMMYFUNCTION("""COMPUTED_VALUE"""),3.0)</f>
        <v>3</v>
      </c>
      <c r="I4345" s="9"/>
      <c r="J4345" s="9"/>
      <c r="K4345" s="9"/>
      <c r="L4345" s="9"/>
      <c r="M4345" s="9"/>
      <c r="N4345" s="9"/>
      <c r="O4345" s="9"/>
      <c r="P4345" s="9"/>
      <c r="Q4345" s="9"/>
      <c r="R4345" s="9"/>
      <c r="S4345" s="9"/>
      <c r="T4345" s="9"/>
    </row>
    <row r="4346" ht="15.75" customHeight="1">
      <c r="A4346" s="11">
        <f>IFERROR(__xludf.DUMMYFUNCTION("""COMPUTED_VALUE"""),44471.0)</f>
        <v>44471</v>
      </c>
      <c r="B4346" s="9">
        <f>IFERROR(__xludf.DUMMYFUNCTION("""COMPUTED_VALUE"""),1003906.0)</f>
        <v>1003906</v>
      </c>
      <c r="C4346" s="9">
        <f>IFERROR(__xludf.DUMMYFUNCTION("""COMPUTED_VALUE"""),118972.0)</f>
        <v>118972</v>
      </c>
      <c r="D4346" s="9"/>
      <c r="E4346" s="9"/>
      <c r="F4346" s="9">
        <f>IFERROR(__xludf.DUMMYFUNCTION("""COMPUTED_VALUE"""),5.21)</f>
        <v>5.21</v>
      </c>
      <c r="G4346" s="9">
        <f>IFERROR(__xludf.DUMMYFUNCTION("""COMPUTED_VALUE"""),5.21)</f>
        <v>5.21</v>
      </c>
      <c r="H4346" s="9">
        <f>IFERROR(__xludf.DUMMYFUNCTION("""COMPUTED_VALUE"""),3.0)</f>
        <v>3</v>
      </c>
      <c r="I4346" s="9"/>
      <c r="J4346" s="9"/>
      <c r="K4346" s="9"/>
      <c r="L4346" s="9"/>
      <c r="M4346" s="9"/>
      <c r="N4346" s="9"/>
      <c r="O4346" s="9"/>
      <c r="P4346" s="9"/>
      <c r="Q4346" s="9"/>
      <c r="R4346" s="9"/>
      <c r="S4346" s="9"/>
      <c r="T4346" s="9"/>
    </row>
    <row r="4347" ht="15.75" customHeight="1">
      <c r="A4347" s="11">
        <f>IFERROR(__xludf.DUMMYFUNCTION("""COMPUTED_VALUE"""),44471.0)</f>
        <v>44471</v>
      </c>
      <c r="B4347" s="9">
        <f>IFERROR(__xludf.DUMMYFUNCTION("""COMPUTED_VALUE"""),1003906.0)</f>
        <v>1003906</v>
      </c>
      <c r="C4347" s="9">
        <f>IFERROR(__xludf.DUMMYFUNCTION("""COMPUTED_VALUE"""),110934.0)</f>
        <v>110934</v>
      </c>
      <c r="D4347" s="9"/>
      <c r="E4347" s="9"/>
      <c r="F4347" s="9">
        <f>IFERROR(__xludf.DUMMYFUNCTION("""COMPUTED_VALUE"""),34.77)</f>
        <v>34.77</v>
      </c>
      <c r="G4347" s="9">
        <f>IFERROR(__xludf.DUMMYFUNCTION("""COMPUTED_VALUE"""),34.77)</f>
        <v>34.77</v>
      </c>
      <c r="H4347" s="9">
        <f>IFERROR(__xludf.DUMMYFUNCTION("""COMPUTED_VALUE"""),5.0)</f>
        <v>5</v>
      </c>
      <c r="I4347" s="9"/>
      <c r="J4347" s="9"/>
      <c r="K4347" s="9"/>
      <c r="L4347" s="9"/>
      <c r="M4347" s="9"/>
      <c r="N4347" s="9"/>
      <c r="O4347" s="9"/>
      <c r="P4347" s="9"/>
      <c r="Q4347" s="9"/>
      <c r="R4347" s="9"/>
      <c r="S4347" s="9"/>
      <c r="T4347" s="9"/>
    </row>
    <row r="4348" ht="15.75" customHeight="1">
      <c r="A4348" s="11">
        <f>IFERROR(__xludf.DUMMYFUNCTION("""COMPUTED_VALUE"""),44471.0)</f>
        <v>44471</v>
      </c>
      <c r="B4348" s="9">
        <f>IFERROR(__xludf.DUMMYFUNCTION("""COMPUTED_VALUE"""),1003908.0)</f>
        <v>1003908</v>
      </c>
      <c r="C4348" s="9">
        <f>IFERROR(__xludf.DUMMYFUNCTION("""COMPUTED_VALUE"""),7257.0)</f>
        <v>7257</v>
      </c>
      <c r="D4348" s="10" t="str">
        <f>IFERROR(__xludf.DUMMYFUNCTION("""COMPUTED_VALUE"""),"Vive le bio")</f>
        <v>Vive le bio</v>
      </c>
      <c r="E4348" s="10" t="str">
        <f>IFERROR(__xludf.DUMMYFUNCTION("""COMPUTED_VALUE"""),"GREENRELAIS")</f>
        <v>GREENRELAIS</v>
      </c>
      <c r="F4348" s="10">
        <f>IFERROR(__xludf.DUMMYFUNCTION("""COMPUTED_VALUE"""),4.5)</f>
        <v>4.5</v>
      </c>
      <c r="G4348" s="9">
        <f>IFERROR(__xludf.DUMMYFUNCTION("""COMPUTED_VALUE"""),4.05)</f>
        <v>4.05</v>
      </c>
      <c r="H4348" s="9">
        <f>IFERROR(__xludf.DUMMYFUNCTION("""COMPUTED_VALUE"""),1.0)</f>
        <v>1</v>
      </c>
      <c r="I4348" s="9"/>
      <c r="J4348" s="9"/>
      <c r="K4348" s="9"/>
      <c r="L4348" s="9"/>
      <c r="M4348" s="9"/>
      <c r="N4348" s="9"/>
      <c r="O4348" s="9"/>
      <c r="P4348" s="9"/>
      <c r="Q4348" s="9"/>
      <c r="R4348" s="9"/>
      <c r="S4348" s="9"/>
      <c r="T4348" s="9"/>
    </row>
    <row r="4349" ht="15.75" customHeight="1">
      <c r="A4349" s="11">
        <f>IFERROR(__xludf.DUMMYFUNCTION("""COMPUTED_VALUE"""),44471.0)</f>
        <v>44471</v>
      </c>
      <c r="B4349" s="9">
        <f>IFERROR(__xludf.DUMMYFUNCTION("""COMPUTED_VALUE"""),1003908.0)</f>
        <v>1003908</v>
      </c>
      <c r="C4349" s="9">
        <f>IFERROR(__xludf.DUMMYFUNCTION("""COMPUTED_VALUE"""),72078.0)</f>
        <v>72078</v>
      </c>
      <c r="D4349" s="9"/>
      <c r="E4349" s="10" t="str">
        <f>IFERROR(__xludf.DUMMYFUNCTION("""COMPUTED_VALUE"""),"GREENRELAIS")</f>
        <v>GREENRELAIS</v>
      </c>
      <c r="F4349" s="10">
        <f>IFERROR(__xludf.DUMMYFUNCTION("""COMPUTED_VALUE"""),6.1)</f>
        <v>6.1</v>
      </c>
      <c r="G4349" s="9">
        <f>IFERROR(__xludf.DUMMYFUNCTION("""COMPUTED_VALUE"""),6.1)</f>
        <v>6.1</v>
      </c>
      <c r="H4349" s="9">
        <f>IFERROR(__xludf.DUMMYFUNCTION("""COMPUTED_VALUE"""),1.0)</f>
        <v>1</v>
      </c>
      <c r="I4349" s="9"/>
      <c r="J4349" s="9"/>
      <c r="K4349" s="9"/>
      <c r="L4349" s="9"/>
      <c r="M4349" s="9"/>
      <c r="N4349" s="9"/>
      <c r="O4349" s="9"/>
      <c r="P4349" s="9"/>
      <c r="Q4349" s="9"/>
      <c r="R4349" s="9"/>
      <c r="S4349" s="9"/>
      <c r="T4349" s="9"/>
    </row>
    <row r="4350" ht="15.75" customHeight="1">
      <c r="A4350" s="11">
        <f>IFERROR(__xludf.DUMMYFUNCTION("""COMPUTED_VALUE"""),44471.0)</f>
        <v>44471</v>
      </c>
      <c r="B4350" s="9">
        <f>IFERROR(__xludf.DUMMYFUNCTION("""COMPUTED_VALUE"""),1003908.0)</f>
        <v>1003908</v>
      </c>
      <c r="C4350" s="9">
        <f>IFERROR(__xludf.DUMMYFUNCTION("""COMPUTED_VALUE"""),6219.0)</f>
        <v>6219</v>
      </c>
      <c r="D4350" s="9"/>
      <c r="E4350" s="10" t="str">
        <f>IFERROR(__xludf.DUMMYFUNCTION("""COMPUTED_VALUE"""),"GREENRELAIS")</f>
        <v>GREENRELAIS</v>
      </c>
      <c r="F4350" s="10">
        <f>IFERROR(__xludf.DUMMYFUNCTION("""COMPUTED_VALUE"""),14.99)</f>
        <v>14.99</v>
      </c>
      <c r="G4350" s="9">
        <f>IFERROR(__xludf.DUMMYFUNCTION("""COMPUTED_VALUE"""),14.99)</f>
        <v>14.99</v>
      </c>
      <c r="H4350" s="9">
        <f>IFERROR(__xludf.DUMMYFUNCTION("""COMPUTED_VALUE"""),1.0)</f>
        <v>1</v>
      </c>
      <c r="I4350" s="9"/>
      <c r="J4350" s="9"/>
      <c r="K4350" s="9"/>
      <c r="L4350" s="9"/>
      <c r="M4350" s="9"/>
      <c r="N4350" s="9"/>
      <c r="O4350" s="9"/>
      <c r="P4350" s="9"/>
      <c r="Q4350" s="9"/>
      <c r="R4350" s="9"/>
      <c r="S4350" s="9"/>
      <c r="T4350" s="9"/>
    </row>
    <row r="4351" ht="15.75" customHeight="1">
      <c r="A4351" s="11">
        <f>IFERROR(__xludf.DUMMYFUNCTION("""COMPUTED_VALUE"""),44471.0)</f>
        <v>44471</v>
      </c>
      <c r="B4351" s="9">
        <f>IFERROR(__xludf.DUMMYFUNCTION("""COMPUTED_VALUE"""),1003908.0)</f>
        <v>1003908</v>
      </c>
      <c r="C4351" s="9">
        <f>IFERROR(__xludf.DUMMYFUNCTION("""COMPUTED_VALUE"""),9706.0)</f>
        <v>9706</v>
      </c>
      <c r="D4351" s="9"/>
      <c r="E4351" s="10" t="str">
        <f>IFERROR(__xludf.DUMMYFUNCTION("""COMPUTED_VALUE"""),"GREENRELAIS")</f>
        <v>GREENRELAIS</v>
      </c>
      <c r="F4351" s="10">
        <f>IFERROR(__xludf.DUMMYFUNCTION("""COMPUTED_VALUE"""),8.05)</f>
        <v>8.05</v>
      </c>
      <c r="G4351" s="9">
        <f>IFERROR(__xludf.DUMMYFUNCTION("""COMPUTED_VALUE"""),8.05)</f>
        <v>8.05</v>
      </c>
      <c r="H4351" s="9">
        <f>IFERROR(__xludf.DUMMYFUNCTION("""COMPUTED_VALUE"""),1.0)</f>
        <v>1</v>
      </c>
      <c r="I4351" s="9"/>
      <c r="J4351" s="9"/>
      <c r="K4351" s="9"/>
      <c r="L4351" s="9"/>
      <c r="M4351" s="9"/>
      <c r="N4351" s="9"/>
      <c r="O4351" s="9"/>
      <c r="P4351" s="9"/>
      <c r="Q4351" s="9"/>
      <c r="R4351" s="9"/>
      <c r="S4351" s="9"/>
      <c r="T4351" s="9"/>
    </row>
    <row r="4352" ht="15.75" customHeight="1">
      <c r="A4352" s="11">
        <f>IFERROR(__xludf.DUMMYFUNCTION("""COMPUTED_VALUE"""),44471.0)</f>
        <v>44471</v>
      </c>
      <c r="B4352" s="9">
        <f>IFERROR(__xludf.DUMMYFUNCTION("""COMPUTED_VALUE"""),1003908.0)</f>
        <v>1003908</v>
      </c>
      <c r="C4352" s="9">
        <f>IFERROR(__xludf.DUMMYFUNCTION("""COMPUTED_VALUE"""),109994.0)</f>
        <v>109994</v>
      </c>
      <c r="D4352" s="9"/>
      <c r="E4352" s="10" t="str">
        <f>IFERROR(__xludf.DUMMYFUNCTION("""COMPUTED_VALUE"""),"GREENRELAIS")</f>
        <v>GREENRELAIS</v>
      </c>
      <c r="F4352" s="10">
        <f>IFERROR(__xludf.DUMMYFUNCTION("""COMPUTED_VALUE"""),5.17)</f>
        <v>5.17</v>
      </c>
      <c r="G4352" s="9">
        <f>IFERROR(__xludf.DUMMYFUNCTION("""COMPUTED_VALUE"""),5.17)</f>
        <v>5.17</v>
      </c>
      <c r="H4352" s="9">
        <f>IFERROR(__xludf.DUMMYFUNCTION("""COMPUTED_VALUE"""),1.0)</f>
        <v>1</v>
      </c>
      <c r="I4352" s="9"/>
      <c r="J4352" s="9"/>
      <c r="K4352" s="9"/>
      <c r="L4352" s="9"/>
      <c r="M4352" s="9"/>
      <c r="N4352" s="9"/>
      <c r="O4352" s="9"/>
      <c r="P4352" s="9"/>
      <c r="Q4352" s="9"/>
      <c r="R4352" s="9"/>
      <c r="S4352" s="9"/>
      <c r="T4352" s="9"/>
    </row>
    <row r="4353" ht="15.75" customHeight="1">
      <c r="A4353" s="11">
        <f>IFERROR(__xludf.DUMMYFUNCTION("""COMPUTED_VALUE"""),44471.0)</f>
        <v>44471</v>
      </c>
      <c r="B4353" s="9">
        <f>IFERROR(__xludf.DUMMYFUNCTION("""COMPUTED_VALUE"""),1003908.0)</f>
        <v>1003908</v>
      </c>
      <c r="C4353" s="9">
        <f>IFERROR(__xludf.DUMMYFUNCTION("""COMPUTED_VALUE"""),70751.0)</f>
        <v>70751</v>
      </c>
      <c r="D4353" s="9"/>
      <c r="E4353" s="10" t="str">
        <f>IFERROR(__xludf.DUMMYFUNCTION("""COMPUTED_VALUE"""),"GREENRELAIS")</f>
        <v>GREENRELAIS</v>
      </c>
      <c r="F4353" s="10">
        <f>IFERROR(__xludf.DUMMYFUNCTION("""COMPUTED_VALUE"""),7.44)</f>
        <v>7.44</v>
      </c>
      <c r="G4353" s="9">
        <f>IFERROR(__xludf.DUMMYFUNCTION("""COMPUTED_VALUE"""),7.44)</f>
        <v>7.44</v>
      </c>
      <c r="H4353" s="9">
        <f>IFERROR(__xludf.DUMMYFUNCTION("""COMPUTED_VALUE"""),1.0)</f>
        <v>1</v>
      </c>
      <c r="I4353" s="9"/>
      <c r="J4353" s="9"/>
      <c r="K4353" s="9"/>
      <c r="L4353" s="9"/>
      <c r="M4353" s="9"/>
      <c r="N4353" s="9"/>
      <c r="O4353" s="9"/>
      <c r="P4353" s="9"/>
      <c r="Q4353" s="9"/>
      <c r="R4353" s="9"/>
      <c r="S4353" s="9"/>
      <c r="T4353" s="9"/>
    </row>
    <row r="4354" ht="15.75" customHeight="1">
      <c r="A4354" s="11">
        <f>IFERROR(__xludf.DUMMYFUNCTION("""COMPUTED_VALUE"""),44471.0)</f>
        <v>44471</v>
      </c>
      <c r="B4354" s="9">
        <f>IFERROR(__xludf.DUMMYFUNCTION("""COMPUTED_VALUE"""),1003908.0)</f>
        <v>1003908</v>
      </c>
      <c r="C4354" s="9">
        <f>IFERROR(__xludf.DUMMYFUNCTION("""COMPUTED_VALUE"""),12648.0)</f>
        <v>12648</v>
      </c>
      <c r="D4354" s="9"/>
      <c r="E4354" s="10" t="str">
        <f>IFERROR(__xludf.DUMMYFUNCTION("""COMPUTED_VALUE"""),"GREENRELAIS")</f>
        <v>GREENRELAIS</v>
      </c>
      <c r="F4354" s="10">
        <f>IFERROR(__xludf.DUMMYFUNCTION("""COMPUTED_VALUE"""),9.69)</f>
        <v>9.69</v>
      </c>
      <c r="G4354" s="9">
        <f>IFERROR(__xludf.DUMMYFUNCTION("""COMPUTED_VALUE"""),9.69)</f>
        <v>9.69</v>
      </c>
      <c r="H4354" s="9">
        <f>IFERROR(__xludf.DUMMYFUNCTION("""COMPUTED_VALUE"""),1.0)</f>
        <v>1</v>
      </c>
      <c r="I4354" s="9"/>
      <c r="J4354" s="9"/>
      <c r="K4354" s="9"/>
      <c r="L4354" s="9"/>
      <c r="M4354" s="9"/>
      <c r="N4354" s="9"/>
      <c r="O4354" s="9"/>
      <c r="P4354" s="9"/>
      <c r="Q4354" s="9"/>
      <c r="R4354" s="9"/>
      <c r="S4354" s="9"/>
      <c r="T4354" s="9"/>
    </row>
    <row r="4355" ht="15.75" customHeight="1">
      <c r="A4355" s="11">
        <f>IFERROR(__xludf.DUMMYFUNCTION("""COMPUTED_VALUE"""),44471.0)</f>
        <v>44471</v>
      </c>
      <c r="B4355" s="9">
        <f>IFERROR(__xludf.DUMMYFUNCTION("""COMPUTED_VALUE"""),1003909.0)</f>
        <v>1003909</v>
      </c>
      <c r="C4355" s="9">
        <f>IFERROR(__xludf.DUMMYFUNCTION("""COMPUTED_VALUE"""),120343.0)</f>
        <v>120343</v>
      </c>
      <c r="D4355" s="9"/>
      <c r="E4355" s="10" t="str">
        <f>IFERROR(__xludf.DUMMYFUNCTION("""COMPUTED_VALUE"""),"GREENRELAIS")</f>
        <v>GREENRELAIS</v>
      </c>
      <c r="F4355" s="10">
        <f>IFERROR(__xludf.DUMMYFUNCTION("""COMPUTED_VALUE"""),3.63)</f>
        <v>3.63</v>
      </c>
      <c r="G4355" s="9">
        <f>IFERROR(__xludf.DUMMYFUNCTION("""COMPUTED_VALUE"""),3.63)</f>
        <v>3.63</v>
      </c>
      <c r="H4355" s="9">
        <f>IFERROR(__xludf.DUMMYFUNCTION("""COMPUTED_VALUE"""),1.0)</f>
        <v>1</v>
      </c>
      <c r="I4355" s="9"/>
      <c r="J4355" s="9"/>
      <c r="K4355" s="9"/>
      <c r="L4355" s="9"/>
      <c r="M4355" s="9"/>
      <c r="N4355" s="9"/>
      <c r="O4355" s="9"/>
      <c r="P4355" s="9"/>
      <c r="Q4355" s="9"/>
      <c r="R4355" s="9"/>
      <c r="S4355" s="9"/>
      <c r="T4355" s="9"/>
    </row>
    <row r="4356" ht="15.75" customHeight="1">
      <c r="A4356" s="11">
        <f>IFERROR(__xludf.DUMMYFUNCTION("""COMPUTED_VALUE"""),44471.0)</f>
        <v>44471</v>
      </c>
      <c r="B4356" s="9">
        <f>IFERROR(__xludf.DUMMYFUNCTION("""COMPUTED_VALUE"""),1003909.0)</f>
        <v>1003909</v>
      </c>
      <c r="C4356" s="9">
        <f>IFERROR(__xludf.DUMMYFUNCTION("""COMPUTED_VALUE"""),24074.0)</f>
        <v>24074</v>
      </c>
      <c r="D4356" s="9"/>
      <c r="E4356" s="10" t="str">
        <f>IFERROR(__xludf.DUMMYFUNCTION("""COMPUTED_VALUE"""),"GREENRELAIS")</f>
        <v>GREENRELAIS</v>
      </c>
      <c r="F4356" s="10">
        <f>IFERROR(__xludf.DUMMYFUNCTION("""COMPUTED_VALUE"""),13.83)</f>
        <v>13.83</v>
      </c>
      <c r="G4356" s="9">
        <f>IFERROR(__xludf.DUMMYFUNCTION("""COMPUTED_VALUE"""),13.83)</f>
        <v>13.83</v>
      </c>
      <c r="H4356" s="9">
        <f>IFERROR(__xludf.DUMMYFUNCTION("""COMPUTED_VALUE"""),1.0)</f>
        <v>1</v>
      </c>
      <c r="I4356" s="9"/>
      <c r="J4356" s="9"/>
      <c r="K4356" s="9"/>
      <c r="L4356" s="9"/>
      <c r="M4356" s="9"/>
      <c r="N4356" s="9"/>
      <c r="O4356" s="9"/>
      <c r="P4356" s="9"/>
      <c r="Q4356" s="9"/>
      <c r="R4356" s="9"/>
      <c r="S4356" s="9"/>
      <c r="T4356" s="9"/>
    </row>
    <row r="4357" ht="15.75" customHeight="1">
      <c r="A4357" s="11">
        <f>IFERROR(__xludf.DUMMYFUNCTION("""COMPUTED_VALUE"""),44471.0)</f>
        <v>44471</v>
      </c>
      <c r="B4357" s="9">
        <f>IFERROR(__xludf.DUMMYFUNCTION("""COMPUTED_VALUE"""),1003909.0)</f>
        <v>1003909</v>
      </c>
      <c r="C4357" s="9">
        <f>IFERROR(__xludf.DUMMYFUNCTION("""COMPUTED_VALUE"""),83770.0)</f>
        <v>83770</v>
      </c>
      <c r="D4357" s="10" t="str">
        <f>IFERROR(__xludf.DUMMYFUNCTION("""COMPUTED_VALUE"""),"Vive le bio")</f>
        <v>Vive le bio</v>
      </c>
      <c r="E4357" s="10" t="str">
        <f>IFERROR(__xludf.DUMMYFUNCTION("""COMPUTED_VALUE"""),"GREENRELAIS")</f>
        <v>GREENRELAIS</v>
      </c>
      <c r="F4357" s="10">
        <f>IFERROR(__xludf.DUMMYFUNCTION("""COMPUTED_VALUE"""),3.25555555555555)</f>
        <v>3.255555556</v>
      </c>
      <c r="G4357" s="9">
        <f>IFERROR(__xludf.DUMMYFUNCTION("""COMPUTED_VALUE"""),2.93)</f>
        <v>2.93</v>
      </c>
      <c r="H4357" s="9">
        <f>IFERROR(__xludf.DUMMYFUNCTION("""COMPUTED_VALUE"""),1.0)</f>
        <v>1</v>
      </c>
      <c r="I4357" s="9"/>
      <c r="J4357" s="9"/>
      <c r="K4357" s="9"/>
      <c r="L4357" s="9"/>
      <c r="M4357" s="9"/>
      <c r="N4357" s="9"/>
      <c r="O4357" s="9"/>
      <c r="P4357" s="9"/>
      <c r="Q4357" s="9"/>
      <c r="R4357" s="9"/>
      <c r="S4357" s="9"/>
      <c r="T4357" s="9"/>
    </row>
    <row r="4358" ht="15.75" customHeight="1">
      <c r="A4358" s="11">
        <f>IFERROR(__xludf.DUMMYFUNCTION("""COMPUTED_VALUE"""),44471.0)</f>
        <v>44471</v>
      </c>
      <c r="B4358" s="9">
        <f>IFERROR(__xludf.DUMMYFUNCTION("""COMPUTED_VALUE"""),1003909.0)</f>
        <v>1003909</v>
      </c>
      <c r="C4358" s="9">
        <f>IFERROR(__xludf.DUMMYFUNCTION("""COMPUTED_VALUE"""),109531.0)</f>
        <v>109531</v>
      </c>
      <c r="D4358" s="10" t="str">
        <f>IFERROR(__xludf.DUMMYFUNCTION("""COMPUTED_VALUE"""),"Zero Dechet")</f>
        <v>Zero Dechet</v>
      </c>
      <c r="E4358" s="10" t="str">
        <f>IFERROR(__xludf.DUMMYFUNCTION("""COMPUTED_VALUE"""),"GREENRELAIS")</f>
        <v>GREENRELAIS</v>
      </c>
      <c r="F4358" s="10">
        <f>IFERROR(__xludf.DUMMYFUNCTION("""COMPUTED_VALUE"""),5.6625)</f>
        <v>5.6625</v>
      </c>
      <c r="G4358" s="9">
        <f>IFERROR(__xludf.DUMMYFUNCTION("""COMPUTED_VALUE"""),4.53)</f>
        <v>4.53</v>
      </c>
      <c r="H4358" s="9">
        <f>IFERROR(__xludf.DUMMYFUNCTION("""COMPUTED_VALUE"""),2.0)</f>
        <v>2</v>
      </c>
      <c r="I4358" s="9"/>
      <c r="J4358" s="9"/>
      <c r="K4358" s="9"/>
      <c r="L4358" s="9"/>
      <c r="M4358" s="9"/>
      <c r="N4358" s="9"/>
      <c r="O4358" s="9"/>
      <c r="P4358" s="9"/>
      <c r="Q4358" s="9"/>
      <c r="R4358" s="9"/>
      <c r="S4358" s="9"/>
      <c r="T4358" s="9"/>
    </row>
    <row r="4359" ht="15.75" customHeight="1">
      <c r="A4359" s="11">
        <f>IFERROR(__xludf.DUMMYFUNCTION("""COMPUTED_VALUE"""),44471.0)</f>
        <v>44471</v>
      </c>
      <c r="B4359" s="9">
        <f>IFERROR(__xludf.DUMMYFUNCTION("""COMPUTED_VALUE"""),1003909.0)</f>
        <v>1003909</v>
      </c>
      <c r="C4359" s="9">
        <f>IFERROR(__xludf.DUMMYFUNCTION("""COMPUTED_VALUE"""),120587.0)</f>
        <v>120587</v>
      </c>
      <c r="D4359" s="9"/>
      <c r="E4359" s="10" t="str">
        <f>IFERROR(__xludf.DUMMYFUNCTION("""COMPUTED_VALUE"""),"GREENRELAIS")</f>
        <v>GREENRELAIS</v>
      </c>
      <c r="F4359" s="10">
        <f>IFERROR(__xludf.DUMMYFUNCTION("""COMPUTED_VALUE"""),33.84)</f>
        <v>33.84</v>
      </c>
      <c r="G4359" s="9">
        <f>IFERROR(__xludf.DUMMYFUNCTION("""COMPUTED_VALUE"""),33.84)</f>
        <v>33.84</v>
      </c>
      <c r="H4359" s="9">
        <f>IFERROR(__xludf.DUMMYFUNCTION("""COMPUTED_VALUE"""),10.0)</f>
        <v>10</v>
      </c>
      <c r="I4359" s="9"/>
      <c r="J4359" s="9"/>
      <c r="K4359" s="9"/>
      <c r="L4359" s="9"/>
      <c r="M4359" s="9"/>
      <c r="N4359" s="9"/>
      <c r="O4359" s="9"/>
      <c r="P4359" s="9"/>
      <c r="Q4359" s="9"/>
      <c r="R4359" s="9"/>
      <c r="S4359" s="9"/>
      <c r="T4359" s="9"/>
    </row>
    <row r="4360" ht="15.75" customHeight="1">
      <c r="A4360" s="11">
        <f>IFERROR(__xludf.DUMMYFUNCTION("""COMPUTED_VALUE"""),44471.0)</f>
        <v>44471</v>
      </c>
      <c r="B4360" s="9">
        <f>IFERROR(__xludf.DUMMYFUNCTION("""COMPUTED_VALUE"""),1003910.0)</f>
        <v>1003910</v>
      </c>
      <c r="C4360" s="9">
        <f>IFERROR(__xludf.DUMMYFUNCTION("""COMPUTED_VALUE"""),5590.0)</f>
        <v>5590</v>
      </c>
      <c r="D4360" s="10" t="str">
        <f>IFERROR(__xludf.DUMMYFUNCTION("""COMPUTED_VALUE"""),"Vive le bio")</f>
        <v>Vive le bio</v>
      </c>
      <c r="E4360" s="10"/>
      <c r="F4360" s="9">
        <f>IFERROR(__xludf.DUMMYFUNCTION("""COMPUTED_VALUE"""),3.63333333333333)</f>
        <v>3.633333333</v>
      </c>
      <c r="G4360" s="9">
        <f>IFERROR(__xludf.DUMMYFUNCTION("""COMPUTED_VALUE"""),3.27)</f>
        <v>3.27</v>
      </c>
      <c r="H4360" s="9">
        <f>IFERROR(__xludf.DUMMYFUNCTION("""COMPUTED_VALUE"""),1.0)</f>
        <v>1</v>
      </c>
      <c r="I4360" s="9"/>
      <c r="J4360" s="9"/>
      <c r="K4360" s="9"/>
      <c r="L4360" s="9"/>
      <c r="M4360" s="9"/>
      <c r="N4360" s="9"/>
      <c r="O4360" s="9"/>
      <c r="P4360" s="9"/>
      <c r="Q4360" s="9"/>
      <c r="R4360" s="9"/>
      <c r="S4360" s="9"/>
      <c r="T4360" s="9"/>
    </row>
    <row r="4361" ht="15.75" customHeight="1">
      <c r="A4361" s="11">
        <f>IFERROR(__xludf.DUMMYFUNCTION("""COMPUTED_VALUE"""),44471.0)</f>
        <v>44471</v>
      </c>
      <c r="B4361" s="9">
        <f>IFERROR(__xludf.DUMMYFUNCTION("""COMPUTED_VALUE"""),1003910.0)</f>
        <v>1003910</v>
      </c>
      <c r="C4361" s="9">
        <f>IFERROR(__xludf.DUMMYFUNCTION("""COMPUTED_VALUE"""),115726.0)</f>
        <v>115726</v>
      </c>
      <c r="D4361" s="9"/>
      <c r="E4361" s="9"/>
      <c r="F4361" s="9">
        <f>IFERROR(__xludf.DUMMYFUNCTION("""COMPUTED_VALUE"""),3.51)</f>
        <v>3.51</v>
      </c>
      <c r="G4361" s="9">
        <f>IFERROR(__xludf.DUMMYFUNCTION("""COMPUTED_VALUE"""),3.51)</f>
        <v>3.51</v>
      </c>
      <c r="H4361" s="9">
        <f>IFERROR(__xludf.DUMMYFUNCTION("""COMPUTED_VALUE"""),1.0)</f>
        <v>1</v>
      </c>
      <c r="I4361" s="9"/>
      <c r="J4361" s="9"/>
      <c r="K4361" s="9"/>
      <c r="L4361" s="9"/>
      <c r="M4361" s="9"/>
      <c r="N4361" s="9"/>
      <c r="O4361" s="9"/>
      <c r="P4361" s="9"/>
      <c r="Q4361" s="9"/>
      <c r="R4361" s="9"/>
      <c r="S4361" s="9"/>
      <c r="T4361" s="9"/>
    </row>
    <row r="4362" ht="15.75" customHeight="1">
      <c r="A4362" s="11">
        <f>IFERROR(__xludf.DUMMYFUNCTION("""COMPUTED_VALUE"""),44471.0)</f>
        <v>44471</v>
      </c>
      <c r="B4362" s="9">
        <f>IFERROR(__xludf.DUMMYFUNCTION("""COMPUTED_VALUE"""),1003910.0)</f>
        <v>1003910</v>
      </c>
      <c r="C4362" s="9">
        <f>IFERROR(__xludf.DUMMYFUNCTION("""COMPUTED_VALUE"""),119082.0)</f>
        <v>119082</v>
      </c>
      <c r="D4362" s="9"/>
      <c r="E4362" s="9"/>
      <c r="F4362" s="9">
        <f>IFERROR(__xludf.DUMMYFUNCTION("""COMPUTED_VALUE"""),1.38)</f>
        <v>1.38</v>
      </c>
      <c r="G4362" s="9">
        <f>IFERROR(__xludf.DUMMYFUNCTION("""COMPUTED_VALUE"""),1.38)</f>
        <v>1.38</v>
      </c>
      <c r="H4362" s="9">
        <f>IFERROR(__xludf.DUMMYFUNCTION("""COMPUTED_VALUE"""),1.0)</f>
        <v>1</v>
      </c>
      <c r="I4362" s="9"/>
      <c r="J4362" s="9"/>
      <c r="K4362" s="9"/>
      <c r="L4362" s="9"/>
      <c r="M4362" s="9"/>
      <c r="N4362" s="9"/>
      <c r="O4362" s="9"/>
      <c r="P4362" s="9"/>
      <c r="Q4362" s="9"/>
      <c r="R4362" s="9"/>
      <c r="S4362" s="9"/>
      <c r="T4362" s="9"/>
    </row>
    <row r="4363" ht="15.75" customHeight="1">
      <c r="A4363" s="11">
        <f>IFERROR(__xludf.DUMMYFUNCTION("""COMPUTED_VALUE"""),44471.0)</f>
        <v>44471</v>
      </c>
      <c r="B4363" s="9">
        <f>IFERROR(__xludf.DUMMYFUNCTION("""COMPUTED_VALUE"""),1003910.0)</f>
        <v>1003910</v>
      </c>
      <c r="C4363" s="9">
        <f>IFERROR(__xludf.DUMMYFUNCTION("""COMPUTED_VALUE"""),76568.0)</f>
        <v>76568</v>
      </c>
      <c r="D4363" s="10" t="str">
        <f>IFERROR(__xludf.DUMMYFUNCTION("""COMPUTED_VALUE"""),"Offre speciale")</f>
        <v>Offre speciale</v>
      </c>
      <c r="E4363" s="10"/>
      <c r="F4363" s="9">
        <f>IFERROR(__xludf.DUMMYFUNCTION("""COMPUTED_VALUE"""),2.76470588235294)</f>
        <v>2.764705882</v>
      </c>
      <c r="G4363" s="9">
        <f>IFERROR(__xludf.DUMMYFUNCTION("""COMPUTED_VALUE"""),2.35)</f>
        <v>2.35</v>
      </c>
      <c r="H4363" s="9">
        <f>IFERROR(__xludf.DUMMYFUNCTION("""COMPUTED_VALUE"""),1.0)</f>
        <v>1</v>
      </c>
      <c r="I4363" s="9"/>
      <c r="J4363" s="9"/>
      <c r="K4363" s="9"/>
      <c r="L4363" s="9"/>
      <c r="M4363" s="9"/>
      <c r="N4363" s="9"/>
      <c r="O4363" s="9"/>
      <c r="P4363" s="9"/>
      <c r="Q4363" s="9"/>
      <c r="R4363" s="9"/>
      <c r="S4363" s="9"/>
      <c r="T4363" s="9"/>
    </row>
    <row r="4364" ht="15.75" customHeight="1">
      <c r="A4364" s="11">
        <f>IFERROR(__xludf.DUMMYFUNCTION("""COMPUTED_VALUE"""),44471.0)</f>
        <v>44471</v>
      </c>
      <c r="B4364" s="9">
        <f>IFERROR(__xludf.DUMMYFUNCTION("""COMPUTED_VALUE"""),1003910.0)</f>
        <v>1003910</v>
      </c>
      <c r="C4364" s="9">
        <f>IFERROR(__xludf.DUMMYFUNCTION("""COMPUTED_VALUE"""),124735.0)</f>
        <v>124735</v>
      </c>
      <c r="D4364" s="10" t="str">
        <f>IFERROR(__xludf.DUMMYFUNCTION("""COMPUTED_VALUE"""),"Offre speciale")</f>
        <v>Offre speciale</v>
      </c>
      <c r="E4364" s="10"/>
      <c r="F4364" s="9">
        <f>IFERROR(__xludf.DUMMYFUNCTION("""COMPUTED_VALUE"""),7.05882352941176)</f>
        <v>7.058823529</v>
      </c>
      <c r="G4364" s="9">
        <f>IFERROR(__xludf.DUMMYFUNCTION("""COMPUTED_VALUE"""),6.0)</f>
        <v>6</v>
      </c>
      <c r="H4364" s="9">
        <f>IFERROR(__xludf.DUMMYFUNCTION("""COMPUTED_VALUE"""),1.0)</f>
        <v>1</v>
      </c>
      <c r="I4364" s="9"/>
      <c r="J4364" s="9"/>
      <c r="K4364" s="9"/>
      <c r="L4364" s="9"/>
      <c r="M4364" s="9"/>
      <c r="N4364" s="9"/>
      <c r="O4364" s="9"/>
      <c r="P4364" s="9"/>
      <c r="Q4364" s="9"/>
      <c r="R4364" s="9"/>
      <c r="S4364" s="9"/>
      <c r="T4364" s="9"/>
    </row>
    <row r="4365" ht="15.75" customHeight="1">
      <c r="A4365" s="11">
        <f>IFERROR(__xludf.DUMMYFUNCTION("""COMPUTED_VALUE"""),44471.0)</f>
        <v>44471</v>
      </c>
      <c r="B4365" s="9">
        <f>IFERROR(__xludf.DUMMYFUNCTION("""COMPUTED_VALUE"""),1003910.0)</f>
        <v>1003910</v>
      </c>
      <c r="C4365" s="9">
        <f>IFERROR(__xludf.DUMMYFUNCTION("""COMPUTED_VALUE"""),5599.0)</f>
        <v>5599</v>
      </c>
      <c r="D4365" s="9"/>
      <c r="E4365" s="9"/>
      <c r="F4365" s="9">
        <f>IFERROR(__xludf.DUMMYFUNCTION("""COMPUTED_VALUE"""),1.89)</f>
        <v>1.89</v>
      </c>
      <c r="G4365" s="9">
        <f>IFERROR(__xludf.DUMMYFUNCTION("""COMPUTED_VALUE"""),1.89)</f>
        <v>1.89</v>
      </c>
      <c r="H4365" s="9">
        <f>IFERROR(__xludf.DUMMYFUNCTION("""COMPUTED_VALUE"""),1.0)</f>
        <v>1</v>
      </c>
      <c r="I4365" s="9"/>
      <c r="J4365" s="9"/>
      <c r="K4365" s="9"/>
      <c r="L4365" s="9"/>
      <c r="M4365" s="9"/>
      <c r="N4365" s="9"/>
      <c r="O4365" s="9"/>
      <c r="P4365" s="9"/>
      <c r="Q4365" s="9"/>
      <c r="R4365" s="9"/>
      <c r="S4365" s="9"/>
      <c r="T4365" s="9"/>
    </row>
    <row r="4366" ht="15.75" customHeight="1">
      <c r="A4366" s="11">
        <f>IFERROR(__xludf.DUMMYFUNCTION("""COMPUTED_VALUE"""),44471.0)</f>
        <v>44471</v>
      </c>
      <c r="B4366" s="9">
        <f>IFERROR(__xludf.DUMMYFUNCTION("""COMPUTED_VALUE"""),1003910.0)</f>
        <v>1003910</v>
      </c>
      <c r="C4366" s="9">
        <f>IFERROR(__xludf.DUMMYFUNCTION("""COMPUTED_VALUE"""),69551.0)</f>
        <v>69551</v>
      </c>
      <c r="D4366" s="9"/>
      <c r="E4366" s="9"/>
      <c r="F4366" s="9">
        <f>IFERROR(__xludf.DUMMYFUNCTION("""COMPUTED_VALUE"""),4.83)</f>
        <v>4.83</v>
      </c>
      <c r="G4366" s="9">
        <f>IFERROR(__xludf.DUMMYFUNCTION("""COMPUTED_VALUE"""),4.83)</f>
        <v>4.83</v>
      </c>
      <c r="H4366" s="9">
        <f>IFERROR(__xludf.DUMMYFUNCTION("""COMPUTED_VALUE"""),1.0)</f>
        <v>1</v>
      </c>
      <c r="I4366" s="9"/>
      <c r="J4366" s="9"/>
      <c r="K4366" s="9"/>
      <c r="L4366" s="9"/>
      <c r="M4366" s="9"/>
      <c r="N4366" s="9"/>
      <c r="O4366" s="9"/>
      <c r="P4366" s="9"/>
      <c r="Q4366" s="9"/>
      <c r="R4366" s="9"/>
      <c r="S4366" s="9"/>
      <c r="T4366" s="9"/>
    </row>
    <row r="4367" ht="15.75" customHeight="1">
      <c r="A4367" s="11">
        <f>IFERROR(__xludf.DUMMYFUNCTION("""COMPUTED_VALUE"""),44471.0)</f>
        <v>44471</v>
      </c>
      <c r="B4367" s="9">
        <f>IFERROR(__xludf.DUMMYFUNCTION("""COMPUTED_VALUE"""),1003910.0)</f>
        <v>1003910</v>
      </c>
      <c r="C4367" s="9">
        <f>IFERROR(__xludf.DUMMYFUNCTION("""COMPUTED_VALUE"""),108749.0)</f>
        <v>108749</v>
      </c>
      <c r="D4367" s="10" t="str">
        <f>IFERROR(__xludf.DUMMYFUNCTION("""COMPUTED_VALUE"""),"DLC courtes")</f>
        <v>DLC courtes</v>
      </c>
      <c r="E4367" s="10"/>
      <c r="F4367" s="9">
        <f>IFERROR(__xludf.DUMMYFUNCTION("""COMPUTED_VALUE"""),4.08235294117647)</f>
        <v>4.082352941</v>
      </c>
      <c r="G4367" s="9">
        <f>IFERROR(__xludf.DUMMYFUNCTION("""COMPUTED_VALUE"""),3.47)</f>
        <v>3.47</v>
      </c>
      <c r="H4367" s="9">
        <f>IFERROR(__xludf.DUMMYFUNCTION("""COMPUTED_VALUE"""),1.0)</f>
        <v>1</v>
      </c>
      <c r="I4367" s="9"/>
      <c r="J4367" s="9"/>
      <c r="K4367" s="9"/>
      <c r="L4367" s="9"/>
      <c r="M4367" s="9"/>
      <c r="N4367" s="9"/>
      <c r="O4367" s="9"/>
      <c r="P4367" s="9"/>
      <c r="Q4367" s="9"/>
      <c r="R4367" s="9"/>
      <c r="S4367" s="9"/>
      <c r="T4367" s="9"/>
    </row>
    <row r="4368" ht="15.75" customHeight="1">
      <c r="A4368" s="11">
        <f>IFERROR(__xludf.DUMMYFUNCTION("""COMPUTED_VALUE"""),44471.0)</f>
        <v>44471</v>
      </c>
      <c r="B4368" s="9">
        <f>IFERROR(__xludf.DUMMYFUNCTION("""COMPUTED_VALUE"""),1003910.0)</f>
        <v>1003910</v>
      </c>
      <c r="C4368" s="9">
        <f>IFERROR(__xludf.DUMMYFUNCTION("""COMPUTED_VALUE"""),118351.0)</f>
        <v>118351</v>
      </c>
      <c r="D4368" s="9"/>
      <c r="E4368" s="9"/>
      <c r="F4368" s="9">
        <f>IFERROR(__xludf.DUMMYFUNCTION("""COMPUTED_VALUE"""),4.34)</f>
        <v>4.34</v>
      </c>
      <c r="G4368" s="9">
        <f>IFERROR(__xludf.DUMMYFUNCTION("""COMPUTED_VALUE"""),4.34)</f>
        <v>4.34</v>
      </c>
      <c r="H4368" s="9">
        <f>IFERROR(__xludf.DUMMYFUNCTION("""COMPUTED_VALUE"""),1.0)</f>
        <v>1</v>
      </c>
      <c r="I4368" s="9"/>
      <c r="J4368" s="9"/>
      <c r="K4368" s="9"/>
      <c r="L4368" s="9"/>
      <c r="M4368" s="9"/>
      <c r="N4368" s="9"/>
      <c r="O4368" s="9"/>
      <c r="P4368" s="9"/>
      <c r="Q4368" s="9"/>
      <c r="R4368" s="9"/>
      <c r="S4368" s="9"/>
      <c r="T4368" s="9"/>
    </row>
    <row r="4369" ht="15.75" customHeight="1">
      <c r="A4369" s="11">
        <f>IFERROR(__xludf.DUMMYFUNCTION("""COMPUTED_VALUE"""),44471.0)</f>
        <v>44471</v>
      </c>
      <c r="B4369" s="9">
        <f>IFERROR(__xludf.DUMMYFUNCTION("""COMPUTED_VALUE"""),1003910.0)</f>
        <v>1003910</v>
      </c>
      <c r="C4369" s="9">
        <f>IFERROR(__xludf.DUMMYFUNCTION("""COMPUTED_VALUE"""),81082.0)</f>
        <v>81082</v>
      </c>
      <c r="D4369" s="9"/>
      <c r="E4369" s="9"/>
      <c r="F4369" s="9">
        <f>IFERROR(__xludf.DUMMYFUNCTION("""COMPUTED_VALUE"""),1.96)</f>
        <v>1.96</v>
      </c>
      <c r="G4369" s="9">
        <f>IFERROR(__xludf.DUMMYFUNCTION("""COMPUTED_VALUE"""),1.96)</f>
        <v>1.96</v>
      </c>
      <c r="H4369" s="9">
        <f>IFERROR(__xludf.DUMMYFUNCTION("""COMPUTED_VALUE"""),1.0)</f>
        <v>1</v>
      </c>
      <c r="I4369" s="9"/>
      <c r="J4369" s="9"/>
      <c r="K4369" s="9"/>
      <c r="L4369" s="9"/>
      <c r="M4369" s="9"/>
      <c r="N4369" s="9"/>
      <c r="O4369" s="9"/>
      <c r="P4369" s="9"/>
      <c r="Q4369" s="9"/>
      <c r="R4369" s="9"/>
      <c r="S4369" s="9"/>
      <c r="T4369" s="9"/>
    </row>
    <row r="4370" ht="15.75" customHeight="1">
      <c r="A4370" s="11">
        <f>IFERROR(__xludf.DUMMYFUNCTION("""COMPUTED_VALUE"""),44471.0)</f>
        <v>44471</v>
      </c>
      <c r="B4370" s="9">
        <f>IFERROR(__xludf.DUMMYFUNCTION("""COMPUTED_VALUE"""),1003910.0)</f>
        <v>1003910</v>
      </c>
      <c r="C4370" s="9">
        <f>IFERROR(__xludf.DUMMYFUNCTION("""COMPUTED_VALUE"""),94930.0)</f>
        <v>94930</v>
      </c>
      <c r="D4370" s="9"/>
      <c r="E4370" s="9"/>
      <c r="F4370" s="9">
        <f>IFERROR(__xludf.DUMMYFUNCTION("""COMPUTED_VALUE"""),14.7)</f>
        <v>14.7</v>
      </c>
      <c r="G4370" s="9">
        <f>IFERROR(__xludf.DUMMYFUNCTION("""COMPUTED_VALUE"""),14.7)</f>
        <v>14.7</v>
      </c>
      <c r="H4370" s="9">
        <f>IFERROR(__xludf.DUMMYFUNCTION("""COMPUTED_VALUE"""),1.0)</f>
        <v>1</v>
      </c>
      <c r="I4370" s="9"/>
      <c r="J4370" s="9"/>
      <c r="K4370" s="9"/>
      <c r="L4370" s="9"/>
      <c r="M4370" s="9"/>
      <c r="N4370" s="9"/>
      <c r="O4370" s="9"/>
      <c r="P4370" s="9"/>
      <c r="Q4370" s="9"/>
      <c r="R4370" s="9"/>
      <c r="S4370" s="9"/>
      <c r="T4370" s="9"/>
    </row>
    <row r="4371" ht="15.75" customHeight="1">
      <c r="A4371" s="11">
        <f>IFERROR(__xludf.DUMMYFUNCTION("""COMPUTED_VALUE"""),44471.0)</f>
        <v>44471</v>
      </c>
      <c r="B4371" s="9">
        <f>IFERROR(__xludf.DUMMYFUNCTION("""COMPUTED_VALUE"""),1003910.0)</f>
        <v>1003910</v>
      </c>
      <c r="C4371" s="9">
        <f>IFERROR(__xludf.DUMMYFUNCTION("""COMPUTED_VALUE"""),89821.0)</f>
        <v>89821</v>
      </c>
      <c r="D4371" s="9"/>
      <c r="E4371" s="9"/>
      <c r="F4371" s="9">
        <f>IFERROR(__xludf.DUMMYFUNCTION("""COMPUTED_VALUE"""),3.43)</f>
        <v>3.43</v>
      </c>
      <c r="G4371" s="9">
        <f>IFERROR(__xludf.DUMMYFUNCTION("""COMPUTED_VALUE"""),3.43)</f>
        <v>3.43</v>
      </c>
      <c r="H4371" s="9">
        <f>IFERROR(__xludf.DUMMYFUNCTION("""COMPUTED_VALUE"""),1.0)</f>
        <v>1</v>
      </c>
      <c r="I4371" s="9"/>
      <c r="J4371" s="9"/>
      <c r="K4371" s="9"/>
      <c r="L4371" s="9"/>
      <c r="M4371" s="9"/>
      <c r="N4371" s="9"/>
      <c r="O4371" s="9"/>
      <c r="P4371" s="9"/>
      <c r="Q4371" s="9"/>
      <c r="R4371" s="9"/>
      <c r="S4371" s="9"/>
      <c r="T4371" s="9"/>
    </row>
    <row r="4372" ht="15.75" customHeight="1">
      <c r="A4372" s="11">
        <f>IFERROR(__xludf.DUMMYFUNCTION("""COMPUTED_VALUE"""),44471.0)</f>
        <v>44471</v>
      </c>
      <c r="B4372" s="9">
        <f>IFERROR(__xludf.DUMMYFUNCTION("""COMPUTED_VALUE"""),1003910.0)</f>
        <v>1003910</v>
      </c>
      <c r="C4372" s="9">
        <f>IFERROR(__xludf.DUMMYFUNCTION("""COMPUTED_VALUE"""),76570.0)</f>
        <v>76570</v>
      </c>
      <c r="D4372" s="9"/>
      <c r="E4372" s="9"/>
      <c r="F4372" s="9">
        <f>IFERROR(__xludf.DUMMYFUNCTION("""COMPUTED_VALUE"""),1.59)</f>
        <v>1.59</v>
      </c>
      <c r="G4372" s="9">
        <f>IFERROR(__xludf.DUMMYFUNCTION("""COMPUTED_VALUE"""),1.59)</f>
        <v>1.59</v>
      </c>
      <c r="H4372" s="9">
        <f>IFERROR(__xludf.DUMMYFUNCTION("""COMPUTED_VALUE"""),1.0)</f>
        <v>1</v>
      </c>
      <c r="I4372" s="9"/>
      <c r="J4372" s="9"/>
      <c r="K4372" s="9"/>
      <c r="L4372" s="9"/>
      <c r="M4372" s="9"/>
      <c r="N4372" s="9"/>
      <c r="O4372" s="9"/>
      <c r="P4372" s="9"/>
      <c r="Q4372" s="9"/>
      <c r="R4372" s="9"/>
      <c r="S4372" s="9"/>
      <c r="T4372" s="9"/>
    </row>
    <row r="4373" ht="15.75" customHeight="1">
      <c r="A4373" s="11">
        <f>IFERROR(__xludf.DUMMYFUNCTION("""COMPUTED_VALUE"""),44471.0)</f>
        <v>44471</v>
      </c>
      <c r="B4373" s="9">
        <f>IFERROR(__xludf.DUMMYFUNCTION("""COMPUTED_VALUE"""),1003910.0)</f>
        <v>1003910</v>
      </c>
      <c r="C4373" s="9">
        <f>IFERROR(__xludf.DUMMYFUNCTION("""COMPUTED_VALUE"""),90467.0)</f>
        <v>90467</v>
      </c>
      <c r="D4373" s="10" t="str">
        <f>IFERROR(__xludf.DUMMYFUNCTION("""COMPUTED_VALUE"""),"Offre speciale")</f>
        <v>Offre speciale</v>
      </c>
      <c r="E4373" s="10"/>
      <c r="F4373" s="9">
        <f>IFERROR(__xludf.DUMMYFUNCTION("""COMPUTED_VALUE"""),6.14117647058823)</f>
        <v>6.141176471</v>
      </c>
      <c r="G4373" s="9">
        <f>IFERROR(__xludf.DUMMYFUNCTION("""COMPUTED_VALUE"""),5.22)</f>
        <v>5.22</v>
      </c>
      <c r="H4373" s="9">
        <f>IFERROR(__xludf.DUMMYFUNCTION("""COMPUTED_VALUE"""),1.0)</f>
        <v>1</v>
      </c>
      <c r="I4373" s="9"/>
      <c r="J4373" s="9"/>
      <c r="K4373" s="9"/>
      <c r="L4373" s="9"/>
      <c r="M4373" s="9"/>
      <c r="N4373" s="9"/>
      <c r="O4373" s="9"/>
      <c r="P4373" s="9"/>
      <c r="Q4373" s="9"/>
      <c r="R4373" s="9"/>
      <c r="S4373" s="9"/>
      <c r="T4373" s="9"/>
    </row>
    <row r="4374" ht="15.75" customHeight="1">
      <c r="A4374" s="11">
        <f>IFERROR(__xludf.DUMMYFUNCTION("""COMPUTED_VALUE"""),44471.0)</f>
        <v>44471</v>
      </c>
      <c r="B4374" s="9">
        <f>IFERROR(__xludf.DUMMYFUNCTION("""COMPUTED_VALUE"""),1003910.0)</f>
        <v>1003910</v>
      </c>
      <c r="C4374" s="9">
        <f>IFERROR(__xludf.DUMMYFUNCTION("""COMPUTED_VALUE"""),69500.0)</f>
        <v>69500</v>
      </c>
      <c r="D4374" s="10" t="str">
        <f>IFERROR(__xludf.DUMMYFUNCTION("""COMPUTED_VALUE"""),"Vive le bio")</f>
        <v>Vive le bio</v>
      </c>
      <c r="E4374" s="10"/>
      <c r="F4374" s="9">
        <f>IFERROR(__xludf.DUMMYFUNCTION("""COMPUTED_VALUE"""),5.89999999999999)</f>
        <v>5.9</v>
      </c>
      <c r="G4374" s="9">
        <f>IFERROR(__xludf.DUMMYFUNCTION("""COMPUTED_VALUE"""),5.31)</f>
        <v>5.31</v>
      </c>
      <c r="H4374" s="9">
        <f>IFERROR(__xludf.DUMMYFUNCTION("""COMPUTED_VALUE"""),1.0)</f>
        <v>1</v>
      </c>
      <c r="I4374" s="9"/>
      <c r="J4374" s="9"/>
      <c r="K4374" s="9"/>
      <c r="L4374" s="9"/>
      <c r="M4374" s="9"/>
      <c r="N4374" s="9"/>
      <c r="O4374" s="9"/>
      <c r="P4374" s="9"/>
      <c r="Q4374" s="9"/>
      <c r="R4374" s="9"/>
      <c r="S4374" s="9"/>
      <c r="T4374" s="9"/>
    </row>
    <row r="4375" ht="15.75" customHeight="1">
      <c r="A4375" s="11">
        <f>IFERROR(__xludf.DUMMYFUNCTION("""COMPUTED_VALUE"""),44471.0)</f>
        <v>44471</v>
      </c>
      <c r="B4375" s="9">
        <f>IFERROR(__xludf.DUMMYFUNCTION("""COMPUTED_VALUE"""),1003910.0)</f>
        <v>1003910</v>
      </c>
      <c r="C4375" s="9">
        <f>IFERROR(__xludf.DUMMYFUNCTION("""COMPUTED_VALUE"""),94000.0)</f>
        <v>94000</v>
      </c>
      <c r="D4375" s="9"/>
      <c r="E4375" s="9"/>
      <c r="F4375" s="9">
        <f>IFERROR(__xludf.DUMMYFUNCTION("""COMPUTED_VALUE"""),6.41)</f>
        <v>6.41</v>
      </c>
      <c r="G4375" s="9">
        <f>IFERROR(__xludf.DUMMYFUNCTION("""COMPUTED_VALUE"""),6.41)</f>
        <v>6.41</v>
      </c>
      <c r="H4375" s="9">
        <f>IFERROR(__xludf.DUMMYFUNCTION("""COMPUTED_VALUE"""),1.0)</f>
        <v>1</v>
      </c>
      <c r="I4375" s="9"/>
      <c r="J4375" s="9"/>
      <c r="K4375" s="9"/>
      <c r="L4375" s="9"/>
      <c r="M4375" s="9"/>
      <c r="N4375" s="9"/>
      <c r="O4375" s="9"/>
      <c r="P4375" s="9"/>
      <c r="Q4375" s="9"/>
      <c r="R4375" s="9"/>
      <c r="S4375" s="9"/>
      <c r="T4375" s="9"/>
    </row>
    <row r="4376" ht="15.75" customHeight="1">
      <c r="A4376" s="11">
        <f>IFERROR(__xludf.DUMMYFUNCTION("""COMPUTED_VALUE"""),44471.0)</f>
        <v>44471</v>
      </c>
      <c r="B4376" s="9">
        <f>IFERROR(__xludf.DUMMYFUNCTION("""COMPUTED_VALUE"""),1003910.0)</f>
        <v>1003910</v>
      </c>
      <c r="C4376" s="9">
        <f>IFERROR(__xludf.DUMMYFUNCTION("""COMPUTED_VALUE"""),78727.0)</f>
        <v>78727</v>
      </c>
      <c r="D4376" s="10" t="str">
        <f>IFERROR(__xludf.DUMMYFUNCTION("""COMPUTED_VALUE"""),"Offre speciale")</f>
        <v>Offre speciale</v>
      </c>
      <c r="E4376" s="10"/>
      <c r="F4376" s="9">
        <f>IFERROR(__xludf.DUMMYFUNCTION("""COMPUTED_VALUE"""),7.41176470588235)</f>
        <v>7.411764706</v>
      </c>
      <c r="G4376" s="9">
        <f>IFERROR(__xludf.DUMMYFUNCTION("""COMPUTED_VALUE"""),6.3)</f>
        <v>6.3</v>
      </c>
      <c r="H4376" s="9">
        <f>IFERROR(__xludf.DUMMYFUNCTION("""COMPUTED_VALUE"""),1.0)</f>
        <v>1</v>
      </c>
      <c r="I4376" s="9"/>
      <c r="J4376" s="9"/>
      <c r="K4376" s="9"/>
      <c r="L4376" s="9"/>
      <c r="M4376" s="9"/>
      <c r="N4376" s="9"/>
      <c r="O4376" s="9"/>
      <c r="P4376" s="9"/>
      <c r="Q4376" s="9"/>
      <c r="R4376" s="9"/>
      <c r="S4376" s="9"/>
      <c r="T4376" s="9"/>
    </row>
    <row r="4377" ht="15.75" customHeight="1">
      <c r="A4377" s="11">
        <f>IFERROR(__xludf.DUMMYFUNCTION("""COMPUTED_VALUE"""),44471.0)</f>
        <v>44471</v>
      </c>
      <c r="B4377" s="9">
        <f>IFERROR(__xludf.DUMMYFUNCTION("""COMPUTED_VALUE"""),1003910.0)</f>
        <v>1003910</v>
      </c>
      <c r="C4377" s="9">
        <f>IFERROR(__xludf.DUMMYFUNCTION("""COMPUTED_VALUE"""),69499.0)</f>
        <v>69499</v>
      </c>
      <c r="D4377" s="9"/>
      <c r="E4377" s="9"/>
      <c r="F4377" s="9">
        <f>IFERROR(__xludf.DUMMYFUNCTION("""COMPUTED_VALUE"""),2.84)</f>
        <v>2.84</v>
      </c>
      <c r="G4377" s="9">
        <f>IFERROR(__xludf.DUMMYFUNCTION("""COMPUTED_VALUE"""),2.84)</f>
        <v>2.84</v>
      </c>
      <c r="H4377" s="9">
        <f>IFERROR(__xludf.DUMMYFUNCTION("""COMPUTED_VALUE"""),1.0)</f>
        <v>1</v>
      </c>
      <c r="I4377" s="9"/>
      <c r="J4377" s="9"/>
      <c r="K4377" s="9"/>
      <c r="L4377" s="9"/>
      <c r="M4377" s="9"/>
      <c r="N4377" s="9"/>
      <c r="O4377" s="9"/>
      <c r="P4377" s="9"/>
      <c r="Q4377" s="9"/>
      <c r="R4377" s="9"/>
      <c r="S4377" s="9"/>
      <c r="T4377" s="9"/>
    </row>
    <row r="4378" ht="15.75" customHeight="1">
      <c r="A4378" s="11">
        <f>IFERROR(__xludf.DUMMYFUNCTION("""COMPUTED_VALUE"""),44471.0)</f>
        <v>44471</v>
      </c>
      <c r="B4378" s="9">
        <f>IFERROR(__xludf.DUMMYFUNCTION("""COMPUTED_VALUE"""),1003910.0)</f>
        <v>1003910</v>
      </c>
      <c r="C4378" s="9">
        <f>IFERROR(__xludf.DUMMYFUNCTION("""COMPUTED_VALUE"""),110085.0)</f>
        <v>110085</v>
      </c>
      <c r="D4378" s="9"/>
      <c r="E4378" s="9"/>
      <c r="F4378" s="9">
        <f>IFERROR(__xludf.DUMMYFUNCTION("""COMPUTED_VALUE"""),1.92)</f>
        <v>1.92</v>
      </c>
      <c r="G4378" s="9">
        <f>IFERROR(__xludf.DUMMYFUNCTION("""COMPUTED_VALUE"""),1.92)</f>
        <v>1.92</v>
      </c>
      <c r="H4378" s="9">
        <f>IFERROR(__xludf.DUMMYFUNCTION("""COMPUTED_VALUE"""),1.0)</f>
        <v>1</v>
      </c>
      <c r="I4378" s="9"/>
      <c r="J4378" s="9"/>
      <c r="K4378" s="9"/>
      <c r="L4378" s="9"/>
      <c r="M4378" s="9"/>
      <c r="N4378" s="9"/>
      <c r="O4378" s="9"/>
      <c r="P4378" s="9"/>
      <c r="Q4378" s="9"/>
      <c r="R4378" s="9"/>
      <c r="S4378" s="9"/>
      <c r="T4378" s="9"/>
    </row>
    <row r="4379" ht="15.75" customHeight="1">
      <c r="A4379" s="11">
        <f>IFERROR(__xludf.DUMMYFUNCTION("""COMPUTED_VALUE"""),44471.0)</f>
        <v>44471</v>
      </c>
      <c r="B4379" s="9">
        <f>IFERROR(__xludf.DUMMYFUNCTION("""COMPUTED_VALUE"""),1003910.0)</f>
        <v>1003910</v>
      </c>
      <c r="C4379" s="9">
        <f>IFERROR(__xludf.DUMMYFUNCTION("""COMPUTED_VALUE"""),72248.0)</f>
        <v>72248</v>
      </c>
      <c r="D4379" s="10" t="str">
        <f>IFERROR(__xludf.DUMMYFUNCTION("""COMPUTED_VALUE"""),"Vive le bio")</f>
        <v>Vive le bio</v>
      </c>
      <c r="E4379" s="10"/>
      <c r="F4379" s="9">
        <f>IFERROR(__xludf.DUMMYFUNCTION("""COMPUTED_VALUE"""),12.5888888888888)</f>
        <v>12.58888889</v>
      </c>
      <c r="G4379" s="9">
        <f>IFERROR(__xludf.DUMMYFUNCTION("""COMPUTED_VALUE"""),11.33)</f>
        <v>11.33</v>
      </c>
      <c r="H4379" s="9">
        <f>IFERROR(__xludf.DUMMYFUNCTION("""COMPUTED_VALUE"""),1.0)</f>
        <v>1</v>
      </c>
      <c r="I4379" s="9"/>
      <c r="J4379" s="9"/>
      <c r="K4379" s="9"/>
      <c r="L4379" s="9"/>
      <c r="M4379" s="9"/>
      <c r="N4379" s="9"/>
      <c r="O4379" s="9"/>
      <c r="P4379" s="9"/>
      <c r="Q4379" s="9"/>
      <c r="R4379" s="9"/>
      <c r="S4379" s="9"/>
      <c r="T4379" s="9"/>
    </row>
    <row r="4380" ht="15.75" customHeight="1">
      <c r="A4380" s="11">
        <f>IFERROR(__xludf.DUMMYFUNCTION("""COMPUTED_VALUE"""),44471.0)</f>
        <v>44471</v>
      </c>
      <c r="B4380" s="9">
        <f>IFERROR(__xludf.DUMMYFUNCTION("""COMPUTED_VALUE"""),1003910.0)</f>
        <v>1003910</v>
      </c>
      <c r="C4380" s="9">
        <f>IFERROR(__xludf.DUMMYFUNCTION("""COMPUTED_VALUE"""),19408.0)</f>
        <v>19408</v>
      </c>
      <c r="D4380" s="9"/>
      <c r="E4380" s="9"/>
      <c r="F4380" s="9">
        <f>IFERROR(__xludf.DUMMYFUNCTION("""COMPUTED_VALUE"""),4.47)</f>
        <v>4.47</v>
      </c>
      <c r="G4380" s="9">
        <f>IFERROR(__xludf.DUMMYFUNCTION("""COMPUTED_VALUE"""),4.47)</f>
        <v>4.47</v>
      </c>
      <c r="H4380" s="9">
        <f>IFERROR(__xludf.DUMMYFUNCTION("""COMPUTED_VALUE"""),1.0)</f>
        <v>1</v>
      </c>
      <c r="I4380" s="9"/>
      <c r="J4380" s="9"/>
      <c r="K4380" s="9"/>
      <c r="L4380" s="9"/>
      <c r="M4380" s="9"/>
      <c r="N4380" s="9"/>
      <c r="O4380" s="9"/>
      <c r="P4380" s="9"/>
      <c r="Q4380" s="9"/>
      <c r="R4380" s="9"/>
      <c r="S4380" s="9"/>
      <c r="T4380" s="9"/>
    </row>
    <row r="4381" ht="15.75" customHeight="1">
      <c r="A4381" s="11">
        <f>IFERROR(__xludf.DUMMYFUNCTION("""COMPUTED_VALUE"""),44471.0)</f>
        <v>44471</v>
      </c>
      <c r="B4381" s="9">
        <f>IFERROR(__xludf.DUMMYFUNCTION("""COMPUTED_VALUE"""),1003910.0)</f>
        <v>1003910</v>
      </c>
      <c r="C4381" s="9">
        <f>IFERROR(__xludf.DUMMYFUNCTION("""COMPUTED_VALUE"""),119076.0)</f>
        <v>119076</v>
      </c>
      <c r="D4381" s="9"/>
      <c r="E4381" s="9"/>
      <c r="F4381" s="9">
        <f>IFERROR(__xludf.DUMMYFUNCTION("""COMPUTED_VALUE"""),1.43)</f>
        <v>1.43</v>
      </c>
      <c r="G4381" s="9">
        <f>IFERROR(__xludf.DUMMYFUNCTION("""COMPUTED_VALUE"""),1.43)</f>
        <v>1.43</v>
      </c>
      <c r="H4381" s="9">
        <f>IFERROR(__xludf.DUMMYFUNCTION("""COMPUTED_VALUE"""),1.0)</f>
        <v>1</v>
      </c>
      <c r="I4381" s="9"/>
      <c r="J4381" s="9"/>
      <c r="K4381" s="9"/>
      <c r="L4381" s="9"/>
      <c r="M4381" s="9"/>
      <c r="N4381" s="9"/>
      <c r="O4381" s="9"/>
      <c r="P4381" s="9"/>
      <c r="Q4381" s="9"/>
      <c r="R4381" s="9"/>
      <c r="S4381" s="9"/>
      <c r="T4381" s="9"/>
    </row>
    <row r="4382" ht="15.75" customHeight="1">
      <c r="A4382" s="11">
        <f>IFERROR(__xludf.DUMMYFUNCTION("""COMPUTED_VALUE"""),44471.0)</f>
        <v>44471</v>
      </c>
      <c r="B4382" s="9">
        <f>IFERROR(__xludf.DUMMYFUNCTION("""COMPUTED_VALUE"""),1003910.0)</f>
        <v>1003910</v>
      </c>
      <c r="C4382" s="9">
        <f>IFERROR(__xludf.DUMMYFUNCTION("""COMPUTED_VALUE"""),158668.0)</f>
        <v>158668</v>
      </c>
      <c r="D4382" s="9"/>
      <c r="E4382" s="9"/>
      <c r="F4382" s="9">
        <f>IFERROR(__xludf.DUMMYFUNCTION("""COMPUTED_VALUE"""),3.99)</f>
        <v>3.99</v>
      </c>
      <c r="G4382" s="9">
        <f>IFERROR(__xludf.DUMMYFUNCTION("""COMPUTED_VALUE"""),3.99)</f>
        <v>3.99</v>
      </c>
      <c r="H4382" s="9">
        <f>IFERROR(__xludf.DUMMYFUNCTION("""COMPUTED_VALUE"""),1.0)</f>
        <v>1</v>
      </c>
      <c r="I4382" s="9"/>
      <c r="J4382" s="9"/>
      <c r="K4382" s="9"/>
      <c r="L4382" s="9"/>
      <c r="M4382" s="9"/>
      <c r="N4382" s="9"/>
      <c r="O4382" s="9"/>
      <c r="P4382" s="9"/>
      <c r="Q4382" s="9"/>
      <c r="R4382" s="9"/>
      <c r="S4382" s="9"/>
      <c r="T4382" s="9"/>
    </row>
    <row r="4383" ht="15.75" customHeight="1">
      <c r="A4383" s="11">
        <f>IFERROR(__xludf.DUMMYFUNCTION("""COMPUTED_VALUE"""),44471.0)</f>
        <v>44471</v>
      </c>
      <c r="B4383" s="9">
        <f>IFERROR(__xludf.DUMMYFUNCTION("""COMPUTED_VALUE"""),1003910.0)</f>
        <v>1003910</v>
      </c>
      <c r="C4383" s="9">
        <f>IFERROR(__xludf.DUMMYFUNCTION("""COMPUTED_VALUE"""),110573.0)</f>
        <v>110573</v>
      </c>
      <c r="D4383" s="9"/>
      <c r="E4383" s="9"/>
      <c r="F4383" s="9">
        <f>IFERROR(__xludf.DUMMYFUNCTION("""COMPUTED_VALUE"""),3.85)</f>
        <v>3.85</v>
      </c>
      <c r="G4383" s="9">
        <f>IFERROR(__xludf.DUMMYFUNCTION("""COMPUTED_VALUE"""),3.85)</f>
        <v>3.85</v>
      </c>
      <c r="H4383" s="9">
        <f>IFERROR(__xludf.DUMMYFUNCTION("""COMPUTED_VALUE"""),2.0)</f>
        <v>2</v>
      </c>
      <c r="I4383" s="9"/>
      <c r="J4383" s="9"/>
      <c r="K4383" s="9"/>
      <c r="L4383" s="9"/>
      <c r="M4383" s="9"/>
      <c r="N4383" s="9"/>
      <c r="O4383" s="9"/>
      <c r="P4383" s="9"/>
      <c r="Q4383" s="9"/>
      <c r="R4383" s="9"/>
      <c r="S4383" s="9"/>
      <c r="T4383" s="9"/>
    </row>
    <row r="4384" ht="15.75" customHeight="1">
      <c r="A4384" s="11">
        <f>IFERROR(__xludf.DUMMYFUNCTION("""COMPUTED_VALUE"""),44471.0)</f>
        <v>44471</v>
      </c>
      <c r="B4384" s="9">
        <f>IFERROR(__xludf.DUMMYFUNCTION("""COMPUTED_VALUE"""),1003911.0)</f>
        <v>1003911</v>
      </c>
      <c r="C4384" s="9">
        <f>IFERROR(__xludf.DUMMYFUNCTION("""COMPUTED_VALUE"""),103599.0)</f>
        <v>103599</v>
      </c>
      <c r="D4384" s="9"/>
      <c r="E4384" s="9"/>
      <c r="F4384" s="9">
        <f>IFERROR(__xludf.DUMMYFUNCTION("""COMPUTED_VALUE"""),2.14)</f>
        <v>2.14</v>
      </c>
      <c r="G4384" s="9">
        <f>IFERROR(__xludf.DUMMYFUNCTION("""COMPUTED_VALUE"""),2.14)</f>
        <v>2.14</v>
      </c>
      <c r="H4384" s="9">
        <f>IFERROR(__xludf.DUMMYFUNCTION("""COMPUTED_VALUE"""),1.0)</f>
        <v>1</v>
      </c>
      <c r="I4384" s="9"/>
      <c r="J4384" s="9"/>
      <c r="K4384" s="9"/>
      <c r="L4384" s="9"/>
      <c r="M4384" s="9"/>
      <c r="N4384" s="9"/>
      <c r="O4384" s="9"/>
      <c r="P4384" s="9"/>
      <c r="Q4384" s="9"/>
      <c r="R4384" s="9"/>
      <c r="S4384" s="9"/>
      <c r="T4384" s="9"/>
    </row>
    <row r="4385" ht="15.75" customHeight="1">
      <c r="A4385" s="11">
        <f>IFERROR(__xludf.DUMMYFUNCTION("""COMPUTED_VALUE"""),44471.0)</f>
        <v>44471</v>
      </c>
      <c r="B4385" s="9">
        <f>IFERROR(__xludf.DUMMYFUNCTION("""COMPUTED_VALUE"""),1003911.0)</f>
        <v>1003911</v>
      </c>
      <c r="C4385" s="9">
        <f>IFERROR(__xludf.DUMMYFUNCTION("""COMPUTED_VALUE"""),11001.0)</f>
        <v>11001</v>
      </c>
      <c r="D4385" s="9"/>
      <c r="E4385" s="9"/>
      <c r="F4385" s="9">
        <f>IFERROR(__xludf.DUMMYFUNCTION("""COMPUTED_VALUE"""),4.28)</f>
        <v>4.28</v>
      </c>
      <c r="G4385" s="9">
        <f>IFERROR(__xludf.DUMMYFUNCTION("""COMPUTED_VALUE"""),4.28)</f>
        <v>4.28</v>
      </c>
      <c r="H4385" s="9">
        <f>IFERROR(__xludf.DUMMYFUNCTION("""COMPUTED_VALUE"""),1.0)</f>
        <v>1</v>
      </c>
      <c r="I4385" s="9"/>
      <c r="J4385" s="9"/>
      <c r="K4385" s="9"/>
      <c r="L4385" s="9"/>
      <c r="M4385" s="9"/>
      <c r="N4385" s="9"/>
      <c r="O4385" s="9"/>
      <c r="P4385" s="9"/>
      <c r="Q4385" s="9"/>
      <c r="R4385" s="9"/>
      <c r="S4385" s="9"/>
      <c r="T4385" s="9"/>
    </row>
    <row r="4386" ht="15.75" customHeight="1">
      <c r="A4386" s="11">
        <f>IFERROR(__xludf.DUMMYFUNCTION("""COMPUTED_VALUE"""),44471.0)</f>
        <v>44471</v>
      </c>
      <c r="B4386" s="9">
        <f>IFERROR(__xludf.DUMMYFUNCTION("""COMPUTED_VALUE"""),1003911.0)</f>
        <v>1003911</v>
      </c>
      <c r="C4386" s="9">
        <f>IFERROR(__xludf.DUMMYFUNCTION("""COMPUTED_VALUE"""),122294.0)</f>
        <v>122294</v>
      </c>
      <c r="D4386" s="9"/>
      <c r="E4386" s="9"/>
      <c r="F4386" s="9">
        <f>IFERROR(__xludf.DUMMYFUNCTION("""COMPUTED_VALUE"""),2.02)</f>
        <v>2.02</v>
      </c>
      <c r="G4386" s="9">
        <f>IFERROR(__xludf.DUMMYFUNCTION("""COMPUTED_VALUE"""),2.02)</f>
        <v>2.02</v>
      </c>
      <c r="H4386" s="9">
        <f>IFERROR(__xludf.DUMMYFUNCTION("""COMPUTED_VALUE"""),1.0)</f>
        <v>1</v>
      </c>
      <c r="I4386" s="9"/>
      <c r="J4386" s="9"/>
      <c r="K4386" s="9"/>
      <c r="L4386" s="9"/>
      <c r="M4386" s="9"/>
      <c r="N4386" s="9"/>
      <c r="O4386" s="9"/>
      <c r="P4386" s="9"/>
      <c r="Q4386" s="9"/>
      <c r="R4386" s="9"/>
      <c r="S4386" s="9"/>
      <c r="T4386" s="9"/>
    </row>
    <row r="4387" ht="15.75" customHeight="1">
      <c r="A4387" s="11">
        <f>IFERROR(__xludf.DUMMYFUNCTION("""COMPUTED_VALUE"""),44471.0)</f>
        <v>44471</v>
      </c>
      <c r="B4387" s="9">
        <f>IFERROR(__xludf.DUMMYFUNCTION("""COMPUTED_VALUE"""),1003911.0)</f>
        <v>1003911</v>
      </c>
      <c r="C4387" s="9">
        <f>IFERROR(__xludf.DUMMYFUNCTION("""COMPUTED_VALUE"""),129420.0)</f>
        <v>129420</v>
      </c>
      <c r="D4387" s="10" t="str">
        <f>IFERROR(__xludf.DUMMYFUNCTION("""COMPUTED_VALUE"""),"Vive le bio")</f>
        <v>Vive le bio</v>
      </c>
      <c r="E4387" s="10"/>
      <c r="F4387" s="9">
        <f>IFERROR(__xludf.DUMMYFUNCTION("""COMPUTED_VALUE"""),12.5111111111111)</f>
        <v>12.51111111</v>
      </c>
      <c r="G4387" s="9">
        <f>IFERROR(__xludf.DUMMYFUNCTION("""COMPUTED_VALUE"""),11.26)</f>
        <v>11.26</v>
      </c>
      <c r="H4387" s="9">
        <f>IFERROR(__xludf.DUMMYFUNCTION("""COMPUTED_VALUE"""),1.0)</f>
        <v>1</v>
      </c>
      <c r="I4387" s="9"/>
      <c r="J4387" s="9"/>
      <c r="K4387" s="9"/>
      <c r="L4387" s="9"/>
      <c r="M4387" s="9"/>
      <c r="N4387" s="9"/>
      <c r="O4387" s="9"/>
      <c r="P4387" s="9"/>
      <c r="Q4387" s="9"/>
      <c r="R4387" s="9"/>
      <c r="S4387" s="9"/>
      <c r="T4387" s="9"/>
    </row>
    <row r="4388" ht="15.75" customHeight="1">
      <c r="A4388" s="11">
        <f>IFERROR(__xludf.DUMMYFUNCTION("""COMPUTED_VALUE"""),44471.0)</f>
        <v>44471</v>
      </c>
      <c r="B4388" s="9">
        <f>IFERROR(__xludf.DUMMYFUNCTION("""COMPUTED_VALUE"""),1003911.0)</f>
        <v>1003911</v>
      </c>
      <c r="C4388" s="9">
        <f>IFERROR(__xludf.DUMMYFUNCTION("""COMPUTED_VALUE"""),44749.0)</f>
        <v>44749</v>
      </c>
      <c r="D4388" s="10" t="str">
        <f>IFERROR(__xludf.DUMMYFUNCTION("""COMPUTED_VALUE"""),"Vive le bio")</f>
        <v>Vive le bio</v>
      </c>
      <c r="E4388" s="10"/>
      <c r="F4388" s="9">
        <f>IFERROR(__xludf.DUMMYFUNCTION("""COMPUTED_VALUE"""),6.16666666666666)</f>
        <v>6.166666667</v>
      </c>
      <c r="G4388" s="9">
        <f>IFERROR(__xludf.DUMMYFUNCTION("""COMPUTED_VALUE"""),5.55)</f>
        <v>5.55</v>
      </c>
      <c r="H4388" s="9">
        <f>IFERROR(__xludf.DUMMYFUNCTION("""COMPUTED_VALUE"""),1.0)</f>
        <v>1</v>
      </c>
      <c r="I4388" s="9"/>
      <c r="J4388" s="9"/>
      <c r="K4388" s="9"/>
      <c r="L4388" s="9"/>
      <c r="M4388" s="9"/>
      <c r="N4388" s="9"/>
      <c r="O4388" s="9"/>
      <c r="P4388" s="9"/>
      <c r="Q4388" s="9"/>
      <c r="R4388" s="9"/>
      <c r="S4388" s="9"/>
      <c r="T4388" s="9"/>
    </row>
    <row r="4389" ht="15.75" customHeight="1">
      <c r="A4389" s="11">
        <f>IFERROR(__xludf.DUMMYFUNCTION("""COMPUTED_VALUE"""),44471.0)</f>
        <v>44471</v>
      </c>
      <c r="B4389" s="9">
        <f>IFERROR(__xludf.DUMMYFUNCTION("""COMPUTED_VALUE"""),1003911.0)</f>
        <v>1003911</v>
      </c>
      <c r="C4389" s="9">
        <f>IFERROR(__xludf.DUMMYFUNCTION("""COMPUTED_VALUE"""),118333.0)</f>
        <v>118333</v>
      </c>
      <c r="D4389" s="10" t="str">
        <f>IFERROR(__xludf.DUMMYFUNCTION("""COMPUTED_VALUE"""),"Zero Dechet")</f>
        <v>Zero Dechet</v>
      </c>
      <c r="E4389" s="10"/>
      <c r="F4389" s="9">
        <f>IFERROR(__xludf.DUMMYFUNCTION("""COMPUTED_VALUE"""),2.45882352941176)</f>
        <v>2.458823529</v>
      </c>
      <c r="G4389" s="9">
        <f>IFERROR(__xludf.DUMMYFUNCTION("""COMPUTED_VALUE"""),2.09)</f>
        <v>2.09</v>
      </c>
      <c r="H4389" s="9">
        <f>IFERROR(__xludf.DUMMYFUNCTION("""COMPUTED_VALUE"""),1.0)</f>
        <v>1</v>
      </c>
      <c r="I4389" s="9"/>
      <c r="J4389" s="9"/>
      <c r="K4389" s="9"/>
      <c r="L4389" s="9"/>
      <c r="M4389" s="9"/>
      <c r="N4389" s="9"/>
      <c r="O4389" s="9"/>
      <c r="P4389" s="9"/>
      <c r="Q4389" s="9"/>
      <c r="R4389" s="9"/>
      <c r="S4389" s="9"/>
      <c r="T4389" s="9"/>
    </row>
    <row r="4390" ht="15.75" customHeight="1">
      <c r="A4390" s="11">
        <f>IFERROR(__xludf.DUMMYFUNCTION("""COMPUTED_VALUE"""),44471.0)</f>
        <v>44471</v>
      </c>
      <c r="B4390" s="9">
        <f>IFERROR(__xludf.DUMMYFUNCTION("""COMPUTED_VALUE"""),1003911.0)</f>
        <v>1003911</v>
      </c>
      <c r="C4390" s="9">
        <f>IFERROR(__xludf.DUMMYFUNCTION("""COMPUTED_VALUE"""),82464.0)</f>
        <v>82464</v>
      </c>
      <c r="D4390" s="9"/>
      <c r="E4390" s="9"/>
      <c r="F4390" s="9">
        <f>IFERROR(__xludf.DUMMYFUNCTION("""COMPUTED_VALUE"""),4.44)</f>
        <v>4.44</v>
      </c>
      <c r="G4390" s="9">
        <f>IFERROR(__xludf.DUMMYFUNCTION("""COMPUTED_VALUE"""),4.44)</f>
        <v>4.44</v>
      </c>
      <c r="H4390" s="9">
        <f>IFERROR(__xludf.DUMMYFUNCTION("""COMPUTED_VALUE"""),1.0)</f>
        <v>1</v>
      </c>
      <c r="I4390" s="9"/>
      <c r="J4390" s="9"/>
      <c r="K4390" s="9"/>
      <c r="L4390" s="9"/>
      <c r="M4390" s="9"/>
      <c r="N4390" s="9"/>
      <c r="O4390" s="9"/>
      <c r="P4390" s="9"/>
      <c r="Q4390" s="9"/>
      <c r="R4390" s="9"/>
      <c r="S4390" s="9"/>
      <c r="T4390" s="9"/>
    </row>
    <row r="4391" ht="15.75" customHeight="1">
      <c r="A4391" s="11">
        <f>IFERROR(__xludf.DUMMYFUNCTION("""COMPUTED_VALUE"""),44471.0)</f>
        <v>44471</v>
      </c>
      <c r="B4391" s="9">
        <f>IFERROR(__xludf.DUMMYFUNCTION("""COMPUTED_VALUE"""),1003911.0)</f>
        <v>1003911</v>
      </c>
      <c r="C4391" s="9">
        <f>IFERROR(__xludf.DUMMYFUNCTION("""COMPUTED_VALUE"""),118151.0)</f>
        <v>118151</v>
      </c>
      <c r="D4391" s="9"/>
      <c r="E4391" s="9"/>
      <c r="F4391" s="9">
        <f>IFERROR(__xludf.DUMMYFUNCTION("""COMPUTED_VALUE"""),2.1)</f>
        <v>2.1</v>
      </c>
      <c r="G4391" s="9">
        <f>IFERROR(__xludf.DUMMYFUNCTION("""COMPUTED_VALUE"""),2.1)</f>
        <v>2.1</v>
      </c>
      <c r="H4391" s="9">
        <f>IFERROR(__xludf.DUMMYFUNCTION("""COMPUTED_VALUE"""),1.0)</f>
        <v>1</v>
      </c>
      <c r="I4391" s="9"/>
      <c r="J4391" s="9"/>
      <c r="K4391" s="9"/>
      <c r="L4391" s="9"/>
      <c r="M4391" s="9"/>
      <c r="N4391" s="9"/>
      <c r="O4391" s="9"/>
      <c r="P4391" s="9"/>
      <c r="Q4391" s="9"/>
      <c r="R4391" s="9"/>
      <c r="S4391" s="9"/>
      <c r="T4391" s="9"/>
    </row>
    <row r="4392" ht="15.75" customHeight="1">
      <c r="A4392" s="11">
        <f>IFERROR(__xludf.DUMMYFUNCTION("""COMPUTED_VALUE"""),44471.0)</f>
        <v>44471</v>
      </c>
      <c r="B4392" s="9">
        <f>IFERROR(__xludf.DUMMYFUNCTION("""COMPUTED_VALUE"""),1003911.0)</f>
        <v>1003911</v>
      </c>
      <c r="C4392" s="9">
        <f>IFERROR(__xludf.DUMMYFUNCTION("""COMPUTED_VALUE"""),82452.0)</f>
        <v>82452</v>
      </c>
      <c r="D4392" s="10" t="str">
        <f>IFERROR(__xludf.DUMMYFUNCTION("""COMPUTED_VALUE"""),"Vive le bio")</f>
        <v>Vive le bio</v>
      </c>
      <c r="E4392" s="10"/>
      <c r="F4392" s="9">
        <f>IFERROR(__xludf.DUMMYFUNCTION("""COMPUTED_VALUE"""),3.15555555555555)</f>
        <v>3.155555556</v>
      </c>
      <c r="G4392" s="9">
        <f>IFERROR(__xludf.DUMMYFUNCTION("""COMPUTED_VALUE"""),2.84)</f>
        <v>2.84</v>
      </c>
      <c r="H4392" s="9">
        <f>IFERROR(__xludf.DUMMYFUNCTION("""COMPUTED_VALUE"""),1.0)</f>
        <v>1</v>
      </c>
      <c r="I4392" s="9"/>
      <c r="J4392" s="9"/>
      <c r="K4392" s="9"/>
      <c r="L4392" s="9"/>
      <c r="M4392" s="9"/>
      <c r="N4392" s="9"/>
      <c r="O4392" s="9"/>
      <c r="P4392" s="9"/>
      <c r="Q4392" s="9"/>
      <c r="R4392" s="9"/>
      <c r="S4392" s="9"/>
      <c r="T4392" s="9"/>
    </row>
    <row r="4393" ht="15.75" customHeight="1">
      <c r="A4393" s="11">
        <f>IFERROR(__xludf.DUMMYFUNCTION("""COMPUTED_VALUE"""),44471.0)</f>
        <v>44471</v>
      </c>
      <c r="B4393" s="9">
        <f>IFERROR(__xludf.DUMMYFUNCTION("""COMPUTED_VALUE"""),1003912.0)</f>
        <v>1003912</v>
      </c>
      <c r="C4393" s="9">
        <f>IFERROR(__xludf.DUMMYFUNCTION("""COMPUTED_VALUE"""),81172.0)</f>
        <v>81172</v>
      </c>
      <c r="D4393" s="9"/>
      <c r="E4393" s="9"/>
      <c r="F4393" s="9">
        <f>IFERROR(__xludf.DUMMYFUNCTION("""COMPUTED_VALUE"""),14.13)</f>
        <v>14.13</v>
      </c>
      <c r="G4393" s="9">
        <f>IFERROR(__xludf.DUMMYFUNCTION("""COMPUTED_VALUE"""),14.13)</f>
        <v>14.13</v>
      </c>
      <c r="H4393" s="9">
        <f>IFERROR(__xludf.DUMMYFUNCTION("""COMPUTED_VALUE"""),7.0)</f>
        <v>7</v>
      </c>
      <c r="I4393" s="9"/>
      <c r="J4393" s="9"/>
      <c r="K4393" s="9"/>
      <c r="L4393" s="9"/>
      <c r="M4393" s="9"/>
      <c r="N4393" s="9"/>
      <c r="O4393" s="9"/>
      <c r="P4393" s="9"/>
      <c r="Q4393" s="9"/>
      <c r="R4393" s="9"/>
      <c r="S4393" s="9"/>
      <c r="T4393" s="9"/>
    </row>
    <row r="4394" ht="15.75" customHeight="1">
      <c r="A4394" s="11">
        <f>IFERROR(__xludf.DUMMYFUNCTION("""COMPUTED_VALUE"""),44471.0)</f>
        <v>44471</v>
      </c>
      <c r="B4394" s="9">
        <f>IFERROR(__xludf.DUMMYFUNCTION("""COMPUTED_VALUE"""),1003913.0)</f>
        <v>1003913</v>
      </c>
      <c r="C4394" s="9">
        <f>IFERROR(__xludf.DUMMYFUNCTION("""COMPUTED_VALUE"""),110415.0)</f>
        <v>110415</v>
      </c>
      <c r="D4394" s="9"/>
      <c r="E4394" s="9"/>
      <c r="F4394" s="9">
        <f>IFERROR(__xludf.DUMMYFUNCTION("""COMPUTED_VALUE"""),6.96)</f>
        <v>6.96</v>
      </c>
      <c r="G4394" s="9">
        <f>IFERROR(__xludf.DUMMYFUNCTION("""COMPUTED_VALUE"""),6.96)</f>
        <v>6.96</v>
      </c>
      <c r="H4394" s="9">
        <f>IFERROR(__xludf.DUMMYFUNCTION("""COMPUTED_VALUE"""),1.0)</f>
        <v>1</v>
      </c>
      <c r="I4394" s="9"/>
      <c r="J4394" s="9"/>
      <c r="K4394" s="9"/>
      <c r="L4394" s="9"/>
      <c r="M4394" s="9"/>
      <c r="N4394" s="9"/>
      <c r="O4394" s="9"/>
      <c r="P4394" s="9"/>
      <c r="Q4394" s="9"/>
      <c r="R4394" s="9"/>
      <c r="S4394" s="9"/>
      <c r="T4394" s="9"/>
    </row>
    <row r="4395" ht="15.75" customHeight="1">
      <c r="A4395" s="11">
        <f>IFERROR(__xludf.DUMMYFUNCTION("""COMPUTED_VALUE"""),44471.0)</f>
        <v>44471</v>
      </c>
      <c r="B4395" s="9">
        <f>IFERROR(__xludf.DUMMYFUNCTION("""COMPUTED_VALUE"""),1003913.0)</f>
        <v>1003913</v>
      </c>
      <c r="C4395" s="9">
        <f>IFERROR(__xludf.DUMMYFUNCTION("""COMPUTED_VALUE"""),103604.0)</f>
        <v>103604</v>
      </c>
      <c r="D4395" s="9"/>
      <c r="E4395" s="9"/>
      <c r="F4395" s="9">
        <f>IFERROR(__xludf.DUMMYFUNCTION("""COMPUTED_VALUE"""),7.25)</f>
        <v>7.25</v>
      </c>
      <c r="G4395" s="9">
        <f>IFERROR(__xludf.DUMMYFUNCTION("""COMPUTED_VALUE"""),7.25)</f>
        <v>7.25</v>
      </c>
      <c r="H4395" s="9">
        <f>IFERROR(__xludf.DUMMYFUNCTION("""COMPUTED_VALUE"""),3.0)</f>
        <v>3</v>
      </c>
      <c r="I4395" s="9"/>
      <c r="J4395" s="9"/>
      <c r="K4395" s="9"/>
      <c r="L4395" s="9"/>
      <c r="M4395" s="9"/>
      <c r="N4395" s="9"/>
      <c r="O4395" s="9"/>
      <c r="P4395" s="9"/>
      <c r="Q4395" s="9"/>
      <c r="R4395" s="9"/>
      <c r="S4395" s="9"/>
      <c r="T4395" s="9"/>
    </row>
    <row r="4396" ht="15.75" customHeight="1">
      <c r="A4396" s="11">
        <f>IFERROR(__xludf.DUMMYFUNCTION("""COMPUTED_VALUE"""),44471.0)</f>
        <v>44471</v>
      </c>
      <c r="B4396" s="9">
        <f>IFERROR(__xludf.DUMMYFUNCTION("""COMPUTED_VALUE"""),1003913.0)</f>
        <v>1003913</v>
      </c>
      <c r="C4396" s="9">
        <f>IFERROR(__xludf.DUMMYFUNCTION("""COMPUTED_VALUE"""),103589.0)</f>
        <v>103589</v>
      </c>
      <c r="D4396" s="10" t="str">
        <f>IFERROR(__xludf.DUMMYFUNCTION("""COMPUTED_VALUE"""),"Love &amp; Green Couches et Culottes sept 2021")</f>
        <v>Love &amp; Green Couches et Culottes sept 2021</v>
      </c>
      <c r="E4396" s="10"/>
      <c r="F4396" s="9">
        <f>IFERROR(__xludf.DUMMYFUNCTION("""COMPUTED_VALUE"""),124.042857142857)</f>
        <v>124.0428571</v>
      </c>
      <c r="G4396" s="9">
        <f>IFERROR(__xludf.DUMMYFUNCTION("""COMPUTED_VALUE"""),86.83)</f>
        <v>86.83</v>
      </c>
      <c r="H4396" s="9">
        <f>IFERROR(__xludf.DUMMYFUNCTION("""COMPUTED_VALUE"""),8.0)</f>
        <v>8</v>
      </c>
      <c r="I4396" s="9"/>
      <c r="J4396" s="9"/>
      <c r="K4396" s="9"/>
      <c r="L4396" s="9"/>
      <c r="M4396" s="9"/>
      <c r="N4396" s="9"/>
      <c r="O4396" s="9"/>
      <c r="P4396" s="9"/>
      <c r="Q4396" s="9"/>
      <c r="R4396" s="9"/>
      <c r="S4396" s="9"/>
      <c r="T4396" s="9"/>
    </row>
    <row r="4397" ht="15.75" customHeight="1">
      <c r="A4397" s="11">
        <f>IFERROR(__xludf.DUMMYFUNCTION("""COMPUTED_VALUE"""),44471.0)</f>
        <v>44471</v>
      </c>
      <c r="B4397" s="9">
        <f>IFERROR(__xludf.DUMMYFUNCTION("""COMPUTED_VALUE"""),1003914.0)</f>
        <v>1003914</v>
      </c>
      <c r="C4397" s="9">
        <f>IFERROR(__xludf.DUMMYFUNCTION("""COMPUTED_VALUE"""),119447.0)</f>
        <v>119447</v>
      </c>
      <c r="D4397" s="9"/>
      <c r="E4397" s="10" t="str">
        <f>IFERROR(__xludf.DUMMYFUNCTION("""COMPUTED_VALUE"""),"GREENRELAIS")</f>
        <v>GREENRELAIS</v>
      </c>
      <c r="F4397" s="10">
        <f>IFERROR(__xludf.DUMMYFUNCTION("""COMPUTED_VALUE"""),8.0)</f>
        <v>8</v>
      </c>
      <c r="G4397" s="9">
        <f>IFERROR(__xludf.DUMMYFUNCTION("""COMPUTED_VALUE"""),8.0)</f>
        <v>8</v>
      </c>
      <c r="H4397" s="9">
        <f>IFERROR(__xludf.DUMMYFUNCTION("""COMPUTED_VALUE"""),1.0)</f>
        <v>1</v>
      </c>
      <c r="I4397" s="9"/>
      <c r="J4397" s="9"/>
      <c r="K4397" s="9"/>
      <c r="L4397" s="9"/>
      <c r="M4397" s="9"/>
      <c r="N4397" s="9"/>
      <c r="O4397" s="9"/>
      <c r="P4397" s="9"/>
      <c r="Q4397" s="9"/>
      <c r="R4397" s="9"/>
      <c r="S4397" s="9"/>
      <c r="T4397" s="9"/>
    </row>
    <row r="4398" ht="15.75" customHeight="1">
      <c r="A4398" s="11">
        <f>IFERROR(__xludf.DUMMYFUNCTION("""COMPUTED_VALUE"""),44471.0)</f>
        <v>44471</v>
      </c>
      <c r="B4398" s="9">
        <f>IFERROR(__xludf.DUMMYFUNCTION("""COMPUTED_VALUE"""),1003914.0)</f>
        <v>1003914</v>
      </c>
      <c r="C4398" s="9">
        <f>IFERROR(__xludf.DUMMYFUNCTION("""COMPUTED_VALUE"""),76665.0)</f>
        <v>76665</v>
      </c>
      <c r="D4398" s="9"/>
      <c r="E4398" s="10" t="str">
        <f>IFERROR(__xludf.DUMMYFUNCTION("""COMPUTED_VALUE"""),"GREENRELAIS")</f>
        <v>GREENRELAIS</v>
      </c>
      <c r="F4398" s="10">
        <f>IFERROR(__xludf.DUMMYFUNCTION("""COMPUTED_VALUE"""),4.53)</f>
        <v>4.53</v>
      </c>
      <c r="G4398" s="9">
        <f>IFERROR(__xludf.DUMMYFUNCTION("""COMPUTED_VALUE"""),4.53)</f>
        <v>4.53</v>
      </c>
      <c r="H4398" s="9">
        <f>IFERROR(__xludf.DUMMYFUNCTION("""COMPUTED_VALUE"""),1.0)</f>
        <v>1</v>
      </c>
      <c r="I4398" s="9"/>
      <c r="J4398" s="9"/>
      <c r="K4398" s="9"/>
      <c r="L4398" s="9"/>
      <c r="M4398" s="9"/>
      <c r="N4398" s="9"/>
      <c r="O4398" s="9"/>
      <c r="P4398" s="9"/>
      <c r="Q4398" s="9"/>
      <c r="R4398" s="9"/>
      <c r="S4398" s="9"/>
      <c r="T4398" s="9"/>
    </row>
    <row r="4399" ht="15.75" customHeight="1">
      <c r="A4399" s="11">
        <f>IFERROR(__xludf.DUMMYFUNCTION("""COMPUTED_VALUE"""),44471.0)</f>
        <v>44471</v>
      </c>
      <c r="B4399" s="9">
        <f>IFERROR(__xludf.DUMMYFUNCTION("""COMPUTED_VALUE"""),1003914.0)</f>
        <v>1003914</v>
      </c>
      <c r="C4399" s="9">
        <f>IFERROR(__xludf.DUMMYFUNCTION("""COMPUTED_VALUE"""),81211.0)</f>
        <v>81211</v>
      </c>
      <c r="D4399" s="9"/>
      <c r="E4399" s="10" t="str">
        <f>IFERROR(__xludf.DUMMYFUNCTION("""COMPUTED_VALUE"""),"GREENRELAIS")</f>
        <v>GREENRELAIS</v>
      </c>
      <c r="F4399" s="10">
        <f>IFERROR(__xludf.DUMMYFUNCTION("""COMPUTED_VALUE"""),4.8)</f>
        <v>4.8</v>
      </c>
      <c r="G4399" s="9">
        <f>IFERROR(__xludf.DUMMYFUNCTION("""COMPUTED_VALUE"""),4.8)</f>
        <v>4.8</v>
      </c>
      <c r="H4399" s="9">
        <f>IFERROR(__xludf.DUMMYFUNCTION("""COMPUTED_VALUE"""),1.0)</f>
        <v>1</v>
      </c>
      <c r="I4399" s="9"/>
      <c r="J4399" s="9"/>
      <c r="K4399" s="9"/>
      <c r="L4399" s="9"/>
      <c r="M4399" s="9"/>
      <c r="N4399" s="9"/>
      <c r="O4399" s="9"/>
      <c r="P4399" s="9"/>
      <c r="Q4399" s="9"/>
      <c r="R4399" s="9"/>
      <c r="S4399" s="9"/>
      <c r="T4399" s="9"/>
    </row>
    <row r="4400" ht="15.75" customHeight="1">
      <c r="A4400" s="11">
        <f>IFERROR(__xludf.DUMMYFUNCTION("""COMPUTED_VALUE"""),44471.0)</f>
        <v>44471</v>
      </c>
      <c r="B4400" s="9">
        <f>IFERROR(__xludf.DUMMYFUNCTION("""COMPUTED_VALUE"""),1003914.0)</f>
        <v>1003914</v>
      </c>
      <c r="C4400" s="9">
        <f>IFERROR(__xludf.DUMMYFUNCTION("""COMPUTED_VALUE"""),110579.0)</f>
        <v>110579</v>
      </c>
      <c r="D4400" s="10" t="str">
        <f>IFERROR(__xludf.DUMMYFUNCTION("""COMPUTED_VALUE"""),"Vive le bio")</f>
        <v>Vive le bio</v>
      </c>
      <c r="E4400" s="10" t="str">
        <f>IFERROR(__xludf.DUMMYFUNCTION("""COMPUTED_VALUE"""),"GREENRELAIS")</f>
        <v>GREENRELAIS</v>
      </c>
      <c r="F4400" s="10">
        <f>IFERROR(__xludf.DUMMYFUNCTION("""COMPUTED_VALUE"""),14.6333333333333)</f>
        <v>14.63333333</v>
      </c>
      <c r="G4400" s="9">
        <f>IFERROR(__xludf.DUMMYFUNCTION("""COMPUTED_VALUE"""),13.17)</f>
        <v>13.17</v>
      </c>
      <c r="H4400" s="9">
        <f>IFERROR(__xludf.DUMMYFUNCTION("""COMPUTED_VALUE"""),1.0)</f>
        <v>1</v>
      </c>
      <c r="I4400" s="9"/>
      <c r="J4400" s="9"/>
      <c r="K4400" s="9"/>
      <c r="L4400" s="9"/>
      <c r="M4400" s="9"/>
      <c r="N4400" s="9"/>
      <c r="O4400" s="9"/>
      <c r="P4400" s="9"/>
      <c r="Q4400" s="9"/>
      <c r="R4400" s="9"/>
      <c r="S4400" s="9"/>
      <c r="T4400" s="9"/>
    </row>
    <row r="4401" ht="15.75" customHeight="1">
      <c r="A4401" s="11">
        <f>IFERROR(__xludf.DUMMYFUNCTION("""COMPUTED_VALUE"""),44471.0)</f>
        <v>44471</v>
      </c>
      <c r="B4401" s="9">
        <f>IFERROR(__xludf.DUMMYFUNCTION("""COMPUTED_VALUE"""),1003914.0)</f>
        <v>1003914</v>
      </c>
      <c r="C4401" s="9">
        <f>IFERROR(__xludf.DUMMYFUNCTION("""COMPUTED_VALUE"""),117907.0)</f>
        <v>117907</v>
      </c>
      <c r="D4401" s="9"/>
      <c r="E4401" s="10" t="str">
        <f>IFERROR(__xludf.DUMMYFUNCTION("""COMPUTED_VALUE"""),"GREENRELAIS")</f>
        <v>GREENRELAIS</v>
      </c>
      <c r="F4401" s="10">
        <f>IFERROR(__xludf.DUMMYFUNCTION("""COMPUTED_VALUE"""),5.11)</f>
        <v>5.11</v>
      </c>
      <c r="G4401" s="9">
        <f>IFERROR(__xludf.DUMMYFUNCTION("""COMPUTED_VALUE"""),5.11)</f>
        <v>5.11</v>
      </c>
      <c r="H4401" s="9">
        <f>IFERROR(__xludf.DUMMYFUNCTION("""COMPUTED_VALUE"""),1.0)</f>
        <v>1</v>
      </c>
      <c r="I4401" s="9"/>
      <c r="J4401" s="9"/>
      <c r="K4401" s="9"/>
      <c r="L4401" s="9"/>
      <c r="M4401" s="9"/>
      <c r="N4401" s="9"/>
      <c r="O4401" s="9"/>
      <c r="P4401" s="9"/>
      <c r="Q4401" s="9"/>
      <c r="R4401" s="9"/>
      <c r="S4401" s="9"/>
      <c r="T4401" s="9"/>
    </row>
    <row r="4402" ht="15.75" customHeight="1">
      <c r="A4402" s="11">
        <f>IFERROR(__xludf.DUMMYFUNCTION("""COMPUTED_VALUE"""),44471.0)</f>
        <v>44471</v>
      </c>
      <c r="B4402" s="9">
        <f>IFERROR(__xludf.DUMMYFUNCTION("""COMPUTED_VALUE"""),1003914.0)</f>
        <v>1003914</v>
      </c>
      <c r="C4402" s="9">
        <f>IFERROR(__xludf.DUMMYFUNCTION("""COMPUTED_VALUE"""),111656.0)</f>
        <v>111656</v>
      </c>
      <c r="D4402" s="9"/>
      <c r="E4402" s="10" t="str">
        <f>IFERROR(__xludf.DUMMYFUNCTION("""COMPUTED_VALUE"""),"GREENRELAIS")</f>
        <v>GREENRELAIS</v>
      </c>
      <c r="F4402" s="10">
        <f>IFERROR(__xludf.DUMMYFUNCTION("""COMPUTED_VALUE"""),16.11)</f>
        <v>16.11</v>
      </c>
      <c r="G4402" s="9">
        <f>IFERROR(__xludf.DUMMYFUNCTION("""COMPUTED_VALUE"""),16.11)</f>
        <v>16.11</v>
      </c>
      <c r="H4402" s="9">
        <f>IFERROR(__xludf.DUMMYFUNCTION("""COMPUTED_VALUE"""),2.0)</f>
        <v>2</v>
      </c>
      <c r="I4402" s="9"/>
      <c r="J4402" s="9"/>
      <c r="K4402" s="9"/>
      <c r="L4402" s="9"/>
      <c r="M4402" s="9"/>
      <c r="N4402" s="9"/>
      <c r="O4402" s="9"/>
      <c r="P4402" s="9"/>
      <c r="Q4402" s="9"/>
      <c r="R4402" s="9"/>
      <c r="S4402" s="9"/>
      <c r="T4402" s="9"/>
    </row>
    <row r="4403" ht="15.75" customHeight="1">
      <c r="A4403" s="11">
        <f>IFERROR(__xludf.DUMMYFUNCTION("""COMPUTED_VALUE"""),44471.0)</f>
        <v>44471</v>
      </c>
      <c r="B4403" s="9">
        <f>IFERROR(__xludf.DUMMYFUNCTION("""COMPUTED_VALUE"""),1003915.0)</f>
        <v>1003915</v>
      </c>
      <c r="C4403" s="9">
        <f>IFERROR(__xludf.DUMMYFUNCTION("""COMPUTED_VALUE"""),112731.0)</f>
        <v>112731</v>
      </c>
      <c r="D4403" s="10" t="str">
        <f>IFERROR(__xludf.DUMMYFUNCTION("""COMPUTED_VALUE"""),"Vive le bio")</f>
        <v>Vive le bio</v>
      </c>
      <c r="E4403" s="10" t="str">
        <f>IFERROR(__xludf.DUMMYFUNCTION("""COMPUTED_VALUE"""),"GREENRELAIS")</f>
        <v>GREENRELAIS</v>
      </c>
      <c r="F4403" s="10">
        <f>IFERROR(__xludf.DUMMYFUNCTION("""COMPUTED_VALUE"""),6.76666666666666)</f>
        <v>6.766666667</v>
      </c>
      <c r="G4403" s="9">
        <f>IFERROR(__xludf.DUMMYFUNCTION("""COMPUTED_VALUE"""),6.09)</f>
        <v>6.09</v>
      </c>
      <c r="H4403" s="9">
        <f>IFERROR(__xludf.DUMMYFUNCTION("""COMPUTED_VALUE"""),1.0)</f>
        <v>1</v>
      </c>
      <c r="I4403" s="9"/>
      <c r="J4403" s="9"/>
      <c r="K4403" s="9"/>
      <c r="L4403" s="9"/>
      <c r="M4403" s="9"/>
      <c r="N4403" s="9"/>
      <c r="O4403" s="9"/>
      <c r="P4403" s="9"/>
      <c r="Q4403" s="9"/>
      <c r="R4403" s="9"/>
      <c r="S4403" s="9"/>
      <c r="T4403" s="9"/>
    </row>
    <row r="4404" ht="15.75" customHeight="1">
      <c r="A4404" s="11">
        <f>IFERROR(__xludf.DUMMYFUNCTION("""COMPUTED_VALUE"""),44471.0)</f>
        <v>44471</v>
      </c>
      <c r="B4404" s="9">
        <f>IFERROR(__xludf.DUMMYFUNCTION("""COMPUTED_VALUE"""),1003915.0)</f>
        <v>1003915</v>
      </c>
      <c r="C4404" s="9">
        <f>IFERROR(__xludf.DUMMYFUNCTION("""COMPUTED_VALUE"""),11459.0)</f>
        <v>11459</v>
      </c>
      <c r="D4404" s="9"/>
      <c r="E4404" s="10" t="str">
        <f>IFERROR(__xludf.DUMMYFUNCTION("""COMPUTED_VALUE"""),"GREENRELAIS")</f>
        <v>GREENRELAIS</v>
      </c>
      <c r="F4404" s="10">
        <f>IFERROR(__xludf.DUMMYFUNCTION("""COMPUTED_VALUE"""),9.58)</f>
        <v>9.58</v>
      </c>
      <c r="G4404" s="9">
        <f>IFERROR(__xludf.DUMMYFUNCTION("""COMPUTED_VALUE"""),9.58)</f>
        <v>9.58</v>
      </c>
      <c r="H4404" s="9">
        <f>IFERROR(__xludf.DUMMYFUNCTION("""COMPUTED_VALUE"""),1.0)</f>
        <v>1</v>
      </c>
      <c r="I4404" s="9"/>
      <c r="J4404" s="9"/>
      <c r="K4404" s="9"/>
      <c r="L4404" s="9"/>
      <c r="M4404" s="9"/>
      <c r="N4404" s="9"/>
      <c r="O4404" s="9"/>
      <c r="P4404" s="9"/>
      <c r="Q4404" s="9"/>
      <c r="R4404" s="9"/>
      <c r="S4404" s="9"/>
      <c r="T4404" s="9"/>
    </row>
    <row r="4405" ht="15.75" customHeight="1">
      <c r="A4405" s="11">
        <f>IFERROR(__xludf.DUMMYFUNCTION("""COMPUTED_VALUE"""),44471.0)</f>
        <v>44471</v>
      </c>
      <c r="B4405" s="9">
        <f>IFERROR(__xludf.DUMMYFUNCTION("""COMPUTED_VALUE"""),1003915.0)</f>
        <v>1003915</v>
      </c>
      <c r="C4405" s="9">
        <f>IFERROR(__xludf.DUMMYFUNCTION("""COMPUTED_VALUE"""),82296.0)</f>
        <v>82296</v>
      </c>
      <c r="D4405" s="10" t="str">
        <f>IFERROR(__xludf.DUMMYFUNCTION("""COMPUTED_VALUE"""),"Offre Speciale")</f>
        <v>Offre Speciale</v>
      </c>
      <c r="E4405" s="10" t="str">
        <f>IFERROR(__xludf.DUMMYFUNCTION("""COMPUTED_VALUE"""),"GREENRELAIS")</f>
        <v>GREENRELAIS</v>
      </c>
      <c r="F4405" s="10">
        <f>IFERROR(__xludf.DUMMYFUNCTION("""COMPUTED_VALUE"""),32.2533333333333)</f>
        <v>32.25333333</v>
      </c>
      <c r="G4405" s="9">
        <f>IFERROR(__xludf.DUMMYFUNCTION("""COMPUTED_VALUE"""),24.19)</f>
        <v>24.19</v>
      </c>
      <c r="H4405" s="9">
        <f>IFERROR(__xludf.DUMMYFUNCTION("""COMPUTED_VALUE"""),1.0)</f>
        <v>1</v>
      </c>
      <c r="I4405" s="9"/>
      <c r="J4405" s="9"/>
      <c r="K4405" s="9"/>
      <c r="L4405" s="9"/>
      <c r="M4405" s="9"/>
      <c r="N4405" s="9"/>
      <c r="O4405" s="9"/>
      <c r="P4405" s="9"/>
      <c r="Q4405" s="9"/>
      <c r="R4405" s="9"/>
      <c r="S4405" s="9"/>
      <c r="T4405" s="9"/>
    </row>
    <row r="4406" ht="15.75" customHeight="1">
      <c r="A4406" s="11">
        <f>IFERROR(__xludf.DUMMYFUNCTION("""COMPUTED_VALUE"""),44471.0)</f>
        <v>44471</v>
      </c>
      <c r="B4406" s="9">
        <f>IFERROR(__xludf.DUMMYFUNCTION("""COMPUTED_VALUE"""),1003915.0)</f>
        <v>1003915</v>
      </c>
      <c r="C4406" s="9">
        <f>IFERROR(__xludf.DUMMYFUNCTION("""COMPUTED_VALUE"""),118280.0)</f>
        <v>118280</v>
      </c>
      <c r="D4406" s="9"/>
      <c r="E4406" s="10" t="str">
        <f>IFERROR(__xludf.DUMMYFUNCTION("""COMPUTED_VALUE"""),"GREENRELAIS")</f>
        <v>GREENRELAIS</v>
      </c>
      <c r="F4406" s="10">
        <f>IFERROR(__xludf.DUMMYFUNCTION("""COMPUTED_VALUE"""),2.09)</f>
        <v>2.09</v>
      </c>
      <c r="G4406" s="9">
        <f>IFERROR(__xludf.DUMMYFUNCTION("""COMPUTED_VALUE"""),2.09)</f>
        <v>2.09</v>
      </c>
      <c r="H4406" s="9">
        <f>IFERROR(__xludf.DUMMYFUNCTION("""COMPUTED_VALUE"""),1.0)</f>
        <v>1</v>
      </c>
      <c r="I4406" s="9"/>
      <c r="J4406" s="9"/>
      <c r="K4406" s="9"/>
      <c r="L4406" s="9"/>
      <c r="M4406" s="9"/>
      <c r="N4406" s="9"/>
      <c r="O4406" s="9"/>
      <c r="P4406" s="9"/>
      <c r="Q4406" s="9"/>
      <c r="R4406" s="9"/>
      <c r="S4406" s="9"/>
      <c r="T4406" s="9"/>
    </row>
    <row r="4407" ht="15.75" customHeight="1">
      <c r="A4407" s="11">
        <f>IFERROR(__xludf.DUMMYFUNCTION("""COMPUTED_VALUE"""),44471.0)</f>
        <v>44471</v>
      </c>
      <c r="B4407" s="9">
        <f>IFERROR(__xludf.DUMMYFUNCTION("""COMPUTED_VALUE"""),1003915.0)</f>
        <v>1003915</v>
      </c>
      <c r="C4407" s="9">
        <f>IFERROR(__xludf.DUMMYFUNCTION("""COMPUTED_VALUE"""),11444.0)</f>
        <v>11444</v>
      </c>
      <c r="D4407" s="9"/>
      <c r="E4407" s="10" t="str">
        <f>IFERROR(__xludf.DUMMYFUNCTION("""COMPUTED_VALUE"""),"GREENRELAIS")</f>
        <v>GREENRELAIS</v>
      </c>
      <c r="F4407" s="10">
        <f>IFERROR(__xludf.DUMMYFUNCTION("""COMPUTED_VALUE"""),9.15)</f>
        <v>9.15</v>
      </c>
      <c r="G4407" s="9">
        <f>IFERROR(__xludf.DUMMYFUNCTION("""COMPUTED_VALUE"""),9.15)</f>
        <v>9.15</v>
      </c>
      <c r="H4407" s="9">
        <f>IFERROR(__xludf.DUMMYFUNCTION("""COMPUTED_VALUE"""),1.0)</f>
        <v>1</v>
      </c>
      <c r="I4407" s="9"/>
      <c r="J4407" s="9"/>
      <c r="K4407" s="9"/>
      <c r="L4407" s="9"/>
      <c r="M4407" s="9"/>
      <c r="N4407" s="9"/>
      <c r="O4407" s="9"/>
      <c r="P4407" s="9"/>
      <c r="Q4407" s="9"/>
      <c r="R4407" s="9"/>
      <c r="S4407" s="9"/>
      <c r="T4407" s="9"/>
    </row>
    <row r="4408" ht="15.75" customHeight="1">
      <c r="A4408" s="11">
        <f>IFERROR(__xludf.DUMMYFUNCTION("""COMPUTED_VALUE"""),44471.0)</f>
        <v>44471</v>
      </c>
      <c r="B4408" s="9">
        <f>IFERROR(__xludf.DUMMYFUNCTION("""COMPUTED_VALUE"""),1003915.0)</f>
        <v>1003915</v>
      </c>
      <c r="C4408" s="9">
        <f>IFERROR(__xludf.DUMMYFUNCTION("""COMPUTED_VALUE"""),116214.0)</f>
        <v>116214</v>
      </c>
      <c r="D4408" s="9"/>
      <c r="E4408" s="10" t="str">
        <f>IFERROR(__xludf.DUMMYFUNCTION("""COMPUTED_VALUE"""),"GREENRELAIS")</f>
        <v>GREENRELAIS</v>
      </c>
      <c r="F4408" s="10">
        <f>IFERROR(__xludf.DUMMYFUNCTION("""COMPUTED_VALUE"""),16.09)</f>
        <v>16.09</v>
      </c>
      <c r="G4408" s="9">
        <f>IFERROR(__xludf.DUMMYFUNCTION("""COMPUTED_VALUE"""),16.09)</f>
        <v>16.09</v>
      </c>
      <c r="H4408" s="9">
        <f>IFERROR(__xludf.DUMMYFUNCTION("""COMPUTED_VALUE"""),1.0)</f>
        <v>1</v>
      </c>
      <c r="I4408" s="9"/>
      <c r="J4408" s="9"/>
      <c r="K4408" s="9"/>
      <c r="L4408" s="9"/>
      <c r="M4408" s="9"/>
      <c r="N4408" s="9"/>
      <c r="O4408" s="9"/>
      <c r="P4408" s="9"/>
      <c r="Q4408" s="9"/>
      <c r="R4408" s="9"/>
      <c r="S4408" s="9"/>
      <c r="T4408" s="9"/>
    </row>
    <row r="4409" ht="15.75" customHeight="1">
      <c r="A4409" s="11">
        <f>IFERROR(__xludf.DUMMYFUNCTION("""COMPUTED_VALUE"""),44471.0)</f>
        <v>44471</v>
      </c>
      <c r="B4409" s="9">
        <f>IFERROR(__xludf.DUMMYFUNCTION("""COMPUTED_VALUE"""),1003917.0)</f>
        <v>1003917</v>
      </c>
      <c r="C4409" s="9">
        <f>IFERROR(__xludf.DUMMYFUNCTION("""COMPUTED_VALUE"""),79424.0)</f>
        <v>79424</v>
      </c>
      <c r="D4409" s="9"/>
      <c r="E4409" s="9"/>
      <c r="F4409" s="9">
        <f>IFERROR(__xludf.DUMMYFUNCTION("""COMPUTED_VALUE"""),2.89)</f>
        <v>2.89</v>
      </c>
      <c r="G4409" s="9">
        <f>IFERROR(__xludf.DUMMYFUNCTION("""COMPUTED_VALUE"""),2.89)</f>
        <v>2.89</v>
      </c>
      <c r="H4409" s="9">
        <f>IFERROR(__xludf.DUMMYFUNCTION("""COMPUTED_VALUE"""),1.0)</f>
        <v>1</v>
      </c>
      <c r="I4409" s="9"/>
      <c r="J4409" s="9"/>
      <c r="K4409" s="9"/>
      <c r="L4409" s="9"/>
      <c r="M4409" s="9"/>
      <c r="N4409" s="9"/>
      <c r="O4409" s="9"/>
      <c r="P4409" s="9"/>
      <c r="Q4409" s="9"/>
      <c r="R4409" s="9"/>
      <c r="S4409" s="9"/>
      <c r="T4409" s="9"/>
    </row>
    <row r="4410" ht="15.75" customHeight="1">
      <c r="A4410" s="11">
        <f>IFERROR(__xludf.DUMMYFUNCTION("""COMPUTED_VALUE"""),44471.0)</f>
        <v>44471</v>
      </c>
      <c r="B4410" s="9">
        <f>IFERROR(__xludf.DUMMYFUNCTION("""COMPUTED_VALUE"""),1003917.0)</f>
        <v>1003917</v>
      </c>
      <c r="C4410" s="9">
        <f>IFERROR(__xludf.DUMMYFUNCTION("""COMPUTED_VALUE"""),79428.0)</f>
        <v>79428</v>
      </c>
      <c r="D4410" s="9"/>
      <c r="E4410" s="9"/>
      <c r="F4410" s="9">
        <f>IFERROR(__xludf.DUMMYFUNCTION("""COMPUTED_VALUE"""),3.28)</f>
        <v>3.28</v>
      </c>
      <c r="G4410" s="9">
        <f>IFERROR(__xludf.DUMMYFUNCTION("""COMPUTED_VALUE"""),3.28)</f>
        <v>3.28</v>
      </c>
      <c r="H4410" s="9">
        <f>IFERROR(__xludf.DUMMYFUNCTION("""COMPUTED_VALUE"""),1.0)</f>
        <v>1</v>
      </c>
      <c r="I4410" s="9"/>
      <c r="J4410" s="9"/>
      <c r="K4410" s="9"/>
      <c r="L4410" s="9"/>
      <c r="M4410" s="9"/>
      <c r="N4410" s="9"/>
      <c r="O4410" s="9"/>
      <c r="P4410" s="9"/>
      <c r="Q4410" s="9"/>
      <c r="R4410" s="9"/>
      <c r="S4410" s="9"/>
      <c r="T4410" s="9"/>
    </row>
    <row r="4411" ht="15.75" customHeight="1">
      <c r="A4411" s="11">
        <f>IFERROR(__xludf.DUMMYFUNCTION("""COMPUTED_VALUE"""),44471.0)</f>
        <v>44471</v>
      </c>
      <c r="B4411" s="9">
        <f>IFERROR(__xludf.DUMMYFUNCTION("""COMPUTED_VALUE"""),1003917.0)</f>
        <v>1003917</v>
      </c>
      <c r="C4411" s="9">
        <f>IFERROR(__xludf.DUMMYFUNCTION("""COMPUTED_VALUE"""),110579.0)</f>
        <v>110579</v>
      </c>
      <c r="D4411" s="10" t="str">
        <f>IFERROR(__xludf.DUMMYFUNCTION("""COMPUTED_VALUE"""),"Vive le bio")</f>
        <v>Vive le bio</v>
      </c>
      <c r="E4411" s="10"/>
      <c r="F4411" s="9">
        <f>IFERROR(__xludf.DUMMYFUNCTION("""COMPUTED_VALUE"""),14.6333333333333)</f>
        <v>14.63333333</v>
      </c>
      <c r="G4411" s="9">
        <f>IFERROR(__xludf.DUMMYFUNCTION("""COMPUTED_VALUE"""),13.17)</f>
        <v>13.17</v>
      </c>
      <c r="H4411" s="9">
        <f>IFERROR(__xludf.DUMMYFUNCTION("""COMPUTED_VALUE"""),1.0)</f>
        <v>1</v>
      </c>
      <c r="I4411" s="9"/>
      <c r="J4411" s="9"/>
      <c r="K4411" s="9"/>
      <c r="L4411" s="9"/>
      <c r="M4411" s="9"/>
      <c r="N4411" s="9"/>
      <c r="O4411" s="9"/>
      <c r="P4411" s="9"/>
      <c r="Q4411" s="9"/>
      <c r="R4411" s="9"/>
      <c r="S4411" s="9"/>
      <c r="T4411" s="9"/>
    </row>
    <row r="4412" ht="15.75" customHeight="1">
      <c r="A4412" s="11">
        <f>IFERROR(__xludf.DUMMYFUNCTION("""COMPUTED_VALUE"""),44471.0)</f>
        <v>44471</v>
      </c>
      <c r="B4412" s="9">
        <f>IFERROR(__xludf.DUMMYFUNCTION("""COMPUTED_VALUE"""),1003917.0)</f>
        <v>1003917</v>
      </c>
      <c r="C4412" s="9">
        <f>IFERROR(__xludf.DUMMYFUNCTION("""COMPUTED_VALUE"""),103510.0)</f>
        <v>103510</v>
      </c>
      <c r="D4412" s="9"/>
      <c r="E4412" s="9"/>
      <c r="F4412" s="9">
        <f>IFERROR(__xludf.DUMMYFUNCTION("""COMPUTED_VALUE"""),10.86)</f>
        <v>10.86</v>
      </c>
      <c r="G4412" s="9">
        <f>IFERROR(__xludf.DUMMYFUNCTION("""COMPUTED_VALUE"""),10.86)</f>
        <v>10.86</v>
      </c>
      <c r="H4412" s="9">
        <f>IFERROR(__xludf.DUMMYFUNCTION("""COMPUTED_VALUE"""),1.0)</f>
        <v>1</v>
      </c>
      <c r="I4412" s="9"/>
      <c r="J4412" s="9"/>
      <c r="K4412" s="9"/>
      <c r="L4412" s="9"/>
      <c r="M4412" s="9"/>
      <c r="N4412" s="9"/>
      <c r="O4412" s="9"/>
      <c r="P4412" s="9"/>
      <c r="Q4412" s="9"/>
      <c r="R4412" s="9"/>
      <c r="S4412" s="9"/>
      <c r="T4412" s="9"/>
    </row>
    <row r="4413" ht="15.75" customHeight="1">
      <c r="A4413" s="11">
        <f>IFERROR(__xludf.DUMMYFUNCTION("""COMPUTED_VALUE"""),44471.0)</f>
        <v>44471</v>
      </c>
      <c r="B4413" s="9">
        <f>IFERROR(__xludf.DUMMYFUNCTION("""COMPUTED_VALUE"""),1003917.0)</f>
        <v>1003917</v>
      </c>
      <c r="C4413" s="9">
        <f>IFERROR(__xludf.DUMMYFUNCTION("""COMPUTED_VALUE"""),113608.0)</f>
        <v>113608</v>
      </c>
      <c r="D4413" s="10" t="str">
        <f>IFERROR(__xludf.DUMMYFUNCTION("""COMPUTED_VALUE"""),"Vive le bio")</f>
        <v>Vive le bio</v>
      </c>
      <c r="E4413" s="10"/>
      <c r="F4413" s="9">
        <f>IFERROR(__xludf.DUMMYFUNCTION("""COMPUTED_VALUE"""),16.4222222222222)</f>
        <v>16.42222222</v>
      </c>
      <c r="G4413" s="9">
        <f>IFERROR(__xludf.DUMMYFUNCTION("""COMPUTED_VALUE"""),14.78)</f>
        <v>14.78</v>
      </c>
      <c r="H4413" s="9">
        <f>IFERROR(__xludf.DUMMYFUNCTION("""COMPUTED_VALUE"""),1.0)</f>
        <v>1</v>
      </c>
      <c r="I4413" s="9"/>
      <c r="J4413" s="9"/>
      <c r="K4413" s="9"/>
      <c r="L4413" s="9"/>
      <c r="M4413" s="9"/>
      <c r="N4413" s="9"/>
      <c r="O4413" s="9"/>
      <c r="P4413" s="9"/>
      <c r="Q4413" s="9"/>
      <c r="R4413" s="9"/>
      <c r="S4413" s="9"/>
      <c r="T4413" s="9"/>
    </row>
    <row r="4414" ht="15.75" customHeight="1">
      <c r="A4414" s="11">
        <f>IFERROR(__xludf.DUMMYFUNCTION("""COMPUTED_VALUE"""),44471.0)</f>
        <v>44471</v>
      </c>
      <c r="B4414" s="9">
        <f>IFERROR(__xludf.DUMMYFUNCTION("""COMPUTED_VALUE"""),1003917.0)</f>
        <v>1003917</v>
      </c>
      <c r="C4414" s="9">
        <f>IFERROR(__xludf.DUMMYFUNCTION("""COMPUTED_VALUE"""),103589.0)</f>
        <v>103589</v>
      </c>
      <c r="D4414" s="10" t="str">
        <f>IFERROR(__xludf.DUMMYFUNCTION("""COMPUTED_VALUE"""),"Love &amp; Green Couches et Culottes sept 2021")</f>
        <v>Love &amp; Green Couches et Culottes sept 2021</v>
      </c>
      <c r="E4414" s="10"/>
      <c r="F4414" s="9">
        <f>IFERROR(__xludf.DUMMYFUNCTION("""COMPUTED_VALUE"""),62.0285714285714)</f>
        <v>62.02857143</v>
      </c>
      <c r="G4414" s="9">
        <f>IFERROR(__xludf.DUMMYFUNCTION("""COMPUTED_VALUE"""),43.42)</f>
        <v>43.42</v>
      </c>
      <c r="H4414" s="9">
        <f>IFERROR(__xludf.DUMMYFUNCTION("""COMPUTED_VALUE"""),4.0)</f>
        <v>4</v>
      </c>
      <c r="I4414" s="9"/>
      <c r="J4414" s="9"/>
      <c r="K4414" s="9"/>
      <c r="L4414" s="9"/>
      <c r="M4414" s="9"/>
      <c r="N4414" s="9"/>
      <c r="O4414" s="9"/>
      <c r="P4414" s="9"/>
      <c r="Q4414" s="9"/>
      <c r="R4414" s="9"/>
      <c r="S4414" s="9"/>
      <c r="T4414" s="9"/>
    </row>
    <row r="4415" ht="15.75" customHeight="1">
      <c r="A4415" s="11">
        <f>IFERROR(__xludf.DUMMYFUNCTION("""COMPUTED_VALUE"""),44471.0)</f>
        <v>44471</v>
      </c>
      <c r="B4415" s="9">
        <f>IFERROR(__xludf.DUMMYFUNCTION("""COMPUTED_VALUE"""),1003918.0)</f>
        <v>1003918</v>
      </c>
      <c r="C4415" s="9">
        <f>IFERROR(__xludf.DUMMYFUNCTION("""COMPUTED_VALUE"""),76731.0)</f>
        <v>76731</v>
      </c>
      <c r="D4415" s="10" t="str">
        <f>IFERROR(__xludf.DUMMYFUNCTION("""COMPUTED_VALUE"""),"Vive le bio")</f>
        <v>Vive le bio</v>
      </c>
      <c r="E4415" s="10"/>
      <c r="F4415" s="9">
        <f>IFERROR(__xludf.DUMMYFUNCTION("""COMPUTED_VALUE"""),2.84444444444444)</f>
        <v>2.844444444</v>
      </c>
      <c r="G4415" s="9">
        <f>IFERROR(__xludf.DUMMYFUNCTION("""COMPUTED_VALUE"""),2.56)</f>
        <v>2.56</v>
      </c>
      <c r="H4415" s="9">
        <f>IFERROR(__xludf.DUMMYFUNCTION("""COMPUTED_VALUE"""),1.0)</f>
        <v>1</v>
      </c>
      <c r="I4415" s="9"/>
      <c r="J4415" s="9"/>
      <c r="K4415" s="9"/>
      <c r="L4415" s="9"/>
      <c r="M4415" s="9"/>
      <c r="N4415" s="9"/>
      <c r="O4415" s="9"/>
      <c r="P4415" s="9"/>
      <c r="Q4415" s="9"/>
      <c r="R4415" s="9"/>
      <c r="S4415" s="9"/>
      <c r="T4415" s="9"/>
    </row>
    <row r="4416" ht="15.75" customHeight="1">
      <c r="A4416" s="11">
        <f>IFERROR(__xludf.DUMMYFUNCTION("""COMPUTED_VALUE"""),44471.0)</f>
        <v>44471</v>
      </c>
      <c r="B4416" s="9">
        <f>IFERROR(__xludf.DUMMYFUNCTION("""COMPUTED_VALUE"""),1003918.0)</f>
        <v>1003918</v>
      </c>
      <c r="C4416" s="9">
        <f>IFERROR(__xludf.DUMMYFUNCTION("""COMPUTED_VALUE"""),147335.0)</f>
        <v>147335</v>
      </c>
      <c r="D4416" s="10" t="str">
        <f>IFERROR(__xludf.DUMMYFUNCTION("""COMPUTED_VALUE"""),"Vive le bio")</f>
        <v>Vive le bio</v>
      </c>
      <c r="E4416" s="10"/>
      <c r="F4416" s="9">
        <f>IFERROR(__xludf.DUMMYFUNCTION("""COMPUTED_VALUE"""),4.66666666666666)</f>
        <v>4.666666667</v>
      </c>
      <c r="G4416" s="9">
        <f>IFERROR(__xludf.DUMMYFUNCTION("""COMPUTED_VALUE"""),4.2)</f>
        <v>4.2</v>
      </c>
      <c r="H4416" s="9">
        <f>IFERROR(__xludf.DUMMYFUNCTION("""COMPUTED_VALUE"""),1.0)</f>
        <v>1</v>
      </c>
      <c r="I4416" s="9"/>
      <c r="J4416" s="9"/>
      <c r="K4416" s="9"/>
      <c r="L4416" s="9"/>
      <c r="M4416" s="9"/>
      <c r="N4416" s="9"/>
      <c r="O4416" s="9"/>
      <c r="P4416" s="9"/>
      <c r="Q4416" s="9"/>
      <c r="R4416" s="9"/>
      <c r="S4416" s="9"/>
      <c r="T4416" s="9"/>
    </row>
    <row r="4417" ht="15.75" customHeight="1">
      <c r="A4417" s="11">
        <f>IFERROR(__xludf.DUMMYFUNCTION("""COMPUTED_VALUE"""),44471.0)</f>
        <v>44471</v>
      </c>
      <c r="B4417" s="9">
        <f>IFERROR(__xludf.DUMMYFUNCTION("""COMPUTED_VALUE"""),1003918.0)</f>
        <v>1003918</v>
      </c>
      <c r="C4417" s="9">
        <f>IFERROR(__xludf.DUMMYFUNCTION("""COMPUTED_VALUE"""),92327.0)</f>
        <v>92327</v>
      </c>
      <c r="D4417" s="9"/>
      <c r="E4417" s="9"/>
      <c r="F4417" s="9">
        <f>IFERROR(__xludf.DUMMYFUNCTION("""COMPUTED_VALUE"""),19.07)</f>
        <v>19.07</v>
      </c>
      <c r="G4417" s="9">
        <f>IFERROR(__xludf.DUMMYFUNCTION("""COMPUTED_VALUE"""),19.07)</f>
        <v>19.07</v>
      </c>
      <c r="H4417" s="9">
        <f>IFERROR(__xludf.DUMMYFUNCTION("""COMPUTED_VALUE"""),2.0)</f>
        <v>2</v>
      </c>
      <c r="I4417" s="9"/>
      <c r="J4417" s="9"/>
      <c r="K4417" s="9"/>
      <c r="L4417" s="9"/>
      <c r="M4417" s="9"/>
      <c r="N4417" s="9"/>
      <c r="O4417" s="9"/>
      <c r="P4417" s="9"/>
      <c r="Q4417" s="9"/>
      <c r="R4417" s="9"/>
      <c r="S4417" s="9"/>
      <c r="T4417" s="9"/>
    </row>
    <row r="4418" ht="15.75" customHeight="1">
      <c r="A4418" s="11">
        <f>IFERROR(__xludf.DUMMYFUNCTION("""COMPUTED_VALUE"""),44471.0)</f>
        <v>44471</v>
      </c>
      <c r="B4418" s="9">
        <f>IFERROR(__xludf.DUMMYFUNCTION("""COMPUTED_VALUE"""),1003919.0)</f>
        <v>1003919</v>
      </c>
      <c r="C4418" s="9">
        <f>IFERROR(__xludf.DUMMYFUNCTION("""COMPUTED_VALUE"""),10383.0)</f>
        <v>10383</v>
      </c>
      <c r="D4418" s="9"/>
      <c r="E4418" s="9"/>
      <c r="F4418" s="9">
        <f>IFERROR(__xludf.DUMMYFUNCTION("""COMPUTED_VALUE"""),11.8)</f>
        <v>11.8</v>
      </c>
      <c r="G4418" s="9">
        <f>IFERROR(__xludf.DUMMYFUNCTION("""COMPUTED_VALUE"""),11.8)</f>
        <v>11.8</v>
      </c>
      <c r="H4418" s="9">
        <f>IFERROR(__xludf.DUMMYFUNCTION("""COMPUTED_VALUE"""),1.0)</f>
        <v>1</v>
      </c>
      <c r="I4418" s="9"/>
      <c r="J4418" s="9"/>
      <c r="K4418" s="9"/>
      <c r="L4418" s="9"/>
      <c r="M4418" s="9"/>
      <c r="N4418" s="9"/>
      <c r="O4418" s="9"/>
      <c r="P4418" s="9"/>
      <c r="Q4418" s="9"/>
      <c r="R4418" s="9"/>
      <c r="S4418" s="9"/>
      <c r="T4418" s="9"/>
    </row>
    <row r="4419" ht="15.75" customHeight="1">
      <c r="A4419" s="11">
        <f>IFERROR(__xludf.DUMMYFUNCTION("""COMPUTED_VALUE"""),44471.0)</f>
        <v>44471</v>
      </c>
      <c r="B4419" s="9">
        <f>IFERROR(__xludf.DUMMYFUNCTION("""COMPUTED_VALUE"""),1003919.0)</f>
        <v>1003919</v>
      </c>
      <c r="C4419" s="9">
        <f>IFERROR(__xludf.DUMMYFUNCTION("""COMPUTED_VALUE"""),83167.0)</f>
        <v>83167</v>
      </c>
      <c r="D4419" s="9"/>
      <c r="E4419" s="9"/>
      <c r="F4419" s="9">
        <f>IFERROR(__xludf.DUMMYFUNCTION("""COMPUTED_VALUE"""),18.3)</f>
        <v>18.3</v>
      </c>
      <c r="G4419" s="9">
        <f>IFERROR(__xludf.DUMMYFUNCTION("""COMPUTED_VALUE"""),18.3)</f>
        <v>18.3</v>
      </c>
      <c r="H4419" s="9">
        <f>IFERROR(__xludf.DUMMYFUNCTION("""COMPUTED_VALUE"""),1.0)</f>
        <v>1</v>
      </c>
      <c r="I4419" s="9"/>
      <c r="J4419" s="9"/>
      <c r="K4419" s="9"/>
      <c r="L4419" s="9"/>
      <c r="M4419" s="9"/>
      <c r="N4419" s="9"/>
      <c r="O4419" s="9"/>
      <c r="P4419" s="9"/>
      <c r="Q4419" s="9"/>
      <c r="R4419" s="9"/>
      <c r="S4419" s="9"/>
      <c r="T4419" s="9"/>
    </row>
    <row r="4420" ht="15.75" customHeight="1">
      <c r="A4420" s="11">
        <f>IFERROR(__xludf.DUMMYFUNCTION("""COMPUTED_VALUE"""),44471.0)</f>
        <v>44471</v>
      </c>
      <c r="B4420" s="9">
        <f>IFERROR(__xludf.DUMMYFUNCTION("""COMPUTED_VALUE"""),1003919.0)</f>
        <v>1003919</v>
      </c>
      <c r="C4420" s="9">
        <f>IFERROR(__xludf.DUMMYFUNCTION("""COMPUTED_VALUE"""),73442.0)</f>
        <v>73442</v>
      </c>
      <c r="D4420" s="9"/>
      <c r="E4420" s="9"/>
      <c r="F4420" s="9">
        <f>IFERROR(__xludf.DUMMYFUNCTION("""COMPUTED_VALUE"""),5.37)</f>
        <v>5.37</v>
      </c>
      <c r="G4420" s="9">
        <f>IFERROR(__xludf.DUMMYFUNCTION("""COMPUTED_VALUE"""),5.37)</f>
        <v>5.37</v>
      </c>
      <c r="H4420" s="9">
        <f>IFERROR(__xludf.DUMMYFUNCTION("""COMPUTED_VALUE"""),2.0)</f>
        <v>2</v>
      </c>
      <c r="I4420" s="9"/>
      <c r="J4420" s="9"/>
      <c r="K4420" s="9"/>
      <c r="L4420" s="9"/>
      <c r="M4420" s="9"/>
      <c r="N4420" s="9"/>
      <c r="O4420" s="9"/>
      <c r="P4420" s="9"/>
      <c r="Q4420" s="9"/>
      <c r="R4420" s="9"/>
      <c r="S4420" s="9"/>
      <c r="T4420" s="9"/>
    </row>
    <row r="4421" ht="15.75" customHeight="1">
      <c r="A4421" s="11">
        <f>IFERROR(__xludf.DUMMYFUNCTION("""COMPUTED_VALUE"""),44471.0)</f>
        <v>44471</v>
      </c>
      <c r="B4421" s="9">
        <f>IFERROR(__xludf.DUMMYFUNCTION("""COMPUTED_VALUE"""),1003919.0)</f>
        <v>1003919</v>
      </c>
      <c r="C4421" s="9">
        <f>IFERROR(__xludf.DUMMYFUNCTION("""COMPUTED_VALUE"""),79818.0)</f>
        <v>79818</v>
      </c>
      <c r="D4421" s="9"/>
      <c r="E4421" s="9"/>
      <c r="F4421" s="9">
        <f>IFERROR(__xludf.DUMMYFUNCTION("""COMPUTED_VALUE"""),17.14)</f>
        <v>17.14</v>
      </c>
      <c r="G4421" s="9">
        <f>IFERROR(__xludf.DUMMYFUNCTION("""COMPUTED_VALUE"""),17.14)</f>
        <v>17.14</v>
      </c>
      <c r="H4421" s="9">
        <f>IFERROR(__xludf.DUMMYFUNCTION("""COMPUTED_VALUE"""),3.0)</f>
        <v>3</v>
      </c>
      <c r="I4421" s="9"/>
      <c r="J4421" s="9"/>
      <c r="K4421" s="9"/>
      <c r="L4421" s="9"/>
      <c r="M4421" s="9"/>
      <c r="N4421" s="9"/>
      <c r="O4421" s="9"/>
      <c r="P4421" s="9"/>
      <c r="Q4421" s="9"/>
      <c r="R4421" s="9"/>
      <c r="S4421" s="9"/>
      <c r="T4421" s="9"/>
    </row>
    <row r="4422" ht="15.75" customHeight="1">
      <c r="A4422" s="11">
        <f>IFERROR(__xludf.DUMMYFUNCTION("""COMPUTED_VALUE"""),44471.0)</f>
        <v>44471</v>
      </c>
      <c r="B4422" s="9">
        <f>IFERROR(__xludf.DUMMYFUNCTION("""COMPUTED_VALUE"""),1003920.0)</f>
        <v>1003920</v>
      </c>
      <c r="C4422" s="9">
        <f>IFERROR(__xludf.DUMMYFUNCTION("""COMPUTED_VALUE"""),90168.0)</f>
        <v>90168</v>
      </c>
      <c r="D4422" s="9"/>
      <c r="E4422" s="9"/>
      <c r="F4422" s="9">
        <f>IFERROR(__xludf.DUMMYFUNCTION("""COMPUTED_VALUE"""),5.86)</f>
        <v>5.86</v>
      </c>
      <c r="G4422" s="9">
        <f>IFERROR(__xludf.DUMMYFUNCTION("""COMPUTED_VALUE"""),5.86)</f>
        <v>5.86</v>
      </c>
      <c r="H4422" s="9">
        <f>IFERROR(__xludf.DUMMYFUNCTION("""COMPUTED_VALUE"""),1.0)</f>
        <v>1</v>
      </c>
      <c r="I4422" s="9"/>
      <c r="J4422" s="9"/>
      <c r="K4422" s="9"/>
      <c r="L4422" s="9"/>
      <c r="M4422" s="9"/>
      <c r="N4422" s="9"/>
      <c r="O4422" s="9"/>
      <c r="P4422" s="9"/>
      <c r="Q4422" s="9"/>
      <c r="R4422" s="9"/>
      <c r="S4422" s="9"/>
      <c r="T4422" s="9"/>
    </row>
    <row r="4423" ht="15.75" customHeight="1">
      <c r="A4423" s="11">
        <f>IFERROR(__xludf.DUMMYFUNCTION("""COMPUTED_VALUE"""),44471.0)</f>
        <v>44471</v>
      </c>
      <c r="B4423" s="9">
        <f>IFERROR(__xludf.DUMMYFUNCTION("""COMPUTED_VALUE"""),1003921.0)</f>
        <v>1003921</v>
      </c>
      <c r="C4423" s="9">
        <f>IFERROR(__xludf.DUMMYFUNCTION("""COMPUTED_VALUE"""),147310.0)</f>
        <v>147310</v>
      </c>
      <c r="D4423" s="9"/>
      <c r="E4423" s="9"/>
      <c r="F4423" s="9">
        <f>IFERROR(__xludf.DUMMYFUNCTION("""COMPUTED_VALUE"""),14.6)</f>
        <v>14.6</v>
      </c>
      <c r="G4423" s="9">
        <f>IFERROR(__xludf.DUMMYFUNCTION("""COMPUTED_VALUE"""),14.6)</f>
        <v>14.6</v>
      </c>
      <c r="H4423" s="9">
        <f>IFERROR(__xludf.DUMMYFUNCTION("""COMPUTED_VALUE"""),1.0)</f>
        <v>1</v>
      </c>
      <c r="I4423" s="9"/>
      <c r="J4423" s="9"/>
      <c r="K4423" s="9"/>
      <c r="L4423" s="9"/>
      <c r="M4423" s="9"/>
      <c r="N4423" s="9"/>
      <c r="O4423" s="9"/>
      <c r="P4423" s="9"/>
      <c r="Q4423" s="9"/>
      <c r="R4423" s="9"/>
      <c r="S4423" s="9"/>
      <c r="T4423" s="9"/>
    </row>
    <row r="4424" ht="15.75" customHeight="1">
      <c r="A4424" s="11">
        <f>IFERROR(__xludf.DUMMYFUNCTION("""COMPUTED_VALUE"""),44471.0)</f>
        <v>44471</v>
      </c>
      <c r="B4424" s="9">
        <f>IFERROR(__xludf.DUMMYFUNCTION("""COMPUTED_VALUE"""),1003921.0)</f>
        <v>1003921</v>
      </c>
      <c r="C4424" s="9">
        <f>IFERROR(__xludf.DUMMYFUNCTION("""COMPUTED_VALUE"""),99302.0)</f>
        <v>99302</v>
      </c>
      <c r="D4424" s="9"/>
      <c r="E4424" s="9"/>
      <c r="F4424" s="9">
        <f>IFERROR(__xludf.DUMMYFUNCTION("""COMPUTED_VALUE"""),15.75)</f>
        <v>15.75</v>
      </c>
      <c r="G4424" s="9">
        <f>IFERROR(__xludf.DUMMYFUNCTION("""COMPUTED_VALUE"""),15.75)</f>
        <v>15.75</v>
      </c>
      <c r="H4424" s="9">
        <f>IFERROR(__xludf.DUMMYFUNCTION("""COMPUTED_VALUE"""),2.0)</f>
        <v>2</v>
      </c>
      <c r="I4424" s="9"/>
      <c r="J4424" s="9"/>
      <c r="K4424" s="9"/>
      <c r="L4424" s="9"/>
      <c r="M4424" s="9"/>
      <c r="N4424" s="9"/>
      <c r="O4424" s="9"/>
      <c r="P4424" s="9"/>
      <c r="Q4424" s="9"/>
      <c r="R4424" s="9"/>
      <c r="S4424" s="9"/>
      <c r="T4424" s="9"/>
    </row>
    <row r="4425" ht="15.75" customHeight="1">
      <c r="A4425" s="11">
        <f>IFERROR(__xludf.DUMMYFUNCTION("""COMPUTED_VALUE"""),44471.0)</f>
        <v>44471</v>
      </c>
      <c r="B4425" s="9">
        <f>IFERROR(__xludf.DUMMYFUNCTION("""COMPUTED_VALUE"""),1003921.0)</f>
        <v>1003921</v>
      </c>
      <c r="C4425" s="9">
        <f>IFERROR(__xludf.DUMMYFUNCTION("""COMPUTED_VALUE"""),79503.0)</f>
        <v>79503</v>
      </c>
      <c r="D4425" s="9"/>
      <c r="E4425" s="9"/>
      <c r="F4425" s="9">
        <f>IFERROR(__xludf.DUMMYFUNCTION("""COMPUTED_VALUE"""),41.15)</f>
        <v>41.15</v>
      </c>
      <c r="G4425" s="9">
        <f>IFERROR(__xludf.DUMMYFUNCTION("""COMPUTED_VALUE"""),41.15)</f>
        <v>41.15</v>
      </c>
      <c r="H4425" s="9">
        <f>IFERROR(__xludf.DUMMYFUNCTION("""COMPUTED_VALUE"""),2.0)</f>
        <v>2</v>
      </c>
      <c r="I4425" s="9"/>
      <c r="J4425" s="9"/>
      <c r="K4425" s="9"/>
      <c r="L4425" s="9"/>
      <c r="M4425" s="9"/>
      <c r="N4425" s="9"/>
      <c r="O4425" s="9"/>
      <c r="P4425" s="9"/>
      <c r="Q4425" s="9"/>
      <c r="R4425" s="9"/>
      <c r="S4425" s="9"/>
      <c r="T4425" s="9"/>
    </row>
    <row r="4426" ht="15.75" customHeight="1">
      <c r="A4426" s="11">
        <f>IFERROR(__xludf.DUMMYFUNCTION("""COMPUTED_VALUE"""),44471.0)</f>
        <v>44471</v>
      </c>
      <c r="B4426" s="9">
        <f>IFERROR(__xludf.DUMMYFUNCTION("""COMPUTED_VALUE"""),1003921.0)</f>
        <v>1003921</v>
      </c>
      <c r="C4426" s="9">
        <f>IFERROR(__xludf.DUMMYFUNCTION("""COMPUTED_VALUE"""),9519.0)</f>
        <v>9519</v>
      </c>
      <c r="D4426" s="9"/>
      <c r="E4426" s="9"/>
      <c r="F4426" s="9">
        <f>IFERROR(__xludf.DUMMYFUNCTION("""COMPUTED_VALUE"""),29.28)</f>
        <v>29.28</v>
      </c>
      <c r="G4426" s="9">
        <f>IFERROR(__xludf.DUMMYFUNCTION("""COMPUTED_VALUE"""),29.28)</f>
        <v>29.28</v>
      </c>
      <c r="H4426" s="9">
        <f>IFERROR(__xludf.DUMMYFUNCTION("""COMPUTED_VALUE"""),2.0)</f>
        <v>2</v>
      </c>
      <c r="I4426" s="9"/>
      <c r="J4426" s="9"/>
      <c r="K4426" s="9"/>
      <c r="L4426" s="9"/>
      <c r="M4426" s="9"/>
      <c r="N4426" s="9"/>
      <c r="O4426" s="9"/>
      <c r="P4426" s="9"/>
      <c r="Q4426" s="9"/>
      <c r="R4426" s="9"/>
      <c r="S4426" s="9"/>
      <c r="T4426" s="9"/>
    </row>
    <row r="4427" ht="15.75" customHeight="1">
      <c r="A4427" s="11">
        <f>IFERROR(__xludf.DUMMYFUNCTION("""COMPUTED_VALUE"""),44471.0)</f>
        <v>44471</v>
      </c>
      <c r="B4427" s="9">
        <f>IFERROR(__xludf.DUMMYFUNCTION("""COMPUTED_VALUE"""),1003921.0)</f>
        <v>1003921</v>
      </c>
      <c r="C4427" s="9">
        <f>IFERROR(__xludf.DUMMYFUNCTION("""COMPUTED_VALUE"""),24074.0)</f>
        <v>24074</v>
      </c>
      <c r="D4427" s="9"/>
      <c r="E4427" s="9"/>
      <c r="F4427" s="9">
        <f>IFERROR(__xludf.DUMMYFUNCTION("""COMPUTED_VALUE"""),41.07)</f>
        <v>41.07</v>
      </c>
      <c r="G4427" s="9">
        <f>IFERROR(__xludf.DUMMYFUNCTION("""COMPUTED_VALUE"""),41.07)</f>
        <v>41.07</v>
      </c>
      <c r="H4427" s="9">
        <f>IFERROR(__xludf.DUMMYFUNCTION("""COMPUTED_VALUE"""),3.0)</f>
        <v>3</v>
      </c>
      <c r="I4427" s="9"/>
      <c r="J4427" s="9"/>
      <c r="K4427" s="9"/>
      <c r="L4427" s="9"/>
      <c r="M4427" s="9"/>
      <c r="N4427" s="9"/>
      <c r="O4427" s="9"/>
      <c r="P4427" s="9"/>
      <c r="Q4427" s="9"/>
      <c r="R4427" s="9"/>
      <c r="S4427" s="9"/>
      <c r="T4427" s="9"/>
    </row>
    <row r="4428" ht="15.75" customHeight="1">
      <c r="A4428" s="11">
        <f>IFERROR(__xludf.DUMMYFUNCTION("""COMPUTED_VALUE"""),44471.0)</f>
        <v>44471</v>
      </c>
      <c r="B4428" s="9">
        <f>IFERROR(__xludf.DUMMYFUNCTION("""COMPUTED_VALUE"""),1003921.0)</f>
        <v>1003921</v>
      </c>
      <c r="C4428" s="9">
        <f>IFERROR(__xludf.DUMMYFUNCTION("""COMPUTED_VALUE"""),24061.0)</f>
        <v>24061</v>
      </c>
      <c r="D4428" s="9"/>
      <c r="E4428" s="9"/>
      <c r="F4428" s="9">
        <f>IFERROR(__xludf.DUMMYFUNCTION("""COMPUTED_VALUE"""),45.52)</f>
        <v>45.52</v>
      </c>
      <c r="G4428" s="9">
        <f>IFERROR(__xludf.DUMMYFUNCTION("""COMPUTED_VALUE"""),45.52)</f>
        <v>45.52</v>
      </c>
      <c r="H4428" s="9">
        <f>IFERROR(__xludf.DUMMYFUNCTION("""COMPUTED_VALUE"""),3.0)</f>
        <v>3</v>
      </c>
      <c r="I4428" s="9"/>
      <c r="J4428" s="9"/>
      <c r="K4428" s="9"/>
      <c r="L4428" s="9"/>
      <c r="M4428" s="9"/>
      <c r="N4428" s="9"/>
      <c r="O4428" s="9"/>
      <c r="P4428" s="9"/>
      <c r="Q4428" s="9"/>
      <c r="R4428" s="9"/>
      <c r="S4428" s="9"/>
      <c r="T4428" s="9"/>
    </row>
    <row r="4429" ht="15.75" customHeight="1">
      <c r="A4429" s="11">
        <f>IFERROR(__xludf.DUMMYFUNCTION("""COMPUTED_VALUE"""),44471.0)</f>
        <v>44471</v>
      </c>
      <c r="B4429" s="9">
        <f>IFERROR(__xludf.DUMMYFUNCTION("""COMPUTED_VALUE"""),1003921.0)</f>
        <v>1003921</v>
      </c>
      <c r="C4429" s="9">
        <f>IFERROR(__xludf.DUMMYFUNCTION("""COMPUTED_VALUE"""),119229.0)</f>
        <v>119229</v>
      </c>
      <c r="D4429" s="10" t="str">
        <f>IFERROR(__xludf.DUMMYFUNCTION("""COMPUTED_VALUE"""),"Offre speciale")</f>
        <v>Offre speciale</v>
      </c>
      <c r="E4429" s="10"/>
      <c r="F4429" s="9">
        <f>IFERROR(__xludf.DUMMYFUNCTION("""COMPUTED_VALUE"""),20.3058823529411)</f>
        <v>20.30588235</v>
      </c>
      <c r="G4429" s="9">
        <f>IFERROR(__xludf.DUMMYFUNCTION("""COMPUTED_VALUE"""),17.26)</f>
        <v>17.26</v>
      </c>
      <c r="H4429" s="9">
        <f>IFERROR(__xludf.DUMMYFUNCTION("""COMPUTED_VALUE"""),6.0)</f>
        <v>6</v>
      </c>
      <c r="I4429" s="9"/>
      <c r="J4429" s="9"/>
      <c r="K4429" s="9"/>
      <c r="L4429" s="9"/>
      <c r="M4429" s="9"/>
      <c r="N4429" s="9"/>
      <c r="O4429" s="9"/>
      <c r="P4429" s="9"/>
      <c r="Q4429" s="9"/>
      <c r="R4429" s="9"/>
      <c r="S4429" s="9"/>
      <c r="T4429" s="9"/>
    </row>
    <row r="4430" ht="15.75" customHeight="1">
      <c r="A4430" s="11">
        <f>IFERROR(__xludf.DUMMYFUNCTION("""COMPUTED_VALUE"""),44471.0)</f>
        <v>44471</v>
      </c>
      <c r="B4430" s="9">
        <f>IFERROR(__xludf.DUMMYFUNCTION("""COMPUTED_VALUE"""),1003921.0)</f>
        <v>1003921</v>
      </c>
      <c r="C4430" s="9">
        <f>IFERROR(__xludf.DUMMYFUNCTION("""COMPUTED_VALUE"""),69451.0)</f>
        <v>69451</v>
      </c>
      <c r="D4430" s="9"/>
      <c r="E4430" s="9"/>
      <c r="F4430" s="9">
        <f>IFERROR(__xludf.DUMMYFUNCTION("""COMPUTED_VALUE"""),12.18)</f>
        <v>12.18</v>
      </c>
      <c r="G4430" s="9">
        <f>IFERROR(__xludf.DUMMYFUNCTION("""COMPUTED_VALUE"""),12.18)</f>
        <v>12.18</v>
      </c>
      <c r="H4430" s="9">
        <f>IFERROR(__xludf.DUMMYFUNCTION("""COMPUTED_VALUE"""),6.0)</f>
        <v>6</v>
      </c>
      <c r="I4430" s="9"/>
      <c r="J4430" s="9"/>
      <c r="K4430" s="9"/>
      <c r="L4430" s="9"/>
      <c r="M4430" s="9"/>
      <c r="N4430" s="9"/>
      <c r="O4430" s="9"/>
      <c r="P4430" s="9"/>
      <c r="Q4430" s="9"/>
      <c r="R4430" s="9"/>
      <c r="S4430" s="9"/>
      <c r="T4430" s="9"/>
    </row>
    <row r="4431" ht="15.75" customHeight="1">
      <c r="A4431" s="11">
        <f>IFERROR(__xludf.DUMMYFUNCTION("""COMPUTED_VALUE"""),44471.0)</f>
        <v>44471</v>
      </c>
      <c r="B4431" s="9">
        <f>IFERROR(__xludf.DUMMYFUNCTION("""COMPUTED_VALUE"""),1003921.0)</f>
        <v>1003921</v>
      </c>
      <c r="C4431" s="9">
        <f>IFERROR(__xludf.DUMMYFUNCTION("""COMPUTED_VALUE"""),119230.0)</f>
        <v>119230</v>
      </c>
      <c r="D4431" s="10" t="str">
        <f>IFERROR(__xludf.DUMMYFUNCTION("""COMPUTED_VALUE"""),"Offre speciale")</f>
        <v>Offre speciale</v>
      </c>
      <c r="E4431" s="10"/>
      <c r="F4431" s="9">
        <f>IFERROR(__xludf.DUMMYFUNCTION("""COMPUTED_VALUE"""),20.8117647058823)</f>
        <v>20.81176471</v>
      </c>
      <c r="G4431" s="9">
        <f>IFERROR(__xludf.DUMMYFUNCTION("""COMPUTED_VALUE"""),17.69)</f>
        <v>17.69</v>
      </c>
      <c r="H4431" s="9">
        <f>IFERROR(__xludf.DUMMYFUNCTION("""COMPUTED_VALUE"""),6.0)</f>
        <v>6</v>
      </c>
      <c r="I4431" s="9"/>
      <c r="J4431" s="9"/>
      <c r="K4431" s="9"/>
      <c r="L4431" s="9"/>
      <c r="M4431" s="9"/>
      <c r="N4431" s="9"/>
      <c r="O4431" s="9"/>
      <c r="P4431" s="9"/>
      <c r="Q4431" s="9"/>
      <c r="R4431" s="9"/>
      <c r="S4431" s="9"/>
      <c r="T4431" s="9"/>
    </row>
    <row r="4432" ht="15.75" customHeight="1">
      <c r="A4432" s="11">
        <f>IFERROR(__xludf.DUMMYFUNCTION("""COMPUTED_VALUE"""),44471.0)</f>
        <v>44471</v>
      </c>
      <c r="B4432" s="9">
        <f>IFERROR(__xludf.DUMMYFUNCTION("""COMPUTED_VALUE"""),1003922.0)</f>
        <v>1003922</v>
      </c>
      <c r="C4432" s="9">
        <f>IFERROR(__xludf.DUMMYFUNCTION("""COMPUTED_VALUE"""),48470.0)</f>
        <v>48470</v>
      </c>
      <c r="D4432" s="10" t="str">
        <f>IFERROR(__xludf.DUMMYFUNCTION("""COMPUTED_VALUE"""),"Vive le bio")</f>
        <v>Vive le bio</v>
      </c>
      <c r="E4432" s="10"/>
      <c r="F4432" s="9">
        <f>IFERROR(__xludf.DUMMYFUNCTION("""COMPUTED_VALUE"""),3.71111111111111)</f>
        <v>3.711111111</v>
      </c>
      <c r="G4432" s="9">
        <f>IFERROR(__xludf.DUMMYFUNCTION("""COMPUTED_VALUE"""),3.34)</f>
        <v>3.34</v>
      </c>
      <c r="H4432" s="9">
        <f>IFERROR(__xludf.DUMMYFUNCTION("""COMPUTED_VALUE"""),1.0)</f>
        <v>1</v>
      </c>
      <c r="I4432" s="9"/>
      <c r="J4432" s="9"/>
      <c r="K4432" s="9"/>
      <c r="L4432" s="9"/>
      <c r="M4432" s="9"/>
      <c r="N4432" s="9"/>
      <c r="O4432" s="9"/>
      <c r="P4432" s="9"/>
      <c r="Q4432" s="9"/>
      <c r="R4432" s="9"/>
      <c r="S4432" s="9"/>
      <c r="T4432" s="9"/>
    </row>
    <row r="4433" ht="15.75" customHeight="1">
      <c r="A4433" s="11">
        <f>IFERROR(__xludf.DUMMYFUNCTION("""COMPUTED_VALUE"""),44471.0)</f>
        <v>44471</v>
      </c>
      <c r="B4433" s="9">
        <f>IFERROR(__xludf.DUMMYFUNCTION("""COMPUTED_VALUE"""),1003922.0)</f>
        <v>1003922</v>
      </c>
      <c r="C4433" s="9">
        <f>IFERROR(__xludf.DUMMYFUNCTION("""COMPUTED_VALUE"""),106884.0)</f>
        <v>106884</v>
      </c>
      <c r="D4433" s="9"/>
      <c r="E4433" s="9"/>
      <c r="F4433" s="9">
        <f>IFERROR(__xludf.DUMMYFUNCTION("""COMPUTED_VALUE"""),1.44)</f>
        <v>1.44</v>
      </c>
      <c r="G4433" s="9">
        <f>IFERROR(__xludf.DUMMYFUNCTION("""COMPUTED_VALUE"""),1.44)</f>
        <v>1.44</v>
      </c>
      <c r="H4433" s="9">
        <f>IFERROR(__xludf.DUMMYFUNCTION("""COMPUTED_VALUE"""),1.0)</f>
        <v>1</v>
      </c>
      <c r="I4433" s="9"/>
      <c r="J4433" s="9"/>
      <c r="K4433" s="9"/>
      <c r="L4433" s="9"/>
      <c r="M4433" s="9"/>
      <c r="N4433" s="9"/>
      <c r="O4433" s="9"/>
      <c r="P4433" s="9"/>
      <c r="Q4433" s="9"/>
      <c r="R4433" s="9"/>
      <c r="S4433" s="9"/>
      <c r="T4433" s="9"/>
    </row>
    <row r="4434" ht="15.75" customHeight="1">
      <c r="A4434" s="11">
        <f>IFERROR(__xludf.DUMMYFUNCTION("""COMPUTED_VALUE"""),44471.0)</f>
        <v>44471</v>
      </c>
      <c r="B4434" s="9">
        <f>IFERROR(__xludf.DUMMYFUNCTION("""COMPUTED_VALUE"""),1003922.0)</f>
        <v>1003922</v>
      </c>
      <c r="C4434" s="9">
        <f>IFERROR(__xludf.DUMMYFUNCTION("""COMPUTED_VALUE"""),47050.0)</f>
        <v>47050</v>
      </c>
      <c r="D4434" s="9"/>
      <c r="E4434" s="9"/>
      <c r="F4434" s="9">
        <f>IFERROR(__xludf.DUMMYFUNCTION("""COMPUTED_VALUE"""),2.51)</f>
        <v>2.51</v>
      </c>
      <c r="G4434" s="9">
        <f>IFERROR(__xludf.DUMMYFUNCTION("""COMPUTED_VALUE"""),2.51)</f>
        <v>2.51</v>
      </c>
      <c r="H4434" s="9">
        <f>IFERROR(__xludf.DUMMYFUNCTION("""COMPUTED_VALUE"""),1.0)</f>
        <v>1</v>
      </c>
      <c r="I4434" s="9"/>
      <c r="J4434" s="9"/>
      <c r="K4434" s="9"/>
      <c r="L4434" s="9"/>
      <c r="M4434" s="9"/>
      <c r="N4434" s="9"/>
      <c r="O4434" s="9"/>
      <c r="P4434" s="9"/>
      <c r="Q4434" s="9"/>
      <c r="R4434" s="9"/>
      <c r="S4434" s="9"/>
      <c r="T4434" s="9"/>
    </row>
    <row r="4435" ht="15.75" customHeight="1">
      <c r="A4435" s="11">
        <f>IFERROR(__xludf.DUMMYFUNCTION("""COMPUTED_VALUE"""),44471.0)</f>
        <v>44471</v>
      </c>
      <c r="B4435" s="9">
        <f>IFERROR(__xludf.DUMMYFUNCTION("""COMPUTED_VALUE"""),1003922.0)</f>
        <v>1003922</v>
      </c>
      <c r="C4435" s="9">
        <f>IFERROR(__xludf.DUMMYFUNCTION("""COMPUTED_VALUE"""),110768.0)</f>
        <v>110768</v>
      </c>
      <c r="D4435" s="9"/>
      <c r="E4435" s="9"/>
      <c r="F4435" s="9">
        <f>IFERROR(__xludf.DUMMYFUNCTION("""COMPUTED_VALUE"""),1.26)</f>
        <v>1.26</v>
      </c>
      <c r="G4435" s="9">
        <f>IFERROR(__xludf.DUMMYFUNCTION("""COMPUTED_VALUE"""),1.26)</f>
        <v>1.26</v>
      </c>
      <c r="H4435" s="9">
        <f>IFERROR(__xludf.DUMMYFUNCTION("""COMPUTED_VALUE"""),1.0)</f>
        <v>1</v>
      </c>
      <c r="I4435" s="9"/>
      <c r="J4435" s="9"/>
      <c r="K4435" s="9"/>
      <c r="L4435" s="9"/>
      <c r="M4435" s="9"/>
      <c r="N4435" s="9"/>
      <c r="O4435" s="9"/>
      <c r="P4435" s="9"/>
      <c r="Q4435" s="9"/>
      <c r="R4435" s="9"/>
      <c r="S4435" s="9"/>
      <c r="T4435" s="9"/>
    </row>
    <row r="4436" ht="15.75" customHeight="1">
      <c r="A4436" s="11">
        <f>IFERROR(__xludf.DUMMYFUNCTION("""COMPUTED_VALUE"""),44471.0)</f>
        <v>44471</v>
      </c>
      <c r="B4436" s="9">
        <f>IFERROR(__xludf.DUMMYFUNCTION("""COMPUTED_VALUE"""),1003922.0)</f>
        <v>1003922</v>
      </c>
      <c r="C4436" s="9">
        <f>IFERROR(__xludf.DUMMYFUNCTION("""COMPUTED_VALUE"""),110770.0)</f>
        <v>110770</v>
      </c>
      <c r="D4436" s="9"/>
      <c r="E4436" s="9"/>
      <c r="F4436" s="9">
        <f>IFERROR(__xludf.DUMMYFUNCTION("""COMPUTED_VALUE"""),1.26)</f>
        <v>1.26</v>
      </c>
      <c r="G4436" s="9">
        <f>IFERROR(__xludf.DUMMYFUNCTION("""COMPUTED_VALUE"""),1.26)</f>
        <v>1.26</v>
      </c>
      <c r="H4436" s="9">
        <f>IFERROR(__xludf.DUMMYFUNCTION("""COMPUTED_VALUE"""),1.0)</f>
        <v>1</v>
      </c>
      <c r="I4436" s="9"/>
      <c r="J4436" s="9"/>
      <c r="K4436" s="9"/>
      <c r="L4436" s="9"/>
      <c r="M4436" s="9"/>
      <c r="N4436" s="9"/>
      <c r="O4436" s="9"/>
      <c r="P4436" s="9"/>
      <c r="Q4436" s="9"/>
      <c r="R4436" s="9"/>
      <c r="S4436" s="9"/>
      <c r="T4436" s="9"/>
    </row>
    <row r="4437" ht="15.75" customHeight="1">
      <c r="A4437" s="11">
        <f>IFERROR(__xludf.DUMMYFUNCTION("""COMPUTED_VALUE"""),44471.0)</f>
        <v>44471</v>
      </c>
      <c r="B4437" s="9">
        <f>IFERROR(__xludf.DUMMYFUNCTION("""COMPUTED_VALUE"""),1003922.0)</f>
        <v>1003922</v>
      </c>
      <c r="C4437" s="9">
        <f>IFERROR(__xludf.DUMMYFUNCTION("""COMPUTED_VALUE"""),140597.0)</f>
        <v>140597</v>
      </c>
      <c r="D4437" s="9"/>
      <c r="E4437" s="9"/>
      <c r="F4437" s="9">
        <f>IFERROR(__xludf.DUMMYFUNCTION("""COMPUTED_VALUE"""),1.39)</f>
        <v>1.39</v>
      </c>
      <c r="G4437" s="9">
        <f>IFERROR(__xludf.DUMMYFUNCTION("""COMPUTED_VALUE"""),1.39)</f>
        <v>1.39</v>
      </c>
      <c r="H4437" s="9">
        <f>IFERROR(__xludf.DUMMYFUNCTION("""COMPUTED_VALUE"""),1.0)</f>
        <v>1</v>
      </c>
      <c r="I4437" s="9"/>
      <c r="J4437" s="9"/>
      <c r="K4437" s="9"/>
      <c r="L4437" s="9"/>
      <c r="M4437" s="9"/>
      <c r="N4437" s="9"/>
      <c r="O4437" s="9"/>
      <c r="P4437" s="9"/>
      <c r="Q4437" s="9"/>
      <c r="R4437" s="9"/>
      <c r="S4437" s="9"/>
      <c r="T4437" s="9"/>
    </row>
    <row r="4438" ht="15.75" customHeight="1">
      <c r="A4438" s="11">
        <f>IFERROR(__xludf.DUMMYFUNCTION("""COMPUTED_VALUE"""),44471.0)</f>
        <v>44471</v>
      </c>
      <c r="B4438" s="9">
        <f>IFERROR(__xludf.DUMMYFUNCTION("""COMPUTED_VALUE"""),1003922.0)</f>
        <v>1003922</v>
      </c>
      <c r="C4438" s="9">
        <f>IFERROR(__xludf.DUMMYFUNCTION("""COMPUTED_VALUE"""),101782.0)</f>
        <v>101782</v>
      </c>
      <c r="D4438" s="9"/>
      <c r="E4438" s="9"/>
      <c r="F4438" s="9">
        <f>IFERROR(__xludf.DUMMYFUNCTION("""COMPUTED_VALUE"""),1.52)</f>
        <v>1.52</v>
      </c>
      <c r="G4438" s="9">
        <f>IFERROR(__xludf.DUMMYFUNCTION("""COMPUTED_VALUE"""),1.52)</f>
        <v>1.52</v>
      </c>
      <c r="H4438" s="9">
        <f>IFERROR(__xludf.DUMMYFUNCTION("""COMPUTED_VALUE"""),1.0)</f>
        <v>1</v>
      </c>
      <c r="I4438" s="9"/>
      <c r="J4438" s="9"/>
      <c r="K4438" s="9"/>
      <c r="L4438" s="9"/>
      <c r="M4438" s="9"/>
      <c r="N4438" s="9"/>
      <c r="O4438" s="9"/>
      <c r="P4438" s="9"/>
      <c r="Q4438" s="9"/>
      <c r="R4438" s="9"/>
      <c r="S4438" s="9"/>
      <c r="T4438" s="9"/>
    </row>
    <row r="4439" ht="15.75" customHeight="1">
      <c r="A4439" s="11">
        <f>IFERROR(__xludf.DUMMYFUNCTION("""COMPUTED_VALUE"""),44471.0)</f>
        <v>44471</v>
      </c>
      <c r="B4439" s="9">
        <f>IFERROR(__xludf.DUMMYFUNCTION("""COMPUTED_VALUE"""),1003922.0)</f>
        <v>1003922</v>
      </c>
      <c r="C4439" s="9">
        <f>IFERROR(__xludf.DUMMYFUNCTION("""COMPUTED_VALUE"""),122229.0)</f>
        <v>122229</v>
      </c>
      <c r="D4439" s="9"/>
      <c r="E4439" s="9"/>
      <c r="F4439" s="9">
        <f>IFERROR(__xludf.DUMMYFUNCTION("""COMPUTED_VALUE"""),1.34)</f>
        <v>1.34</v>
      </c>
      <c r="G4439" s="9">
        <f>IFERROR(__xludf.DUMMYFUNCTION("""COMPUTED_VALUE"""),1.34)</f>
        <v>1.34</v>
      </c>
      <c r="H4439" s="9">
        <f>IFERROR(__xludf.DUMMYFUNCTION("""COMPUTED_VALUE"""),1.0)</f>
        <v>1</v>
      </c>
      <c r="I4439" s="9"/>
      <c r="J4439" s="9"/>
      <c r="K4439" s="9"/>
      <c r="L4439" s="9"/>
      <c r="M4439" s="9"/>
      <c r="N4439" s="9"/>
      <c r="O4439" s="9"/>
      <c r="P4439" s="9"/>
      <c r="Q4439" s="9"/>
      <c r="R4439" s="9"/>
      <c r="S4439" s="9"/>
      <c r="T4439" s="9"/>
    </row>
    <row r="4440" ht="15.75" customHeight="1">
      <c r="A4440" s="11">
        <f>IFERROR(__xludf.DUMMYFUNCTION("""COMPUTED_VALUE"""),44471.0)</f>
        <v>44471</v>
      </c>
      <c r="B4440" s="9">
        <f>IFERROR(__xludf.DUMMYFUNCTION("""COMPUTED_VALUE"""),1003922.0)</f>
        <v>1003922</v>
      </c>
      <c r="C4440" s="9">
        <f>IFERROR(__xludf.DUMMYFUNCTION("""COMPUTED_VALUE"""),9505.0)</f>
        <v>9505</v>
      </c>
      <c r="D4440" s="9"/>
      <c r="E4440" s="9"/>
      <c r="F4440" s="9">
        <f>IFERROR(__xludf.DUMMYFUNCTION("""COMPUTED_VALUE"""),2.56)</f>
        <v>2.56</v>
      </c>
      <c r="G4440" s="9">
        <f>IFERROR(__xludf.DUMMYFUNCTION("""COMPUTED_VALUE"""),2.56)</f>
        <v>2.56</v>
      </c>
      <c r="H4440" s="9">
        <f>IFERROR(__xludf.DUMMYFUNCTION("""COMPUTED_VALUE"""),1.0)</f>
        <v>1</v>
      </c>
      <c r="I4440" s="9"/>
      <c r="J4440" s="9"/>
      <c r="K4440" s="9"/>
      <c r="L4440" s="9"/>
      <c r="M4440" s="9"/>
      <c r="N4440" s="9"/>
      <c r="O4440" s="9"/>
      <c r="P4440" s="9"/>
      <c r="Q4440" s="9"/>
      <c r="R4440" s="9"/>
      <c r="S4440" s="9"/>
      <c r="T4440" s="9"/>
    </row>
    <row r="4441" ht="15.75" customHeight="1">
      <c r="A4441" s="11">
        <f>IFERROR(__xludf.DUMMYFUNCTION("""COMPUTED_VALUE"""),44471.0)</f>
        <v>44471</v>
      </c>
      <c r="B4441" s="9">
        <f>IFERROR(__xludf.DUMMYFUNCTION("""COMPUTED_VALUE"""),1003922.0)</f>
        <v>1003922</v>
      </c>
      <c r="C4441" s="9">
        <f>IFERROR(__xludf.DUMMYFUNCTION("""COMPUTED_VALUE"""),83092.0)</f>
        <v>83092</v>
      </c>
      <c r="D4441" s="9"/>
      <c r="E4441" s="9"/>
      <c r="F4441" s="9">
        <f>IFERROR(__xludf.DUMMYFUNCTION("""COMPUTED_VALUE"""),2.81)</f>
        <v>2.81</v>
      </c>
      <c r="G4441" s="9">
        <f>IFERROR(__xludf.DUMMYFUNCTION("""COMPUTED_VALUE"""),2.81)</f>
        <v>2.81</v>
      </c>
      <c r="H4441" s="9">
        <f>IFERROR(__xludf.DUMMYFUNCTION("""COMPUTED_VALUE"""),1.0)</f>
        <v>1</v>
      </c>
      <c r="I4441" s="9"/>
      <c r="J4441" s="9"/>
      <c r="K4441" s="9"/>
      <c r="L4441" s="9"/>
      <c r="M4441" s="9"/>
      <c r="N4441" s="9"/>
      <c r="O4441" s="9"/>
      <c r="P4441" s="9"/>
      <c r="Q4441" s="9"/>
      <c r="R4441" s="9"/>
      <c r="S4441" s="9"/>
      <c r="T4441" s="9"/>
    </row>
    <row r="4442" ht="15.75" customHeight="1">
      <c r="A4442" s="11">
        <f>IFERROR(__xludf.DUMMYFUNCTION("""COMPUTED_VALUE"""),44471.0)</f>
        <v>44471</v>
      </c>
      <c r="B4442" s="9">
        <f>IFERROR(__xludf.DUMMYFUNCTION("""COMPUTED_VALUE"""),1003922.0)</f>
        <v>1003922</v>
      </c>
      <c r="C4442" s="9">
        <f>IFERROR(__xludf.DUMMYFUNCTION("""COMPUTED_VALUE"""),112322.0)</f>
        <v>112322</v>
      </c>
      <c r="D4442" s="9"/>
      <c r="E4442" s="9"/>
      <c r="F4442" s="9">
        <f>IFERROR(__xludf.DUMMYFUNCTION("""COMPUTED_VALUE"""),1.28)</f>
        <v>1.28</v>
      </c>
      <c r="G4442" s="9">
        <f>IFERROR(__xludf.DUMMYFUNCTION("""COMPUTED_VALUE"""),1.28)</f>
        <v>1.28</v>
      </c>
      <c r="H4442" s="9">
        <f>IFERROR(__xludf.DUMMYFUNCTION("""COMPUTED_VALUE"""),1.0)</f>
        <v>1</v>
      </c>
      <c r="I4442" s="9"/>
      <c r="J4442" s="9"/>
      <c r="K4442" s="9"/>
      <c r="L4442" s="9"/>
      <c r="M4442" s="9"/>
      <c r="N4442" s="9"/>
      <c r="O4442" s="9"/>
      <c r="P4442" s="9"/>
      <c r="Q4442" s="9"/>
      <c r="R4442" s="9"/>
      <c r="S4442" s="9"/>
      <c r="T4442" s="9"/>
    </row>
    <row r="4443" ht="15.75" customHeight="1">
      <c r="A4443" s="11">
        <f>IFERROR(__xludf.DUMMYFUNCTION("""COMPUTED_VALUE"""),44471.0)</f>
        <v>44471</v>
      </c>
      <c r="B4443" s="9">
        <f>IFERROR(__xludf.DUMMYFUNCTION("""COMPUTED_VALUE"""),1003922.0)</f>
        <v>1003922</v>
      </c>
      <c r="C4443" s="9">
        <f>IFERROR(__xludf.DUMMYFUNCTION("""COMPUTED_VALUE"""),112319.0)</f>
        <v>112319</v>
      </c>
      <c r="D4443" s="9"/>
      <c r="E4443" s="9"/>
      <c r="F4443" s="9">
        <f>IFERROR(__xludf.DUMMYFUNCTION("""COMPUTED_VALUE"""),1.28)</f>
        <v>1.28</v>
      </c>
      <c r="G4443" s="9">
        <f>IFERROR(__xludf.DUMMYFUNCTION("""COMPUTED_VALUE"""),1.28)</f>
        <v>1.28</v>
      </c>
      <c r="H4443" s="9">
        <f>IFERROR(__xludf.DUMMYFUNCTION("""COMPUTED_VALUE"""),1.0)</f>
        <v>1</v>
      </c>
      <c r="I4443" s="9"/>
      <c r="J4443" s="9"/>
      <c r="K4443" s="9"/>
      <c r="L4443" s="9"/>
      <c r="M4443" s="9"/>
      <c r="N4443" s="9"/>
      <c r="O4443" s="9"/>
      <c r="P4443" s="9"/>
      <c r="Q4443" s="9"/>
      <c r="R4443" s="9"/>
      <c r="S4443" s="9"/>
      <c r="T4443" s="9"/>
    </row>
    <row r="4444" ht="15.75" customHeight="1">
      <c r="A4444" s="11">
        <f>IFERROR(__xludf.DUMMYFUNCTION("""COMPUTED_VALUE"""),44471.0)</f>
        <v>44471</v>
      </c>
      <c r="B4444" s="9">
        <f>IFERROR(__xludf.DUMMYFUNCTION("""COMPUTED_VALUE"""),1003922.0)</f>
        <v>1003922</v>
      </c>
      <c r="C4444" s="9">
        <f>IFERROR(__xludf.DUMMYFUNCTION("""COMPUTED_VALUE"""),78904.0)</f>
        <v>78904</v>
      </c>
      <c r="D4444" s="10" t="str">
        <f>IFERROR(__xludf.DUMMYFUNCTION("""COMPUTED_VALUE"""),"Vive le bio")</f>
        <v>Vive le bio</v>
      </c>
      <c r="E4444" s="10"/>
      <c r="F4444" s="9">
        <f>IFERROR(__xludf.DUMMYFUNCTION("""COMPUTED_VALUE"""),8.67368421052631)</f>
        <v>8.673684211</v>
      </c>
      <c r="G4444" s="9">
        <f>IFERROR(__xludf.DUMMYFUNCTION("""COMPUTED_VALUE"""),8.24)</f>
        <v>8.24</v>
      </c>
      <c r="H4444" s="9">
        <f>IFERROR(__xludf.DUMMYFUNCTION("""COMPUTED_VALUE"""),1.0)</f>
        <v>1</v>
      </c>
      <c r="I4444" s="9"/>
      <c r="J4444" s="9"/>
      <c r="K4444" s="9"/>
      <c r="L4444" s="9"/>
      <c r="M4444" s="9"/>
      <c r="N4444" s="9"/>
      <c r="O4444" s="9"/>
      <c r="P4444" s="9"/>
      <c r="Q4444" s="9"/>
      <c r="R4444" s="9"/>
      <c r="S4444" s="9"/>
      <c r="T4444" s="9"/>
    </row>
    <row r="4445" ht="15.75" customHeight="1">
      <c r="A4445" s="11">
        <f>IFERROR(__xludf.DUMMYFUNCTION("""COMPUTED_VALUE"""),44471.0)</f>
        <v>44471</v>
      </c>
      <c r="B4445" s="9">
        <f>IFERROR(__xludf.DUMMYFUNCTION("""COMPUTED_VALUE"""),1003922.0)</f>
        <v>1003922</v>
      </c>
      <c r="C4445" s="9">
        <f>IFERROR(__xludf.DUMMYFUNCTION("""COMPUTED_VALUE"""),112449.0)</f>
        <v>112449</v>
      </c>
      <c r="D4445" s="10" t="str">
        <f>IFERROR(__xludf.DUMMYFUNCTION("""COMPUTED_VALUE"""),"Offre speciale")</f>
        <v>Offre speciale</v>
      </c>
      <c r="E4445" s="10"/>
      <c r="F4445" s="9">
        <f>IFERROR(__xludf.DUMMYFUNCTION("""COMPUTED_VALUE"""),3.07058823529411)</f>
        <v>3.070588235</v>
      </c>
      <c r="G4445" s="9">
        <f>IFERROR(__xludf.DUMMYFUNCTION("""COMPUTED_VALUE"""),2.61)</f>
        <v>2.61</v>
      </c>
      <c r="H4445" s="9">
        <f>IFERROR(__xludf.DUMMYFUNCTION("""COMPUTED_VALUE"""),1.0)</f>
        <v>1</v>
      </c>
      <c r="I4445" s="9"/>
      <c r="J4445" s="9"/>
      <c r="K4445" s="9"/>
      <c r="L4445" s="9"/>
      <c r="M4445" s="9"/>
      <c r="N4445" s="9"/>
      <c r="O4445" s="9"/>
      <c r="P4445" s="9"/>
      <c r="Q4445" s="9"/>
      <c r="R4445" s="9"/>
      <c r="S4445" s="9"/>
      <c r="T4445" s="9"/>
    </row>
    <row r="4446" ht="15.75" customHeight="1">
      <c r="A4446" s="11">
        <f>IFERROR(__xludf.DUMMYFUNCTION("""COMPUTED_VALUE"""),44471.0)</f>
        <v>44471</v>
      </c>
      <c r="B4446" s="9">
        <f>IFERROR(__xludf.DUMMYFUNCTION("""COMPUTED_VALUE"""),1003922.0)</f>
        <v>1003922</v>
      </c>
      <c r="C4446" s="9">
        <f>IFERROR(__xludf.DUMMYFUNCTION("""COMPUTED_VALUE"""),41029.0)</f>
        <v>41029</v>
      </c>
      <c r="D4446" s="10" t="str">
        <f>IFERROR(__xludf.DUMMYFUNCTION("""COMPUTED_VALUE"""),"Vive le bio")</f>
        <v>Vive le bio</v>
      </c>
      <c r="E4446" s="10"/>
      <c r="F4446" s="9">
        <f>IFERROR(__xludf.DUMMYFUNCTION("""COMPUTED_VALUE"""),2.68421052631578)</f>
        <v>2.684210526</v>
      </c>
      <c r="G4446" s="9">
        <f>IFERROR(__xludf.DUMMYFUNCTION("""COMPUTED_VALUE"""),2.55)</f>
        <v>2.55</v>
      </c>
      <c r="H4446" s="9">
        <f>IFERROR(__xludf.DUMMYFUNCTION("""COMPUTED_VALUE"""),1.0)</f>
        <v>1</v>
      </c>
      <c r="I4446" s="9"/>
      <c r="J4446" s="9"/>
      <c r="K4446" s="9"/>
      <c r="L4446" s="9"/>
      <c r="M4446" s="9"/>
      <c r="N4446" s="9"/>
      <c r="O4446" s="9"/>
      <c r="P4446" s="9"/>
      <c r="Q4446" s="9"/>
      <c r="R4446" s="9"/>
      <c r="S4446" s="9"/>
      <c r="T4446" s="9"/>
    </row>
    <row r="4447" ht="15.75" customHeight="1">
      <c r="A4447" s="11">
        <f>IFERROR(__xludf.DUMMYFUNCTION("""COMPUTED_VALUE"""),44471.0)</f>
        <v>44471</v>
      </c>
      <c r="B4447" s="9">
        <f>IFERROR(__xludf.DUMMYFUNCTION("""COMPUTED_VALUE"""),1003922.0)</f>
        <v>1003922</v>
      </c>
      <c r="C4447" s="9">
        <f>IFERROR(__xludf.DUMMYFUNCTION("""COMPUTED_VALUE"""),114936.0)</f>
        <v>114936</v>
      </c>
      <c r="D4447" s="9"/>
      <c r="E4447" s="9"/>
      <c r="F4447" s="9">
        <f>IFERROR(__xludf.DUMMYFUNCTION("""COMPUTED_VALUE"""),1.29)</f>
        <v>1.29</v>
      </c>
      <c r="G4447" s="9">
        <f>IFERROR(__xludf.DUMMYFUNCTION("""COMPUTED_VALUE"""),1.29)</f>
        <v>1.29</v>
      </c>
      <c r="H4447" s="9">
        <f>IFERROR(__xludf.DUMMYFUNCTION("""COMPUTED_VALUE"""),1.0)</f>
        <v>1</v>
      </c>
      <c r="I4447" s="9"/>
      <c r="J4447" s="9"/>
      <c r="K4447" s="9"/>
      <c r="L4447" s="9"/>
      <c r="M4447" s="9"/>
      <c r="N4447" s="9"/>
      <c r="O4447" s="9"/>
      <c r="P4447" s="9"/>
      <c r="Q4447" s="9"/>
      <c r="R4447" s="9"/>
      <c r="S4447" s="9"/>
      <c r="T4447" s="9"/>
    </row>
    <row r="4448" ht="15.75" customHeight="1">
      <c r="A4448" s="11">
        <f>IFERROR(__xludf.DUMMYFUNCTION("""COMPUTED_VALUE"""),44471.0)</f>
        <v>44471</v>
      </c>
      <c r="B4448" s="9">
        <f>IFERROR(__xludf.DUMMYFUNCTION("""COMPUTED_VALUE"""),1003922.0)</f>
        <v>1003922</v>
      </c>
      <c r="C4448" s="9">
        <f>IFERROR(__xludf.DUMMYFUNCTION("""COMPUTED_VALUE"""),124709.0)</f>
        <v>124709</v>
      </c>
      <c r="D4448" s="9"/>
      <c r="E4448" s="9"/>
      <c r="F4448" s="9">
        <f>IFERROR(__xludf.DUMMYFUNCTION("""COMPUTED_VALUE"""),0.99)</f>
        <v>0.99</v>
      </c>
      <c r="G4448" s="9">
        <f>IFERROR(__xludf.DUMMYFUNCTION("""COMPUTED_VALUE"""),0.99)</f>
        <v>0.99</v>
      </c>
      <c r="H4448" s="9">
        <f>IFERROR(__xludf.DUMMYFUNCTION("""COMPUTED_VALUE"""),1.0)</f>
        <v>1</v>
      </c>
      <c r="I4448" s="9"/>
      <c r="J4448" s="9"/>
      <c r="K4448" s="9"/>
      <c r="L4448" s="9"/>
      <c r="M4448" s="9"/>
      <c r="N4448" s="9"/>
      <c r="O4448" s="9"/>
      <c r="P4448" s="9"/>
      <c r="Q4448" s="9"/>
      <c r="R4448" s="9"/>
      <c r="S4448" s="9"/>
      <c r="T4448" s="9"/>
    </row>
    <row r="4449" ht="15.75" customHeight="1">
      <c r="A4449" s="11">
        <f>IFERROR(__xludf.DUMMYFUNCTION("""COMPUTED_VALUE"""),44471.0)</f>
        <v>44471</v>
      </c>
      <c r="B4449" s="9">
        <f>IFERROR(__xludf.DUMMYFUNCTION("""COMPUTED_VALUE"""),1003922.0)</f>
        <v>1003922</v>
      </c>
      <c r="C4449" s="9">
        <f>IFERROR(__xludf.DUMMYFUNCTION("""COMPUTED_VALUE"""),86191.0)</f>
        <v>86191</v>
      </c>
      <c r="D4449" s="9"/>
      <c r="E4449" s="9"/>
      <c r="F4449" s="9">
        <f>IFERROR(__xludf.DUMMYFUNCTION("""COMPUTED_VALUE"""),2.34)</f>
        <v>2.34</v>
      </c>
      <c r="G4449" s="9">
        <f>IFERROR(__xludf.DUMMYFUNCTION("""COMPUTED_VALUE"""),2.34)</f>
        <v>2.34</v>
      </c>
      <c r="H4449" s="9">
        <f>IFERROR(__xludf.DUMMYFUNCTION("""COMPUTED_VALUE"""),1.0)</f>
        <v>1</v>
      </c>
      <c r="I4449" s="9"/>
      <c r="J4449" s="9"/>
      <c r="K4449" s="9"/>
      <c r="L4449" s="9"/>
      <c r="M4449" s="9"/>
      <c r="N4449" s="9"/>
      <c r="O4449" s="9"/>
      <c r="P4449" s="9"/>
      <c r="Q4449" s="9"/>
      <c r="R4449" s="9"/>
      <c r="S4449" s="9"/>
      <c r="T4449" s="9"/>
    </row>
    <row r="4450" ht="15.75" customHeight="1">
      <c r="A4450" s="11">
        <f>IFERROR(__xludf.DUMMYFUNCTION("""COMPUTED_VALUE"""),44471.0)</f>
        <v>44471</v>
      </c>
      <c r="B4450" s="9">
        <f>IFERROR(__xludf.DUMMYFUNCTION("""COMPUTED_VALUE"""),1003922.0)</f>
        <v>1003922</v>
      </c>
      <c r="C4450" s="9">
        <f>IFERROR(__xludf.DUMMYFUNCTION("""COMPUTED_VALUE"""),41030.0)</f>
        <v>41030</v>
      </c>
      <c r="D4450" s="9"/>
      <c r="E4450" s="9"/>
      <c r="F4450" s="9">
        <f>IFERROR(__xludf.DUMMYFUNCTION("""COMPUTED_VALUE"""),2.84)</f>
        <v>2.84</v>
      </c>
      <c r="G4450" s="9">
        <f>IFERROR(__xludf.DUMMYFUNCTION("""COMPUTED_VALUE"""),2.84)</f>
        <v>2.84</v>
      </c>
      <c r="H4450" s="9">
        <f>IFERROR(__xludf.DUMMYFUNCTION("""COMPUTED_VALUE"""),1.0)</f>
        <v>1</v>
      </c>
      <c r="I4450" s="9"/>
      <c r="J4450" s="9"/>
      <c r="K4450" s="9"/>
      <c r="L4450" s="9"/>
      <c r="M4450" s="9"/>
      <c r="N4450" s="9"/>
      <c r="O4450" s="9"/>
      <c r="P4450" s="9"/>
      <c r="Q4450" s="9"/>
      <c r="R4450" s="9"/>
      <c r="S4450" s="9"/>
      <c r="T4450" s="9"/>
    </row>
    <row r="4451" ht="15.75" customHeight="1">
      <c r="A4451" s="11">
        <f>IFERROR(__xludf.DUMMYFUNCTION("""COMPUTED_VALUE"""),44471.0)</f>
        <v>44471</v>
      </c>
      <c r="B4451" s="9">
        <f>IFERROR(__xludf.DUMMYFUNCTION("""COMPUTED_VALUE"""),1003922.0)</f>
        <v>1003922</v>
      </c>
      <c r="C4451" s="9">
        <f>IFERROR(__xludf.DUMMYFUNCTION("""COMPUTED_VALUE"""),120256.0)</f>
        <v>120256</v>
      </c>
      <c r="D4451" s="9"/>
      <c r="E4451" s="9"/>
      <c r="F4451" s="9">
        <f>IFERROR(__xludf.DUMMYFUNCTION("""COMPUTED_VALUE"""),1.42)</f>
        <v>1.42</v>
      </c>
      <c r="G4451" s="9">
        <f>IFERROR(__xludf.DUMMYFUNCTION("""COMPUTED_VALUE"""),1.42)</f>
        <v>1.42</v>
      </c>
      <c r="H4451" s="9">
        <f>IFERROR(__xludf.DUMMYFUNCTION("""COMPUTED_VALUE"""),1.0)</f>
        <v>1</v>
      </c>
      <c r="I4451" s="9"/>
      <c r="J4451" s="9"/>
      <c r="K4451" s="9"/>
      <c r="L4451" s="9"/>
      <c r="M4451" s="9"/>
      <c r="N4451" s="9"/>
      <c r="O4451" s="9"/>
      <c r="P4451" s="9"/>
      <c r="Q4451" s="9"/>
      <c r="R4451" s="9"/>
      <c r="S4451" s="9"/>
      <c r="T4451" s="9"/>
    </row>
    <row r="4452" ht="15.75" customHeight="1">
      <c r="A4452" s="11">
        <f>IFERROR(__xludf.DUMMYFUNCTION("""COMPUTED_VALUE"""),44471.0)</f>
        <v>44471</v>
      </c>
      <c r="B4452" s="9">
        <f>IFERROR(__xludf.DUMMYFUNCTION("""COMPUTED_VALUE"""),1003922.0)</f>
        <v>1003922</v>
      </c>
      <c r="C4452" s="9">
        <f>IFERROR(__xludf.DUMMYFUNCTION("""COMPUTED_VALUE"""),116805.0)</f>
        <v>116805</v>
      </c>
      <c r="D4452" s="9"/>
      <c r="E4452" s="9"/>
      <c r="F4452" s="9">
        <f>IFERROR(__xludf.DUMMYFUNCTION("""COMPUTED_VALUE"""),1.67)</f>
        <v>1.67</v>
      </c>
      <c r="G4452" s="9">
        <f>IFERROR(__xludf.DUMMYFUNCTION("""COMPUTED_VALUE"""),1.67)</f>
        <v>1.67</v>
      </c>
      <c r="H4452" s="9">
        <f>IFERROR(__xludf.DUMMYFUNCTION("""COMPUTED_VALUE"""),1.0)</f>
        <v>1</v>
      </c>
      <c r="I4452" s="9"/>
      <c r="J4452" s="9"/>
      <c r="K4452" s="9"/>
      <c r="L4452" s="9"/>
      <c r="M4452" s="9"/>
      <c r="N4452" s="9"/>
      <c r="O4452" s="9"/>
      <c r="P4452" s="9"/>
      <c r="Q4452" s="9"/>
      <c r="R4452" s="9"/>
      <c r="S4452" s="9"/>
      <c r="T4452" s="9"/>
    </row>
    <row r="4453" ht="15.75" customHeight="1">
      <c r="A4453" s="11">
        <f>IFERROR(__xludf.DUMMYFUNCTION("""COMPUTED_VALUE"""),44471.0)</f>
        <v>44471</v>
      </c>
      <c r="B4453" s="9">
        <f>IFERROR(__xludf.DUMMYFUNCTION("""COMPUTED_VALUE"""),1003922.0)</f>
        <v>1003922</v>
      </c>
      <c r="C4453" s="9">
        <f>IFERROR(__xludf.DUMMYFUNCTION("""COMPUTED_VALUE"""),110083.0)</f>
        <v>110083</v>
      </c>
      <c r="D4453" s="9"/>
      <c r="E4453" s="9"/>
      <c r="F4453" s="9">
        <f>IFERROR(__xludf.DUMMYFUNCTION("""COMPUTED_VALUE"""),1.92)</f>
        <v>1.92</v>
      </c>
      <c r="G4453" s="9">
        <f>IFERROR(__xludf.DUMMYFUNCTION("""COMPUTED_VALUE"""),1.92)</f>
        <v>1.92</v>
      </c>
      <c r="H4453" s="9">
        <f>IFERROR(__xludf.DUMMYFUNCTION("""COMPUTED_VALUE"""),1.0)</f>
        <v>1</v>
      </c>
      <c r="I4453" s="9"/>
      <c r="J4453" s="9"/>
      <c r="K4453" s="9"/>
      <c r="L4453" s="9"/>
      <c r="M4453" s="9"/>
      <c r="N4453" s="9"/>
      <c r="O4453" s="9"/>
      <c r="P4453" s="9"/>
      <c r="Q4453" s="9"/>
      <c r="R4453" s="9"/>
      <c r="S4453" s="9"/>
      <c r="T4453" s="9"/>
    </row>
    <row r="4454" ht="15.75" customHeight="1">
      <c r="A4454" s="11">
        <f>IFERROR(__xludf.DUMMYFUNCTION("""COMPUTED_VALUE"""),44471.0)</f>
        <v>44471</v>
      </c>
      <c r="B4454" s="9">
        <f>IFERROR(__xludf.DUMMYFUNCTION("""COMPUTED_VALUE"""),1003922.0)</f>
        <v>1003922</v>
      </c>
      <c r="C4454" s="9">
        <f>IFERROR(__xludf.DUMMYFUNCTION("""COMPUTED_VALUE"""),75766.0)</f>
        <v>75766</v>
      </c>
      <c r="D4454" s="9"/>
      <c r="E4454" s="9"/>
      <c r="F4454" s="9">
        <f>IFERROR(__xludf.DUMMYFUNCTION("""COMPUTED_VALUE"""),1.05)</f>
        <v>1.05</v>
      </c>
      <c r="G4454" s="9">
        <f>IFERROR(__xludf.DUMMYFUNCTION("""COMPUTED_VALUE"""),1.05)</f>
        <v>1.05</v>
      </c>
      <c r="H4454" s="9">
        <f>IFERROR(__xludf.DUMMYFUNCTION("""COMPUTED_VALUE"""),1.0)</f>
        <v>1</v>
      </c>
      <c r="I4454" s="9"/>
      <c r="J4454" s="9"/>
      <c r="K4454" s="9"/>
      <c r="L4454" s="9"/>
      <c r="M4454" s="9"/>
      <c r="N4454" s="9"/>
      <c r="O4454" s="9"/>
      <c r="P4454" s="9"/>
      <c r="Q4454" s="9"/>
      <c r="R4454" s="9"/>
      <c r="S4454" s="9"/>
      <c r="T4454" s="9"/>
    </row>
    <row r="4455" ht="15.75" customHeight="1">
      <c r="A4455" s="11">
        <f>IFERROR(__xludf.DUMMYFUNCTION("""COMPUTED_VALUE"""),44471.0)</f>
        <v>44471</v>
      </c>
      <c r="B4455" s="9">
        <f>IFERROR(__xludf.DUMMYFUNCTION("""COMPUTED_VALUE"""),1003922.0)</f>
        <v>1003922</v>
      </c>
      <c r="C4455" s="9">
        <f>IFERROR(__xludf.DUMMYFUNCTION("""COMPUTED_VALUE"""),110765.0)</f>
        <v>110765</v>
      </c>
      <c r="D4455" s="9"/>
      <c r="E4455" s="9"/>
      <c r="F4455" s="9">
        <f>IFERROR(__xludf.DUMMYFUNCTION("""COMPUTED_VALUE"""),2.53)</f>
        <v>2.53</v>
      </c>
      <c r="G4455" s="9">
        <f>IFERROR(__xludf.DUMMYFUNCTION("""COMPUTED_VALUE"""),2.53)</f>
        <v>2.53</v>
      </c>
      <c r="H4455" s="9">
        <f>IFERROR(__xludf.DUMMYFUNCTION("""COMPUTED_VALUE"""),2.0)</f>
        <v>2</v>
      </c>
      <c r="I4455" s="9"/>
      <c r="J4455" s="9"/>
      <c r="K4455" s="9"/>
      <c r="L4455" s="9"/>
      <c r="M4455" s="9"/>
      <c r="N4455" s="9"/>
      <c r="O4455" s="9"/>
      <c r="P4455" s="9"/>
      <c r="Q4455" s="9"/>
      <c r="R4455" s="9"/>
      <c r="S4455" s="9"/>
      <c r="T4455" s="9"/>
    </row>
    <row r="4456" ht="15.75" customHeight="1">
      <c r="A4456" s="11">
        <f>IFERROR(__xludf.DUMMYFUNCTION("""COMPUTED_VALUE"""),44471.0)</f>
        <v>44471</v>
      </c>
      <c r="B4456" s="9">
        <f>IFERROR(__xludf.DUMMYFUNCTION("""COMPUTED_VALUE"""),1003922.0)</f>
        <v>1003922</v>
      </c>
      <c r="C4456" s="9">
        <f>IFERROR(__xludf.DUMMYFUNCTION("""COMPUTED_VALUE"""),112855.0)</f>
        <v>112855</v>
      </c>
      <c r="D4456" s="9"/>
      <c r="E4456" s="9"/>
      <c r="F4456" s="9">
        <f>IFERROR(__xludf.DUMMYFUNCTION("""COMPUTED_VALUE"""),2.53)</f>
        <v>2.53</v>
      </c>
      <c r="G4456" s="9">
        <f>IFERROR(__xludf.DUMMYFUNCTION("""COMPUTED_VALUE"""),2.53)</f>
        <v>2.53</v>
      </c>
      <c r="H4456" s="9">
        <f>IFERROR(__xludf.DUMMYFUNCTION("""COMPUTED_VALUE"""),2.0)</f>
        <v>2</v>
      </c>
      <c r="I4456" s="9"/>
      <c r="J4456" s="9"/>
      <c r="K4456" s="9"/>
      <c r="L4456" s="9"/>
      <c r="M4456" s="9"/>
      <c r="N4456" s="9"/>
      <c r="O4456" s="9"/>
      <c r="P4456" s="9"/>
      <c r="Q4456" s="9"/>
      <c r="R4456" s="9"/>
      <c r="S4456" s="9"/>
      <c r="T4456" s="9"/>
    </row>
    <row r="4457" ht="15.75" customHeight="1">
      <c r="A4457" s="11">
        <f>IFERROR(__xludf.DUMMYFUNCTION("""COMPUTED_VALUE"""),44471.0)</f>
        <v>44471</v>
      </c>
      <c r="B4457" s="9">
        <f>IFERROR(__xludf.DUMMYFUNCTION("""COMPUTED_VALUE"""),1003922.0)</f>
        <v>1003922</v>
      </c>
      <c r="C4457" s="9">
        <f>IFERROR(__xludf.DUMMYFUNCTION("""COMPUTED_VALUE"""),112317.0)</f>
        <v>112317</v>
      </c>
      <c r="D4457" s="9"/>
      <c r="E4457" s="9"/>
      <c r="F4457" s="9">
        <f>IFERROR(__xludf.DUMMYFUNCTION("""COMPUTED_VALUE"""),2.53)</f>
        <v>2.53</v>
      </c>
      <c r="G4457" s="9">
        <f>IFERROR(__xludf.DUMMYFUNCTION("""COMPUTED_VALUE"""),2.53)</f>
        <v>2.53</v>
      </c>
      <c r="H4457" s="9">
        <f>IFERROR(__xludf.DUMMYFUNCTION("""COMPUTED_VALUE"""),2.0)</f>
        <v>2</v>
      </c>
      <c r="I4457" s="9"/>
      <c r="J4457" s="9"/>
      <c r="K4457" s="9"/>
      <c r="L4457" s="9"/>
      <c r="M4457" s="9"/>
      <c r="N4457" s="9"/>
      <c r="O4457" s="9"/>
      <c r="P4457" s="9"/>
      <c r="Q4457" s="9"/>
      <c r="R4457" s="9"/>
      <c r="S4457" s="9"/>
      <c r="T4457" s="9"/>
    </row>
    <row r="4458" ht="15.75" customHeight="1">
      <c r="A4458" s="11">
        <f>IFERROR(__xludf.DUMMYFUNCTION("""COMPUTED_VALUE"""),44471.0)</f>
        <v>44471</v>
      </c>
      <c r="B4458" s="9">
        <f>IFERROR(__xludf.DUMMYFUNCTION("""COMPUTED_VALUE"""),1003922.0)</f>
        <v>1003922</v>
      </c>
      <c r="C4458" s="9">
        <f>IFERROR(__xludf.DUMMYFUNCTION("""COMPUTED_VALUE"""),101783.0)</f>
        <v>101783</v>
      </c>
      <c r="D4458" s="10" t="str">
        <f>IFERROR(__xludf.DUMMYFUNCTION("""COMPUTED_VALUE"""),"Vive le bio")</f>
        <v>Vive le bio</v>
      </c>
      <c r="E4458" s="10"/>
      <c r="F4458" s="9">
        <f>IFERROR(__xludf.DUMMYFUNCTION("""COMPUTED_VALUE"""),2.95555555555555)</f>
        <v>2.955555556</v>
      </c>
      <c r="G4458" s="9">
        <f>IFERROR(__xludf.DUMMYFUNCTION("""COMPUTED_VALUE"""),2.66)</f>
        <v>2.66</v>
      </c>
      <c r="H4458" s="9">
        <f>IFERROR(__xludf.DUMMYFUNCTION("""COMPUTED_VALUE"""),2.0)</f>
        <v>2</v>
      </c>
      <c r="I4458" s="9"/>
      <c r="J4458" s="9"/>
      <c r="K4458" s="9"/>
      <c r="L4458" s="9"/>
      <c r="M4458" s="9"/>
      <c r="N4458" s="9"/>
      <c r="O4458" s="9"/>
      <c r="P4458" s="9"/>
      <c r="Q4458" s="9"/>
      <c r="R4458" s="9"/>
      <c r="S4458" s="9"/>
      <c r="T4458" s="9"/>
    </row>
    <row r="4459" ht="15.75" customHeight="1">
      <c r="A4459" s="11">
        <f>IFERROR(__xludf.DUMMYFUNCTION("""COMPUTED_VALUE"""),44471.0)</f>
        <v>44471</v>
      </c>
      <c r="B4459" s="9">
        <f>IFERROR(__xludf.DUMMYFUNCTION("""COMPUTED_VALUE"""),1003922.0)</f>
        <v>1003922</v>
      </c>
      <c r="C4459" s="9">
        <f>IFERROR(__xludf.DUMMYFUNCTION("""COMPUTED_VALUE"""),69756.0)</f>
        <v>69756</v>
      </c>
      <c r="D4459" s="10" t="str">
        <f>IFERROR(__xludf.DUMMYFUNCTION("""COMPUTED_VALUE"""),"Vive le bio")</f>
        <v>Vive le bio</v>
      </c>
      <c r="E4459" s="10"/>
      <c r="F4459" s="9">
        <f>IFERROR(__xludf.DUMMYFUNCTION("""COMPUTED_VALUE"""),2.95555555555555)</f>
        <v>2.955555556</v>
      </c>
      <c r="G4459" s="9">
        <f>IFERROR(__xludf.DUMMYFUNCTION("""COMPUTED_VALUE"""),2.66)</f>
        <v>2.66</v>
      </c>
      <c r="H4459" s="9">
        <f>IFERROR(__xludf.DUMMYFUNCTION("""COMPUTED_VALUE"""),2.0)</f>
        <v>2</v>
      </c>
      <c r="I4459" s="9"/>
      <c r="J4459" s="9"/>
      <c r="K4459" s="9"/>
      <c r="L4459" s="9"/>
      <c r="M4459" s="9"/>
      <c r="N4459" s="9"/>
      <c r="O4459" s="9"/>
      <c r="P4459" s="9"/>
      <c r="Q4459" s="9"/>
      <c r="R4459" s="9"/>
      <c r="S4459" s="9"/>
      <c r="T4459" s="9"/>
    </row>
    <row r="4460" ht="15.75" customHeight="1">
      <c r="A4460" s="11">
        <f>IFERROR(__xludf.DUMMYFUNCTION("""COMPUTED_VALUE"""),44471.0)</f>
        <v>44471</v>
      </c>
      <c r="B4460" s="9">
        <f>IFERROR(__xludf.DUMMYFUNCTION("""COMPUTED_VALUE"""),1003922.0)</f>
        <v>1003922</v>
      </c>
      <c r="C4460" s="9">
        <f>IFERROR(__xludf.DUMMYFUNCTION("""COMPUTED_VALUE"""),109355.0)</f>
        <v>109355</v>
      </c>
      <c r="D4460" s="9"/>
      <c r="E4460" s="9"/>
      <c r="F4460" s="9">
        <f>IFERROR(__xludf.DUMMYFUNCTION("""COMPUTED_VALUE"""),2.96)</f>
        <v>2.96</v>
      </c>
      <c r="G4460" s="9">
        <f>IFERROR(__xludf.DUMMYFUNCTION("""COMPUTED_VALUE"""),2.96)</f>
        <v>2.96</v>
      </c>
      <c r="H4460" s="9">
        <f>IFERROR(__xludf.DUMMYFUNCTION("""COMPUTED_VALUE"""),2.0)</f>
        <v>2</v>
      </c>
      <c r="I4460" s="9"/>
      <c r="J4460" s="9"/>
      <c r="K4460" s="9"/>
      <c r="L4460" s="9"/>
      <c r="M4460" s="9"/>
      <c r="N4460" s="9"/>
      <c r="O4460" s="9"/>
      <c r="P4460" s="9"/>
      <c r="Q4460" s="9"/>
      <c r="R4460" s="9"/>
      <c r="S4460" s="9"/>
      <c r="T4460" s="9"/>
    </row>
    <row r="4461" ht="15.75" customHeight="1">
      <c r="A4461" s="11">
        <f>IFERROR(__xludf.DUMMYFUNCTION("""COMPUTED_VALUE"""),44471.0)</f>
        <v>44471</v>
      </c>
      <c r="B4461" s="9">
        <f>IFERROR(__xludf.DUMMYFUNCTION("""COMPUTED_VALUE"""),1003922.0)</f>
        <v>1003922</v>
      </c>
      <c r="C4461" s="9">
        <f>IFERROR(__xludf.DUMMYFUNCTION("""COMPUTED_VALUE"""),42990.0)</f>
        <v>42990</v>
      </c>
      <c r="D4461" s="9"/>
      <c r="E4461" s="9"/>
      <c r="F4461" s="9">
        <f>IFERROR(__xludf.DUMMYFUNCTION("""COMPUTED_VALUE"""),2.73)</f>
        <v>2.73</v>
      </c>
      <c r="G4461" s="9">
        <f>IFERROR(__xludf.DUMMYFUNCTION("""COMPUTED_VALUE"""),2.73)</f>
        <v>2.73</v>
      </c>
      <c r="H4461" s="9">
        <f>IFERROR(__xludf.DUMMYFUNCTION("""COMPUTED_VALUE"""),2.0)</f>
        <v>2</v>
      </c>
      <c r="I4461" s="9"/>
      <c r="J4461" s="9"/>
      <c r="K4461" s="9"/>
      <c r="L4461" s="9"/>
      <c r="M4461" s="9"/>
      <c r="N4461" s="9"/>
      <c r="O4461" s="9"/>
      <c r="P4461" s="9"/>
      <c r="Q4461" s="9"/>
      <c r="R4461" s="9"/>
      <c r="S4461" s="9"/>
      <c r="T4461" s="9"/>
    </row>
    <row r="4462" ht="15.75" customHeight="1">
      <c r="A4462" s="11">
        <f>IFERROR(__xludf.DUMMYFUNCTION("""COMPUTED_VALUE"""),44471.0)</f>
        <v>44471</v>
      </c>
      <c r="B4462" s="9">
        <f>IFERROR(__xludf.DUMMYFUNCTION("""COMPUTED_VALUE"""),1003922.0)</f>
        <v>1003922</v>
      </c>
      <c r="C4462" s="9">
        <f>IFERROR(__xludf.DUMMYFUNCTION("""COMPUTED_VALUE"""),118484.0)</f>
        <v>118484</v>
      </c>
      <c r="D4462" s="10" t="str">
        <f>IFERROR(__xludf.DUMMYFUNCTION("""COMPUTED_VALUE"""),"Offre speciale")</f>
        <v>Offre speciale</v>
      </c>
      <c r="E4462" s="10"/>
      <c r="F4462" s="9">
        <f>IFERROR(__xludf.DUMMYFUNCTION("""COMPUTED_VALUE"""),14.7666666666666)</f>
        <v>14.76666667</v>
      </c>
      <c r="G4462" s="9">
        <f>IFERROR(__xludf.DUMMYFUNCTION("""COMPUTED_VALUE"""),13.29)</f>
        <v>13.29</v>
      </c>
      <c r="H4462" s="9">
        <f>IFERROR(__xludf.DUMMYFUNCTION("""COMPUTED_VALUE"""),3.0)</f>
        <v>3</v>
      </c>
      <c r="I4462" s="9"/>
      <c r="J4462" s="9"/>
      <c r="K4462" s="9"/>
      <c r="L4462" s="9"/>
      <c r="M4462" s="9"/>
      <c r="N4462" s="9"/>
      <c r="O4462" s="9"/>
      <c r="P4462" s="9"/>
      <c r="Q4462" s="9"/>
      <c r="R4462" s="9"/>
      <c r="S4462" s="9"/>
      <c r="T4462" s="9"/>
    </row>
    <row r="4463" ht="15.75" customHeight="1">
      <c r="A4463" s="11">
        <f>IFERROR(__xludf.DUMMYFUNCTION("""COMPUTED_VALUE"""),44471.0)</f>
        <v>44471</v>
      </c>
      <c r="B4463" s="9">
        <f>IFERROR(__xludf.DUMMYFUNCTION("""COMPUTED_VALUE"""),1003922.0)</f>
        <v>1003922</v>
      </c>
      <c r="C4463" s="9">
        <f>IFERROR(__xludf.DUMMYFUNCTION("""COMPUTED_VALUE"""),112472.0)</f>
        <v>112472</v>
      </c>
      <c r="D4463" s="9"/>
      <c r="E4463" s="9"/>
      <c r="F4463" s="9">
        <f>IFERROR(__xludf.DUMMYFUNCTION("""COMPUTED_VALUE"""),3.85)</f>
        <v>3.85</v>
      </c>
      <c r="G4463" s="9">
        <f>IFERROR(__xludf.DUMMYFUNCTION("""COMPUTED_VALUE"""),3.85)</f>
        <v>3.85</v>
      </c>
      <c r="H4463" s="9">
        <f>IFERROR(__xludf.DUMMYFUNCTION("""COMPUTED_VALUE"""),3.0)</f>
        <v>3</v>
      </c>
      <c r="I4463" s="9"/>
      <c r="J4463" s="9"/>
      <c r="K4463" s="9"/>
      <c r="L4463" s="9"/>
      <c r="M4463" s="9"/>
      <c r="N4463" s="9"/>
      <c r="O4463" s="9"/>
      <c r="P4463" s="9"/>
      <c r="Q4463" s="9"/>
      <c r="R4463" s="9"/>
      <c r="S4463" s="9"/>
      <c r="T4463" s="9"/>
    </row>
    <row r="4464" ht="15.75" customHeight="1">
      <c r="A4464" s="11">
        <f>IFERROR(__xludf.DUMMYFUNCTION("""COMPUTED_VALUE"""),44471.0)</f>
        <v>44471</v>
      </c>
      <c r="B4464" s="9">
        <f>IFERROR(__xludf.DUMMYFUNCTION("""COMPUTED_VALUE"""),1003923.0)</f>
        <v>1003923</v>
      </c>
      <c r="C4464" s="9">
        <f>IFERROR(__xludf.DUMMYFUNCTION("""COMPUTED_VALUE"""),6875.0)</f>
        <v>6875</v>
      </c>
      <c r="D4464" s="9"/>
      <c r="E4464" s="9"/>
      <c r="F4464" s="9">
        <f>IFERROR(__xludf.DUMMYFUNCTION("""COMPUTED_VALUE"""),2.64)</f>
        <v>2.64</v>
      </c>
      <c r="G4464" s="9">
        <f>IFERROR(__xludf.DUMMYFUNCTION("""COMPUTED_VALUE"""),2.64)</f>
        <v>2.64</v>
      </c>
      <c r="H4464" s="9">
        <f>IFERROR(__xludf.DUMMYFUNCTION("""COMPUTED_VALUE"""),1.0)</f>
        <v>1</v>
      </c>
      <c r="I4464" s="9"/>
      <c r="J4464" s="9"/>
      <c r="K4464" s="9"/>
      <c r="L4464" s="9"/>
      <c r="M4464" s="9"/>
      <c r="N4464" s="9"/>
      <c r="O4464" s="9"/>
      <c r="P4464" s="9"/>
      <c r="Q4464" s="9"/>
      <c r="R4464" s="9"/>
      <c r="S4464" s="9"/>
      <c r="T4464" s="9"/>
    </row>
    <row r="4465" ht="15.75" customHeight="1">
      <c r="A4465" s="11">
        <f>IFERROR(__xludf.DUMMYFUNCTION("""COMPUTED_VALUE"""),44471.0)</f>
        <v>44471</v>
      </c>
      <c r="B4465" s="9">
        <f>IFERROR(__xludf.DUMMYFUNCTION("""COMPUTED_VALUE"""),1003923.0)</f>
        <v>1003923</v>
      </c>
      <c r="C4465" s="9">
        <f>IFERROR(__xludf.DUMMYFUNCTION("""COMPUTED_VALUE"""),71743.0)</f>
        <v>71743</v>
      </c>
      <c r="D4465" s="9"/>
      <c r="E4465" s="9"/>
      <c r="F4465" s="9">
        <f>IFERROR(__xludf.DUMMYFUNCTION("""COMPUTED_VALUE"""),2.89)</f>
        <v>2.89</v>
      </c>
      <c r="G4465" s="9">
        <f>IFERROR(__xludf.DUMMYFUNCTION("""COMPUTED_VALUE"""),2.89)</f>
        <v>2.89</v>
      </c>
      <c r="H4465" s="9">
        <f>IFERROR(__xludf.DUMMYFUNCTION("""COMPUTED_VALUE"""),1.0)</f>
        <v>1</v>
      </c>
      <c r="I4465" s="9"/>
      <c r="J4465" s="9"/>
      <c r="K4465" s="9"/>
      <c r="L4465" s="9"/>
      <c r="M4465" s="9"/>
      <c r="N4465" s="9"/>
      <c r="O4465" s="9"/>
      <c r="P4465" s="9"/>
      <c r="Q4465" s="9"/>
      <c r="R4465" s="9"/>
      <c r="S4465" s="9"/>
      <c r="T4465" s="9"/>
    </row>
    <row r="4466" ht="15.75" customHeight="1">
      <c r="A4466" s="11">
        <f>IFERROR(__xludf.DUMMYFUNCTION("""COMPUTED_VALUE"""),44471.0)</f>
        <v>44471</v>
      </c>
      <c r="B4466" s="9">
        <f>IFERROR(__xludf.DUMMYFUNCTION("""COMPUTED_VALUE"""),1003923.0)</f>
        <v>1003923</v>
      </c>
      <c r="C4466" s="9">
        <f>IFERROR(__xludf.DUMMYFUNCTION("""COMPUTED_VALUE"""),104032.0)</f>
        <v>104032</v>
      </c>
      <c r="D4466" s="9"/>
      <c r="E4466" s="9"/>
      <c r="F4466" s="9">
        <f>IFERROR(__xludf.DUMMYFUNCTION("""COMPUTED_VALUE"""),11.91)</f>
        <v>11.91</v>
      </c>
      <c r="G4466" s="9">
        <f>IFERROR(__xludf.DUMMYFUNCTION("""COMPUTED_VALUE"""),11.91)</f>
        <v>11.91</v>
      </c>
      <c r="H4466" s="9">
        <f>IFERROR(__xludf.DUMMYFUNCTION("""COMPUTED_VALUE"""),1.0)</f>
        <v>1</v>
      </c>
      <c r="I4466" s="9"/>
      <c r="J4466" s="9"/>
      <c r="K4466" s="9"/>
      <c r="L4466" s="9"/>
      <c r="M4466" s="9"/>
      <c r="N4466" s="9"/>
      <c r="O4466" s="9"/>
      <c r="P4466" s="9"/>
      <c r="Q4466" s="9"/>
      <c r="R4466" s="9"/>
      <c r="S4466" s="9"/>
      <c r="T4466" s="9"/>
    </row>
    <row r="4467" ht="15.75" customHeight="1">
      <c r="A4467" s="11">
        <f>IFERROR(__xludf.DUMMYFUNCTION("""COMPUTED_VALUE"""),44471.0)</f>
        <v>44471</v>
      </c>
      <c r="B4467" s="9">
        <f>IFERROR(__xludf.DUMMYFUNCTION("""COMPUTED_VALUE"""),1003923.0)</f>
        <v>1003923</v>
      </c>
      <c r="C4467" s="9">
        <f>IFERROR(__xludf.DUMMYFUNCTION("""COMPUTED_VALUE"""),41981.0)</f>
        <v>41981</v>
      </c>
      <c r="D4467" s="9"/>
      <c r="E4467" s="9"/>
      <c r="F4467" s="9">
        <f>IFERROR(__xludf.DUMMYFUNCTION("""COMPUTED_VALUE"""),2.68)</f>
        <v>2.68</v>
      </c>
      <c r="G4467" s="9">
        <f>IFERROR(__xludf.DUMMYFUNCTION("""COMPUTED_VALUE"""),2.68)</f>
        <v>2.68</v>
      </c>
      <c r="H4467" s="9">
        <f>IFERROR(__xludf.DUMMYFUNCTION("""COMPUTED_VALUE"""),1.0)</f>
        <v>1</v>
      </c>
      <c r="I4467" s="9"/>
      <c r="J4467" s="9"/>
      <c r="K4467" s="9"/>
      <c r="L4467" s="9"/>
      <c r="M4467" s="9"/>
      <c r="N4467" s="9"/>
      <c r="O4467" s="9"/>
      <c r="P4467" s="9"/>
      <c r="Q4467" s="9"/>
      <c r="R4467" s="9"/>
      <c r="S4467" s="9"/>
      <c r="T4467" s="9"/>
    </row>
    <row r="4468" ht="15.75" customHeight="1">
      <c r="A4468" s="11">
        <f>IFERROR(__xludf.DUMMYFUNCTION("""COMPUTED_VALUE"""),44471.0)</f>
        <v>44471</v>
      </c>
      <c r="B4468" s="9">
        <f>IFERROR(__xludf.DUMMYFUNCTION("""COMPUTED_VALUE"""),1003923.0)</f>
        <v>1003923</v>
      </c>
      <c r="C4468" s="9">
        <f>IFERROR(__xludf.DUMMYFUNCTION("""COMPUTED_VALUE"""),110931.0)</f>
        <v>110931</v>
      </c>
      <c r="D4468" s="9"/>
      <c r="E4468" s="9"/>
      <c r="F4468" s="9">
        <f>IFERROR(__xludf.DUMMYFUNCTION("""COMPUTED_VALUE"""),3.32)</f>
        <v>3.32</v>
      </c>
      <c r="G4468" s="9">
        <f>IFERROR(__xludf.DUMMYFUNCTION("""COMPUTED_VALUE"""),3.32)</f>
        <v>3.32</v>
      </c>
      <c r="H4468" s="9">
        <f>IFERROR(__xludf.DUMMYFUNCTION("""COMPUTED_VALUE"""),1.0)</f>
        <v>1</v>
      </c>
      <c r="I4468" s="9"/>
      <c r="J4468" s="9"/>
      <c r="K4468" s="9"/>
      <c r="L4468" s="9"/>
      <c r="M4468" s="9"/>
      <c r="N4468" s="9"/>
      <c r="O4468" s="9"/>
      <c r="P4468" s="9"/>
      <c r="Q4468" s="9"/>
      <c r="R4468" s="9"/>
      <c r="S4468" s="9"/>
      <c r="T4468" s="9"/>
    </row>
    <row r="4469" ht="15.75" customHeight="1">
      <c r="A4469" s="11">
        <f>IFERROR(__xludf.DUMMYFUNCTION("""COMPUTED_VALUE"""),44471.0)</f>
        <v>44471</v>
      </c>
      <c r="B4469" s="9">
        <f>IFERROR(__xludf.DUMMYFUNCTION("""COMPUTED_VALUE"""),1003923.0)</f>
        <v>1003923</v>
      </c>
      <c r="C4469" s="9">
        <f>IFERROR(__xludf.DUMMYFUNCTION("""COMPUTED_VALUE"""),88020.0)</f>
        <v>88020</v>
      </c>
      <c r="D4469" s="9"/>
      <c r="E4469" s="9"/>
      <c r="F4469" s="9">
        <f>IFERROR(__xludf.DUMMYFUNCTION("""COMPUTED_VALUE"""),3.32)</f>
        <v>3.32</v>
      </c>
      <c r="G4469" s="9">
        <f>IFERROR(__xludf.DUMMYFUNCTION("""COMPUTED_VALUE"""),3.32)</f>
        <v>3.32</v>
      </c>
      <c r="H4469" s="9">
        <f>IFERROR(__xludf.DUMMYFUNCTION("""COMPUTED_VALUE"""),1.0)</f>
        <v>1</v>
      </c>
      <c r="I4469" s="9"/>
      <c r="J4469" s="9"/>
      <c r="K4469" s="9"/>
      <c r="L4469" s="9"/>
      <c r="M4469" s="9"/>
      <c r="N4469" s="9"/>
      <c r="O4469" s="9"/>
      <c r="P4469" s="9"/>
      <c r="Q4469" s="9"/>
      <c r="R4469" s="9"/>
      <c r="S4469" s="9"/>
      <c r="T4469" s="9"/>
    </row>
    <row r="4470" ht="15.75" customHeight="1">
      <c r="A4470" s="11">
        <f>IFERROR(__xludf.DUMMYFUNCTION("""COMPUTED_VALUE"""),44471.0)</f>
        <v>44471</v>
      </c>
      <c r="B4470" s="9">
        <f>IFERROR(__xludf.DUMMYFUNCTION("""COMPUTED_VALUE"""),1003923.0)</f>
        <v>1003923</v>
      </c>
      <c r="C4470" s="9">
        <f>IFERROR(__xludf.DUMMYFUNCTION("""COMPUTED_VALUE"""),41986.0)</f>
        <v>41986</v>
      </c>
      <c r="D4470" s="9"/>
      <c r="E4470" s="9"/>
      <c r="F4470" s="9">
        <f>IFERROR(__xludf.DUMMYFUNCTION("""COMPUTED_VALUE"""),3.2)</f>
        <v>3.2</v>
      </c>
      <c r="G4470" s="9">
        <f>IFERROR(__xludf.DUMMYFUNCTION("""COMPUTED_VALUE"""),3.2)</f>
        <v>3.2</v>
      </c>
      <c r="H4470" s="9">
        <f>IFERROR(__xludf.DUMMYFUNCTION("""COMPUTED_VALUE"""),1.0)</f>
        <v>1</v>
      </c>
      <c r="I4470" s="9"/>
      <c r="J4470" s="9"/>
      <c r="K4470" s="9"/>
      <c r="L4470" s="9"/>
      <c r="M4470" s="9"/>
      <c r="N4470" s="9"/>
      <c r="O4470" s="9"/>
      <c r="P4470" s="9"/>
      <c r="Q4470" s="9"/>
      <c r="R4470" s="9"/>
      <c r="S4470" s="9"/>
      <c r="T4470" s="9"/>
    </row>
    <row r="4471" ht="15.75" customHeight="1">
      <c r="A4471" s="11">
        <f>IFERROR(__xludf.DUMMYFUNCTION("""COMPUTED_VALUE"""),44471.0)</f>
        <v>44471</v>
      </c>
      <c r="B4471" s="9">
        <f>IFERROR(__xludf.DUMMYFUNCTION("""COMPUTED_VALUE"""),1003923.0)</f>
        <v>1003923</v>
      </c>
      <c r="C4471" s="9">
        <f>IFERROR(__xludf.DUMMYFUNCTION("""COMPUTED_VALUE"""),116903.0)</f>
        <v>116903</v>
      </c>
      <c r="D4471" s="9"/>
      <c r="E4471" s="9"/>
      <c r="F4471" s="9">
        <f>IFERROR(__xludf.DUMMYFUNCTION("""COMPUTED_VALUE"""),23.72)</f>
        <v>23.72</v>
      </c>
      <c r="G4471" s="9">
        <f>IFERROR(__xludf.DUMMYFUNCTION("""COMPUTED_VALUE"""),23.72)</f>
        <v>23.72</v>
      </c>
      <c r="H4471" s="9">
        <f>IFERROR(__xludf.DUMMYFUNCTION("""COMPUTED_VALUE"""),2.0)</f>
        <v>2</v>
      </c>
      <c r="I4471" s="9"/>
      <c r="J4471" s="9"/>
      <c r="K4471" s="9"/>
      <c r="L4471" s="9"/>
      <c r="M4471" s="9"/>
      <c r="N4471" s="9"/>
      <c r="O4471" s="9"/>
      <c r="P4471" s="9"/>
      <c r="Q4471" s="9"/>
      <c r="R4471" s="9"/>
      <c r="S4471" s="9"/>
      <c r="T4471" s="9"/>
    </row>
    <row r="4472" ht="15.75" customHeight="1">
      <c r="A4472" s="11">
        <f>IFERROR(__xludf.DUMMYFUNCTION("""COMPUTED_VALUE"""),44471.0)</f>
        <v>44471</v>
      </c>
      <c r="B4472" s="9">
        <f>IFERROR(__xludf.DUMMYFUNCTION("""COMPUTED_VALUE"""),1003923.0)</f>
        <v>1003923</v>
      </c>
      <c r="C4472" s="9">
        <f>IFERROR(__xludf.DUMMYFUNCTION("""COMPUTED_VALUE"""),28590.0)</f>
        <v>28590</v>
      </c>
      <c r="D4472" s="9"/>
      <c r="E4472" s="9"/>
      <c r="F4472" s="9">
        <f>IFERROR(__xludf.DUMMYFUNCTION("""COMPUTED_VALUE"""),12.9)</f>
        <v>12.9</v>
      </c>
      <c r="G4472" s="9">
        <f>IFERROR(__xludf.DUMMYFUNCTION("""COMPUTED_VALUE"""),12.9)</f>
        <v>12.9</v>
      </c>
      <c r="H4472" s="9">
        <f>IFERROR(__xludf.DUMMYFUNCTION("""COMPUTED_VALUE"""),2.0)</f>
        <v>2</v>
      </c>
      <c r="I4472" s="9"/>
      <c r="J4472" s="9"/>
      <c r="K4472" s="9"/>
      <c r="L4472" s="9"/>
      <c r="M4472" s="9"/>
      <c r="N4472" s="9"/>
      <c r="O4472" s="9"/>
      <c r="P4472" s="9"/>
      <c r="Q4472" s="9"/>
      <c r="R4472" s="9"/>
      <c r="S4472" s="9"/>
      <c r="T4472" s="9"/>
    </row>
    <row r="4473" ht="15.75" customHeight="1">
      <c r="A4473" s="11">
        <f>IFERROR(__xludf.DUMMYFUNCTION("""COMPUTED_VALUE"""),44471.0)</f>
        <v>44471</v>
      </c>
      <c r="B4473" s="9">
        <f>IFERROR(__xludf.DUMMYFUNCTION("""COMPUTED_VALUE"""),1003924.0)</f>
        <v>1003924</v>
      </c>
      <c r="C4473" s="9">
        <f>IFERROR(__xludf.DUMMYFUNCTION("""COMPUTED_VALUE"""),76046.0)</f>
        <v>76046</v>
      </c>
      <c r="D4473" s="10" t="str">
        <f>IFERROR(__xludf.DUMMYFUNCTION("""COMPUTED_VALUE"""),"Vive le bio")</f>
        <v>Vive le bio</v>
      </c>
      <c r="E4473" s="10"/>
      <c r="F4473" s="9">
        <f>IFERROR(__xludf.DUMMYFUNCTION("""COMPUTED_VALUE"""),8.53333333333333)</f>
        <v>8.533333333</v>
      </c>
      <c r="G4473" s="9">
        <f>IFERROR(__xludf.DUMMYFUNCTION("""COMPUTED_VALUE"""),7.68)</f>
        <v>7.68</v>
      </c>
      <c r="H4473" s="9">
        <f>IFERROR(__xludf.DUMMYFUNCTION("""COMPUTED_VALUE"""),1.0)</f>
        <v>1</v>
      </c>
      <c r="I4473" s="9"/>
      <c r="J4473" s="9"/>
      <c r="K4473" s="9"/>
      <c r="L4473" s="9"/>
      <c r="M4473" s="9"/>
      <c r="N4473" s="9"/>
      <c r="O4473" s="9"/>
      <c r="P4473" s="9"/>
      <c r="Q4473" s="9"/>
      <c r="R4473" s="9"/>
      <c r="S4473" s="9"/>
      <c r="T4473" s="9"/>
    </row>
    <row r="4474" ht="15.75" customHeight="1">
      <c r="A4474" s="11">
        <f>IFERROR(__xludf.DUMMYFUNCTION("""COMPUTED_VALUE"""),44471.0)</f>
        <v>44471</v>
      </c>
      <c r="B4474" s="9">
        <f>IFERROR(__xludf.DUMMYFUNCTION("""COMPUTED_VALUE"""),1003924.0)</f>
        <v>1003924</v>
      </c>
      <c r="C4474" s="9">
        <f>IFERROR(__xludf.DUMMYFUNCTION("""COMPUTED_VALUE"""),109310.0)</f>
        <v>109310</v>
      </c>
      <c r="D4474" s="9"/>
      <c r="E4474" s="9"/>
      <c r="F4474" s="9">
        <f>IFERROR(__xludf.DUMMYFUNCTION("""COMPUTED_VALUE"""),6.27)</f>
        <v>6.27</v>
      </c>
      <c r="G4474" s="9">
        <f>IFERROR(__xludf.DUMMYFUNCTION("""COMPUTED_VALUE"""),6.27)</f>
        <v>6.27</v>
      </c>
      <c r="H4474" s="9">
        <f>IFERROR(__xludf.DUMMYFUNCTION("""COMPUTED_VALUE"""),1.0)</f>
        <v>1</v>
      </c>
      <c r="I4474" s="9"/>
      <c r="J4474" s="9"/>
      <c r="K4474" s="9"/>
      <c r="L4474" s="9"/>
      <c r="M4474" s="9"/>
      <c r="N4474" s="9"/>
      <c r="O4474" s="9"/>
      <c r="P4474" s="9"/>
      <c r="Q4474" s="9"/>
      <c r="R4474" s="9"/>
      <c r="S4474" s="9"/>
      <c r="T4474" s="9"/>
    </row>
    <row r="4475" ht="15.75" customHeight="1">
      <c r="A4475" s="11">
        <f>IFERROR(__xludf.DUMMYFUNCTION("""COMPUTED_VALUE"""),44471.0)</f>
        <v>44471</v>
      </c>
      <c r="B4475" s="9">
        <f>IFERROR(__xludf.DUMMYFUNCTION("""COMPUTED_VALUE"""),1003924.0)</f>
        <v>1003924</v>
      </c>
      <c r="C4475" s="9">
        <f>IFERROR(__xludf.DUMMYFUNCTION("""COMPUTED_VALUE"""),76568.0)</f>
        <v>76568</v>
      </c>
      <c r="D4475" s="10" t="str">
        <f>IFERROR(__xludf.DUMMYFUNCTION("""COMPUTED_VALUE"""),"Offre speciale")</f>
        <v>Offre speciale</v>
      </c>
      <c r="E4475" s="10"/>
      <c r="F4475" s="9">
        <f>IFERROR(__xludf.DUMMYFUNCTION("""COMPUTED_VALUE"""),2.76470588235294)</f>
        <v>2.764705882</v>
      </c>
      <c r="G4475" s="9">
        <f>IFERROR(__xludf.DUMMYFUNCTION("""COMPUTED_VALUE"""),2.35)</f>
        <v>2.35</v>
      </c>
      <c r="H4475" s="9">
        <f>IFERROR(__xludf.DUMMYFUNCTION("""COMPUTED_VALUE"""),1.0)</f>
        <v>1</v>
      </c>
      <c r="I4475" s="9"/>
      <c r="J4475" s="9"/>
      <c r="K4475" s="9"/>
      <c r="L4475" s="9"/>
      <c r="M4475" s="9"/>
      <c r="N4475" s="9"/>
      <c r="O4475" s="9"/>
      <c r="P4475" s="9"/>
      <c r="Q4475" s="9"/>
      <c r="R4475" s="9"/>
      <c r="S4475" s="9"/>
      <c r="T4475" s="9"/>
    </row>
    <row r="4476" ht="15.75" customHeight="1">
      <c r="A4476" s="11">
        <f>IFERROR(__xludf.DUMMYFUNCTION("""COMPUTED_VALUE"""),44471.0)</f>
        <v>44471</v>
      </c>
      <c r="B4476" s="9">
        <f>IFERROR(__xludf.DUMMYFUNCTION("""COMPUTED_VALUE"""),1003924.0)</f>
        <v>1003924</v>
      </c>
      <c r="C4476" s="9">
        <f>IFERROR(__xludf.DUMMYFUNCTION("""COMPUTED_VALUE"""),108064.0)</f>
        <v>108064</v>
      </c>
      <c r="D4476" s="10" t="str">
        <f>IFERROR(__xludf.DUMMYFUNCTION("""COMPUTED_VALUE"""),"Vive le bio")</f>
        <v>Vive le bio</v>
      </c>
      <c r="E4476" s="10"/>
      <c r="F4476" s="9">
        <f>IFERROR(__xludf.DUMMYFUNCTION("""COMPUTED_VALUE"""),2.09473684210526)</f>
        <v>2.094736842</v>
      </c>
      <c r="G4476" s="9">
        <f>IFERROR(__xludf.DUMMYFUNCTION("""COMPUTED_VALUE"""),1.99)</f>
        <v>1.99</v>
      </c>
      <c r="H4476" s="9">
        <f>IFERROR(__xludf.DUMMYFUNCTION("""COMPUTED_VALUE"""),1.0)</f>
        <v>1</v>
      </c>
      <c r="I4476" s="9"/>
      <c r="J4476" s="9"/>
      <c r="K4476" s="9"/>
      <c r="L4476" s="9"/>
      <c r="M4476" s="9"/>
      <c r="N4476" s="9"/>
      <c r="O4476" s="9"/>
      <c r="P4476" s="9"/>
      <c r="Q4476" s="9"/>
      <c r="R4476" s="9"/>
      <c r="S4476" s="9"/>
      <c r="T4476" s="9"/>
    </row>
    <row r="4477" ht="15.75" customHeight="1">
      <c r="A4477" s="11">
        <f>IFERROR(__xludf.DUMMYFUNCTION("""COMPUTED_VALUE"""),44471.0)</f>
        <v>44471</v>
      </c>
      <c r="B4477" s="9">
        <f>IFERROR(__xludf.DUMMYFUNCTION("""COMPUTED_VALUE"""),1003924.0)</f>
        <v>1003924</v>
      </c>
      <c r="C4477" s="9">
        <f>IFERROR(__xludf.DUMMYFUNCTION("""COMPUTED_VALUE"""),116807.0)</f>
        <v>116807</v>
      </c>
      <c r="D4477" s="9"/>
      <c r="E4477" s="9"/>
      <c r="F4477" s="9">
        <f>IFERROR(__xludf.DUMMYFUNCTION("""COMPUTED_VALUE"""),1.58)</f>
        <v>1.58</v>
      </c>
      <c r="G4477" s="9">
        <f>IFERROR(__xludf.DUMMYFUNCTION("""COMPUTED_VALUE"""),1.58)</f>
        <v>1.58</v>
      </c>
      <c r="H4477" s="9">
        <f>IFERROR(__xludf.DUMMYFUNCTION("""COMPUTED_VALUE"""),1.0)</f>
        <v>1</v>
      </c>
      <c r="I4477" s="9"/>
      <c r="J4477" s="9"/>
      <c r="K4477" s="9"/>
      <c r="L4477" s="9"/>
      <c r="M4477" s="9"/>
      <c r="N4477" s="9"/>
      <c r="O4477" s="9"/>
      <c r="P4477" s="9"/>
      <c r="Q4477" s="9"/>
      <c r="R4477" s="9"/>
      <c r="S4477" s="9"/>
      <c r="T4477" s="9"/>
    </row>
    <row r="4478" ht="15.75" customHeight="1">
      <c r="A4478" s="11">
        <f>IFERROR(__xludf.DUMMYFUNCTION("""COMPUTED_VALUE"""),44471.0)</f>
        <v>44471</v>
      </c>
      <c r="B4478" s="9">
        <f>IFERROR(__xludf.DUMMYFUNCTION("""COMPUTED_VALUE"""),1003924.0)</f>
        <v>1003924</v>
      </c>
      <c r="C4478" s="9">
        <f>IFERROR(__xludf.DUMMYFUNCTION("""COMPUTED_VALUE"""),26057.0)</f>
        <v>26057</v>
      </c>
      <c r="D4478" s="9"/>
      <c r="E4478" s="9"/>
      <c r="F4478" s="9">
        <f>IFERROR(__xludf.DUMMYFUNCTION("""COMPUTED_VALUE"""),1.71)</f>
        <v>1.71</v>
      </c>
      <c r="G4478" s="9">
        <f>IFERROR(__xludf.DUMMYFUNCTION("""COMPUTED_VALUE"""),1.71)</f>
        <v>1.71</v>
      </c>
      <c r="H4478" s="9">
        <f>IFERROR(__xludf.DUMMYFUNCTION("""COMPUTED_VALUE"""),1.0)</f>
        <v>1</v>
      </c>
      <c r="I4478" s="9"/>
      <c r="J4478" s="9"/>
      <c r="K4478" s="9"/>
      <c r="L4478" s="9"/>
      <c r="M4478" s="9"/>
      <c r="N4478" s="9"/>
      <c r="O4478" s="9"/>
      <c r="P4478" s="9"/>
      <c r="Q4478" s="9"/>
      <c r="R4478" s="9"/>
      <c r="S4478" s="9"/>
      <c r="T4478" s="9"/>
    </row>
    <row r="4479" ht="15.75" customHeight="1">
      <c r="A4479" s="11">
        <f>IFERROR(__xludf.DUMMYFUNCTION("""COMPUTED_VALUE"""),44471.0)</f>
        <v>44471</v>
      </c>
      <c r="B4479" s="9">
        <f>IFERROR(__xludf.DUMMYFUNCTION("""COMPUTED_VALUE"""),1003924.0)</f>
        <v>1003924</v>
      </c>
      <c r="C4479" s="9">
        <f>IFERROR(__xludf.DUMMYFUNCTION("""COMPUTED_VALUE"""),46896.0)</f>
        <v>46896</v>
      </c>
      <c r="D4479" s="9"/>
      <c r="E4479" s="9"/>
      <c r="F4479" s="9">
        <f>IFERROR(__xludf.DUMMYFUNCTION("""COMPUTED_VALUE"""),4.87)</f>
        <v>4.87</v>
      </c>
      <c r="G4479" s="9">
        <f>IFERROR(__xludf.DUMMYFUNCTION("""COMPUTED_VALUE"""),4.87)</f>
        <v>4.87</v>
      </c>
      <c r="H4479" s="9">
        <f>IFERROR(__xludf.DUMMYFUNCTION("""COMPUTED_VALUE"""),1.0)</f>
        <v>1</v>
      </c>
      <c r="I4479" s="9"/>
      <c r="J4479" s="9"/>
      <c r="K4479" s="9"/>
      <c r="L4479" s="9"/>
      <c r="M4479" s="9"/>
      <c r="N4479" s="9"/>
      <c r="O4479" s="9"/>
      <c r="P4479" s="9"/>
      <c r="Q4479" s="9"/>
      <c r="R4479" s="9"/>
      <c r="S4479" s="9"/>
      <c r="T4479" s="9"/>
    </row>
    <row r="4480" ht="15.75" customHeight="1">
      <c r="A4480" s="11">
        <f>IFERROR(__xludf.DUMMYFUNCTION("""COMPUTED_VALUE"""),44471.0)</f>
        <v>44471</v>
      </c>
      <c r="B4480" s="9">
        <f>IFERROR(__xludf.DUMMYFUNCTION("""COMPUTED_VALUE"""),1003924.0)</f>
        <v>1003924</v>
      </c>
      <c r="C4480" s="9">
        <f>IFERROR(__xludf.DUMMYFUNCTION("""COMPUTED_VALUE"""),121868.0)</f>
        <v>121868</v>
      </c>
      <c r="D4480" s="9"/>
      <c r="E4480" s="9"/>
      <c r="F4480" s="9">
        <f>IFERROR(__xludf.DUMMYFUNCTION("""COMPUTED_VALUE"""),6.37)</f>
        <v>6.37</v>
      </c>
      <c r="G4480" s="9">
        <f>IFERROR(__xludf.DUMMYFUNCTION("""COMPUTED_VALUE"""),6.37)</f>
        <v>6.37</v>
      </c>
      <c r="H4480" s="9">
        <f>IFERROR(__xludf.DUMMYFUNCTION("""COMPUTED_VALUE"""),1.0)</f>
        <v>1</v>
      </c>
      <c r="I4480" s="9"/>
      <c r="J4480" s="9"/>
      <c r="K4480" s="9"/>
      <c r="L4480" s="9"/>
      <c r="M4480" s="9"/>
      <c r="N4480" s="9"/>
      <c r="O4480" s="9"/>
      <c r="P4480" s="9"/>
      <c r="Q4480" s="9"/>
      <c r="R4480" s="9"/>
      <c r="S4480" s="9"/>
      <c r="T4480" s="9"/>
    </row>
    <row r="4481" ht="15.75" customHeight="1">
      <c r="A4481" s="11">
        <f>IFERROR(__xludf.DUMMYFUNCTION("""COMPUTED_VALUE"""),44471.0)</f>
        <v>44471</v>
      </c>
      <c r="B4481" s="9">
        <f>IFERROR(__xludf.DUMMYFUNCTION("""COMPUTED_VALUE"""),1003924.0)</f>
        <v>1003924</v>
      </c>
      <c r="C4481" s="9">
        <f>IFERROR(__xludf.DUMMYFUNCTION("""COMPUTED_VALUE"""),114933.0)</f>
        <v>114933</v>
      </c>
      <c r="D4481" s="10" t="str">
        <f>IFERROR(__xludf.DUMMYFUNCTION("""COMPUTED_VALUE"""),"Vive le bio")</f>
        <v>Vive le bio</v>
      </c>
      <c r="E4481" s="10"/>
      <c r="F4481" s="9">
        <f>IFERROR(__xludf.DUMMYFUNCTION("""COMPUTED_VALUE"""),3.77777777777777)</f>
        <v>3.777777778</v>
      </c>
      <c r="G4481" s="9">
        <f>IFERROR(__xludf.DUMMYFUNCTION("""COMPUTED_VALUE"""),3.4)</f>
        <v>3.4</v>
      </c>
      <c r="H4481" s="9">
        <f>IFERROR(__xludf.DUMMYFUNCTION("""COMPUTED_VALUE"""),1.0)</f>
        <v>1</v>
      </c>
      <c r="I4481" s="9"/>
      <c r="J4481" s="9"/>
      <c r="K4481" s="9"/>
      <c r="L4481" s="9"/>
      <c r="M4481" s="9"/>
      <c r="N4481" s="9"/>
      <c r="O4481" s="9"/>
      <c r="P4481" s="9"/>
      <c r="Q4481" s="9"/>
      <c r="R4481" s="9"/>
      <c r="S4481" s="9"/>
      <c r="T4481" s="9"/>
    </row>
    <row r="4482" ht="15.75" customHeight="1">
      <c r="A4482" s="11">
        <f>IFERROR(__xludf.DUMMYFUNCTION("""COMPUTED_VALUE"""),44471.0)</f>
        <v>44471</v>
      </c>
      <c r="B4482" s="9">
        <f>IFERROR(__xludf.DUMMYFUNCTION("""COMPUTED_VALUE"""),1003924.0)</f>
        <v>1003924</v>
      </c>
      <c r="C4482" s="9">
        <f>IFERROR(__xludf.DUMMYFUNCTION("""COMPUTED_VALUE"""),147335.0)</f>
        <v>147335</v>
      </c>
      <c r="D4482" s="10" t="str">
        <f>IFERROR(__xludf.DUMMYFUNCTION("""COMPUTED_VALUE"""),"Vive le bio")</f>
        <v>Vive le bio</v>
      </c>
      <c r="E4482" s="10"/>
      <c r="F4482" s="9">
        <f>IFERROR(__xludf.DUMMYFUNCTION("""COMPUTED_VALUE"""),4.66666666666666)</f>
        <v>4.666666667</v>
      </c>
      <c r="G4482" s="9">
        <f>IFERROR(__xludf.DUMMYFUNCTION("""COMPUTED_VALUE"""),4.2)</f>
        <v>4.2</v>
      </c>
      <c r="H4482" s="9">
        <f>IFERROR(__xludf.DUMMYFUNCTION("""COMPUTED_VALUE"""),1.0)</f>
        <v>1</v>
      </c>
      <c r="I4482" s="9"/>
      <c r="J4482" s="9"/>
      <c r="K4482" s="9"/>
      <c r="L4482" s="9"/>
      <c r="M4482" s="9"/>
      <c r="N4482" s="9"/>
      <c r="O4482" s="9"/>
      <c r="P4482" s="9"/>
      <c r="Q4482" s="9"/>
      <c r="R4482" s="9"/>
      <c r="S4482" s="9"/>
      <c r="T4482" s="9"/>
    </row>
    <row r="4483" ht="15.75" customHeight="1">
      <c r="A4483" s="11">
        <f>IFERROR(__xludf.DUMMYFUNCTION("""COMPUTED_VALUE"""),44471.0)</f>
        <v>44471</v>
      </c>
      <c r="B4483" s="9">
        <f>IFERROR(__xludf.DUMMYFUNCTION("""COMPUTED_VALUE"""),1003924.0)</f>
        <v>1003924</v>
      </c>
      <c r="C4483" s="9">
        <f>IFERROR(__xludf.DUMMYFUNCTION("""COMPUTED_VALUE"""),122088.0)</f>
        <v>122088</v>
      </c>
      <c r="D4483" s="9"/>
      <c r="E4483" s="9"/>
      <c r="F4483" s="9">
        <f>IFERROR(__xludf.DUMMYFUNCTION("""COMPUTED_VALUE"""),1.73)</f>
        <v>1.73</v>
      </c>
      <c r="G4483" s="9">
        <f>IFERROR(__xludf.DUMMYFUNCTION("""COMPUTED_VALUE"""),1.73)</f>
        <v>1.73</v>
      </c>
      <c r="H4483" s="9">
        <f>IFERROR(__xludf.DUMMYFUNCTION("""COMPUTED_VALUE"""),1.0)</f>
        <v>1</v>
      </c>
      <c r="I4483" s="9"/>
      <c r="J4483" s="9"/>
      <c r="K4483" s="9"/>
      <c r="L4483" s="9"/>
      <c r="M4483" s="9"/>
      <c r="N4483" s="9"/>
      <c r="O4483" s="9"/>
      <c r="P4483" s="9"/>
      <c r="Q4483" s="9"/>
      <c r="R4483" s="9"/>
      <c r="S4483" s="9"/>
      <c r="T4483" s="9"/>
    </row>
    <row r="4484" ht="15.75" customHeight="1">
      <c r="A4484" s="11">
        <f>IFERROR(__xludf.DUMMYFUNCTION("""COMPUTED_VALUE"""),44471.0)</f>
        <v>44471</v>
      </c>
      <c r="B4484" s="9">
        <f>IFERROR(__xludf.DUMMYFUNCTION("""COMPUTED_VALUE"""),1003924.0)</f>
        <v>1003924</v>
      </c>
      <c r="C4484" s="9">
        <f>IFERROR(__xludf.DUMMYFUNCTION("""COMPUTED_VALUE"""),110569.0)</f>
        <v>110569</v>
      </c>
      <c r="D4484" s="9"/>
      <c r="E4484" s="9"/>
      <c r="F4484" s="9">
        <f>IFERROR(__xludf.DUMMYFUNCTION("""COMPUTED_VALUE"""),1.73)</f>
        <v>1.73</v>
      </c>
      <c r="G4484" s="9">
        <f>IFERROR(__xludf.DUMMYFUNCTION("""COMPUTED_VALUE"""),1.73)</f>
        <v>1.73</v>
      </c>
      <c r="H4484" s="9">
        <f>IFERROR(__xludf.DUMMYFUNCTION("""COMPUTED_VALUE"""),1.0)</f>
        <v>1</v>
      </c>
      <c r="I4484" s="9"/>
      <c r="J4484" s="9"/>
      <c r="K4484" s="9"/>
      <c r="L4484" s="9"/>
      <c r="M4484" s="9"/>
      <c r="N4484" s="9"/>
      <c r="O4484" s="9"/>
      <c r="P4484" s="9"/>
      <c r="Q4484" s="9"/>
      <c r="R4484" s="9"/>
      <c r="S4484" s="9"/>
      <c r="T4484" s="9"/>
    </row>
    <row r="4485" ht="15.75" customHeight="1">
      <c r="A4485" s="11">
        <f>IFERROR(__xludf.DUMMYFUNCTION("""COMPUTED_VALUE"""),44471.0)</f>
        <v>44471</v>
      </c>
      <c r="B4485" s="9">
        <f>IFERROR(__xludf.DUMMYFUNCTION("""COMPUTED_VALUE"""),1003924.0)</f>
        <v>1003924</v>
      </c>
      <c r="C4485" s="9">
        <f>IFERROR(__xludf.DUMMYFUNCTION("""COMPUTED_VALUE"""),119431.0)</f>
        <v>119431</v>
      </c>
      <c r="D4485" s="9"/>
      <c r="E4485" s="9"/>
      <c r="F4485" s="9">
        <f>IFERROR(__xludf.DUMMYFUNCTION("""COMPUTED_VALUE"""),2.98)</f>
        <v>2.98</v>
      </c>
      <c r="G4485" s="9">
        <f>IFERROR(__xludf.DUMMYFUNCTION("""COMPUTED_VALUE"""),2.98)</f>
        <v>2.98</v>
      </c>
      <c r="H4485" s="9">
        <f>IFERROR(__xludf.DUMMYFUNCTION("""COMPUTED_VALUE"""),1.0)</f>
        <v>1</v>
      </c>
      <c r="I4485" s="9"/>
      <c r="J4485" s="9"/>
      <c r="K4485" s="9"/>
      <c r="L4485" s="9"/>
      <c r="M4485" s="9"/>
      <c r="N4485" s="9"/>
      <c r="O4485" s="9"/>
      <c r="P4485" s="9"/>
      <c r="Q4485" s="9"/>
      <c r="R4485" s="9"/>
      <c r="S4485" s="9"/>
      <c r="T4485" s="9"/>
    </row>
    <row r="4486" ht="15.75" customHeight="1">
      <c r="A4486" s="11">
        <f>IFERROR(__xludf.DUMMYFUNCTION("""COMPUTED_VALUE"""),44471.0)</f>
        <v>44471</v>
      </c>
      <c r="B4486" s="9">
        <f>IFERROR(__xludf.DUMMYFUNCTION("""COMPUTED_VALUE"""),1003924.0)</f>
        <v>1003924</v>
      </c>
      <c r="C4486" s="9">
        <f>IFERROR(__xludf.DUMMYFUNCTION("""COMPUTED_VALUE"""),117218.0)</f>
        <v>117218</v>
      </c>
      <c r="D4486" s="9"/>
      <c r="E4486" s="9"/>
      <c r="F4486" s="9">
        <f>IFERROR(__xludf.DUMMYFUNCTION("""COMPUTED_VALUE"""),3.24)</f>
        <v>3.24</v>
      </c>
      <c r="G4486" s="9">
        <f>IFERROR(__xludf.DUMMYFUNCTION("""COMPUTED_VALUE"""),3.24)</f>
        <v>3.24</v>
      </c>
      <c r="H4486" s="9">
        <f>IFERROR(__xludf.DUMMYFUNCTION("""COMPUTED_VALUE"""),1.0)</f>
        <v>1</v>
      </c>
      <c r="I4486" s="9"/>
      <c r="J4486" s="9"/>
      <c r="K4486" s="9"/>
      <c r="L4486" s="9"/>
      <c r="M4486" s="9"/>
      <c r="N4486" s="9"/>
      <c r="O4486" s="9"/>
      <c r="P4486" s="9"/>
      <c r="Q4486" s="9"/>
      <c r="R4486" s="9"/>
      <c r="S4486" s="9"/>
      <c r="T4486" s="9"/>
    </row>
    <row r="4487" ht="15.75" customHeight="1">
      <c r="A4487" s="11">
        <f>IFERROR(__xludf.DUMMYFUNCTION("""COMPUTED_VALUE"""),44471.0)</f>
        <v>44471</v>
      </c>
      <c r="B4487" s="9">
        <f>IFERROR(__xludf.DUMMYFUNCTION("""COMPUTED_VALUE"""),1003924.0)</f>
        <v>1003924</v>
      </c>
      <c r="C4487" s="9">
        <f>IFERROR(__xludf.DUMMYFUNCTION("""COMPUTED_VALUE"""),5599.0)</f>
        <v>5599</v>
      </c>
      <c r="D4487" s="9"/>
      <c r="E4487" s="9"/>
      <c r="F4487" s="9">
        <f>IFERROR(__xludf.DUMMYFUNCTION("""COMPUTED_VALUE"""),3.75)</f>
        <v>3.75</v>
      </c>
      <c r="G4487" s="9">
        <f>IFERROR(__xludf.DUMMYFUNCTION("""COMPUTED_VALUE"""),3.75)</f>
        <v>3.75</v>
      </c>
      <c r="H4487" s="9">
        <f>IFERROR(__xludf.DUMMYFUNCTION("""COMPUTED_VALUE"""),2.0)</f>
        <v>2</v>
      </c>
      <c r="I4487" s="9"/>
      <c r="J4487" s="9"/>
      <c r="K4487" s="9"/>
      <c r="L4487" s="9"/>
      <c r="M4487" s="9"/>
      <c r="N4487" s="9"/>
      <c r="O4487" s="9"/>
      <c r="P4487" s="9"/>
      <c r="Q4487" s="9"/>
      <c r="R4487" s="9"/>
      <c r="S4487" s="9"/>
      <c r="T4487" s="9"/>
    </row>
    <row r="4488" ht="15.75" customHeight="1">
      <c r="A4488" s="11">
        <f>IFERROR(__xludf.DUMMYFUNCTION("""COMPUTED_VALUE"""),44471.0)</f>
        <v>44471</v>
      </c>
      <c r="B4488" s="9">
        <f>IFERROR(__xludf.DUMMYFUNCTION("""COMPUTED_VALUE"""),1003924.0)</f>
        <v>1003924</v>
      </c>
      <c r="C4488" s="9">
        <f>IFERROR(__xludf.DUMMYFUNCTION("""COMPUTED_VALUE"""),70585.0)</f>
        <v>70585</v>
      </c>
      <c r="D4488" s="10" t="str">
        <f>IFERROR(__xludf.DUMMYFUNCTION("""COMPUTED_VALUE"""),"dlc courte")</f>
        <v>dlc courte</v>
      </c>
      <c r="E4488" s="10"/>
      <c r="F4488" s="9">
        <f>IFERROR(__xludf.DUMMYFUNCTION("""COMPUTED_VALUE"""),5.1)</f>
        <v>5.1</v>
      </c>
      <c r="G4488" s="9">
        <f>IFERROR(__xludf.DUMMYFUNCTION("""COMPUTED_VALUE"""),2.55)</f>
        <v>2.55</v>
      </c>
      <c r="H4488" s="9">
        <f>IFERROR(__xludf.DUMMYFUNCTION("""COMPUTED_VALUE"""),2.0)</f>
        <v>2</v>
      </c>
      <c r="I4488" s="9"/>
      <c r="J4488" s="9"/>
      <c r="K4488" s="9"/>
      <c r="L4488" s="9"/>
      <c r="M4488" s="9"/>
      <c r="N4488" s="9"/>
      <c r="O4488" s="9"/>
      <c r="P4488" s="9"/>
      <c r="Q4488" s="9"/>
      <c r="R4488" s="9"/>
      <c r="S4488" s="9"/>
      <c r="T4488" s="9"/>
    </row>
    <row r="4489" ht="15.75" customHeight="1">
      <c r="A4489" s="11">
        <f>IFERROR(__xludf.DUMMYFUNCTION("""COMPUTED_VALUE"""),44471.0)</f>
        <v>44471</v>
      </c>
      <c r="B4489" s="9">
        <f>IFERROR(__xludf.DUMMYFUNCTION("""COMPUTED_VALUE"""),1003924.0)</f>
        <v>1003924</v>
      </c>
      <c r="C4489" s="9">
        <f>IFERROR(__xludf.DUMMYFUNCTION("""COMPUTED_VALUE"""),77475.0)</f>
        <v>77475</v>
      </c>
      <c r="D4489" s="10" t="str">
        <f>IFERROR(__xludf.DUMMYFUNCTION("""COMPUTED_VALUE"""),"Vive le bio")</f>
        <v>Vive le bio</v>
      </c>
      <c r="E4489" s="10"/>
      <c r="F4489" s="9">
        <f>IFERROR(__xludf.DUMMYFUNCTION("""COMPUTED_VALUE"""),2.51111111111111)</f>
        <v>2.511111111</v>
      </c>
      <c r="G4489" s="9">
        <f>IFERROR(__xludf.DUMMYFUNCTION("""COMPUTED_VALUE"""),2.26)</f>
        <v>2.26</v>
      </c>
      <c r="H4489" s="9">
        <f>IFERROR(__xludf.DUMMYFUNCTION("""COMPUTED_VALUE"""),2.0)</f>
        <v>2</v>
      </c>
      <c r="I4489" s="9"/>
      <c r="J4489" s="9"/>
      <c r="K4489" s="9"/>
      <c r="L4489" s="9"/>
      <c r="M4489" s="9"/>
      <c r="N4489" s="9"/>
      <c r="O4489" s="9"/>
      <c r="P4489" s="9"/>
      <c r="Q4489" s="9"/>
      <c r="R4489" s="9"/>
      <c r="S4489" s="9"/>
      <c r="T4489" s="9"/>
    </row>
    <row r="4490" ht="15.75" customHeight="1">
      <c r="A4490" s="11">
        <f>IFERROR(__xludf.DUMMYFUNCTION("""COMPUTED_VALUE"""),44471.0)</f>
        <v>44471</v>
      </c>
      <c r="B4490" s="9">
        <f>IFERROR(__xludf.DUMMYFUNCTION("""COMPUTED_VALUE"""),1003924.0)</f>
        <v>1003924</v>
      </c>
      <c r="C4490" s="9">
        <f>IFERROR(__xludf.DUMMYFUNCTION("""COMPUTED_VALUE"""),76570.0)</f>
        <v>76570</v>
      </c>
      <c r="D4490" s="9"/>
      <c r="E4490" s="9"/>
      <c r="F4490" s="9">
        <f>IFERROR(__xludf.DUMMYFUNCTION("""COMPUTED_VALUE"""),3.18)</f>
        <v>3.18</v>
      </c>
      <c r="G4490" s="9">
        <f>IFERROR(__xludf.DUMMYFUNCTION("""COMPUTED_VALUE"""),3.18)</f>
        <v>3.18</v>
      </c>
      <c r="H4490" s="9">
        <f>IFERROR(__xludf.DUMMYFUNCTION("""COMPUTED_VALUE"""),2.0)</f>
        <v>2</v>
      </c>
      <c r="I4490" s="9"/>
      <c r="J4490" s="9"/>
      <c r="K4490" s="9"/>
      <c r="L4490" s="9"/>
      <c r="M4490" s="9"/>
      <c r="N4490" s="9"/>
      <c r="O4490" s="9"/>
      <c r="P4490" s="9"/>
      <c r="Q4490" s="9"/>
      <c r="R4490" s="9"/>
      <c r="S4490" s="9"/>
      <c r="T4490" s="9"/>
    </row>
    <row r="4491" ht="15.75" customHeight="1">
      <c r="A4491" s="11">
        <f>IFERROR(__xludf.DUMMYFUNCTION("""COMPUTED_VALUE"""),44471.0)</f>
        <v>44471</v>
      </c>
      <c r="B4491" s="9">
        <f>IFERROR(__xludf.DUMMYFUNCTION("""COMPUTED_VALUE"""),1003924.0)</f>
        <v>1003924</v>
      </c>
      <c r="C4491" s="9">
        <f>IFERROR(__xludf.DUMMYFUNCTION("""COMPUTED_VALUE"""),82206.0)</f>
        <v>82206</v>
      </c>
      <c r="D4491" s="10" t="str">
        <f>IFERROR(__xludf.DUMMYFUNCTION("""COMPUTED_VALUE"""),"Offre speciale")</f>
        <v>Offre speciale</v>
      </c>
      <c r="E4491" s="10"/>
      <c r="F4491" s="9">
        <f>IFERROR(__xludf.DUMMYFUNCTION("""COMPUTED_VALUE"""),3.69411764705882)</f>
        <v>3.694117647</v>
      </c>
      <c r="G4491" s="9">
        <f>IFERROR(__xludf.DUMMYFUNCTION("""COMPUTED_VALUE"""),3.14)</f>
        <v>3.14</v>
      </c>
      <c r="H4491" s="9">
        <f>IFERROR(__xludf.DUMMYFUNCTION("""COMPUTED_VALUE"""),2.0)</f>
        <v>2</v>
      </c>
      <c r="I4491" s="9"/>
      <c r="J4491" s="9"/>
      <c r="K4491" s="9"/>
      <c r="L4491" s="9"/>
      <c r="M4491" s="9"/>
      <c r="N4491" s="9"/>
      <c r="O4491" s="9"/>
      <c r="P4491" s="9"/>
      <c r="Q4491" s="9"/>
      <c r="R4491" s="9"/>
      <c r="S4491" s="9"/>
      <c r="T4491" s="9"/>
    </row>
    <row r="4492" ht="15.75" customHeight="1">
      <c r="A4492" s="11">
        <f>IFERROR(__xludf.DUMMYFUNCTION("""COMPUTED_VALUE"""),44471.0)</f>
        <v>44471</v>
      </c>
      <c r="B4492" s="9">
        <f>IFERROR(__xludf.DUMMYFUNCTION("""COMPUTED_VALUE"""),1003924.0)</f>
        <v>1003924</v>
      </c>
      <c r="C4492" s="9">
        <f>IFERROR(__xludf.DUMMYFUNCTION("""COMPUTED_VALUE"""),68513.0)</f>
        <v>68513</v>
      </c>
      <c r="D4492" s="9"/>
      <c r="E4492" s="9"/>
      <c r="F4492" s="9">
        <f>IFERROR(__xludf.DUMMYFUNCTION("""COMPUTED_VALUE"""),4.91)</f>
        <v>4.91</v>
      </c>
      <c r="G4492" s="9">
        <f>IFERROR(__xludf.DUMMYFUNCTION("""COMPUTED_VALUE"""),4.91)</f>
        <v>4.91</v>
      </c>
      <c r="H4492" s="9">
        <f>IFERROR(__xludf.DUMMYFUNCTION("""COMPUTED_VALUE"""),2.0)</f>
        <v>2</v>
      </c>
      <c r="I4492" s="9"/>
      <c r="J4492" s="9"/>
      <c r="K4492" s="9"/>
      <c r="L4492" s="9"/>
      <c r="M4492" s="9"/>
      <c r="N4492" s="9"/>
      <c r="O4492" s="9"/>
      <c r="P4492" s="9"/>
      <c r="Q4492" s="9"/>
      <c r="R4492" s="9"/>
      <c r="S4492" s="9"/>
      <c r="T4492" s="9"/>
    </row>
    <row r="4493" ht="15.75" customHeight="1">
      <c r="A4493" s="11">
        <f>IFERROR(__xludf.DUMMYFUNCTION("""COMPUTED_VALUE"""),44471.0)</f>
        <v>44471</v>
      </c>
      <c r="B4493" s="9">
        <f>IFERROR(__xludf.DUMMYFUNCTION("""COMPUTED_VALUE"""),1003924.0)</f>
        <v>1003924</v>
      </c>
      <c r="C4493" s="9">
        <f>IFERROR(__xludf.DUMMYFUNCTION("""COMPUTED_VALUE"""),76581.0)</f>
        <v>76581</v>
      </c>
      <c r="D4493" s="9"/>
      <c r="E4493" s="9"/>
      <c r="F4493" s="9">
        <f>IFERROR(__xludf.DUMMYFUNCTION("""COMPUTED_VALUE"""),3.85)</f>
        <v>3.85</v>
      </c>
      <c r="G4493" s="9">
        <f>IFERROR(__xludf.DUMMYFUNCTION("""COMPUTED_VALUE"""),3.85)</f>
        <v>3.85</v>
      </c>
      <c r="H4493" s="9">
        <f>IFERROR(__xludf.DUMMYFUNCTION("""COMPUTED_VALUE"""),2.0)</f>
        <v>2</v>
      </c>
      <c r="I4493" s="9"/>
      <c r="J4493" s="9"/>
      <c r="K4493" s="9"/>
      <c r="L4493" s="9"/>
      <c r="M4493" s="9"/>
      <c r="N4493" s="9"/>
      <c r="O4493" s="9"/>
      <c r="P4493" s="9"/>
      <c r="Q4493" s="9"/>
      <c r="R4493" s="9"/>
      <c r="S4493" s="9"/>
      <c r="T4493" s="9"/>
    </row>
    <row r="4494" ht="15.75" customHeight="1">
      <c r="A4494" s="11">
        <f>IFERROR(__xludf.DUMMYFUNCTION("""COMPUTED_VALUE"""),44471.0)</f>
        <v>44471</v>
      </c>
      <c r="B4494" s="9">
        <f>IFERROR(__xludf.DUMMYFUNCTION("""COMPUTED_VALUE"""),1003924.0)</f>
        <v>1003924</v>
      </c>
      <c r="C4494" s="9">
        <f>IFERROR(__xludf.DUMMYFUNCTION("""COMPUTED_VALUE"""),119244.0)</f>
        <v>119244</v>
      </c>
      <c r="D4494" s="9"/>
      <c r="E4494" s="9"/>
      <c r="F4494" s="9">
        <f>IFERROR(__xludf.DUMMYFUNCTION("""COMPUTED_VALUE"""),7.99)</f>
        <v>7.99</v>
      </c>
      <c r="G4494" s="9">
        <f>IFERROR(__xludf.DUMMYFUNCTION("""COMPUTED_VALUE"""),7.99)</f>
        <v>7.99</v>
      </c>
      <c r="H4494" s="9">
        <f>IFERROR(__xludf.DUMMYFUNCTION("""COMPUTED_VALUE"""),2.0)</f>
        <v>2</v>
      </c>
      <c r="I4494" s="9"/>
      <c r="J4494" s="9"/>
      <c r="K4494" s="9"/>
      <c r="L4494" s="9"/>
      <c r="M4494" s="9"/>
      <c r="N4494" s="9"/>
      <c r="O4494" s="9"/>
      <c r="P4494" s="9"/>
      <c r="Q4494" s="9"/>
      <c r="R4494" s="9"/>
      <c r="S4494" s="9"/>
      <c r="T4494" s="9"/>
    </row>
    <row r="4495" ht="15.75" customHeight="1">
      <c r="A4495" s="11">
        <f>IFERROR(__xludf.DUMMYFUNCTION("""COMPUTED_VALUE"""),44471.0)</f>
        <v>44471</v>
      </c>
      <c r="B4495" s="9">
        <f>IFERROR(__xludf.DUMMYFUNCTION("""COMPUTED_VALUE"""),1003924.0)</f>
        <v>1003924</v>
      </c>
      <c r="C4495" s="9">
        <f>IFERROR(__xludf.DUMMYFUNCTION("""COMPUTED_VALUE"""),77326.0)</f>
        <v>77326</v>
      </c>
      <c r="D4495" s="9"/>
      <c r="E4495" s="9"/>
      <c r="F4495" s="9">
        <f>IFERROR(__xludf.DUMMYFUNCTION("""COMPUTED_VALUE"""),8.47)</f>
        <v>8.47</v>
      </c>
      <c r="G4495" s="9">
        <f>IFERROR(__xludf.DUMMYFUNCTION("""COMPUTED_VALUE"""),8.47)</f>
        <v>8.47</v>
      </c>
      <c r="H4495" s="9">
        <f>IFERROR(__xludf.DUMMYFUNCTION("""COMPUTED_VALUE"""),3.0)</f>
        <v>3</v>
      </c>
      <c r="I4495" s="9"/>
      <c r="J4495" s="9"/>
      <c r="K4495" s="9"/>
      <c r="L4495" s="9"/>
      <c r="M4495" s="9"/>
      <c r="N4495" s="9"/>
      <c r="O4495" s="9"/>
      <c r="P4495" s="9"/>
      <c r="Q4495" s="9"/>
      <c r="R4495" s="9"/>
      <c r="S4495" s="9"/>
      <c r="T4495" s="9"/>
    </row>
    <row r="4496" ht="15.75" customHeight="1">
      <c r="A4496" s="11">
        <f>IFERROR(__xludf.DUMMYFUNCTION("""COMPUTED_VALUE"""),44471.0)</f>
        <v>44471</v>
      </c>
      <c r="B4496" s="9">
        <f>IFERROR(__xludf.DUMMYFUNCTION("""COMPUTED_VALUE"""),1003924.0)</f>
        <v>1003924</v>
      </c>
      <c r="C4496" s="9">
        <f>IFERROR(__xludf.DUMMYFUNCTION("""COMPUTED_VALUE"""),90799.0)</f>
        <v>90799</v>
      </c>
      <c r="D4496" s="9"/>
      <c r="E4496" s="9"/>
      <c r="F4496" s="9">
        <f>IFERROR(__xludf.DUMMYFUNCTION("""COMPUTED_VALUE"""),3.62)</f>
        <v>3.62</v>
      </c>
      <c r="G4496" s="9">
        <f>IFERROR(__xludf.DUMMYFUNCTION("""COMPUTED_VALUE"""),3.62)</f>
        <v>3.62</v>
      </c>
      <c r="H4496" s="9">
        <f>IFERROR(__xludf.DUMMYFUNCTION("""COMPUTED_VALUE"""),3.0)</f>
        <v>3</v>
      </c>
      <c r="I4496" s="9"/>
      <c r="J4496" s="9"/>
      <c r="K4496" s="9"/>
      <c r="L4496" s="9"/>
      <c r="M4496" s="9"/>
      <c r="N4496" s="9"/>
      <c r="O4496" s="9"/>
      <c r="P4496" s="9"/>
      <c r="Q4496" s="9"/>
      <c r="R4496" s="9"/>
      <c r="S4496" s="9"/>
      <c r="T4496" s="9"/>
    </row>
    <row r="4497" ht="15.75" customHeight="1">
      <c r="A4497" s="11">
        <f>IFERROR(__xludf.DUMMYFUNCTION("""COMPUTED_VALUE"""),44471.0)</f>
        <v>44471</v>
      </c>
      <c r="B4497" s="9">
        <f>IFERROR(__xludf.DUMMYFUNCTION("""COMPUTED_VALUE"""),1003924.0)</f>
        <v>1003924</v>
      </c>
      <c r="C4497" s="9">
        <f>IFERROR(__xludf.DUMMYFUNCTION("""COMPUTED_VALUE"""),88980.0)</f>
        <v>88980</v>
      </c>
      <c r="D4497" s="9"/>
      <c r="E4497" s="9"/>
      <c r="F4497" s="9">
        <f>IFERROR(__xludf.DUMMYFUNCTION("""COMPUTED_VALUE"""),5.25)</f>
        <v>5.25</v>
      </c>
      <c r="G4497" s="9">
        <f>IFERROR(__xludf.DUMMYFUNCTION("""COMPUTED_VALUE"""),5.25)</f>
        <v>5.25</v>
      </c>
      <c r="H4497" s="9">
        <f>IFERROR(__xludf.DUMMYFUNCTION("""COMPUTED_VALUE"""),4.0)</f>
        <v>4</v>
      </c>
      <c r="I4497" s="9"/>
      <c r="J4497" s="9"/>
      <c r="K4497" s="9"/>
      <c r="L4497" s="9"/>
      <c r="M4497" s="9"/>
      <c r="N4497" s="9"/>
      <c r="O4497" s="9"/>
      <c r="P4497" s="9"/>
      <c r="Q4497" s="9"/>
      <c r="R4497" s="9"/>
      <c r="S4497" s="9"/>
      <c r="T4497" s="9"/>
    </row>
    <row r="4498" ht="15.75" customHeight="1">
      <c r="A4498" s="11">
        <f>IFERROR(__xludf.DUMMYFUNCTION("""COMPUTED_VALUE"""),44471.0)</f>
        <v>44471</v>
      </c>
      <c r="B4498" s="9">
        <f>IFERROR(__xludf.DUMMYFUNCTION("""COMPUTED_VALUE"""),1003924.0)</f>
        <v>1003924</v>
      </c>
      <c r="C4498" s="9">
        <f>IFERROR(__xludf.DUMMYFUNCTION("""COMPUTED_VALUE"""),117665.0)</f>
        <v>117665</v>
      </c>
      <c r="D4498" s="9"/>
      <c r="E4498" s="9"/>
      <c r="F4498" s="9">
        <f>IFERROR(__xludf.DUMMYFUNCTION("""COMPUTED_VALUE"""),36.67)</f>
        <v>36.67</v>
      </c>
      <c r="G4498" s="9">
        <f>IFERROR(__xludf.DUMMYFUNCTION("""COMPUTED_VALUE"""),36.67)</f>
        <v>36.67</v>
      </c>
      <c r="H4498" s="9">
        <f>IFERROR(__xludf.DUMMYFUNCTION("""COMPUTED_VALUE"""),4.0)</f>
        <v>4</v>
      </c>
      <c r="I4498" s="9"/>
      <c r="J4498" s="9"/>
      <c r="K4498" s="9"/>
      <c r="L4498" s="9"/>
      <c r="M4498" s="9"/>
      <c r="N4498" s="9"/>
      <c r="O4498" s="9"/>
      <c r="P4498" s="9"/>
      <c r="Q4498" s="9"/>
      <c r="R4498" s="9"/>
      <c r="S4498" s="9"/>
      <c r="T4498" s="9"/>
    </row>
    <row r="4499" ht="15.75" customHeight="1">
      <c r="A4499" s="11">
        <f>IFERROR(__xludf.DUMMYFUNCTION("""COMPUTED_VALUE"""),44471.0)</f>
        <v>44471</v>
      </c>
      <c r="B4499" s="9">
        <f>IFERROR(__xludf.DUMMYFUNCTION("""COMPUTED_VALUE"""),1003925.0)</f>
        <v>1003925</v>
      </c>
      <c r="C4499" s="9">
        <f>IFERROR(__xludf.DUMMYFUNCTION("""COMPUTED_VALUE"""),102189.0)</f>
        <v>102189</v>
      </c>
      <c r="D4499" s="9"/>
      <c r="E4499" s="10" t="str">
        <f>IFERROR(__xludf.DUMMYFUNCTION("""COMPUTED_VALUE"""),"GREENRELAIS")</f>
        <v>GREENRELAIS</v>
      </c>
      <c r="F4499" s="10">
        <f>IFERROR(__xludf.DUMMYFUNCTION("""COMPUTED_VALUE"""),3.25)</f>
        <v>3.25</v>
      </c>
      <c r="G4499" s="9">
        <f>IFERROR(__xludf.DUMMYFUNCTION("""COMPUTED_VALUE"""),3.25)</f>
        <v>3.25</v>
      </c>
      <c r="H4499" s="9">
        <f>IFERROR(__xludf.DUMMYFUNCTION("""COMPUTED_VALUE"""),1.0)</f>
        <v>1</v>
      </c>
      <c r="I4499" s="9"/>
      <c r="J4499" s="9"/>
      <c r="K4499" s="9"/>
      <c r="L4499" s="9"/>
      <c r="M4499" s="9"/>
      <c r="N4499" s="9"/>
      <c r="O4499" s="9"/>
      <c r="P4499" s="9"/>
      <c r="Q4499" s="9"/>
      <c r="R4499" s="9"/>
      <c r="S4499" s="9"/>
      <c r="T4499" s="9"/>
    </row>
    <row r="4500" ht="15.75" customHeight="1">
      <c r="A4500" s="11">
        <f>IFERROR(__xludf.DUMMYFUNCTION("""COMPUTED_VALUE"""),44471.0)</f>
        <v>44471</v>
      </c>
      <c r="B4500" s="9">
        <f>IFERROR(__xludf.DUMMYFUNCTION("""COMPUTED_VALUE"""),1003925.0)</f>
        <v>1003925</v>
      </c>
      <c r="C4500" s="9">
        <f>IFERROR(__xludf.DUMMYFUNCTION("""COMPUTED_VALUE"""),116989.0)</f>
        <v>116989</v>
      </c>
      <c r="D4500" s="9"/>
      <c r="E4500" s="10" t="str">
        <f>IFERROR(__xludf.DUMMYFUNCTION("""COMPUTED_VALUE"""),"GREENRELAIS")</f>
        <v>GREENRELAIS</v>
      </c>
      <c r="F4500" s="10">
        <f>IFERROR(__xludf.DUMMYFUNCTION("""COMPUTED_VALUE"""),20.87)</f>
        <v>20.87</v>
      </c>
      <c r="G4500" s="9">
        <f>IFERROR(__xludf.DUMMYFUNCTION("""COMPUTED_VALUE"""),20.87)</f>
        <v>20.87</v>
      </c>
      <c r="H4500" s="9">
        <f>IFERROR(__xludf.DUMMYFUNCTION("""COMPUTED_VALUE"""),1.0)</f>
        <v>1</v>
      </c>
      <c r="I4500" s="9"/>
      <c r="J4500" s="9"/>
      <c r="K4500" s="9"/>
      <c r="L4500" s="9"/>
      <c r="M4500" s="9"/>
      <c r="N4500" s="9"/>
      <c r="O4500" s="9"/>
      <c r="P4500" s="9"/>
      <c r="Q4500" s="9"/>
      <c r="R4500" s="9"/>
      <c r="S4500" s="9"/>
      <c r="T4500" s="9"/>
    </row>
    <row r="4501" ht="15.75" customHeight="1">
      <c r="A4501" s="11">
        <f>IFERROR(__xludf.DUMMYFUNCTION("""COMPUTED_VALUE"""),44471.0)</f>
        <v>44471</v>
      </c>
      <c r="B4501" s="9">
        <f>IFERROR(__xludf.DUMMYFUNCTION("""COMPUTED_VALUE"""),1003925.0)</f>
        <v>1003925</v>
      </c>
      <c r="C4501" s="9">
        <f>IFERROR(__xludf.DUMMYFUNCTION("""COMPUTED_VALUE"""),120533.0)</f>
        <v>120533</v>
      </c>
      <c r="D4501" s="9"/>
      <c r="E4501" s="10" t="str">
        <f>IFERROR(__xludf.DUMMYFUNCTION("""COMPUTED_VALUE"""),"GREENRELAIS")</f>
        <v>GREENRELAIS</v>
      </c>
      <c r="F4501" s="10">
        <f>IFERROR(__xludf.DUMMYFUNCTION("""COMPUTED_VALUE"""),4.35)</f>
        <v>4.35</v>
      </c>
      <c r="G4501" s="9">
        <f>IFERROR(__xludf.DUMMYFUNCTION("""COMPUTED_VALUE"""),4.35)</f>
        <v>4.35</v>
      </c>
      <c r="H4501" s="9">
        <f>IFERROR(__xludf.DUMMYFUNCTION("""COMPUTED_VALUE"""),1.0)</f>
        <v>1</v>
      </c>
      <c r="I4501" s="9"/>
      <c r="J4501" s="9"/>
      <c r="K4501" s="9"/>
      <c r="L4501" s="9"/>
      <c r="M4501" s="9"/>
      <c r="N4501" s="9"/>
      <c r="O4501" s="9"/>
      <c r="P4501" s="9"/>
      <c r="Q4501" s="9"/>
      <c r="R4501" s="9"/>
      <c r="S4501" s="9"/>
      <c r="T4501" s="9"/>
    </row>
    <row r="4502" ht="15.75" customHeight="1">
      <c r="A4502" s="11">
        <f>IFERROR(__xludf.DUMMYFUNCTION("""COMPUTED_VALUE"""),44471.0)</f>
        <v>44471</v>
      </c>
      <c r="B4502" s="9">
        <f>IFERROR(__xludf.DUMMYFUNCTION("""COMPUTED_VALUE"""),1003925.0)</f>
        <v>1003925</v>
      </c>
      <c r="C4502" s="9">
        <f>IFERROR(__xludf.DUMMYFUNCTION("""COMPUTED_VALUE"""),103831.0)</f>
        <v>103831</v>
      </c>
      <c r="D4502" s="9"/>
      <c r="E4502" s="10" t="str">
        <f>IFERROR(__xludf.DUMMYFUNCTION("""COMPUTED_VALUE"""),"GREENRELAIS")</f>
        <v>GREENRELAIS</v>
      </c>
      <c r="F4502" s="10">
        <f>IFERROR(__xludf.DUMMYFUNCTION("""COMPUTED_VALUE"""),3.43)</f>
        <v>3.43</v>
      </c>
      <c r="G4502" s="9">
        <f>IFERROR(__xludf.DUMMYFUNCTION("""COMPUTED_VALUE"""),3.43)</f>
        <v>3.43</v>
      </c>
      <c r="H4502" s="9">
        <f>IFERROR(__xludf.DUMMYFUNCTION("""COMPUTED_VALUE"""),1.0)</f>
        <v>1</v>
      </c>
      <c r="I4502" s="9"/>
      <c r="J4502" s="9"/>
      <c r="K4502" s="9"/>
      <c r="L4502" s="9"/>
      <c r="M4502" s="9"/>
      <c r="N4502" s="9"/>
      <c r="O4502" s="9"/>
      <c r="P4502" s="9"/>
      <c r="Q4502" s="9"/>
      <c r="R4502" s="9"/>
      <c r="S4502" s="9"/>
      <c r="T4502" s="9"/>
    </row>
    <row r="4503" ht="15.75" customHeight="1">
      <c r="A4503" s="11">
        <f>IFERROR(__xludf.DUMMYFUNCTION("""COMPUTED_VALUE"""),44471.0)</f>
        <v>44471</v>
      </c>
      <c r="B4503" s="9">
        <f>IFERROR(__xludf.DUMMYFUNCTION("""COMPUTED_VALUE"""),1003925.0)</f>
        <v>1003925</v>
      </c>
      <c r="C4503" s="9">
        <f>IFERROR(__xludf.DUMMYFUNCTION("""COMPUTED_VALUE"""),29320.0)</f>
        <v>29320</v>
      </c>
      <c r="D4503" s="9"/>
      <c r="E4503" s="10" t="str">
        <f>IFERROR(__xludf.DUMMYFUNCTION("""COMPUTED_VALUE"""),"GREENRELAIS")</f>
        <v>GREENRELAIS</v>
      </c>
      <c r="F4503" s="10">
        <f>IFERROR(__xludf.DUMMYFUNCTION("""COMPUTED_VALUE"""),5.95)</f>
        <v>5.95</v>
      </c>
      <c r="G4503" s="9">
        <f>IFERROR(__xludf.DUMMYFUNCTION("""COMPUTED_VALUE"""),5.95)</f>
        <v>5.95</v>
      </c>
      <c r="H4503" s="9">
        <f>IFERROR(__xludf.DUMMYFUNCTION("""COMPUTED_VALUE"""),1.0)</f>
        <v>1</v>
      </c>
      <c r="I4503" s="9"/>
      <c r="J4503" s="9"/>
      <c r="K4503" s="9"/>
      <c r="L4503" s="9"/>
      <c r="M4503" s="9"/>
      <c r="N4503" s="9"/>
      <c r="O4503" s="9"/>
      <c r="P4503" s="9"/>
      <c r="Q4503" s="9"/>
      <c r="R4503" s="9"/>
      <c r="S4503" s="9"/>
      <c r="T4503" s="9"/>
    </row>
    <row r="4504" ht="15.75" customHeight="1">
      <c r="A4504" s="11">
        <f>IFERROR(__xludf.DUMMYFUNCTION("""COMPUTED_VALUE"""),44471.0)</f>
        <v>44471</v>
      </c>
      <c r="B4504" s="9">
        <f>IFERROR(__xludf.DUMMYFUNCTION("""COMPUTED_VALUE"""),1003925.0)</f>
        <v>1003925</v>
      </c>
      <c r="C4504" s="9">
        <f>IFERROR(__xludf.DUMMYFUNCTION("""COMPUTED_VALUE"""),115754.0)</f>
        <v>115754</v>
      </c>
      <c r="D4504" s="10" t="str">
        <f>IFERROR(__xludf.DUMMYFUNCTION("""COMPUTED_VALUE"""),"Vive le bio")</f>
        <v>Vive le bio</v>
      </c>
      <c r="E4504" s="10" t="str">
        <f>IFERROR(__xludf.DUMMYFUNCTION("""COMPUTED_VALUE"""),"GREENRELAIS")</f>
        <v>GREENRELAIS</v>
      </c>
      <c r="F4504" s="10">
        <f>IFERROR(__xludf.DUMMYFUNCTION("""COMPUTED_VALUE"""),1.15555555555555)</f>
        <v>1.155555556</v>
      </c>
      <c r="G4504" s="9">
        <f>IFERROR(__xludf.DUMMYFUNCTION("""COMPUTED_VALUE"""),1.04)</f>
        <v>1.04</v>
      </c>
      <c r="H4504" s="9">
        <f>IFERROR(__xludf.DUMMYFUNCTION("""COMPUTED_VALUE"""),1.0)</f>
        <v>1</v>
      </c>
      <c r="I4504" s="9"/>
      <c r="J4504" s="9"/>
      <c r="K4504" s="9"/>
      <c r="L4504" s="9"/>
      <c r="M4504" s="9"/>
      <c r="N4504" s="9"/>
      <c r="O4504" s="9"/>
      <c r="P4504" s="9"/>
      <c r="Q4504" s="9"/>
      <c r="R4504" s="9"/>
      <c r="S4504" s="9"/>
      <c r="T4504" s="9"/>
    </row>
    <row r="4505" ht="15.75" customHeight="1">
      <c r="A4505" s="11">
        <f>IFERROR(__xludf.DUMMYFUNCTION("""COMPUTED_VALUE"""),44471.0)</f>
        <v>44471</v>
      </c>
      <c r="B4505" s="9">
        <f>IFERROR(__xludf.DUMMYFUNCTION("""COMPUTED_VALUE"""),1003925.0)</f>
        <v>1003925</v>
      </c>
      <c r="C4505" s="9">
        <f>IFERROR(__xludf.DUMMYFUNCTION("""COMPUTED_VALUE"""),71398.0)</f>
        <v>71398</v>
      </c>
      <c r="D4505" s="10" t="str">
        <f>IFERROR(__xludf.DUMMYFUNCTION("""COMPUTED_VALUE"""),"Offre speciale")</f>
        <v>Offre speciale</v>
      </c>
      <c r="E4505" s="10" t="str">
        <f>IFERROR(__xludf.DUMMYFUNCTION("""COMPUTED_VALUE"""),"GREENRELAIS")</f>
        <v>GREENRELAIS</v>
      </c>
      <c r="F4505" s="10">
        <f>IFERROR(__xludf.DUMMYFUNCTION("""COMPUTED_VALUE"""),4.70588235294117)</f>
        <v>4.705882353</v>
      </c>
      <c r="G4505" s="9">
        <f>IFERROR(__xludf.DUMMYFUNCTION("""COMPUTED_VALUE"""),4.0)</f>
        <v>4</v>
      </c>
      <c r="H4505" s="9">
        <f>IFERROR(__xludf.DUMMYFUNCTION("""COMPUTED_VALUE"""),1.0)</f>
        <v>1</v>
      </c>
      <c r="I4505" s="9"/>
      <c r="J4505" s="9"/>
      <c r="K4505" s="9"/>
      <c r="L4505" s="9"/>
      <c r="M4505" s="9"/>
      <c r="N4505" s="9"/>
      <c r="O4505" s="9"/>
      <c r="P4505" s="9"/>
      <c r="Q4505" s="9"/>
      <c r="R4505" s="9"/>
      <c r="S4505" s="9"/>
      <c r="T4505" s="9"/>
    </row>
    <row r="4506" ht="15.75" customHeight="1">
      <c r="A4506" s="11">
        <f>IFERROR(__xludf.DUMMYFUNCTION("""COMPUTED_VALUE"""),44471.0)</f>
        <v>44471</v>
      </c>
      <c r="B4506" s="9">
        <f>IFERROR(__xludf.DUMMYFUNCTION("""COMPUTED_VALUE"""),1003925.0)</f>
        <v>1003925</v>
      </c>
      <c r="C4506" s="9">
        <f>IFERROR(__xludf.DUMMYFUNCTION("""COMPUTED_VALUE"""),6156.0)</f>
        <v>6156</v>
      </c>
      <c r="D4506" s="10" t="str">
        <f>IFERROR(__xludf.DUMMYFUNCTION("""COMPUTED_VALUE"""),"Vive le bio")</f>
        <v>Vive le bio</v>
      </c>
      <c r="E4506" s="10" t="str">
        <f>IFERROR(__xludf.DUMMYFUNCTION("""COMPUTED_VALUE"""),"GREENRELAIS")</f>
        <v>GREENRELAIS</v>
      </c>
      <c r="F4506" s="10">
        <f>IFERROR(__xludf.DUMMYFUNCTION("""COMPUTED_VALUE"""),5.46666666666666)</f>
        <v>5.466666667</v>
      </c>
      <c r="G4506" s="9">
        <f>IFERROR(__xludf.DUMMYFUNCTION("""COMPUTED_VALUE"""),4.92)</f>
        <v>4.92</v>
      </c>
      <c r="H4506" s="9">
        <f>IFERROR(__xludf.DUMMYFUNCTION("""COMPUTED_VALUE"""),1.0)</f>
        <v>1</v>
      </c>
      <c r="I4506" s="9"/>
      <c r="J4506" s="9"/>
      <c r="K4506" s="9"/>
      <c r="L4506" s="9"/>
      <c r="M4506" s="9"/>
      <c r="N4506" s="9"/>
      <c r="O4506" s="9"/>
      <c r="P4506" s="9"/>
      <c r="Q4506" s="9"/>
      <c r="R4506" s="9"/>
      <c r="S4506" s="9"/>
      <c r="T4506" s="9"/>
    </row>
    <row r="4507" ht="15.75" customHeight="1">
      <c r="A4507" s="11">
        <f>IFERROR(__xludf.DUMMYFUNCTION("""COMPUTED_VALUE"""),44471.0)</f>
        <v>44471</v>
      </c>
      <c r="B4507" s="9">
        <f>IFERROR(__xludf.DUMMYFUNCTION("""COMPUTED_VALUE"""),1003925.0)</f>
        <v>1003925</v>
      </c>
      <c r="C4507" s="9">
        <f>IFERROR(__xludf.DUMMYFUNCTION("""COMPUTED_VALUE"""),5519.0)</f>
        <v>5519</v>
      </c>
      <c r="D4507" s="9"/>
      <c r="E4507" s="10" t="str">
        <f>IFERROR(__xludf.DUMMYFUNCTION("""COMPUTED_VALUE"""),"GREENRELAIS")</f>
        <v>GREENRELAIS</v>
      </c>
      <c r="F4507" s="10">
        <f>IFERROR(__xludf.DUMMYFUNCTION("""COMPUTED_VALUE"""),3.86)</f>
        <v>3.86</v>
      </c>
      <c r="G4507" s="9">
        <f>IFERROR(__xludf.DUMMYFUNCTION("""COMPUTED_VALUE"""),3.86)</f>
        <v>3.86</v>
      </c>
      <c r="H4507" s="9">
        <f>IFERROR(__xludf.DUMMYFUNCTION("""COMPUTED_VALUE"""),1.0)</f>
        <v>1</v>
      </c>
      <c r="I4507" s="9"/>
      <c r="J4507" s="9"/>
      <c r="K4507" s="9"/>
      <c r="L4507" s="9"/>
      <c r="M4507" s="9"/>
      <c r="N4507" s="9"/>
      <c r="O4507" s="9"/>
      <c r="P4507" s="9"/>
      <c r="Q4507" s="9"/>
      <c r="R4507" s="9"/>
      <c r="S4507" s="9"/>
      <c r="T4507" s="9"/>
    </row>
    <row r="4508" ht="15.75" customHeight="1">
      <c r="A4508" s="11">
        <f>IFERROR(__xludf.DUMMYFUNCTION("""COMPUTED_VALUE"""),44471.0)</f>
        <v>44471</v>
      </c>
      <c r="B4508" s="9">
        <f>IFERROR(__xludf.DUMMYFUNCTION("""COMPUTED_VALUE"""),1003925.0)</f>
        <v>1003925</v>
      </c>
      <c r="C4508" s="9">
        <f>IFERROR(__xludf.DUMMYFUNCTION("""COMPUTED_VALUE"""),5522.0)</f>
        <v>5522</v>
      </c>
      <c r="D4508" s="10" t="str">
        <f>IFERROR(__xludf.DUMMYFUNCTION("""COMPUTED_VALUE"""),"Vive le bio")</f>
        <v>Vive le bio</v>
      </c>
      <c r="E4508" s="10" t="str">
        <f>IFERROR(__xludf.DUMMYFUNCTION("""COMPUTED_VALUE"""),"GREENRELAIS")</f>
        <v>GREENRELAIS</v>
      </c>
      <c r="F4508" s="10">
        <f>IFERROR(__xludf.DUMMYFUNCTION("""COMPUTED_VALUE"""),7.71111111111111)</f>
        <v>7.711111111</v>
      </c>
      <c r="G4508" s="9">
        <f>IFERROR(__xludf.DUMMYFUNCTION("""COMPUTED_VALUE"""),6.94)</f>
        <v>6.94</v>
      </c>
      <c r="H4508" s="9">
        <f>IFERROR(__xludf.DUMMYFUNCTION("""COMPUTED_VALUE"""),2.0)</f>
        <v>2</v>
      </c>
      <c r="I4508" s="9"/>
      <c r="J4508" s="9"/>
      <c r="K4508" s="9"/>
      <c r="L4508" s="9"/>
      <c r="M4508" s="9"/>
      <c r="N4508" s="9"/>
      <c r="O4508" s="9"/>
      <c r="P4508" s="9"/>
      <c r="Q4508" s="9"/>
      <c r="R4508" s="9"/>
      <c r="S4508" s="9"/>
      <c r="T4508" s="9"/>
    </row>
    <row r="4509" ht="15.75" customHeight="1">
      <c r="A4509" s="11">
        <f>IFERROR(__xludf.DUMMYFUNCTION("""COMPUTED_VALUE"""),44471.0)</f>
        <v>44471</v>
      </c>
      <c r="B4509" s="9">
        <f>IFERROR(__xludf.DUMMYFUNCTION("""COMPUTED_VALUE"""),1003925.0)</f>
        <v>1003925</v>
      </c>
      <c r="C4509" s="9">
        <f>IFERROR(__xludf.DUMMYFUNCTION("""COMPUTED_VALUE"""),43244.0)</f>
        <v>43244</v>
      </c>
      <c r="D4509" s="9"/>
      <c r="E4509" s="10" t="str">
        <f>IFERROR(__xludf.DUMMYFUNCTION("""COMPUTED_VALUE"""),"GREENRELAIS")</f>
        <v>GREENRELAIS</v>
      </c>
      <c r="F4509" s="10">
        <f>IFERROR(__xludf.DUMMYFUNCTION("""COMPUTED_VALUE"""),17.87)</f>
        <v>17.87</v>
      </c>
      <c r="G4509" s="9">
        <f>IFERROR(__xludf.DUMMYFUNCTION("""COMPUTED_VALUE"""),17.87)</f>
        <v>17.87</v>
      </c>
      <c r="H4509" s="9">
        <f>IFERROR(__xludf.DUMMYFUNCTION("""COMPUTED_VALUE"""),3.0)</f>
        <v>3</v>
      </c>
      <c r="I4509" s="9"/>
      <c r="J4509" s="9"/>
      <c r="K4509" s="9"/>
      <c r="L4509" s="9"/>
      <c r="M4509" s="9"/>
      <c r="N4509" s="9"/>
      <c r="O4509" s="9"/>
      <c r="P4509" s="9"/>
      <c r="Q4509" s="9"/>
      <c r="R4509" s="9"/>
      <c r="S4509" s="9"/>
      <c r="T4509" s="9"/>
    </row>
    <row r="4510" ht="15.75" customHeight="1">
      <c r="A4510" s="11">
        <f>IFERROR(__xludf.DUMMYFUNCTION("""COMPUTED_VALUE"""),44471.0)</f>
        <v>44471</v>
      </c>
      <c r="B4510" s="9">
        <f>IFERROR(__xludf.DUMMYFUNCTION("""COMPUTED_VALUE"""),1003925.0)</f>
        <v>1003925</v>
      </c>
      <c r="C4510" s="9">
        <f>IFERROR(__xludf.DUMMYFUNCTION("""COMPUTED_VALUE"""),147309.0)</f>
        <v>147309</v>
      </c>
      <c r="D4510" s="9"/>
      <c r="E4510" s="10" t="str">
        <f>IFERROR(__xludf.DUMMYFUNCTION("""COMPUTED_VALUE"""),"GREENRELAIS")</f>
        <v>GREENRELAIS</v>
      </c>
      <c r="F4510" s="10">
        <f>IFERROR(__xludf.DUMMYFUNCTION("""COMPUTED_VALUE"""),10.44)</f>
        <v>10.44</v>
      </c>
      <c r="G4510" s="9">
        <f>IFERROR(__xludf.DUMMYFUNCTION("""COMPUTED_VALUE"""),10.44)</f>
        <v>10.44</v>
      </c>
      <c r="H4510" s="9">
        <f>IFERROR(__xludf.DUMMYFUNCTION("""COMPUTED_VALUE"""),4.0)</f>
        <v>4</v>
      </c>
      <c r="I4510" s="9"/>
      <c r="J4510" s="9"/>
      <c r="K4510" s="9"/>
      <c r="L4510" s="9"/>
      <c r="M4510" s="9"/>
      <c r="N4510" s="9"/>
      <c r="O4510" s="9"/>
      <c r="P4510" s="9"/>
      <c r="Q4510" s="9"/>
      <c r="R4510" s="9"/>
      <c r="S4510" s="9"/>
      <c r="T4510" s="9"/>
    </row>
    <row r="4511" ht="15.75" customHeight="1">
      <c r="A4511" s="11">
        <f>IFERROR(__xludf.DUMMYFUNCTION("""COMPUTED_VALUE"""),44471.0)</f>
        <v>44471</v>
      </c>
      <c r="B4511" s="9">
        <f>IFERROR(__xludf.DUMMYFUNCTION("""COMPUTED_VALUE"""),1003925.0)</f>
        <v>1003925</v>
      </c>
      <c r="C4511" s="9">
        <f>IFERROR(__xludf.DUMMYFUNCTION("""COMPUTED_VALUE"""),47621.0)</f>
        <v>47621</v>
      </c>
      <c r="D4511" s="9"/>
      <c r="E4511" s="10" t="str">
        <f>IFERROR(__xludf.DUMMYFUNCTION("""COMPUTED_VALUE"""),"GREENRELAIS")</f>
        <v>GREENRELAIS</v>
      </c>
      <c r="F4511" s="10">
        <f>IFERROR(__xludf.DUMMYFUNCTION("""COMPUTED_VALUE"""),17.93)</f>
        <v>17.93</v>
      </c>
      <c r="G4511" s="9">
        <f>IFERROR(__xludf.DUMMYFUNCTION("""COMPUTED_VALUE"""),17.93)</f>
        <v>17.93</v>
      </c>
      <c r="H4511" s="9">
        <f>IFERROR(__xludf.DUMMYFUNCTION("""COMPUTED_VALUE"""),6.0)</f>
        <v>6</v>
      </c>
      <c r="I4511" s="9"/>
      <c r="J4511" s="9"/>
      <c r="K4511" s="9"/>
      <c r="L4511" s="9"/>
      <c r="M4511" s="9"/>
      <c r="N4511" s="9"/>
      <c r="O4511" s="9"/>
      <c r="P4511" s="9"/>
      <c r="Q4511" s="9"/>
      <c r="R4511" s="9"/>
      <c r="S4511" s="9"/>
      <c r="T4511" s="9"/>
    </row>
    <row r="4512" ht="15.75" customHeight="1">
      <c r="A4512" s="11">
        <f>IFERROR(__xludf.DUMMYFUNCTION("""COMPUTED_VALUE"""),44471.0)</f>
        <v>44471</v>
      </c>
      <c r="B4512" s="9">
        <f>IFERROR(__xludf.DUMMYFUNCTION("""COMPUTED_VALUE"""),1003926.0)</f>
        <v>1003926</v>
      </c>
      <c r="C4512" s="9">
        <f>IFERROR(__xludf.DUMMYFUNCTION("""COMPUTED_VALUE"""),7364.0)</f>
        <v>7364</v>
      </c>
      <c r="D4512" s="9"/>
      <c r="E4512" s="9"/>
      <c r="F4512" s="9">
        <f>IFERROR(__xludf.DUMMYFUNCTION("""COMPUTED_VALUE"""),13.34)</f>
        <v>13.34</v>
      </c>
      <c r="G4512" s="9">
        <f>IFERROR(__xludf.DUMMYFUNCTION("""COMPUTED_VALUE"""),13.34)</f>
        <v>13.34</v>
      </c>
      <c r="H4512" s="9">
        <f>IFERROR(__xludf.DUMMYFUNCTION("""COMPUTED_VALUE"""),1.0)</f>
        <v>1</v>
      </c>
      <c r="I4512" s="9"/>
      <c r="J4512" s="9"/>
      <c r="K4512" s="9"/>
      <c r="L4512" s="9"/>
      <c r="M4512" s="9"/>
      <c r="N4512" s="9"/>
      <c r="O4512" s="9"/>
      <c r="P4512" s="9"/>
      <c r="Q4512" s="9"/>
      <c r="R4512" s="9"/>
      <c r="S4512" s="9"/>
      <c r="T4512" s="9"/>
    </row>
    <row r="4513" ht="15.75" customHeight="1">
      <c r="A4513" s="11">
        <f>IFERROR(__xludf.DUMMYFUNCTION("""COMPUTED_VALUE"""),44471.0)</f>
        <v>44471</v>
      </c>
      <c r="B4513" s="9">
        <f>IFERROR(__xludf.DUMMYFUNCTION("""COMPUTED_VALUE"""),1003927.0)</f>
        <v>1003927</v>
      </c>
      <c r="C4513" s="9">
        <f>IFERROR(__xludf.DUMMYFUNCTION("""COMPUTED_VALUE"""),44254.0)</f>
        <v>44254</v>
      </c>
      <c r="D4513" s="9"/>
      <c r="E4513" s="10" t="str">
        <f>IFERROR(__xludf.DUMMYFUNCTION("""COMPUTED_VALUE"""),"GREENRELAIS")</f>
        <v>GREENRELAIS</v>
      </c>
      <c r="F4513" s="10">
        <f>IFERROR(__xludf.DUMMYFUNCTION("""COMPUTED_VALUE"""),4.0)</f>
        <v>4</v>
      </c>
      <c r="G4513" s="9">
        <f>IFERROR(__xludf.DUMMYFUNCTION("""COMPUTED_VALUE"""),4.0)</f>
        <v>4</v>
      </c>
      <c r="H4513" s="9">
        <f>IFERROR(__xludf.DUMMYFUNCTION("""COMPUTED_VALUE"""),1.0)</f>
        <v>1</v>
      </c>
      <c r="I4513" s="9"/>
      <c r="J4513" s="9"/>
      <c r="K4513" s="9"/>
      <c r="L4513" s="9"/>
      <c r="M4513" s="9"/>
      <c r="N4513" s="9"/>
      <c r="O4513" s="9"/>
      <c r="P4513" s="9"/>
      <c r="Q4513" s="9"/>
      <c r="R4513" s="9"/>
      <c r="S4513" s="9"/>
      <c r="T4513" s="9"/>
    </row>
    <row r="4514" ht="15.75" customHeight="1">
      <c r="A4514" s="11">
        <f>IFERROR(__xludf.DUMMYFUNCTION("""COMPUTED_VALUE"""),44471.0)</f>
        <v>44471</v>
      </c>
      <c r="B4514" s="9">
        <f>IFERROR(__xludf.DUMMYFUNCTION("""COMPUTED_VALUE"""),1003927.0)</f>
        <v>1003927</v>
      </c>
      <c r="C4514" s="9">
        <f>IFERROR(__xludf.DUMMYFUNCTION("""COMPUTED_VALUE"""),46154.0)</f>
        <v>46154</v>
      </c>
      <c r="D4514" s="10" t="str">
        <f>IFERROR(__xludf.DUMMYFUNCTION("""COMPUTED_VALUE"""),"Offre speciale")</f>
        <v>Offre speciale</v>
      </c>
      <c r="E4514" s="10" t="str">
        <f>IFERROR(__xludf.DUMMYFUNCTION("""COMPUTED_VALUE"""),"GREENRELAIS")</f>
        <v>GREENRELAIS</v>
      </c>
      <c r="F4514" s="10">
        <f>IFERROR(__xludf.DUMMYFUNCTION("""COMPUTED_VALUE"""),1.05555555555555)</f>
        <v>1.055555556</v>
      </c>
      <c r="G4514" s="9">
        <f>IFERROR(__xludf.DUMMYFUNCTION("""COMPUTED_VALUE"""),0.95)</f>
        <v>0.95</v>
      </c>
      <c r="H4514" s="9">
        <f>IFERROR(__xludf.DUMMYFUNCTION("""COMPUTED_VALUE"""),1.0)</f>
        <v>1</v>
      </c>
      <c r="I4514" s="9"/>
      <c r="J4514" s="9"/>
      <c r="K4514" s="9"/>
      <c r="L4514" s="9"/>
      <c r="M4514" s="9"/>
      <c r="N4514" s="9"/>
      <c r="O4514" s="9"/>
      <c r="P4514" s="9"/>
      <c r="Q4514" s="9"/>
      <c r="R4514" s="9"/>
      <c r="S4514" s="9"/>
      <c r="T4514" s="9"/>
    </row>
    <row r="4515" ht="15.75" customHeight="1">
      <c r="A4515" s="11">
        <f>IFERROR(__xludf.DUMMYFUNCTION("""COMPUTED_VALUE"""),44471.0)</f>
        <v>44471</v>
      </c>
      <c r="B4515" s="9">
        <f>IFERROR(__xludf.DUMMYFUNCTION("""COMPUTED_VALUE"""),1003927.0)</f>
        <v>1003927</v>
      </c>
      <c r="C4515" s="9">
        <f>IFERROR(__xludf.DUMMYFUNCTION("""COMPUTED_VALUE"""),109536.0)</f>
        <v>109536</v>
      </c>
      <c r="D4515" s="10" t="str">
        <f>IFERROR(__xludf.DUMMYFUNCTION("""COMPUTED_VALUE"""),"Zero Dechet")</f>
        <v>Zero Dechet</v>
      </c>
      <c r="E4515" s="10" t="str">
        <f>IFERROR(__xludf.DUMMYFUNCTION("""COMPUTED_VALUE"""),"GREENRELAIS")</f>
        <v>GREENRELAIS</v>
      </c>
      <c r="F4515" s="10">
        <f>IFERROR(__xludf.DUMMYFUNCTION("""COMPUTED_VALUE"""),4.90588235294117)</f>
        <v>4.905882353</v>
      </c>
      <c r="G4515" s="9">
        <f>IFERROR(__xludf.DUMMYFUNCTION("""COMPUTED_VALUE"""),4.17)</f>
        <v>4.17</v>
      </c>
      <c r="H4515" s="9">
        <f>IFERROR(__xludf.DUMMYFUNCTION("""COMPUTED_VALUE"""),1.0)</f>
        <v>1</v>
      </c>
      <c r="I4515" s="9"/>
      <c r="J4515" s="9"/>
      <c r="K4515" s="9"/>
      <c r="L4515" s="9"/>
      <c r="M4515" s="9"/>
      <c r="N4515" s="9"/>
      <c r="O4515" s="9"/>
      <c r="P4515" s="9"/>
      <c r="Q4515" s="9"/>
      <c r="R4515" s="9"/>
      <c r="S4515" s="9"/>
      <c r="T4515" s="9"/>
    </row>
    <row r="4516" ht="15.75" customHeight="1">
      <c r="A4516" s="11">
        <f>IFERROR(__xludf.DUMMYFUNCTION("""COMPUTED_VALUE"""),44471.0)</f>
        <v>44471</v>
      </c>
      <c r="B4516" s="9">
        <f>IFERROR(__xludf.DUMMYFUNCTION("""COMPUTED_VALUE"""),1003927.0)</f>
        <v>1003927</v>
      </c>
      <c r="C4516" s="9">
        <f>IFERROR(__xludf.DUMMYFUNCTION("""COMPUTED_VALUE"""),110437.0)</f>
        <v>110437</v>
      </c>
      <c r="D4516" s="9"/>
      <c r="E4516" s="10" t="str">
        <f>IFERROR(__xludf.DUMMYFUNCTION("""COMPUTED_VALUE"""),"GREENRELAIS")</f>
        <v>GREENRELAIS</v>
      </c>
      <c r="F4516" s="10">
        <f>IFERROR(__xludf.DUMMYFUNCTION("""COMPUTED_VALUE"""),0.9)</f>
        <v>0.9</v>
      </c>
      <c r="G4516" s="9">
        <f>IFERROR(__xludf.DUMMYFUNCTION("""COMPUTED_VALUE"""),0.9)</f>
        <v>0.9</v>
      </c>
      <c r="H4516" s="9">
        <f>IFERROR(__xludf.DUMMYFUNCTION("""COMPUTED_VALUE"""),1.0)</f>
        <v>1</v>
      </c>
      <c r="I4516" s="9"/>
      <c r="J4516" s="9"/>
      <c r="K4516" s="9"/>
      <c r="L4516" s="9"/>
      <c r="M4516" s="9"/>
      <c r="N4516" s="9"/>
      <c r="O4516" s="9"/>
      <c r="P4516" s="9"/>
      <c r="Q4516" s="9"/>
      <c r="R4516" s="9"/>
      <c r="S4516" s="9"/>
      <c r="T4516" s="9"/>
    </row>
    <row r="4517" ht="15.75" customHeight="1">
      <c r="A4517" s="11">
        <f>IFERROR(__xludf.DUMMYFUNCTION("""COMPUTED_VALUE"""),44471.0)</f>
        <v>44471</v>
      </c>
      <c r="B4517" s="9">
        <f>IFERROR(__xludf.DUMMYFUNCTION("""COMPUTED_VALUE"""),1003927.0)</f>
        <v>1003927</v>
      </c>
      <c r="C4517" s="9">
        <f>IFERROR(__xludf.DUMMYFUNCTION("""COMPUTED_VALUE"""),78426.0)</f>
        <v>78426</v>
      </c>
      <c r="D4517" s="9"/>
      <c r="E4517" s="10" t="str">
        <f>IFERROR(__xludf.DUMMYFUNCTION("""COMPUTED_VALUE"""),"GREENRELAIS")</f>
        <v>GREENRELAIS</v>
      </c>
      <c r="F4517" s="10">
        <f>IFERROR(__xludf.DUMMYFUNCTION("""COMPUTED_VALUE"""),7.71)</f>
        <v>7.71</v>
      </c>
      <c r="G4517" s="9">
        <f>IFERROR(__xludf.DUMMYFUNCTION("""COMPUTED_VALUE"""),7.71)</f>
        <v>7.71</v>
      </c>
      <c r="H4517" s="9">
        <f>IFERROR(__xludf.DUMMYFUNCTION("""COMPUTED_VALUE"""),1.0)</f>
        <v>1</v>
      </c>
      <c r="I4517" s="9"/>
      <c r="J4517" s="9"/>
      <c r="K4517" s="9"/>
      <c r="L4517" s="9"/>
      <c r="M4517" s="9"/>
      <c r="N4517" s="9"/>
      <c r="O4517" s="9"/>
      <c r="P4517" s="9"/>
      <c r="Q4517" s="9"/>
      <c r="R4517" s="9"/>
      <c r="S4517" s="9"/>
      <c r="T4517" s="9"/>
    </row>
    <row r="4518" ht="15.75" customHeight="1">
      <c r="A4518" s="11">
        <f>IFERROR(__xludf.DUMMYFUNCTION("""COMPUTED_VALUE"""),44471.0)</f>
        <v>44471</v>
      </c>
      <c r="B4518" s="9">
        <f>IFERROR(__xludf.DUMMYFUNCTION("""COMPUTED_VALUE"""),1003927.0)</f>
        <v>1003927</v>
      </c>
      <c r="C4518" s="9">
        <f>IFERROR(__xludf.DUMMYFUNCTION("""COMPUTED_VALUE"""),86499.0)</f>
        <v>86499</v>
      </c>
      <c r="D4518" s="9"/>
      <c r="E4518" s="10" t="str">
        <f>IFERROR(__xludf.DUMMYFUNCTION("""COMPUTED_VALUE"""),"GREENRELAIS")</f>
        <v>GREENRELAIS</v>
      </c>
      <c r="F4518" s="10">
        <f>IFERROR(__xludf.DUMMYFUNCTION("""COMPUTED_VALUE"""),10.29)</f>
        <v>10.29</v>
      </c>
      <c r="G4518" s="9">
        <f>IFERROR(__xludf.DUMMYFUNCTION("""COMPUTED_VALUE"""),10.29)</f>
        <v>10.29</v>
      </c>
      <c r="H4518" s="9">
        <f>IFERROR(__xludf.DUMMYFUNCTION("""COMPUTED_VALUE"""),2.0)</f>
        <v>2</v>
      </c>
      <c r="I4518" s="9"/>
      <c r="J4518" s="9"/>
      <c r="K4518" s="9"/>
      <c r="L4518" s="9"/>
      <c r="M4518" s="9"/>
      <c r="N4518" s="9"/>
      <c r="O4518" s="9"/>
      <c r="P4518" s="9"/>
      <c r="Q4518" s="9"/>
      <c r="R4518" s="9"/>
      <c r="S4518" s="9"/>
      <c r="T4518" s="9"/>
    </row>
    <row r="4519" ht="15.75" customHeight="1">
      <c r="A4519" s="11">
        <f>IFERROR(__xludf.DUMMYFUNCTION("""COMPUTED_VALUE"""),44471.0)</f>
        <v>44471</v>
      </c>
      <c r="B4519" s="9">
        <f>IFERROR(__xludf.DUMMYFUNCTION("""COMPUTED_VALUE"""),1003927.0)</f>
        <v>1003927</v>
      </c>
      <c r="C4519" s="9">
        <f>IFERROR(__xludf.DUMMYFUNCTION("""COMPUTED_VALUE"""),115726.0)</f>
        <v>115726</v>
      </c>
      <c r="D4519" s="9"/>
      <c r="E4519" s="10" t="str">
        <f>IFERROR(__xludf.DUMMYFUNCTION("""COMPUTED_VALUE"""),"GREENRELAIS")</f>
        <v>GREENRELAIS</v>
      </c>
      <c r="F4519" s="10">
        <f>IFERROR(__xludf.DUMMYFUNCTION("""COMPUTED_VALUE"""),7.03)</f>
        <v>7.03</v>
      </c>
      <c r="G4519" s="9">
        <f>IFERROR(__xludf.DUMMYFUNCTION("""COMPUTED_VALUE"""),7.03)</f>
        <v>7.03</v>
      </c>
      <c r="H4519" s="9">
        <f>IFERROR(__xludf.DUMMYFUNCTION("""COMPUTED_VALUE"""),2.0)</f>
        <v>2</v>
      </c>
      <c r="I4519" s="9"/>
      <c r="J4519" s="9"/>
      <c r="K4519" s="9"/>
      <c r="L4519" s="9"/>
      <c r="M4519" s="9"/>
      <c r="N4519" s="9"/>
      <c r="O4519" s="9"/>
      <c r="P4519" s="9"/>
      <c r="Q4519" s="9"/>
      <c r="R4519" s="9"/>
      <c r="S4519" s="9"/>
      <c r="T4519" s="9"/>
    </row>
    <row r="4520" ht="15.75" customHeight="1">
      <c r="A4520" s="11">
        <f>IFERROR(__xludf.DUMMYFUNCTION("""COMPUTED_VALUE"""),44471.0)</f>
        <v>44471</v>
      </c>
      <c r="B4520" s="9">
        <f>IFERROR(__xludf.DUMMYFUNCTION("""COMPUTED_VALUE"""),1003927.0)</f>
        <v>1003927</v>
      </c>
      <c r="C4520" s="9">
        <f>IFERROR(__xludf.DUMMYFUNCTION("""COMPUTED_VALUE"""),41681.0)</f>
        <v>41681</v>
      </c>
      <c r="D4520" s="10" t="str">
        <f>IFERROR(__xludf.DUMMYFUNCTION("""COMPUTED_VALUE"""),"Vive le bio")</f>
        <v>Vive le bio</v>
      </c>
      <c r="E4520" s="10" t="str">
        <f>IFERROR(__xludf.DUMMYFUNCTION("""COMPUTED_VALUE"""),"GREENRELAIS")</f>
        <v>GREENRELAIS</v>
      </c>
      <c r="F4520" s="10">
        <f>IFERROR(__xludf.DUMMYFUNCTION("""COMPUTED_VALUE"""),8.56666666666666)</f>
        <v>8.566666667</v>
      </c>
      <c r="G4520" s="9">
        <f>IFERROR(__xludf.DUMMYFUNCTION("""COMPUTED_VALUE"""),7.71)</f>
        <v>7.71</v>
      </c>
      <c r="H4520" s="9">
        <f>IFERROR(__xludf.DUMMYFUNCTION("""COMPUTED_VALUE"""),2.0)</f>
        <v>2</v>
      </c>
      <c r="I4520" s="9"/>
      <c r="J4520" s="9"/>
      <c r="K4520" s="9"/>
      <c r="L4520" s="9"/>
      <c r="M4520" s="9"/>
      <c r="N4520" s="9"/>
      <c r="O4520" s="9"/>
      <c r="P4520" s="9"/>
      <c r="Q4520" s="9"/>
      <c r="R4520" s="9"/>
      <c r="S4520" s="9"/>
      <c r="T4520" s="9"/>
    </row>
    <row r="4521" ht="15.75" customHeight="1">
      <c r="A4521" s="11">
        <f>IFERROR(__xludf.DUMMYFUNCTION("""COMPUTED_VALUE"""),44471.0)</f>
        <v>44471</v>
      </c>
      <c r="B4521" s="9">
        <f>IFERROR(__xludf.DUMMYFUNCTION("""COMPUTED_VALUE"""),1003927.0)</f>
        <v>1003927</v>
      </c>
      <c r="C4521" s="9">
        <f>IFERROR(__xludf.DUMMYFUNCTION("""COMPUTED_VALUE"""),77601.0)</f>
        <v>77601</v>
      </c>
      <c r="D4521" s="9"/>
      <c r="E4521" s="10" t="str">
        <f>IFERROR(__xludf.DUMMYFUNCTION("""COMPUTED_VALUE"""),"GREENRELAIS")</f>
        <v>GREENRELAIS</v>
      </c>
      <c r="F4521" s="10">
        <f>IFERROR(__xludf.DUMMYFUNCTION("""COMPUTED_VALUE"""),9.1)</f>
        <v>9.1</v>
      </c>
      <c r="G4521" s="9">
        <f>IFERROR(__xludf.DUMMYFUNCTION("""COMPUTED_VALUE"""),9.1)</f>
        <v>9.1</v>
      </c>
      <c r="H4521" s="9">
        <f>IFERROR(__xludf.DUMMYFUNCTION("""COMPUTED_VALUE"""),2.0)</f>
        <v>2</v>
      </c>
      <c r="I4521" s="9"/>
      <c r="J4521" s="9"/>
      <c r="K4521" s="9"/>
      <c r="L4521" s="9"/>
      <c r="M4521" s="9"/>
      <c r="N4521" s="9"/>
      <c r="O4521" s="9"/>
      <c r="P4521" s="9"/>
      <c r="Q4521" s="9"/>
      <c r="R4521" s="9"/>
      <c r="S4521" s="9"/>
      <c r="T4521" s="9"/>
    </row>
    <row r="4522" ht="15.75" customHeight="1">
      <c r="A4522" s="11">
        <f>IFERROR(__xludf.DUMMYFUNCTION("""COMPUTED_VALUE"""),44471.0)</f>
        <v>44471</v>
      </c>
      <c r="B4522" s="9">
        <f>IFERROR(__xludf.DUMMYFUNCTION("""COMPUTED_VALUE"""),1003927.0)</f>
        <v>1003927</v>
      </c>
      <c r="C4522" s="9">
        <f>IFERROR(__xludf.DUMMYFUNCTION("""COMPUTED_VALUE"""),120531.0)</f>
        <v>120531</v>
      </c>
      <c r="D4522" s="10" t="str">
        <f>IFERROR(__xludf.DUMMYFUNCTION("""COMPUTED_VALUE"""),"Vive le bio")</f>
        <v>Vive le bio</v>
      </c>
      <c r="E4522" s="10" t="str">
        <f>IFERROR(__xludf.DUMMYFUNCTION("""COMPUTED_VALUE"""),"GREENRELAIS")</f>
        <v>GREENRELAIS</v>
      </c>
      <c r="F4522" s="10">
        <f>IFERROR(__xludf.DUMMYFUNCTION("""COMPUTED_VALUE"""),4.05555555555555)</f>
        <v>4.055555556</v>
      </c>
      <c r="G4522" s="9">
        <f>IFERROR(__xludf.DUMMYFUNCTION("""COMPUTED_VALUE"""),3.65)</f>
        <v>3.65</v>
      </c>
      <c r="H4522" s="9">
        <f>IFERROR(__xludf.DUMMYFUNCTION("""COMPUTED_VALUE"""),2.0)</f>
        <v>2</v>
      </c>
      <c r="I4522" s="9"/>
      <c r="J4522" s="9"/>
      <c r="K4522" s="9"/>
      <c r="L4522" s="9"/>
      <c r="M4522" s="9"/>
      <c r="N4522" s="9"/>
      <c r="O4522" s="9"/>
      <c r="P4522" s="9"/>
      <c r="Q4522" s="9"/>
      <c r="R4522" s="9"/>
      <c r="S4522" s="9"/>
      <c r="T4522" s="9"/>
    </row>
    <row r="4523" ht="15.75" customHeight="1">
      <c r="A4523" s="11">
        <f>IFERROR(__xludf.DUMMYFUNCTION("""COMPUTED_VALUE"""),44471.0)</f>
        <v>44471</v>
      </c>
      <c r="B4523" s="9">
        <f>IFERROR(__xludf.DUMMYFUNCTION("""COMPUTED_VALUE"""),1003928.0)</f>
        <v>1003928</v>
      </c>
      <c r="C4523" s="9">
        <f>IFERROR(__xludf.DUMMYFUNCTION("""COMPUTED_VALUE"""),20053.0)</f>
        <v>20053</v>
      </c>
      <c r="D4523" s="9"/>
      <c r="E4523" s="10" t="str">
        <f>IFERROR(__xludf.DUMMYFUNCTION("""COMPUTED_VALUE"""),"GREENRELAIS")</f>
        <v>GREENRELAIS</v>
      </c>
      <c r="F4523" s="10">
        <f>IFERROR(__xludf.DUMMYFUNCTION("""COMPUTED_VALUE"""),3.0)</f>
        <v>3</v>
      </c>
      <c r="G4523" s="9">
        <f>IFERROR(__xludf.DUMMYFUNCTION("""COMPUTED_VALUE"""),3.0)</f>
        <v>3</v>
      </c>
      <c r="H4523" s="9">
        <f>IFERROR(__xludf.DUMMYFUNCTION("""COMPUTED_VALUE"""),1.0)</f>
        <v>1</v>
      </c>
      <c r="I4523" s="9"/>
      <c r="J4523" s="9"/>
      <c r="K4523" s="9"/>
      <c r="L4523" s="9"/>
      <c r="M4523" s="9"/>
      <c r="N4523" s="9"/>
      <c r="O4523" s="9"/>
      <c r="P4523" s="9"/>
      <c r="Q4523" s="9"/>
      <c r="R4523" s="9"/>
      <c r="S4523" s="9"/>
      <c r="T4523" s="9"/>
    </row>
    <row r="4524" ht="15.75" customHeight="1">
      <c r="A4524" s="11">
        <f>IFERROR(__xludf.DUMMYFUNCTION("""COMPUTED_VALUE"""),44471.0)</f>
        <v>44471</v>
      </c>
      <c r="B4524" s="9">
        <f>IFERROR(__xludf.DUMMYFUNCTION("""COMPUTED_VALUE"""),1003928.0)</f>
        <v>1003928</v>
      </c>
      <c r="C4524" s="9">
        <f>IFERROR(__xludf.DUMMYFUNCTION("""COMPUTED_VALUE"""),46954.0)</f>
        <v>46954</v>
      </c>
      <c r="D4524" s="9"/>
      <c r="E4524" s="10" t="str">
        <f>IFERROR(__xludf.DUMMYFUNCTION("""COMPUTED_VALUE"""),"GREENRELAIS")</f>
        <v>GREENRELAIS</v>
      </c>
      <c r="F4524" s="10">
        <f>IFERROR(__xludf.DUMMYFUNCTION("""COMPUTED_VALUE"""),1.88)</f>
        <v>1.88</v>
      </c>
      <c r="G4524" s="9">
        <f>IFERROR(__xludf.DUMMYFUNCTION("""COMPUTED_VALUE"""),1.88)</f>
        <v>1.88</v>
      </c>
      <c r="H4524" s="9">
        <f>IFERROR(__xludf.DUMMYFUNCTION("""COMPUTED_VALUE"""),1.0)</f>
        <v>1</v>
      </c>
      <c r="I4524" s="9"/>
      <c r="J4524" s="9"/>
      <c r="K4524" s="9"/>
      <c r="L4524" s="9"/>
      <c r="M4524" s="9"/>
      <c r="N4524" s="9"/>
      <c r="O4524" s="9"/>
      <c r="P4524" s="9"/>
      <c r="Q4524" s="9"/>
      <c r="R4524" s="9"/>
      <c r="S4524" s="9"/>
      <c r="T4524" s="9"/>
    </row>
    <row r="4525" ht="15.75" customHeight="1">
      <c r="A4525" s="11">
        <f>IFERROR(__xludf.DUMMYFUNCTION("""COMPUTED_VALUE"""),44471.0)</f>
        <v>44471</v>
      </c>
      <c r="B4525" s="9">
        <f>IFERROR(__xludf.DUMMYFUNCTION("""COMPUTED_VALUE"""),1003928.0)</f>
        <v>1003928</v>
      </c>
      <c r="C4525" s="9">
        <f>IFERROR(__xludf.DUMMYFUNCTION("""COMPUTED_VALUE"""),20055.0)</f>
        <v>20055</v>
      </c>
      <c r="D4525" s="9"/>
      <c r="E4525" s="10" t="str">
        <f>IFERROR(__xludf.DUMMYFUNCTION("""COMPUTED_VALUE"""),"GREENRELAIS")</f>
        <v>GREENRELAIS</v>
      </c>
      <c r="F4525" s="10">
        <f>IFERROR(__xludf.DUMMYFUNCTION("""COMPUTED_VALUE"""),1.82)</f>
        <v>1.82</v>
      </c>
      <c r="G4525" s="9">
        <f>IFERROR(__xludf.DUMMYFUNCTION("""COMPUTED_VALUE"""),1.82)</f>
        <v>1.82</v>
      </c>
      <c r="H4525" s="9">
        <f>IFERROR(__xludf.DUMMYFUNCTION("""COMPUTED_VALUE"""),1.0)</f>
        <v>1</v>
      </c>
      <c r="I4525" s="9"/>
      <c r="J4525" s="9"/>
      <c r="K4525" s="9"/>
      <c r="L4525" s="9"/>
      <c r="M4525" s="9"/>
      <c r="N4525" s="9"/>
      <c r="O4525" s="9"/>
      <c r="P4525" s="9"/>
      <c r="Q4525" s="9"/>
      <c r="R4525" s="9"/>
      <c r="S4525" s="9"/>
      <c r="T4525" s="9"/>
    </row>
    <row r="4526" ht="15.75" customHeight="1">
      <c r="A4526" s="11">
        <f>IFERROR(__xludf.DUMMYFUNCTION("""COMPUTED_VALUE"""),44471.0)</f>
        <v>44471</v>
      </c>
      <c r="B4526" s="9">
        <f>IFERROR(__xludf.DUMMYFUNCTION("""COMPUTED_VALUE"""),1003928.0)</f>
        <v>1003928</v>
      </c>
      <c r="C4526" s="9">
        <f>IFERROR(__xludf.DUMMYFUNCTION("""COMPUTED_VALUE"""),29650.0)</f>
        <v>29650</v>
      </c>
      <c r="D4526" s="9"/>
      <c r="E4526" s="10" t="str">
        <f>IFERROR(__xludf.DUMMYFUNCTION("""COMPUTED_VALUE"""),"GREENRELAIS")</f>
        <v>GREENRELAIS</v>
      </c>
      <c r="F4526" s="10">
        <f>IFERROR(__xludf.DUMMYFUNCTION("""COMPUTED_VALUE"""),1.58)</f>
        <v>1.58</v>
      </c>
      <c r="G4526" s="9">
        <f>IFERROR(__xludf.DUMMYFUNCTION("""COMPUTED_VALUE"""),1.58)</f>
        <v>1.58</v>
      </c>
      <c r="H4526" s="9">
        <f>IFERROR(__xludf.DUMMYFUNCTION("""COMPUTED_VALUE"""),1.0)</f>
        <v>1</v>
      </c>
      <c r="I4526" s="9"/>
      <c r="J4526" s="9"/>
      <c r="K4526" s="9"/>
      <c r="L4526" s="9"/>
      <c r="M4526" s="9"/>
      <c r="N4526" s="9"/>
      <c r="O4526" s="9"/>
      <c r="P4526" s="9"/>
      <c r="Q4526" s="9"/>
      <c r="R4526" s="9"/>
      <c r="S4526" s="9"/>
      <c r="T4526" s="9"/>
    </row>
    <row r="4527" ht="15.75" customHeight="1">
      <c r="A4527" s="11">
        <f>IFERROR(__xludf.DUMMYFUNCTION("""COMPUTED_VALUE"""),44471.0)</f>
        <v>44471</v>
      </c>
      <c r="B4527" s="9">
        <f>IFERROR(__xludf.DUMMYFUNCTION("""COMPUTED_VALUE"""),1003928.0)</f>
        <v>1003928</v>
      </c>
      <c r="C4527" s="9">
        <f>IFERROR(__xludf.DUMMYFUNCTION("""COMPUTED_VALUE"""),122318.0)</f>
        <v>122318</v>
      </c>
      <c r="D4527" s="9"/>
      <c r="E4527" s="10" t="str">
        <f>IFERROR(__xludf.DUMMYFUNCTION("""COMPUTED_VALUE"""),"GREENRELAIS")</f>
        <v>GREENRELAIS</v>
      </c>
      <c r="F4527" s="10">
        <f>IFERROR(__xludf.DUMMYFUNCTION("""COMPUTED_VALUE"""),6.87)</f>
        <v>6.87</v>
      </c>
      <c r="G4527" s="9">
        <f>IFERROR(__xludf.DUMMYFUNCTION("""COMPUTED_VALUE"""),6.87)</f>
        <v>6.87</v>
      </c>
      <c r="H4527" s="9">
        <f>IFERROR(__xludf.DUMMYFUNCTION("""COMPUTED_VALUE"""),1.0)</f>
        <v>1</v>
      </c>
      <c r="I4527" s="9"/>
      <c r="J4527" s="9"/>
      <c r="K4527" s="9"/>
      <c r="L4527" s="9"/>
      <c r="M4527" s="9"/>
      <c r="N4527" s="9"/>
      <c r="O4527" s="9"/>
      <c r="P4527" s="9"/>
      <c r="Q4527" s="9"/>
      <c r="R4527" s="9"/>
      <c r="S4527" s="9"/>
      <c r="T4527" s="9"/>
    </row>
    <row r="4528" ht="15.75" customHeight="1">
      <c r="A4528" s="11">
        <f>IFERROR(__xludf.DUMMYFUNCTION("""COMPUTED_VALUE"""),44471.0)</f>
        <v>44471</v>
      </c>
      <c r="B4528" s="9">
        <f>IFERROR(__xludf.DUMMYFUNCTION("""COMPUTED_VALUE"""),1003928.0)</f>
        <v>1003928</v>
      </c>
      <c r="C4528" s="9">
        <f>IFERROR(__xludf.DUMMYFUNCTION("""COMPUTED_VALUE"""),9704.0)</f>
        <v>9704</v>
      </c>
      <c r="D4528" s="9"/>
      <c r="E4528" s="10" t="str">
        <f>IFERROR(__xludf.DUMMYFUNCTION("""COMPUTED_VALUE"""),"GREENRELAIS")</f>
        <v>GREENRELAIS</v>
      </c>
      <c r="F4528" s="10">
        <f>IFERROR(__xludf.DUMMYFUNCTION("""COMPUTED_VALUE"""),8.05)</f>
        <v>8.05</v>
      </c>
      <c r="G4528" s="9">
        <f>IFERROR(__xludf.DUMMYFUNCTION("""COMPUTED_VALUE"""),8.05)</f>
        <v>8.05</v>
      </c>
      <c r="H4528" s="9">
        <f>IFERROR(__xludf.DUMMYFUNCTION("""COMPUTED_VALUE"""),1.0)</f>
        <v>1</v>
      </c>
      <c r="I4528" s="9"/>
      <c r="J4528" s="9"/>
      <c r="K4528" s="9"/>
      <c r="L4528" s="9"/>
      <c r="M4528" s="9"/>
      <c r="N4528" s="9"/>
      <c r="O4528" s="9"/>
      <c r="P4528" s="9"/>
      <c r="Q4528" s="9"/>
      <c r="R4528" s="9"/>
      <c r="S4528" s="9"/>
      <c r="T4528" s="9"/>
    </row>
    <row r="4529" ht="15.75" customHeight="1">
      <c r="A4529" s="11">
        <f>IFERROR(__xludf.DUMMYFUNCTION("""COMPUTED_VALUE"""),44471.0)</f>
        <v>44471</v>
      </c>
      <c r="B4529" s="9">
        <f>IFERROR(__xludf.DUMMYFUNCTION("""COMPUTED_VALUE"""),1003928.0)</f>
        <v>1003928</v>
      </c>
      <c r="C4529" s="9">
        <f>IFERROR(__xludf.DUMMYFUNCTION("""COMPUTED_VALUE"""),112113.0)</f>
        <v>112113</v>
      </c>
      <c r="D4529" s="9"/>
      <c r="E4529" s="10" t="str">
        <f>IFERROR(__xludf.DUMMYFUNCTION("""COMPUTED_VALUE"""),"GREENRELAIS")</f>
        <v>GREENRELAIS</v>
      </c>
      <c r="F4529" s="10">
        <f>IFERROR(__xludf.DUMMYFUNCTION("""COMPUTED_VALUE"""),5.9)</f>
        <v>5.9</v>
      </c>
      <c r="G4529" s="9">
        <f>IFERROR(__xludf.DUMMYFUNCTION("""COMPUTED_VALUE"""),5.9)</f>
        <v>5.9</v>
      </c>
      <c r="H4529" s="9">
        <f>IFERROR(__xludf.DUMMYFUNCTION("""COMPUTED_VALUE"""),1.0)</f>
        <v>1</v>
      </c>
      <c r="I4529" s="9"/>
      <c r="J4529" s="9"/>
      <c r="K4529" s="9"/>
      <c r="L4529" s="9"/>
      <c r="M4529" s="9"/>
      <c r="N4529" s="9"/>
      <c r="O4529" s="9"/>
      <c r="P4529" s="9"/>
      <c r="Q4529" s="9"/>
      <c r="R4529" s="9"/>
      <c r="S4529" s="9"/>
      <c r="T4529" s="9"/>
    </row>
    <row r="4530" ht="15.75" customHeight="1">
      <c r="A4530" s="11">
        <f>IFERROR(__xludf.DUMMYFUNCTION("""COMPUTED_VALUE"""),44471.0)</f>
        <v>44471</v>
      </c>
      <c r="B4530" s="9">
        <f>IFERROR(__xludf.DUMMYFUNCTION("""COMPUTED_VALUE"""),1003928.0)</f>
        <v>1003928</v>
      </c>
      <c r="C4530" s="9">
        <f>IFERROR(__xludf.DUMMYFUNCTION("""COMPUTED_VALUE"""),88773.0)</f>
        <v>88773</v>
      </c>
      <c r="D4530" s="9"/>
      <c r="E4530" s="10" t="str">
        <f>IFERROR(__xludf.DUMMYFUNCTION("""COMPUTED_VALUE"""),"GREENRELAIS")</f>
        <v>GREENRELAIS</v>
      </c>
      <c r="F4530" s="10">
        <f>IFERROR(__xludf.DUMMYFUNCTION("""COMPUTED_VALUE"""),2.97)</f>
        <v>2.97</v>
      </c>
      <c r="G4530" s="9">
        <f>IFERROR(__xludf.DUMMYFUNCTION("""COMPUTED_VALUE"""),2.97)</f>
        <v>2.97</v>
      </c>
      <c r="H4530" s="9">
        <f>IFERROR(__xludf.DUMMYFUNCTION("""COMPUTED_VALUE"""),1.0)</f>
        <v>1</v>
      </c>
      <c r="I4530" s="9"/>
      <c r="J4530" s="9"/>
      <c r="K4530" s="9"/>
      <c r="L4530" s="9"/>
      <c r="M4530" s="9"/>
      <c r="N4530" s="9"/>
      <c r="O4530" s="9"/>
      <c r="P4530" s="9"/>
      <c r="Q4530" s="9"/>
      <c r="R4530" s="9"/>
      <c r="S4530" s="9"/>
      <c r="T4530" s="9"/>
    </row>
    <row r="4531" ht="15.75" customHeight="1">
      <c r="A4531" s="11">
        <f>IFERROR(__xludf.DUMMYFUNCTION("""COMPUTED_VALUE"""),44471.0)</f>
        <v>44471</v>
      </c>
      <c r="B4531" s="9">
        <f>IFERROR(__xludf.DUMMYFUNCTION("""COMPUTED_VALUE"""),1003928.0)</f>
        <v>1003928</v>
      </c>
      <c r="C4531" s="9">
        <f>IFERROR(__xludf.DUMMYFUNCTION("""COMPUTED_VALUE"""),81675.0)</f>
        <v>81675</v>
      </c>
      <c r="D4531" s="9"/>
      <c r="E4531" s="10" t="str">
        <f>IFERROR(__xludf.DUMMYFUNCTION("""COMPUTED_VALUE"""),"GREENRELAIS")</f>
        <v>GREENRELAIS</v>
      </c>
      <c r="F4531" s="10">
        <f>IFERROR(__xludf.DUMMYFUNCTION("""COMPUTED_VALUE"""),4.96)</f>
        <v>4.96</v>
      </c>
      <c r="G4531" s="9">
        <f>IFERROR(__xludf.DUMMYFUNCTION("""COMPUTED_VALUE"""),4.96)</f>
        <v>4.96</v>
      </c>
      <c r="H4531" s="9">
        <f>IFERROR(__xludf.DUMMYFUNCTION("""COMPUTED_VALUE"""),1.0)</f>
        <v>1</v>
      </c>
      <c r="I4531" s="9"/>
      <c r="J4531" s="9"/>
      <c r="K4531" s="9"/>
      <c r="L4531" s="9"/>
      <c r="M4531" s="9"/>
      <c r="N4531" s="9"/>
      <c r="O4531" s="9"/>
      <c r="P4531" s="9"/>
      <c r="Q4531" s="9"/>
      <c r="R4531" s="9"/>
      <c r="S4531" s="9"/>
      <c r="T4531" s="9"/>
    </row>
    <row r="4532" ht="15.75" customHeight="1">
      <c r="A4532" s="11">
        <f>IFERROR(__xludf.DUMMYFUNCTION("""COMPUTED_VALUE"""),44471.0)</f>
        <v>44471</v>
      </c>
      <c r="B4532" s="9">
        <f>IFERROR(__xludf.DUMMYFUNCTION("""COMPUTED_VALUE"""),1003928.0)</f>
        <v>1003928</v>
      </c>
      <c r="C4532" s="9">
        <f>IFERROR(__xludf.DUMMYFUNCTION("""COMPUTED_VALUE"""),69125.0)</f>
        <v>69125</v>
      </c>
      <c r="D4532" s="9"/>
      <c r="E4532" s="10" t="str">
        <f>IFERROR(__xludf.DUMMYFUNCTION("""COMPUTED_VALUE"""),"GREENRELAIS")</f>
        <v>GREENRELAIS</v>
      </c>
      <c r="F4532" s="10">
        <f>IFERROR(__xludf.DUMMYFUNCTION("""COMPUTED_VALUE"""),6.25)</f>
        <v>6.25</v>
      </c>
      <c r="G4532" s="9">
        <f>IFERROR(__xludf.DUMMYFUNCTION("""COMPUTED_VALUE"""),6.25)</f>
        <v>6.25</v>
      </c>
      <c r="H4532" s="9">
        <f>IFERROR(__xludf.DUMMYFUNCTION("""COMPUTED_VALUE"""),2.0)</f>
        <v>2</v>
      </c>
      <c r="I4532" s="9"/>
      <c r="J4532" s="9"/>
      <c r="K4532" s="9"/>
      <c r="L4532" s="9"/>
      <c r="M4532" s="9"/>
      <c r="N4532" s="9"/>
      <c r="O4532" s="9"/>
      <c r="P4532" s="9"/>
      <c r="Q4532" s="9"/>
      <c r="R4532" s="9"/>
      <c r="S4532" s="9"/>
      <c r="T4532" s="9"/>
    </row>
    <row r="4533" ht="15.75" customHeight="1">
      <c r="A4533" s="11">
        <f>IFERROR(__xludf.DUMMYFUNCTION("""COMPUTED_VALUE"""),44471.0)</f>
        <v>44471</v>
      </c>
      <c r="B4533" s="9">
        <f>IFERROR(__xludf.DUMMYFUNCTION("""COMPUTED_VALUE"""),1003928.0)</f>
        <v>1003928</v>
      </c>
      <c r="C4533" s="9">
        <f>IFERROR(__xludf.DUMMYFUNCTION("""COMPUTED_VALUE"""),110863.0)</f>
        <v>110863</v>
      </c>
      <c r="D4533" s="9"/>
      <c r="E4533" s="10" t="str">
        <f>IFERROR(__xludf.DUMMYFUNCTION("""COMPUTED_VALUE"""),"GREENRELAIS")</f>
        <v>GREENRELAIS</v>
      </c>
      <c r="F4533" s="10">
        <f>IFERROR(__xludf.DUMMYFUNCTION("""COMPUTED_VALUE"""),6.13)</f>
        <v>6.13</v>
      </c>
      <c r="G4533" s="9">
        <f>IFERROR(__xludf.DUMMYFUNCTION("""COMPUTED_VALUE"""),6.13)</f>
        <v>6.13</v>
      </c>
      <c r="H4533" s="9">
        <f>IFERROR(__xludf.DUMMYFUNCTION("""COMPUTED_VALUE"""),2.0)</f>
        <v>2</v>
      </c>
      <c r="I4533" s="9"/>
      <c r="J4533" s="9"/>
      <c r="K4533" s="9"/>
      <c r="L4533" s="9"/>
      <c r="M4533" s="9"/>
      <c r="N4533" s="9"/>
      <c r="O4533" s="9"/>
      <c r="P4533" s="9"/>
      <c r="Q4533" s="9"/>
      <c r="R4533" s="9"/>
      <c r="S4533" s="9"/>
      <c r="T4533" s="9"/>
    </row>
    <row r="4534" ht="15.75" customHeight="1">
      <c r="A4534" s="11">
        <f>IFERROR(__xludf.DUMMYFUNCTION("""COMPUTED_VALUE"""),44471.0)</f>
        <v>44471</v>
      </c>
      <c r="B4534" s="9">
        <f>IFERROR(__xludf.DUMMYFUNCTION("""COMPUTED_VALUE"""),1003929.0)</f>
        <v>1003929</v>
      </c>
      <c r="C4534" s="9">
        <f>IFERROR(__xludf.DUMMYFUNCTION("""COMPUTED_VALUE"""),9606.0)</f>
        <v>9606</v>
      </c>
      <c r="D4534" s="9"/>
      <c r="E4534" s="10" t="str">
        <f>IFERROR(__xludf.DUMMYFUNCTION("""COMPUTED_VALUE"""),"GREENRELAIS")</f>
        <v>GREENRELAIS</v>
      </c>
      <c r="F4534" s="10">
        <f>IFERROR(__xludf.DUMMYFUNCTION("""COMPUTED_VALUE"""),3.0)</f>
        <v>3</v>
      </c>
      <c r="G4534" s="9">
        <f>IFERROR(__xludf.DUMMYFUNCTION("""COMPUTED_VALUE"""),3.0)</f>
        <v>3</v>
      </c>
      <c r="H4534" s="9">
        <f>IFERROR(__xludf.DUMMYFUNCTION("""COMPUTED_VALUE"""),1.0)</f>
        <v>1</v>
      </c>
      <c r="I4534" s="9"/>
      <c r="J4534" s="9"/>
      <c r="K4534" s="9"/>
      <c r="L4534" s="9"/>
      <c r="M4534" s="9"/>
      <c r="N4534" s="9"/>
      <c r="O4534" s="9"/>
      <c r="P4534" s="9"/>
      <c r="Q4534" s="9"/>
      <c r="R4534" s="9"/>
      <c r="S4534" s="9"/>
      <c r="T4534" s="9"/>
    </row>
    <row r="4535" ht="15.75" customHeight="1">
      <c r="A4535" s="11">
        <f>IFERROR(__xludf.DUMMYFUNCTION("""COMPUTED_VALUE"""),44471.0)</f>
        <v>44471</v>
      </c>
      <c r="B4535" s="9">
        <f>IFERROR(__xludf.DUMMYFUNCTION("""COMPUTED_VALUE"""),1003929.0)</f>
        <v>1003929</v>
      </c>
      <c r="C4535" s="9">
        <f>IFERROR(__xludf.DUMMYFUNCTION("""COMPUTED_VALUE"""),115750.0)</f>
        <v>115750</v>
      </c>
      <c r="D4535" s="9"/>
      <c r="E4535" s="10" t="str">
        <f>IFERROR(__xludf.DUMMYFUNCTION("""COMPUTED_VALUE"""),"GREENRELAIS")</f>
        <v>GREENRELAIS</v>
      </c>
      <c r="F4535" s="10">
        <f>IFERROR(__xludf.DUMMYFUNCTION("""COMPUTED_VALUE"""),0.91)</f>
        <v>0.91</v>
      </c>
      <c r="G4535" s="9">
        <f>IFERROR(__xludf.DUMMYFUNCTION("""COMPUTED_VALUE"""),0.91)</f>
        <v>0.91</v>
      </c>
      <c r="H4535" s="9">
        <f>IFERROR(__xludf.DUMMYFUNCTION("""COMPUTED_VALUE"""),1.0)</f>
        <v>1</v>
      </c>
      <c r="I4535" s="9"/>
      <c r="J4535" s="9"/>
      <c r="K4535" s="9"/>
      <c r="L4535" s="9"/>
      <c r="M4535" s="9"/>
      <c r="N4535" s="9"/>
      <c r="O4535" s="9"/>
      <c r="P4535" s="9"/>
      <c r="Q4535" s="9"/>
      <c r="R4535" s="9"/>
      <c r="S4535" s="9"/>
      <c r="T4535" s="9"/>
    </row>
    <row r="4536" ht="15.75" customHeight="1">
      <c r="A4536" s="11">
        <f>IFERROR(__xludf.DUMMYFUNCTION("""COMPUTED_VALUE"""),44471.0)</f>
        <v>44471</v>
      </c>
      <c r="B4536" s="9">
        <f>IFERROR(__xludf.DUMMYFUNCTION("""COMPUTED_VALUE"""),1003929.0)</f>
        <v>1003929</v>
      </c>
      <c r="C4536" s="9">
        <f>IFERROR(__xludf.DUMMYFUNCTION("""COMPUTED_VALUE"""),102312.0)</f>
        <v>102312</v>
      </c>
      <c r="D4536" s="9"/>
      <c r="E4536" s="10" t="str">
        <f>IFERROR(__xludf.DUMMYFUNCTION("""COMPUTED_VALUE"""),"GREENRELAIS")</f>
        <v>GREENRELAIS</v>
      </c>
      <c r="F4536" s="10">
        <f>IFERROR(__xludf.DUMMYFUNCTION("""COMPUTED_VALUE"""),7.79)</f>
        <v>7.79</v>
      </c>
      <c r="G4536" s="9">
        <f>IFERROR(__xludf.DUMMYFUNCTION("""COMPUTED_VALUE"""),7.79)</f>
        <v>7.79</v>
      </c>
      <c r="H4536" s="9">
        <f>IFERROR(__xludf.DUMMYFUNCTION("""COMPUTED_VALUE"""),1.0)</f>
        <v>1</v>
      </c>
      <c r="I4536" s="9"/>
      <c r="J4536" s="9"/>
      <c r="K4536" s="9"/>
      <c r="L4536" s="9"/>
      <c r="M4536" s="9"/>
      <c r="N4536" s="9"/>
      <c r="O4536" s="9"/>
      <c r="P4536" s="9"/>
      <c r="Q4536" s="9"/>
      <c r="R4536" s="9"/>
      <c r="S4536" s="9"/>
      <c r="T4536" s="9"/>
    </row>
    <row r="4537" ht="15.75" customHeight="1">
      <c r="A4537" s="11">
        <f>IFERROR(__xludf.DUMMYFUNCTION("""COMPUTED_VALUE"""),44471.0)</f>
        <v>44471</v>
      </c>
      <c r="B4537" s="9">
        <f>IFERROR(__xludf.DUMMYFUNCTION("""COMPUTED_VALUE"""),1003929.0)</f>
        <v>1003929</v>
      </c>
      <c r="C4537" s="9">
        <f>IFERROR(__xludf.DUMMYFUNCTION("""COMPUTED_VALUE"""),81500.0)</f>
        <v>81500</v>
      </c>
      <c r="D4537" s="9"/>
      <c r="E4537" s="10" t="str">
        <f>IFERROR(__xludf.DUMMYFUNCTION("""COMPUTED_VALUE"""),"GREENRELAIS")</f>
        <v>GREENRELAIS</v>
      </c>
      <c r="F4537" s="10">
        <f>IFERROR(__xludf.DUMMYFUNCTION("""COMPUTED_VALUE"""),3.28)</f>
        <v>3.28</v>
      </c>
      <c r="G4537" s="9">
        <f>IFERROR(__xludf.DUMMYFUNCTION("""COMPUTED_VALUE"""),3.28)</f>
        <v>3.28</v>
      </c>
      <c r="H4537" s="9">
        <f>IFERROR(__xludf.DUMMYFUNCTION("""COMPUTED_VALUE"""),1.0)</f>
        <v>1</v>
      </c>
      <c r="I4537" s="9"/>
      <c r="J4537" s="9"/>
      <c r="K4537" s="9"/>
      <c r="L4537" s="9"/>
      <c r="M4537" s="9"/>
      <c r="N4537" s="9"/>
      <c r="O4537" s="9"/>
      <c r="P4537" s="9"/>
      <c r="Q4537" s="9"/>
      <c r="R4537" s="9"/>
      <c r="S4537" s="9"/>
      <c r="T4537" s="9"/>
    </row>
    <row r="4538" ht="15.75" customHeight="1">
      <c r="A4538" s="11">
        <f>IFERROR(__xludf.DUMMYFUNCTION("""COMPUTED_VALUE"""),44471.0)</f>
        <v>44471</v>
      </c>
      <c r="B4538" s="9">
        <f>IFERROR(__xludf.DUMMYFUNCTION("""COMPUTED_VALUE"""),1003929.0)</f>
        <v>1003929</v>
      </c>
      <c r="C4538" s="9">
        <f>IFERROR(__xludf.DUMMYFUNCTION("""COMPUTED_VALUE"""),139291.0)</f>
        <v>139291</v>
      </c>
      <c r="D4538" s="9"/>
      <c r="E4538" s="10" t="str">
        <f>IFERROR(__xludf.DUMMYFUNCTION("""COMPUTED_VALUE"""),"GREENRELAIS")</f>
        <v>GREENRELAIS</v>
      </c>
      <c r="F4538" s="10">
        <f>IFERROR(__xludf.DUMMYFUNCTION("""COMPUTED_VALUE"""),5.1)</f>
        <v>5.1</v>
      </c>
      <c r="G4538" s="9">
        <f>IFERROR(__xludf.DUMMYFUNCTION("""COMPUTED_VALUE"""),5.1)</f>
        <v>5.1</v>
      </c>
      <c r="H4538" s="9">
        <f>IFERROR(__xludf.DUMMYFUNCTION("""COMPUTED_VALUE"""),1.0)</f>
        <v>1</v>
      </c>
      <c r="I4538" s="9"/>
      <c r="J4538" s="9"/>
      <c r="K4538" s="9"/>
      <c r="L4538" s="9"/>
      <c r="M4538" s="9"/>
      <c r="N4538" s="9"/>
      <c r="O4538" s="9"/>
      <c r="P4538" s="9"/>
      <c r="Q4538" s="9"/>
      <c r="R4538" s="9"/>
      <c r="S4538" s="9"/>
      <c r="T4538" s="9"/>
    </row>
    <row r="4539" ht="15.75" customHeight="1">
      <c r="A4539" s="11">
        <f>IFERROR(__xludf.DUMMYFUNCTION("""COMPUTED_VALUE"""),44471.0)</f>
        <v>44471</v>
      </c>
      <c r="B4539" s="9">
        <f>IFERROR(__xludf.DUMMYFUNCTION("""COMPUTED_VALUE"""),1003929.0)</f>
        <v>1003929</v>
      </c>
      <c r="C4539" s="9">
        <f>IFERROR(__xludf.DUMMYFUNCTION("""COMPUTED_VALUE"""),103080.0)</f>
        <v>103080</v>
      </c>
      <c r="D4539" s="9"/>
      <c r="E4539" s="10" t="str">
        <f>IFERROR(__xludf.DUMMYFUNCTION("""COMPUTED_VALUE"""),"GREENRELAIS")</f>
        <v>GREENRELAIS</v>
      </c>
      <c r="F4539" s="10">
        <f>IFERROR(__xludf.DUMMYFUNCTION("""COMPUTED_VALUE"""),1.15)</f>
        <v>1.15</v>
      </c>
      <c r="G4539" s="9">
        <f>IFERROR(__xludf.DUMMYFUNCTION("""COMPUTED_VALUE"""),1.15)</f>
        <v>1.15</v>
      </c>
      <c r="H4539" s="9">
        <f>IFERROR(__xludf.DUMMYFUNCTION("""COMPUTED_VALUE"""),1.0)</f>
        <v>1</v>
      </c>
      <c r="I4539" s="9"/>
      <c r="J4539" s="9"/>
      <c r="K4539" s="9"/>
      <c r="L4539" s="9"/>
      <c r="M4539" s="9"/>
      <c r="N4539" s="9"/>
      <c r="O4539" s="9"/>
      <c r="P4539" s="9"/>
      <c r="Q4539" s="9"/>
      <c r="R4539" s="9"/>
      <c r="S4539" s="9"/>
      <c r="T4539" s="9"/>
    </row>
    <row r="4540" ht="15.75" customHeight="1">
      <c r="A4540" s="11">
        <f>IFERROR(__xludf.DUMMYFUNCTION("""COMPUTED_VALUE"""),44471.0)</f>
        <v>44471</v>
      </c>
      <c r="B4540" s="9">
        <f>IFERROR(__xludf.DUMMYFUNCTION("""COMPUTED_VALUE"""),1003929.0)</f>
        <v>1003929</v>
      </c>
      <c r="C4540" s="9">
        <f>IFERROR(__xludf.DUMMYFUNCTION("""COMPUTED_VALUE"""),117256.0)</f>
        <v>117256</v>
      </c>
      <c r="D4540" s="9"/>
      <c r="E4540" s="10" t="str">
        <f>IFERROR(__xludf.DUMMYFUNCTION("""COMPUTED_VALUE"""),"GREENRELAIS")</f>
        <v>GREENRELAIS</v>
      </c>
      <c r="F4540" s="10">
        <f>IFERROR(__xludf.DUMMYFUNCTION("""COMPUTED_VALUE"""),9.95)</f>
        <v>9.95</v>
      </c>
      <c r="G4540" s="9">
        <f>IFERROR(__xludf.DUMMYFUNCTION("""COMPUTED_VALUE"""),9.95)</f>
        <v>9.95</v>
      </c>
      <c r="H4540" s="9">
        <f>IFERROR(__xludf.DUMMYFUNCTION("""COMPUTED_VALUE"""),1.0)</f>
        <v>1</v>
      </c>
      <c r="I4540" s="9"/>
      <c r="J4540" s="9"/>
      <c r="K4540" s="9"/>
      <c r="L4540" s="9"/>
      <c r="M4540" s="9"/>
      <c r="N4540" s="9"/>
      <c r="O4540" s="9"/>
      <c r="P4540" s="9"/>
      <c r="Q4540" s="9"/>
      <c r="R4540" s="9"/>
      <c r="S4540" s="9"/>
      <c r="T4540" s="9"/>
    </row>
    <row r="4541" ht="15.75" customHeight="1">
      <c r="A4541" s="11">
        <f>IFERROR(__xludf.DUMMYFUNCTION("""COMPUTED_VALUE"""),44471.0)</f>
        <v>44471</v>
      </c>
      <c r="B4541" s="9">
        <f>IFERROR(__xludf.DUMMYFUNCTION("""COMPUTED_VALUE"""),1003929.0)</f>
        <v>1003929</v>
      </c>
      <c r="C4541" s="9">
        <f>IFERROR(__xludf.DUMMYFUNCTION("""COMPUTED_VALUE"""),74453.0)</f>
        <v>74453</v>
      </c>
      <c r="D4541" s="9"/>
      <c r="E4541" s="10" t="str">
        <f>IFERROR(__xludf.DUMMYFUNCTION("""COMPUTED_VALUE"""),"GREENRELAIS")</f>
        <v>GREENRELAIS</v>
      </c>
      <c r="F4541" s="10">
        <f>IFERROR(__xludf.DUMMYFUNCTION("""COMPUTED_VALUE"""),5.61)</f>
        <v>5.61</v>
      </c>
      <c r="G4541" s="9">
        <f>IFERROR(__xludf.DUMMYFUNCTION("""COMPUTED_VALUE"""),5.61)</f>
        <v>5.61</v>
      </c>
      <c r="H4541" s="9">
        <f>IFERROR(__xludf.DUMMYFUNCTION("""COMPUTED_VALUE"""),1.0)</f>
        <v>1</v>
      </c>
      <c r="I4541" s="9"/>
      <c r="J4541" s="9"/>
      <c r="K4541" s="9"/>
      <c r="L4541" s="9"/>
      <c r="M4541" s="9"/>
      <c r="N4541" s="9"/>
      <c r="O4541" s="9"/>
      <c r="P4541" s="9"/>
      <c r="Q4541" s="9"/>
      <c r="R4541" s="9"/>
      <c r="S4541" s="9"/>
      <c r="T4541" s="9"/>
    </row>
    <row r="4542" ht="15.75" customHeight="1">
      <c r="A4542" s="11">
        <f>IFERROR(__xludf.DUMMYFUNCTION("""COMPUTED_VALUE"""),44471.0)</f>
        <v>44471</v>
      </c>
      <c r="B4542" s="9">
        <f>IFERROR(__xludf.DUMMYFUNCTION("""COMPUTED_VALUE"""),1003929.0)</f>
        <v>1003929</v>
      </c>
      <c r="C4542" s="9">
        <f>IFERROR(__xludf.DUMMYFUNCTION("""COMPUTED_VALUE"""),76044.0)</f>
        <v>76044</v>
      </c>
      <c r="D4542" s="10" t="str">
        <f>IFERROR(__xludf.DUMMYFUNCTION("""COMPUTED_VALUE"""),"Vive le bio")</f>
        <v>Vive le bio</v>
      </c>
      <c r="E4542" s="10" t="str">
        <f>IFERROR(__xludf.DUMMYFUNCTION("""COMPUTED_VALUE"""),"GREENRELAIS")</f>
        <v>GREENRELAIS</v>
      </c>
      <c r="F4542" s="10">
        <f>IFERROR(__xludf.DUMMYFUNCTION("""COMPUTED_VALUE"""),4.63333333333333)</f>
        <v>4.633333333</v>
      </c>
      <c r="G4542" s="9">
        <f>IFERROR(__xludf.DUMMYFUNCTION("""COMPUTED_VALUE"""),4.17)</f>
        <v>4.17</v>
      </c>
      <c r="H4542" s="9">
        <f>IFERROR(__xludf.DUMMYFUNCTION("""COMPUTED_VALUE"""),1.0)</f>
        <v>1</v>
      </c>
      <c r="I4542" s="9"/>
      <c r="J4542" s="9"/>
      <c r="K4542" s="9"/>
      <c r="L4542" s="9"/>
      <c r="M4542" s="9"/>
      <c r="N4542" s="9"/>
      <c r="O4542" s="9"/>
      <c r="P4542" s="9"/>
      <c r="Q4542" s="9"/>
      <c r="R4542" s="9"/>
      <c r="S4542" s="9"/>
      <c r="T4542" s="9"/>
    </row>
    <row r="4543" ht="15.75" customHeight="1">
      <c r="A4543" s="11">
        <f>IFERROR(__xludf.DUMMYFUNCTION("""COMPUTED_VALUE"""),44471.0)</f>
        <v>44471</v>
      </c>
      <c r="B4543" s="9">
        <f>IFERROR(__xludf.DUMMYFUNCTION("""COMPUTED_VALUE"""),1003929.0)</f>
        <v>1003929</v>
      </c>
      <c r="C4543" s="9">
        <f>IFERROR(__xludf.DUMMYFUNCTION("""COMPUTED_VALUE"""),122728.0)</f>
        <v>122728</v>
      </c>
      <c r="D4543" s="9"/>
      <c r="E4543" s="10" t="str">
        <f>IFERROR(__xludf.DUMMYFUNCTION("""COMPUTED_VALUE"""),"GREENRELAIS")</f>
        <v>GREENRELAIS</v>
      </c>
      <c r="F4543" s="10">
        <f>IFERROR(__xludf.DUMMYFUNCTION("""COMPUTED_VALUE"""),1.79)</f>
        <v>1.79</v>
      </c>
      <c r="G4543" s="9">
        <f>IFERROR(__xludf.DUMMYFUNCTION("""COMPUTED_VALUE"""),1.79)</f>
        <v>1.79</v>
      </c>
      <c r="H4543" s="9">
        <f>IFERROR(__xludf.DUMMYFUNCTION("""COMPUTED_VALUE"""),1.0)</f>
        <v>1</v>
      </c>
      <c r="I4543" s="9"/>
      <c r="J4543" s="9"/>
      <c r="K4543" s="9"/>
      <c r="L4543" s="9"/>
      <c r="M4543" s="9"/>
      <c r="N4543" s="9"/>
      <c r="O4543" s="9"/>
      <c r="P4543" s="9"/>
      <c r="Q4543" s="9"/>
      <c r="R4543" s="9"/>
      <c r="S4543" s="9"/>
      <c r="T4543" s="9"/>
    </row>
    <row r="4544" ht="15.75" customHeight="1">
      <c r="A4544" s="11">
        <f>IFERROR(__xludf.DUMMYFUNCTION("""COMPUTED_VALUE"""),44471.0)</f>
        <v>44471</v>
      </c>
      <c r="B4544" s="9">
        <f>IFERROR(__xludf.DUMMYFUNCTION("""COMPUTED_VALUE"""),1003929.0)</f>
        <v>1003929</v>
      </c>
      <c r="C4544" s="9">
        <f>IFERROR(__xludf.DUMMYFUNCTION("""COMPUTED_VALUE"""),115758.0)</f>
        <v>115758</v>
      </c>
      <c r="D4544" s="10" t="str">
        <f>IFERROR(__xludf.DUMMYFUNCTION("""COMPUTED_VALUE"""),"Vive le bio")</f>
        <v>Vive le bio</v>
      </c>
      <c r="E4544" s="10" t="str">
        <f>IFERROR(__xludf.DUMMYFUNCTION("""COMPUTED_VALUE"""),"GREENRELAIS")</f>
        <v>GREENRELAIS</v>
      </c>
      <c r="F4544" s="10">
        <f>IFERROR(__xludf.DUMMYFUNCTION("""COMPUTED_VALUE"""),1.15555555555555)</f>
        <v>1.155555556</v>
      </c>
      <c r="G4544" s="9">
        <f>IFERROR(__xludf.DUMMYFUNCTION("""COMPUTED_VALUE"""),1.04)</f>
        <v>1.04</v>
      </c>
      <c r="H4544" s="9">
        <f>IFERROR(__xludf.DUMMYFUNCTION("""COMPUTED_VALUE"""),1.0)</f>
        <v>1</v>
      </c>
      <c r="I4544" s="9"/>
      <c r="J4544" s="9"/>
      <c r="K4544" s="9"/>
      <c r="L4544" s="9"/>
      <c r="M4544" s="9"/>
      <c r="N4544" s="9"/>
      <c r="O4544" s="9"/>
      <c r="P4544" s="9"/>
      <c r="Q4544" s="9"/>
      <c r="R4544" s="9"/>
      <c r="S4544" s="9"/>
      <c r="T4544" s="9"/>
    </row>
    <row r="4545" ht="15.75" customHeight="1">
      <c r="A4545" s="11">
        <f>IFERROR(__xludf.DUMMYFUNCTION("""COMPUTED_VALUE"""),44471.0)</f>
        <v>44471</v>
      </c>
      <c r="B4545" s="9">
        <f>IFERROR(__xludf.DUMMYFUNCTION("""COMPUTED_VALUE"""),1003929.0)</f>
        <v>1003929</v>
      </c>
      <c r="C4545" s="9">
        <f>IFERROR(__xludf.DUMMYFUNCTION("""COMPUTED_VALUE"""),5519.0)</f>
        <v>5519</v>
      </c>
      <c r="D4545" s="9"/>
      <c r="E4545" s="10" t="str">
        <f>IFERROR(__xludf.DUMMYFUNCTION("""COMPUTED_VALUE"""),"GREENRELAIS")</f>
        <v>GREENRELAIS</v>
      </c>
      <c r="F4545" s="10">
        <f>IFERROR(__xludf.DUMMYFUNCTION("""COMPUTED_VALUE"""),3.86)</f>
        <v>3.86</v>
      </c>
      <c r="G4545" s="9">
        <f>IFERROR(__xludf.DUMMYFUNCTION("""COMPUTED_VALUE"""),3.86)</f>
        <v>3.86</v>
      </c>
      <c r="H4545" s="9">
        <f>IFERROR(__xludf.DUMMYFUNCTION("""COMPUTED_VALUE"""),1.0)</f>
        <v>1</v>
      </c>
      <c r="I4545" s="9"/>
      <c r="J4545" s="9"/>
      <c r="K4545" s="9"/>
      <c r="L4545" s="9"/>
      <c r="M4545" s="9"/>
      <c r="N4545" s="9"/>
      <c r="O4545" s="9"/>
      <c r="P4545" s="9"/>
      <c r="Q4545" s="9"/>
      <c r="R4545" s="9"/>
      <c r="S4545" s="9"/>
      <c r="T4545" s="9"/>
    </row>
    <row r="4546" ht="15.75" customHeight="1">
      <c r="A4546" s="11">
        <f>IFERROR(__xludf.DUMMYFUNCTION("""COMPUTED_VALUE"""),44471.0)</f>
        <v>44471</v>
      </c>
      <c r="B4546" s="9">
        <f>IFERROR(__xludf.DUMMYFUNCTION("""COMPUTED_VALUE"""),1003929.0)</f>
        <v>1003929</v>
      </c>
      <c r="C4546" s="9">
        <f>IFERROR(__xludf.DUMMYFUNCTION("""COMPUTED_VALUE"""),108896.0)</f>
        <v>108896</v>
      </c>
      <c r="D4546" s="9"/>
      <c r="E4546" s="10" t="str">
        <f>IFERROR(__xludf.DUMMYFUNCTION("""COMPUTED_VALUE"""),"GREENRELAIS")</f>
        <v>GREENRELAIS</v>
      </c>
      <c r="F4546" s="10">
        <f>IFERROR(__xludf.DUMMYFUNCTION("""COMPUTED_VALUE"""),7.77)</f>
        <v>7.77</v>
      </c>
      <c r="G4546" s="9">
        <f>IFERROR(__xludf.DUMMYFUNCTION("""COMPUTED_VALUE"""),7.77)</f>
        <v>7.77</v>
      </c>
      <c r="H4546" s="9">
        <f>IFERROR(__xludf.DUMMYFUNCTION("""COMPUTED_VALUE"""),3.0)</f>
        <v>3</v>
      </c>
      <c r="I4546" s="9"/>
      <c r="J4546" s="9"/>
      <c r="K4546" s="9"/>
      <c r="L4546" s="9"/>
      <c r="M4546" s="9"/>
      <c r="N4546" s="9"/>
      <c r="O4546" s="9"/>
      <c r="P4546" s="9"/>
      <c r="Q4546" s="9"/>
      <c r="R4546" s="9"/>
      <c r="S4546" s="9"/>
      <c r="T4546" s="9"/>
    </row>
    <row r="4547" ht="15.75" customHeight="1">
      <c r="A4547" s="11">
        <f>IFERROR(__xludf.DUMMYFUNCTION("""COMPUTED_VALUE"""),44471.0)</f>
        <v>44471</v>
      </c>
      <c r="B4547" s="9">
        <f>IFERROR(__xludf.DUMMYFUNCTION("""COMPUTED_VALUE"""),1003930.0)</f>
        <v>1003930</v>
      </c>
      <c r="C4547" s="9">
        <f>IFERROR(__xludf.DUMMYFUNCTION("""COMPUTED_VALUE"""),69906.0)</f>
        <v>69906</v>
      </c>
      <c r="D4547" s="9"/>
      <c r="E4547" s="9"/>
      <c r="F4547" s="9">
        <f>IFERROR(__xludf.DUMMYFUNCTION("""COMPUTED_VALUE"""),12.89)</f>
        <v>12.89</v>
      </c>
      <c r="G4547" s="9">
        <f>IFERROR(__xludf.DUMMYFUNCTION("""COMPUTED_VALUE"""),12.89)</f>
        <v>12.89</v>
      </c>
      <c r="H4547" s="9">
        <f>IFERROR(__xludf.DUMMYFUNCTION("""COMPUTED_VALUE"""),1.0)</f>
        <v>1</v>
      </c>
      <c r="I4547" s="9"/>
      <c r="J4547" s="9"/>
      <c r="K4547" s="9"/>
      <c r="L4547" s="9"/>
      <c r="M4547" s="9"/>
      <c r="N4547" s="9"/>
      <c r="O4547" s="9"/>
      <c r="P4547" s="9"/>
      <c r="Q4547" s="9"/>
      <c r="R4547" s="9"/>
      <c r="S4547" s="9"/>
      <c r="T4547" s="9"/>
    </row>
    <row r="4548" ht="15.75" customHeight="1">
      <c r="A4548" s="11">
        <f>IFERROR(__xludf.DUMMYFUNCTION("""COMPUTED_VALUE"""),44471.0)</f>
        <v>44471</v>
      </c>
      <c r="B4548" s="9">
        <f>IFERROR(__xludf.DUMMYFUNCTION("""COMPUTED_VALUE"""),1003930.0)</f>
        <v>1003930</v>
      </c>
      <c r="C4548" s="9">
        <f>IFERROR(__xludf.DUMMYFUNCTION("""COMPUTED_VALUE"""),90968.0)</f>
        <v>90968</v>
      </c>
      <c r="D4548" s="9"/>
      <c r="E4548" s="9"/>
      <c r="F4548" s="9">
        <f>IFERROR(__xludf.DUMMYFUNCTION("""COMPUTED_VALUE"""),6.09)</f>
        <v>6.09</v>
      </c>
      <c r="G4548" s="9">
        <f>IFERROR(__xludf.DUMMYFUNCTION("""COMPUTED_VALUE"""),6.09)</f>
        <v>6.09</v>
      </c>
      <c r="H4548" s="9">
        <f>IFERROR(__xludf.DUMMYFUNCTION("""COMPUTED_VALUE"""),1.0)</f>
        <v>1</v>
      </c>
      <c r="I4548" s="9"/>
      <c r="J4548" s="9"/>
      <c r="K4548" s="9"/>
      <c r="L4548" s="9"/>
      <c r="M4548" s="9"/>
      <c r="N4548" s="9"/>
      <c r="O4548" s="9"/>
      <c r="P4548" s="9"/>
      <c r="Q4548" s="9"/>
      <c r="R4548" s="9"/>
      <c r="S4548" s="9"/>
      <c r="T4548" s="9"/>
    </row>
    <row r="4549" ht="15.75" customHeight="1">
      <c r="A4549" s="11">
        <f>IFERROR(__xludf.DUMMYFUNCTION("""COMPUTED_VALUE"""),44471.0)</f>
        <v>44471</v>
      </c>
      <c r="B4549" s="9">
        <f>IFERROR(__xludf.DUMMYFUNCTION("""COMPUTED_VALUE"""),1003930.0)</f>
        <v>1003930</v>
      </c>
      <c r="C4549" s="9">
        <f>IFERROR(__xludf.DUMMYFUNCTION("""COMPUTED_VALUE"""),90159.0)</f>
        <v>90159</v>
      </c>
      <c r="D4549" s="9"/>
      <c r="E4549" s="9"/>
      <c r="F4549" s="9">
        <f>IFERROR(__xludf.DUMMYFUNCTION("""COMPUTED_VALUE"""),5.22)</f>
        <v>5.22</v>
      </c>
      <c r="G4549" s="9">
        <f>IFERROR(__xludf.DUMMYFUNCTION("""COMPUTED_VALUE"""),5.22)</f>
        <v>5.22</v>
      </c>
      <c r="H4549" s="9">
        <f>IFERROR(__xludf.DUMMYFUNCTION("""COMPUTED_VALUE"""),1.0)</f>
        <v>1</v>
      </c>
      <c r="I4549" s="9"/>
      <c r="J4549" s="9"/>
      <c r="K4549" s="9"/>
      <c r="L4549" s="9"/>
      <c r="M4549" s="9"/>
      <c r="N4549" s="9"/>
      <c r="O4549" s="9"/>
      <c r="P4549" s="9"/>
      <c r="Q4549" s="9"/>
      <c r="R4549" s="9"/>
      <c r="S4549" s="9"/>
      <c r="T4549" s="9"/>
    </row>
    <row r="4550" ht="15.75" customHeight="1">
      <c r="A4550" s="11">
        <f>IFERROR(__xludf.DUMMYFUNCTION("""COMPUTED_VALUE"""),44471.0)</f>
        <v>44471</v>
      </c>
      <c r="B4550" s="9">
        <f>IFERROR(__xludf.DUMMYFUNCTION("""COMPUTED_VALUE"""),1003930.0)</f>
        <v>1003930</v>
      </c>
      <c r="C4550" s="9">
        <f>IFERROR(__xludf.DUMMYFUNCTION("""COMPUTED_VALUE"""),69116.0)</f>
        <v>69116</v>
      </c>
      <c r="D4550" s="9"/>
      <c r="E4550" s="9"/>
      <c r="F4550" s="9">
        <f>IFERROR(__xludf.DUMMYFUNCTION("""COMPUTED_VALUE"""),4.92)</f>
        <v>4.92</v>
      </c>
      <c r="G4550" s="9">
        <f>IFERROR(__xludf.DUMMYFUNCTION("""COMPUTED_VALUE"""),4.92)</f>
        <v>4.92</v>
      </c>
      <c r="H4550" s="9">
        <f>IFERROR(__xludf.DUMMYFUNCTION("""COMPUTED_VALUE"""),2.0)</f>
        <v>2</v>
      </c>
      <c r="I4550" s="9"/>
      <c r="J4550" s="9"/>
      <c r="K4550" s="9"/>
      <c r="L4550" s="9"/>
      <c r="M4550" s="9"/>
      <c r="N4550" s="9"/>
      <c r="O4550" s="9"/>
      <c r="P4550" s="9"/>
      <c r="Q4550" s="9"/>
      <c r="R4550" s="9"/>
      <c r="S4550" s="9"/>
      <c r="T4550" s="9"/>
    </row>
    <row r="4551" ht="15.75" customHeight="1">
      <c r="A4551" s="11">
        <f>IFERROR(__xludf.DUMMYFUNCTION("""COMPUTED_VALUE"""),44471.0)</f>
        <v>44471</v>
      </c>
      <c r="B4551" s="9">
        <f>IFERROR(__xludf.DUMMYFUNCTION("""COMPUTED_VALUE"""),1003931.0)</f>
        <v>1003931</v>
      </c>
      <c r="C4551" s="9">
        <f>IFERROR(__xludf.DUMMYFUNCTION("""COMPUTED_VALUE"""),80001.0)</f>
        <v>80001</v>
      </c>
      <c r="D4551" s="9"/>
      <c r="E4551" s="9"/>
      <c r="F4551" s="9">
        <f>IFERROR(__xludf.DUMMYFUNCTION("""COMPUTED_VALUE"""),4.77)</f>
        <v>4.77</v>
      </c>
      <c r="G4551" s="9">
        <f>IFERROR(__xludf.DUMMYFUNCTION("""COMPUTED_VALUE"""),4.77)</f>
        <v>4.77</v>
      </c>
      <c r="H4551" s="9">
        <f>IFERROR(__xludf.DUMMYFUNCTION("""COMPUTED_VALUE"""),1.0)</f>
        <v>1</v>
      </c>
      <c r="I4551" s="9"/>
      <c r="J4551" s="9"/>
      <c r="K4551" s="9"/>
      <c r="L4551" s="9"/>
      <c r="M4551" s="9"/>
      <c r="N4551" s="9"/>
      <c r="O4551" s="9"/>
      <c r="P4551" s="9"/>
      <c r="Q4551" s="9"/>
      <c r="R4551" s="9"/>
      <c r="S4551" s="9"/>
      <c r="T4551" s="9"/>
    </row>
    <row r="4552" ht="15.75" customHeight="1">
      <c r="A4552" s="11">
        <f>IFERROR(__xludf.DUMMYFUNCTION("""COMPUTED_VALUE"""),44471.0)</f>
        <v>44471</v>
      </c>
      <c r="B4552" s="9">
        <f>IFERROR(__xludf.DUMMYFUNCTION("""COMPUTED_VALUE"""),1003931.0)</f>
        <v>1003931</v>
      </c>
      <c r="C4552" s="9">
        <f>IFERROR(__xludf.DUMMYFUNCTION("""COMPUTED_VALUE"""),102457.0)</f>
        <v>102457</v>
      </c>
      <c r="D4552" s="9"/>
      <c r="E4552" s="9"/>
      <c r="F4552" s="9">
        <f>IFERROR(__xludf.DUMMYFUNCTION("""COMPUTED_VALUE"""),4.77)</f>
        <v>4.77</v>
      </c>
      <c r="G4552" s="9">
        <f>IFERROR(__xludf.DUMMYFUNCTION("""COMPUTED_VALUE"""),4.77)</f>
        <v>4.77</v>
      </c>
      <c r="H4552" s="9">
        <f>IFERROR(__xludf.DUMMYFUNCTION("""COMPUTED_VALUE"""),1.0)</f>
        <v>1</v>
      </c>
      <c r="I4552" s="9"/>
      <c r="J4552" s="9"/>
      <c r="K4552" s="9"/>
      <c r="L4552" s="9"/>
      <c r="M4552" s="9"/>
      <c r="N4552" s="9"/>
      <c r="O4552" s="9"/>
      <c r="P4552" s="9"/>
      <c r="Q4552" s="9"/>
      <c r="R4552" s="9"/>
      <c r="S4552" s="9"/>
      <c r="T4552" s="9"/>
    </row>
    <row r="4553" ht="15.75" customHeight="1">
      <c r="A4553" s="11">
        <f>IFERROR(__xludf.DUMMYFUNCTION("""COMPUTED_VALUE"""),44471.0)</f>
        <v>44471</v>
      </c>
      <c r="B4553" s="9">
        <f>IFERROR(__xludf.DUMMYFUNCTION("""COMPUTED_VALUE"""),1003931.0)</f>
        <v>1003931</v>
      </c>
      <c r="C4553" s="9">
        <f>IFERROR(__xludf.DUMMYFUNCTION("""COMPUTED_VALUE"""),90643.0)</f>
        <v>90643</v>
      </c>
      <c r="D4553" s="9"/>
      <c r="E4553" s="9"/>
      <c r="F4553" s="9">
        <f>IFERROR(__xludf.DUMMYFUNCTION("""COMPUTED_VALUE"""),4.83)</f>
        <v>4.83</v>
      </c>
      <c r="G4553" s="9">
        <f>IFERROR(__xludf.DUMMYFUNCTION("""COMPUTED_VALUE"""),4.83)</f>
        <v>4.83</v>
      </c>
      <c r="H4553" s="9">
        <f>IFERROR(__xludf.DUMMYFUNCTION("""COMPUTED_VALUE"""),1.0)</f>
        <v>1</v>
      </c>
      <c r="I4553" s="9"/>
      <c r="J4553" s="9"/>
      <c r="K4553" s="9"/>
      <c r="L4553" s="9"/>
      <c r="M4553" s="9"/>
      <c r="N4553" s="9"/>
      <c r="O4553" s="9"/>
      <c r="P4553" s="9"/>
      <c r="Q4553" s="9"/>
      <c r="R4553" s="9"/>
      <c r="S4553" s="9"/>
      <c r="T4553" s="9"/>
    </row>
    <row r="4554" ht="15.75" customHeight="1">
      <c r="A4554" s="11">
        <f>IFERROR(__xludf.DUMMYFUNCTION("""COMPUTED_VALUE"""),44471.0)</f>
        <v>44471</v>
      </c>
      <c r="B4554" s="9">
        <f>IFERROR(__xludf.DUMMYFUNCTION("""COMPUTED_VALUE"""),1003931.0)</f>
        <v>1003931</v>
      </c>
      <c r="C4554" s="9">
        <f>IFERROR(__xludf.DUMMYFUNCTION("""COMPUTED_VALUE"""),113298.0)</f>
        <v>113298</v>
      </c>
      <c r="D4554" s="9"/>
      <c r="E4554" s="9"/>
      <c r="F4554" s="9">
        <f>IFERROR(__xludf.DUMMYFUNCTION("""COMPUTED_VALUE"""),21.43)</f>
        <v>21.43</v>
      </c>
      <c r="G4554" s="9">
        <f>IFERROR(__xludf.DUMMYFUNCTION("""COMPUTED_VALUE"""),21.43)</f>
        <v>21.43</v>
      </c>
      <c r="H4554" s="9">
        <f>IFERROR(__xludf.DUMMYFUNCTION("""COMPUTED_VALUE"""),1.0)</f>
        <v>1</v>
      </c>
      <c r="I4554" s="9"/>
      <c r="J4554" s="9"/>
      <c r="K4554" s="9"/>
      <c r="L4554" s="9"/>
      <c r="M4554" s="9"/>
      <c r="N4554" s="9"/>
      <c r="O4554" s="9"/>
      <c r="P4554" s="9"/>
      <c r="Q4554" s="9"/>
      <c r="R4554" s="9"/>
      <c r="S4554" s="9"/>
      <c r="T4554" s="9"/>
    </row>
    <row r="4555" ht="15.75" customHeight="1">
      <c r="A4555" s="11">
        <f>IFERROR(__xludf.DUMMYFUNCTION("""COMPUTED_VALUE"""),44471.0)</f>
        <v>44471</v>
      </c>
      <c r="B4555" s="9">
        <f>IFERROR(__xludf.DUMMYFUNCTION("""COMPUTED_VALUE"""),1003931.0)</f>
        <v>1003931</v>
      </c>
      <c r="C4555" s="9">
        <f>IFERROR(__xludf.DUMMYFUNCTION("""COMPUTED_VALUE"""),86524.0)</f>
        <v>86524</v>
      </c>
      <c r="D4555" s="9"/>
      <c r="E4555" s="9"/>
      <c r="F4555" s="9">
        <f>IFERROR(__xludf.DUMMYFUNCTION("""COMPUTED_VALUE"""),1.24)</f>
        <v>1.24</v>
      </c>
      <c r="G4555" s="9">
        <f>IFERROR(__xludf.DUMMYFUNCTION("""COMPUTED_VALUE"""),1.24)</f>
        <v>1.24</v>
      </c>
      <c r="H4555" s="9">
        <f>IFERROR(__xludf.DUMMYFUNCTION("""COMPUTED_VALUE"""),1.0)</f>
        <v>1</v>
      </c>
      <c r="I4555" s="9"/>
      <c r="J4555" s="9"/>
      <c r="K4555" s="9"/>
      <c r="L4555" s="9"/>
      <c r="M4555" s="9"/>
      <c r="N4555" s="9"/>
      <c r="O4555" s="9"/>
      <c r="P4555" s="9"/>
      <c r="Q4555" s="9"/>
      <c r="R4555" s="9"/>
      <c r="S4555" s="9"/>
      <c r="T4555" s="9"/>
    </row>
    <row r="4556" ht="15.75" customHeight="1">
      <c r="A4556" s="11">
        <f>IFERROR(__xludf.DUMMYFUNCTION("""COMPUTED_VALUE"""),44471.0)</f>
        <v>44471</v>
      </c>
      <c r="B4556" s="9">
        <f>IFERROR(__xludf.DUMMYFUNCTION("""COMPUTED_VALUE"""),1003931.0)</f>
        <v>1003931</v>
      </c>
      <c r="C4556" s="9">
        <f>IFERROR(__xludf.DUMMYFUNCTION("""COMPUTED_VALUE"""),88215.0)</f>
        <v>88215</v>
      </c>
      <c r="D4556" s="9"/>
      <c r="E4556" s="9"/>
      <c r="F4556" s="9">
        <f>IFERROR(__xludf.DUMMYFUNCTION("""COMPUTED_VALUE"""),6.09)</f>
        <v>6.09</v>
      </c>
      <c r="G4556" s="9">
        <f>IFERROR(__xludf.DUMMYFUNCTION("""COMPUTED_VALUE"""),6.09)</f>
        <v>6.09</v>
      </c>
      <c r="H4556" s="9">
        <f>IFERROR(__xludf.DUMMYFUNCTION("""COMPUTED_VALUE"""),2.0)</f>
        <v>2</v>
      </c>
      <c r="I4556" s="9"/>
      <c r="J4556" s="9"/>
      <c r="K4556" s="9"/>
      <c r="L4556" s="9"/>
      <c r="M4556" s="9"/>
      <c r="N4556" s="9"/>
      <c r="O4556" s="9"/>
      <c r="P4556" s="9"/>
      <c r="Q4556" s="9"/>
      <c r="R4556" s="9"/>
      <c r="S4556" s="9"/>
      <c r="T4556" s="9"/>
    </row>
    <row r="4557" ht="15.75" customHeight="1">
      <c r="A4557" s="11">
        <f>IFERROR(__xludf.DUMMYFUNCTION("""COMPUTED_VALUE"""),44471.0)</f>
        <v>44471</v>
      </c>
      <c r="B4557" s="9">
        <f>IFERROR(__xludf.DUMMYFUNCTION("""COMPUTED_VALUE"""),1003932.0)</f>
        <v>1003932</v>
      </c>
      <c r="C4557" s="9">
        <f>IFERROR(__xludf.DUMMYFUNCTION("""COMPUTED_VALUE"""),87242.0)</f>
        <v>87242</v>
      </c>
      <c r="D4557" s="10" t="str">
        <f>IFERROR(__xludf.DUMMYFUNCTION("""COMPUTED_VALUE"""),"Vive le bio")</f>
        <v>Vive le bio</v>
      </c>
      <c r="E4557" s="10"/>
      <c r="F4557" s="9">
        <f>IFERROR(__xludf.DUMMYFUNCTION("""COMPUTED_VALUE"""),5.82222222222222)</f>
        <v>5.822222222</v>
      </c>
      <c r="G4557" s="9">
        <f>IFERROR(__xludf.DUMMYFUNCTION("""COMPUTED_VALUE"""),5.24)</f>
        <v>5.24</v>
      </c>
      <c r="H4557" s="9">
        <f>IFERROR(__xludf.DUMMYFUNCTION("""COMPUTED_VALUE"""),1.0)</f>
        <v>1</v>
      </c>
      <c r="I4557" s="9"/>
      <c r="J4557" s="9"/>
      <c r="K4557" s="9"/>
      <c r="L4557" s="9"/>
      <c r="M4557" s="9"/>
      <c r="N4557" s="9"/>
      <c r="O4557" s="9"/>
      <c r="P4557" s="9"/>
      <c r="Q4557" s="9"/>
      <c r="R4557" s="9"/>
      <c r="S4557" s="9"/>
      <c r="T4557" s="9"/>
    </row>
    <row r="4558" ht="15.75" customHeight="1">
      <c r="A4558" s="11">
        <f>IFERROR(__xludf.DUMMYFUNCTION("""COMPUTED_VALUE"""),44471.0)</f>
        <v>44471</v>
      </c>
      <c r="B4558" s="9">
        <f>IFERROR(__xludf.DUMMYFUNCTION("""COMPUTED_VALUE"""),1003932.0)</f>
        <v>1003932</v>
      </c>
      <c r="C4558" s="9">
        <f>IFERROR(__xludf.DUMMYFUNCTION("""COMPUTED_VALUE"""),109308.0)</f>
        <v>109308</v>
      </c>
      <c r="D4558" s="9"/>
      <c r="E4558" s="9"/>
      <c r="F4558" s="9">
        <f>IFERROR(__xludf.DUMMYFUNCTION("""COMPUTED_VALUE"""),16.33)</f>
        <v>16.33</v>
      </c>
      <c r="G4558" s="9">
        <f>IFERROR(__xludf.DUMMYFUNCTION("""COMPUTED_VALUE"""),16.33)</f>
        <v>16.33</v>
      </c>
      <c r="H4558" s="9">
        <f>IFERROR(__xludf.DUMMYFUNCTION("""COMPUTED_VALUE"""),2.0)</f>
        <v>2</v>
      </c>
      <c r="I4558" s="9"/>
      <c r="J4558" s="9"/>
      <c r="K4558" s="9"/>
      <c r="L4558" s="9"/>
      <c r="M4558" s="9"/>
      <c r="N4558" s="9"/>
      <c r="O4558" s="9"/>
      <c r="P4558" s="9"/>
      <c r="Q4558" s="9"/>
      <c r="R4558" s="9"/>
      <c r="S4558" s="9"/>
      <c r="T4558" s="9"/>
    </row>
    <row r="4559" ht="15.75" customHeight="1">
      <c r="A4559" s="11">
        <f>IFERROR(__xludf.DUMMYFUNCTION("""COMPUTED_VALUE"""),44471.0)</f>
        <v>44471</v>
      </c>
      <c r="B4559" s="9">
        <f>IFERROR(__xludf.DUMMYFUNCTION("""COMPUTED_VALUE"""),1003932.0)</f>
        <v>1003932</v>
      </c>
      <c r="C4559" s="9">
        <f>IFERROR(__xludf.DUMMYFUNCTION("""COMPUTED_VALUE"""),72824.0)</f>
        <v>72824</v>
      </c>
      <c r="D4559" s="9"/>
      <c r="E4559" s="9"/>
      <c r="F4559" s="9">
        <f>IFERROR(__xludf.DUMMYFUNCTION("""COMPUTED_VALUE"""),81.81)</f>
        <v>81.81</v>
      </c>
      <c r="G4559" s="9">
        <f>IFERROR(__xludf.DUMMYFUNCTION("""COMPUTED_VALUE"""),81.81)</f>
        <v>81.81</v>
      </c>
      <c r="H4559" s="9">
        <f>IFERROR(__xludf.DUMMYFUNCTION("""COMPUTED_VALUE"""),9.0)</f>
        <v>9</v>
      </c>
      <c r="I4559" s="9"/>
      <c r="J4559" s="9"/>
      <c r="K4559" s="9"/>
      <c r="L4559" s="9"/>
      <c r="M4559" s="9"/>
      <c r="N4559" s="9"/>
      <c r="O4559" s="9"/>
      <c r="P4559" s="9"/>
      <c r="Q4559" s="9"/>
      <c r="R4559" s="9"/>
      <c r="S4559" s="9"/>
      <c r="T4559" s="9"/>
    </row>
    <row r="4560" ht="15.75" customHeight="1">
      <c r="A4560" s="11">
        <f>IFERROR(__xludf.DUMMYFUNCTION("""COMPUTED_VALUE"""),44471.0)</f>
        <v>44471</v>
      </c>
      <c r="B4560" s="9">
        <f>IFERROR(__xludf.DUMMYFUNCTION("""COMPUTED_VALUE"""),1003934.0)</f>
        <v>1003934</v>
      </c>
      <c r="C4560" s="9">
        <f>IFERROR(__xludf.DUMMYFUNCTION("""COMPUTED_VALUE"""),20049.0)</f>
        <v>20049</v>
      </c>
      <c r="D4560" s="10" t="str">
        <f>IFERROR(__xludf.DUMMYFUNCTION("""COMPUTED_VALUE"""),"Vive le bio")</f>
        <v>Vive le bio</v>
      </c>
      <c r="E4560" s="10"/>
      <c r="F4560" s="9">
        <f>IFERROR(__xludf.DUMMYFUNCTION("""COMPUTED_VALUE"""),3.4)</f>
        <v>3.4</v>
      </c>
      <c r="G4560" s="9">
        <f>IFERROR(__xludf.DUMMYFUNCTION("""COMPUTED_VALUE"""),3.06)</f>
        <v>3.06</v>
      </c>
      <c r="H4560" s="9">
        <f>IFERROR(__xludf.DUMMYFUNCTION("""COMPUTED_VALUE"""),1.0)</f>
        <v>1</v>
      </c>
      <c r="I4560" s="9"/>
      <c r="J4560" s="9"/>
      <c r="K4560" s="9"/>
      <c r="L4560" s="9"/>
      <c r="M4560" s="9"/>
      <c r="N4560" s="9"/>
      <c r="O4560" s="9"/>
      <c r="P4560" s="9"/>
      <c r="Q4560" s="9"/>
      <c r="R4560" s="9"/>
      <c r="S4560" s="9"/>
      <c r="T4560" s="9"/>
    </row>
    <row r="4561" ht="15.75" customHeight="1">
      <c r="A4561" s="11">
        <f>IFERROR(__xludf.DUMMYFUNCTION("""COMPUTED_VALUE"""),44471.0)</f>
        <v>44471</v>
      </c>
      <c r="B4561" s="9">
        <f>IFERROR(__xludf.DUMMYFUNCTION("""COMPUTED_VALUE"""),1003934.0)</f>
        <v>1003934</v>
      </c>
      <c r="C4561" s="9">
        <f>IFERROR(__xludf.DUMMYFUNCTION("""COMPUTED_VALUE"""),29320.0)</f>
        <v>29320</v>
      </c>
      <c r="D4561" s="9"/>
      <c r="E4561" s="9"/>
      <c r="F4561" s="9">
        <f>IFERROR(__xludf.DUMMYFUNCTION("""COMPUTED_VALUE"""),5.95)</f>
        <v>5.95</v>
      </c>
      <c r="G4561" s="9">
        <f>IFERROR(__xludf.DUMMYFUNCTION("""COMPUTED_VALUE"""),5.95)</f>
        <v>5.95</v>
      </c>
      <c r="H4561" s="9">
        <f>IFERROR(__xludf.DUMMYFUNCTION("""COMPUTED_VALUE"""),1.0)</f>
        <v>1</v>
      </c>
      <c r="I4561" s="9"/>
      <c r="J4561" s="9"/>
      <c r="K4561" s="9"/>
      <c r="L4561" s="9"/>
      <c r="M4561" s="9"/>
      <c r="N4561" s="9"/>
      <c r="O4561" s="9"/>
      <c r="P4561" s="9"/>
      <c r="Q4561" s="9"/>
      <c r="R4561" s="9"/>
      <c r="S4561" s="9"/>
      <c r="T4561" s="9"/>
    </row>
    <row r="4562" ht="15.75" customHeight="1">
      <c r="A4562" s="11">
        <f>IFERROR(__xludf.DUMMYFUNCTION("""COMPUTED_VALUE"""),44471.0)</f>
        <v>44471</v>
      </c>
      <c r="B4562" s="9">
        <f>IFERROR(__xludf.DUMMYFUNCTION("""COMPUTED_VALUE"""),1003934.0)</f>
        <v>1003934</v>
      </c>
      <c r="C4562" s="9">
        <f>IFERROR(__xludf.DUMMYFUNCTION("""COMPUTED_VALUE"""),84835.0)</f>
        <v>84835</v>
      </c>
      <c r="D4562" s="9"/>
      <c r="E4562" s="9"/>
      <c r="F4562" s="9">
        <f>IFERROR(__xludf.DUMMYFUNCTION("""COMPUTED_VALUE"""),7.56)</f>
        <v>7.56</v>
      </c>
      <c r="G4562" s="9">
        <f>IFERROR(__xludf.DUMMYFUNCTION("""COMPUTED_VALUE"""),7.56)</f>
        <v>7.56</v>
      </c>
      <c r="H4562" s="9">
        <f>IFERROR(__xludf.DUMMYFUNCTION("""COMPUTED_VALUE"""),2.0)</f>
        <v>2</v>
      </c>
      <c r="I4562" s="9"/>
      <c r="J4562" s="9"/>
      <c r="K4562" s="9"/>
      <c r="L4562" s="9"/>
      <c r="M4562" s="9"/>
      <c r="N4562" s="9"/>
      <c r="O4562" s="9"/>
      <c r="P4562" s="9"/>
      <c r="Q4562" s="9"/>
      <c r="R4562" s="9"/>
      <c r="S4562" s="9"/>
      <c r="T4562" s="9"/>
    </row>
    <row r="4563" ht="15.75" customHeight="1">
      <c r="A4563" s="11">
        <f>IFERROR(__xludf.DUMMYFUNCTION("""COMPUTED_VALUE"""),44471.0)</f>
        <v>44471</v>
      </c>
      <c r="B4563" s="9">
        <f>IFERROR(__xludf.DUMMYFUNCTION("""COMPUTED_VALUE"""),1003934.0)</f>
        <v>1003934</v>
      </c>
      <c r="C4563" s="9">
        <f>IFERROR(__xludf.DUMMYFUNCTION("""COMPUTED_VALUE"""),104362.0)</f>
        <v>104362</v>
      </c>
      <c r="D4563" s="10" t="str">
        <f>IFERROR(__xludf.DUMMYFUNCTION("""COMPUTED_VALUE"""),"Vive le bio")</f>
        <v>Vive le bio</v>
      </c>
      <c r="E4563" s="10"/>
      <c r="F4563" s="9">
        <f>IFERROR(__xludf.DUMMYFUNCTION("""COMPUTED_VALUE"""),17.0333333333333)</f>
        <v>17.03333333</v>
      </c>
      <c r="G4563" s="9">
        <f>IFERROR(__xludf.DUMMYFUNCTION("""COMPUTED_VALUE"""),15.33)</f>
        <v>15.33</v>
      </c>
      <c r="H4563" s="9">
        <f>IFERROR(__xludf.DUMMYFUNCTION("""COMPUTED_VALUE"""),2.0)</f>
        <v>2</v>
      </c>
      <c r="I4563" s="9"/>
      <c r="J4563" s="9"/>
      <c r="K4563" s="9"/>
      <c r="L4563" s="9"/>
      <c r="M4563" s="9"/>
      <c r="N4563" s="9"/>
      <c r="O4563" s="9"/>
      <c r="P4563" s="9"/>
      <c r="Q4563" s="9"/>
      <c r="R4563" s="9"/>
      <c r="S4563" s="9"/>
      <c r="T4563" s="9"/>
    </row>
    <row r="4564" ht="15.75" customHeight="1">
      <c r="A4564" s="11">
        <f>IFERROR(__xludf.DUMMYFUNCTION("""COMPUTED_VALUE"""),44471.0)</f>
        <v>44471</v>
      </c>
      <c r="B4564" s="9">
        <f>IFERROR(__xludf.DUMMYFUNCTION("""COMPUTED_VALUE"""),1003935.0)</f>
        <v>1003935</v>
      </c>
      <c r="C4564" s="9">
        <f>IFERROR(__xludf.DUMMYFUNCTION("""COMPUTED_VALUE"""),117665.0)</f>
        <v>117665</v>
      </c>
      <c r="D4564" s="9"/>
      <c r="E4564" s="10" t="str">
        <f>IFERROR(__xludf.DUMMYFUNCTION("""COMPUTED_VALUE"""),"PREMIERE")</f>
        <v>PREMIERE</v>
      </c>
      <c r="F4564" s="10">
        <f>IFERROR(__xludf.DUMMYFUNCTION("""COMPUTED_VALUE"""),46.31)</f>
        <v>46.31</v>
      </c>
      <c r="G4564" s="9">
        <f>IFERROR(__xludf.DUMMYFUNCTION("""COMPUTED_VALUE"""),46.31)</f>
        <v>46.31</v>
      </c>
      <c r="H4564" s="9">
        <f>IFERROR(__xludf.DUMMYFUNCTION("""COMPUTED_VALUE"""),5.0)</f>
        <v>5</v>
      </c>
      <c r="I4564" s="9"/>
      <c r="J4564" s="9"/>
      <c r="K4564" s="9"/>
      <c r="L4564" s="9"/>
      <c r="M4564" s="9"/>
      <c r="N4564" s="9"/>
      <c r="O4564" s="9"/>
      <c r="P4564" s="9"/>
      <c r="Q4564" s="9"/>
      <c r="R4564" s="9"/>
      <c r="S4564" s="9"/>
      <c r="T4564" s="9"/>
    </row>
    <row r="4565" ht="15.75" customHeight="1">
      <c r="A4565" s="11">
        <f>IFERROR(__xludf.DUMMYFUNCTION("""COMPUTED_VALUE"""),44471.0)</f>
        <v>44471</v>
      </c>
      <c r="B4565" s="9">
        <f>IFERROR(__xludf.DUMMYFUNCTION("""COMPUTED_VALUE"""),1003936.0)</f>
        <v>1003936</v>
      </c>
      <c r="C4565" s="9">
        <f>IFERROR(__xludf.DUMMYFUNCTION("""COMPUTED_VALUE"""),9652.0)</f>
        <v>9652</v>
      </c>
      <c r="D4565" s="9"/>
      <c r="E4565" s="9"/>
      <c r="F4565" s="9">
        <f>IFERROR(__xludf.DUMMYFUNCTION("""COMPUTED_VALUE"""),2.52)</f>
        <v>2.52</v>
      </c>
      <c r="G4565" s="9">
        <f>IFERROR(__xludf.DUMMYFUNCTION("""COMPUTED_VALUE"""),2.52)</f>
        <v>2.52</v>
      </c>
      <c r="H4565" s="9">
        <f>IFERROR(__xludf.DUMMYFUNCTION("""COMPUTED_VALUE"""),1.0)</f>
        <v>1</v>
      </c>
      <c r="I4565" s="9"/>
      <c r="J4565" s="9"/>
      <c r="K4565" s="9"/>
      <c r="L4565" s="9"/>
      <c r="M4565" s="9"/>
      <c r="N4565" s="9"/>
      <c r="O4565" s="9"/>
      <c r="P4565" s="9"/>
      <c r="Q4565" s="9"/>
      <c r="R4565" s="9"/>
      <c r="S4565" s="9"/>
      <c r="T4565" s="9"/>
    </row>
    <row r="4566" ht="15.75" customHeight="1">
      <c r="A4566" s="11">
        <f>IFERROR(__xludf.DUMMYFUNCTION("""COMPUTED_VALUE"""),44471.0)</f>
        <v>44471</v>
      </c>
      <c r="B4566" s="9">
        <f>IFERROR(__xludf.DUMMYFUNCTION("""COMPUTED_VALUE"""),1003936.0)</f>
        <v>1003936</v>
      </c>
      <c r="C4566" s="9">
        <f>IFERROR(__xludf.DUMMYFUNCTION("""COMPUTED_VALUE"""),109971.0)</f>
        <v>109971</v>
      </c>
      <c r="D4566" s="10" t="str">
        <f>IFERROR(__xludf.DUMMYFUNCTION("""COMPUTED_VALUE"""),"Carryboo soin bebe 2021")</f>
        <v>Carryboo soin bebe 2021</v>
      </c>
      <c r="E4566" s="10"/>
      <c r="F4566" s="9">
        <f>IFERROR(__xludf.DUMMYFUNCTION("""COMPUTED_VALUE"""),6.04)</f>
        <v>6.04</v>
      </c>
      <c r="G4566" s="9">
        <f>IFERROR(__xludf.DUMMYFUNCTION("""COMPUTED_VALUE"""),4.53)</f>
        <v>4.53</v>
      </c>
      <c r="H4566" s="9">
        <f>IFERROR(__xludf.DUMMYFUNCTION("""COMPUTED_VALUE"""),1.0)</f>
        <v>1</v>
      </c>
      <c r="I4566" s="9"/>
      <c r="J4566" s="9"/>
      <c r="K4566" s="9"/>
      <c r="L4566" s="9"/>
      <c r="M4566" s="9"/>
      <c r="N4566" s="9"/>
      <c r="O4566" s="9"/>
      <c r="P4566" s="9"/>
      <c r="Q4566" s="9"/>
      <c r="R4566" s="9"/>
      <c r="S4566" s="9"/>
      <c r="T4566" s="9"/>
    </row>
    <row r="4567" ht="15.75" customHeight="1">
      <c r="A4567" s="11">
        <f>IFERROR(__xludf.DUMMYFUNCTION("""COMPUTED_VALUE"""),44471.0)</f>
        <v>44471</v>
      </c>
      <c r="B4567" s="9">
        <f>IFERROR(__xludf.DUMMYFUNCTION("""COMPUTED_VALUE"""),1003936.0)</f>
        <v>1003936</v>
      </c>
      <c r="C4567" s="9">
        <f>IFERROR(__xludf.DUMMYFUNCTION("""COMPUTED_VALUE"""),112099.0)</f>
        <v>112099</v>
      </c>
      <c r="D4567" s="9"/>
      <c r="E4567" s="9"/>
      <c r="F4567" s="9">
        <f>IFERROR(__xludf.DUMMYFUNCTION("""COMPUTED_VALUE"""),3.93)</f>
        <v>3.93</v>
      </c>
      <c r="G4567" s="9">
        <f>IFERROR(__xludf.DUMMYFUNCTION("""COMPUTED_VALUE"""),3.93)</f>
        <v>3.93</v>
      </c>
      <c r="H4567" s="9">
        <f>IFERROR(__xludf.DUMMYFUNCTION("""COMPUTED_VALUE"""),1.0)</f>
        <v>1</v>
      </c>
      <c r="I4567" s="9"/>
      <c r="J4567" s="9"/>
      <c r="K4567" s="9"/>
      <c r="L4567" s="9"/>
      <c r="M4567" s="9"/>
      <c r="N4567" s="9"/>
      <c r="O4567" s="9"/>
      <c r="P4567" s="9"/>
      <c r="Q4567" s="9"/>
      <c r="R4567" s="9"/>
      <c r="S4567" s="9"/>
      <c r="T4567" s="9"/>
    </row>
    <row r="4568" ht="15.75" customHeight="1">
      <c r="A4568" s="11">
        <f>IFERROR(__xludf.DUMMYFUNCTION("""COMPUTED_VALUE"""),44471.0)</f>
        <v>44471</v>
      </c>
      <c r="B4568" s="9">
        <f>IFERROR(__xludf.DUMMYFUNCTION("""COMPUTED_VALUE"""),1003936.0)</f>
        <v>1003936</v>
      </c>
      <c r="C4568" s="9">
        <f>IFERROR(__xludf.DUMMYFUNCTION("""COMPUTED_VALUE"""),70417.0)</f>
        <v>70417</v>
      </c>
      <c r="D4568" s="9"/>
      <c r="E4568" s="9"/>
      <c r="F4568" s="9">
        <f>IFERROR(__xludf.DUMMYFUNCTION("""COMPUTED_VALUE"""),2.57)</f>
        <v>2.57</v>
      </c>
      <c r="G4568" s="9">
        <f>IFERROR(__xludf.DUMMYFUNCTION("""COMPUTED_VALUE"""),2.57)</f>
        <v>2.57</v>
      </c>
      <c r="H4568" s="9">
        <f>IFERROR(__xludf.DUMMYFUNCTION("""COMPUTED_VALUE"""),1.0)</f>
        <v>1</v>
      </c>
      <c r="I4568" s="9"/>
      <c r="J4568" s="9"/>
      <c r="K4568" s="9"/>
      <c r="L4568" s="9"/>
      <c r="M4568" s="9"/>
      <c r="N4568" s="9"/>
      <c r="O4568" s="9"/>
      <c r="P4568" s="9"/>
      <c r="Q4568" s="9"/>
      <c r="R4568" s="9"/>
      <c r="S4568" s="9"/>
      <c r="T4568" s="9"/>
    </row>
    <row r="4569" ht="15.75" customHeight="1">
      <c r="A4569" s="11">
        <f>IFERROR(__xludf.DUMMYFUNCTION("""COMPUTED_VALUE"""),44471.0)</f>
        <v>44471</v>
      </c>
      <c r="B4569" s="9">
        <f>IFERROR(__xludf.DUMMYFUNCTION("""COMPUTED_VALUE"""),1003936.0)</f>
        <v>1003936</v>
      </c>
      <c r="C4569" s="9">
        <f>IFERROR(__xludf.DUMMYFUNCTION("""COMPUTED_VALUE"""),9655.0)</f>
        <v>9655</v>
      </c>
      <c r="D4569" s="9"/>
      <c r="E4569" s="9"/>
      <c r="F4569" s="9">
        <f>IFERROR(__xludf.DUMMYFUNCTION("""COMPUTED_VALUE"""),3.32)</f>
        <v>3.32</v>
      </c>
      <c r="G4569" s="9">
        <f>IFERROR(__xludf.DUMMYFUNCTION("""COMPUTED_VALUE"""),3.32)</f>
        <v>3.32</v>
      </c>
      <c r="H4569" s="9">
        <f>IFERROR(__xludf.DUMMYFUNCTION("""COMPUTED_VALUE"""),1.0)</f>
        <v>1</v>
      </c>
      <c r="I4569" s="9"/>
      <c r="J4569" s="9"/>
      <c r="K4569" s="9"/>
      <c r="L4569" s="9"/>
      <c r="M4569" s="9"/>
      <c r="N4569" s="9"/>
      <c r="O4569" s="9"/>
      <c r="P4569" s="9"/>
      <c r="Q4569" s="9"/>
      <c r="R4569" s="9"/>
      <c r="S4569" s="9"/>
      <c r="T4569" s="9"/>
    </row>
    <row r="4570" ht="15.75" customHeight="1">
      <c r="A4570" s="11">
        <f>IFERROR(__xludf.DUMMYFUNCTION("""COMPUTED_VALUE"""),44471.0)</f>
        <v>44471</v>
      </c>
      <c r="B4570" s="9">
        <f>IFERROR(__xludf.DUMMYFUNCTION("""COMPUTED_VALUE"""),1003936.0)</f>
        <v>1003936</v>
      </c>
      <c r="C4570" s="9">
        <f>IFERROR(__xludf.DUMMYFUNCTION("""COMPUTED_VALUE"""),70420.0)</f>
        <v>70420</v>
      </c>
      <c r="D4570" s="9"/>
      <c r="E4570" s="9"/>
      <c r="F4570" s="9">
        <f>IFERROR(__xludf.DUMMYFUNCTION("""COMPUTED_VALUE"""),6.65)</f>
        <v>6.65</v>
      </c>
      <c r="G4570" s="9">
        <f>IFERROR(__xludf.DUMMYFUNCTION("""COMPUTED_VALUE"""),6.65)</f>
        <v>6.65</v>
      </c>
      <c r="H4570" s="9">
        <f>IFERROR(__xludf.DUMMYFUNCTION("""COMPUTED_VALUE"""),2.0)</f>
        <v>2</v>
      </c>
      <c r="I4570" s="9"/>
      <c r="J4570" s="9"/>
      <c r="K4570" s="9"/>
      <c r="L4570" s="9"/>
      <c r="M4570" s="9"/>
      <c r="N4570" s="9"/>
      <c r="O4570" s="9"/>
      <c r="P4570" s="9"/>
      <c r="Q4570" s="9"/>
      <c r="R4570" s="9"/>
      <c r="S4570" s="9"/>
      <c r="T4570" s="9"/>
    </row>
    <row r="4571" ht="15.75" customHeight="1">
      <c r="A4571" s="11">
        <f>IFERROR(__xludf.DUMMYFUNCTION("""COMPUTED_VALUE"""),44471.0)</f>
        <v>44471</v>
      </c>
      <c r="B4571" s="9">
        <f>IFERROR(__xludf.DUMMYFUNCTION("""COMPUTED_VALUE"""),1003936.0)</f>
        <v>1003936</v>
      </c>
      <c r="C4571" s="9">
        <f>IFERROR(__xludf.DUMMYFUNCTION("""COMPUTED_VALUE"""),122746.0)</f>
        <v>122746</v>
      </c>
      <c r="D4571" s="9"/>
      <c r="E4571" s="9"/>
      <c r="F4571" s="9">
        <f>IFERROR(__xludf.DUMMYFUNCTION("""COMPUTED_VALUE"""),52.54)</f>
        <v>52.54</v>
      </c>
      <c r="G4571" s="9">
        <f>IFERROR(__xludf.DUMMYFUNCTION("""COMPUTED_VALUE"""),52.54)</f>
        <v>52.54</v>
      </c>
      <c r="H4571" s="9">
        <f>IFERROR(__xludf.DUMMYFUNCTION("""COMPUTED_VALUE"""),3.0)</f>
        <v>3</v>
      </c>
      <c r="I4571" s="9"/>
      <c r="J4571" s="9"/>
      <c r="K4571" s="9"/>
      <c r="L4571" s="9"/>
      <c r="M4571" s="9"/>
      <c r="N4571" s="9"/>
      <c r="O4571" s="9"/>
      <c r="P4571" s="9"/>
      <c r="Q4571" s="9"/>
      <c r="R4571" s="9"/>
      <c r="S4571" s="9"/>
      <c r="T4571" s="9"/>
    </row>
    <row r="4572" ht="15.75" customHeight="1">
      <c r="A4572" s="11">
        <f>IFERROR(__xludf.DUMMYFUNCTION("""COMPUTED_VALUE"""),44471.0)</f>
        <v>44471</v>
      </c>
      <c r="B4572" s="9">
        <f>IFERROR(__xludf.DUMMYFUNCTION("""COMPUTED_VALUE"""),1003937.0)</f>
        <v>1003937</v>
      </c>
      <c r="C4572" s="9">
        <f>IFERROR(__xludf.DUMMYFUNCTION("""COMPUTED_VALUE"""),2148.0)</f>
        <v>2148</v>
      </c>
      <c r="D4572" s="9"/>
      <c r="E4572" s="9"/>
      <c r="F4572" s="9">
        <f>IFERROR(__xludf.DUMMYFUNCTION("""COMPUTED_VALUE"""),5.03)</f>
        <v>5.03</v>
      </c>
      <c r="G4572" s="9">
        <f>IFERROR(__xludf.DUMMYFUNCTION("""COMPUTED_VALUE"""),5.03)</f>
        <v>5.03</v>
      </c>
      <c r="H4572" s="9">
        <f>IFERROR(__xludf.DUMMYFUNCTION("""COMPUTED_VALUE"""),1.0)</f>
        <v>1</v>
      </c>
      <c r="I4572" s="9"/>
      <c r="J4572" s="9"/>
      <c r="K4572" s="9"/>
      <c r="L4572" s="9"/>
      <c r="M4572" s="9"/>
      <c r="N4572" s="9"/>
      <c r="O4572" s="9"/>
      <c r="P4572" s="9"/>
      <c r="Q4572" s="9"/>
      <c r="R4572" s="9"/>
      <c r="S4572" s="9"/>
      <c r="T4572" s="9"/>
    </row>
    <row r="4573" ht="15.75" customHeight="1">
      <c r="A4573" s="11">
        <f>IFERROR(__xludf.DUMMYFUNCTION("""COMPUTED_VALUE"""),44471.0)</f>
        <v>44471</v>
      </c>
      <c r="B4573" s="9">
        <f>IFERROR(__xludf.DUMMYFUNCTION("""COMPUTED_VALUE"""),1003937.0)</f>
        <v>1003937</v>
      </c>
      <c r="C4573" s="9">
        <f>IFERROR(__xludf.DUMMYFUNCTION("""COMPUTED_VALUE"""),44663.0)</f>
        <v>44663</v>
      </c>
      <c r="D4573" s="10" t="str">
        <f>IFERROR(__xludf.DUMMYFUNCTION("""COMPUTED_VALUE"""),"Vive le bio")</f>
        <v>Vive le bio</v>
      </c>
      <c r="E4573" s="10"/>
      <c r="F4573" s="9">
        <f>IFERROR(__xludf.DUMMYFUNCTION("""COMPUTED_VALUE"""),29.9555555555555)</f>
        <v>29.95555556</v>
      </c>
      <c r="G4573" s="9">
        <f>IFERROR(__xludf.DUMMYFUNCTION("""COMPUTED_VALUE"""),26.96)</f>
        <v>26.96</v>
      </c>
      <c r="H4573" s="9">
        <f>IFERROR(__xludf.DUMMYFUNCTION("""COMPUTED_VALUE"""),1.0)</f>
        <v>1</v>
      </c>
      <c r="I4573" s="9"/>
      <c r="J4573" s="9"/>
      <c r="K4573" s="9"/>
      <c r="L4573" s="9"/>
      <c r="M4573" s="9"/>
      <c r="N4573" s="9"/>
      <c r="O4573" s="9"/>
      <c r="P4573" s="9"/>
      <c r="Q4573" s="9"/>
      <c r="R4573" s="9"/>
      <c r="S4573" s="9"/>
      <c r="T4573" s="9"/>
    </row>
    <row r="4574" ht="15.75" customHeight="1">
      <c r="A4574" s="11">
        <f>IFERROR(__xludf.DUMMYFUNCTION("""COMPUTED_VALUE"""),44471.0)</f>
        <v>44471</v>
      </c>
      <c r="B4574" s="9">
        <f>IFERROR(__xludf.DUMMYFUNCTION("""COMPUTED_VALUE"""),1003937.0)</f>
        <v>1003937</v>
      </c>
      <c r="C4574" s="9">
        <f>IFERROR(__xludf.DUMMYFUNCTION("""COMPUTED_VALUE"""),72320.0)</f>
        <v>72320</v>
      </c>
      <c r="D4574" s="9"/>
      <c r="E4574" s="9"/>
      <c r="F4574" s="9">
        <f>IFERROR(__xludf.DUMMYFUNCTION("""COMPUTED_VALUE"""),5.66)</f>
        <v>5.66</v>
      </c>
      <c r="G4574" s="9">
        <f>IFERROR(__xludf.DUMMYFUNCTION("""COMPUTED_VALUE"""),5.66)</f>
        <v>5.66</v>
      </c>
      <c r="H4574" s="9">
        <f>IFERROR(__xludf.DUMMYFUNCTION("""COMPUTED_VALUE"""),1.0)</f>
        <v>1</v>
      </c>
      <c r="I4574" s="9"/>
      <c r="J4574" s="9"/>
      <c r="K4574" s="9"/>
      <c r="L4574" s="9"/>
      <c r="M4574" s="9"/>
      <c r="N4574" s="9"/>
      <c r="O4574" s="9"/>
      <c r="P4574" s="9"/>
      <c r="Q4574" s="9"/>
      <c r="R4574" s="9"/>
      <c r="S4574" s="9"/>
      <c r="T4574" s="9"/>
    </row>
    <row r="4575" ht="15.75" customHeight="1">
      <c r="A4575" s="11">
        <f>IFERROR(__xludf.DUMMYFUNCTION("""COMPUTED_VALUE"""),44471.0)</f>
        <v>44471</v>
      </c>
      <c r="B4575" s="9">
        <f>IFERROR(__xludf.DUMMYFUNCTION("""COMPUTED_VALUE"""),1003938.0)</f>
        <v>1003938</v>
      </c>
      <c r="C4575" s="9">
        <f>IFERROR(__xludf.DUMMYFUNCTION("""COMPUTED_VALUE"""),116297.0)</f>
        <v>116297</v>
      </c>
      <c r="D4575" s="9"/>
      <c r="E4575" s="9"/>
      <c r="F4575" s="9">
        <f>IFERROR(__xludf.DUMMYFUNCTION("""COMPUTED_VALUE"""),3.19)</f>
        <v>3.19</v>
      </c>
      <c r="G4575" s="9">
        <f>IFERROR(__xludf.DUMMYFUNCTION("""COMPUTED_VALUE"""),3.19)</f>
        <v>3.19</v>
      </c>
      <c r="H4575" s="9">
        <f>IFERROR(__xludf.DUMMYFUNCTION("""COMPUTED_VALUE"""),1.0)</f>
        <v>1</v>
      </c>
      <c r="I4575" s="9"/>
      <c r="J4575" s="9"/>
      <c r="K4575" s="9"/>
      <c r="L4575" s="9"/>
      <c r="M4575" s="9"/>
      <c r="N4575" s="9"/>
      <c r="O4575" s="9"/>
      <c r="P4575" s="9"/>
      <c r="Q4575" s="9"/>
      <c r="R4575" s="9"/>
      <c r="S4575" s="9"/>
      <c r="T4575" s="9"/>
    </row>
    <row r="4576" ht="15.75" customHeight="1">
      <c r="A4576" s="11">
        <f>IFERROR(__xludf.DUMMYFUNCTION("""COMPUTED_VALUE"""),44471.0)</f>
        <v>44471</v>
      </c>
      <c r="B4576" s="9">
        <f>IFERROR(__xludf.DUMMYFUNCTION("""COMPUTED_VALUE"""),1003938.0)</f>
        <v>1003938</v>
      </c>
      <c r="C4576" s="9">
        <f>IFERROR(__xludf.DUMMYFUNCTION("""COMPUTED_VALUE"""),87800.0)</f>
        <v>87800</v>
      </c>
      <c r="D4576" s="9"/>
      <c r="E4576" s="9"/>
      <c r="F4576" s="9">
        <f>IFERROR(__xludf.DUMMYFUNCTION("""COMPUTED_VALUE"""),3.2)</f>
        <v>3.2</v>
      </c>
      <c r="G4576" s="9">
        <f>IFERROR(__xludf.DUMMYFUNCTION("""COMPUTED_VALUE"""),3.2)</f>
        <v>3.2</v>
      </c>
      <c r="H4576" s="9">
        <f>IFERROR(__xludf.DUMMYFUNCTION("""COMPUTED_VALUE"""),1.0)</f>
        <v>1</v>
      </c>
      <c r="I4576" s="9"/>
      <c r="J4576" s="9"/>
      <c r="K4576" s="9"/>
      <c r="L4576" s="9"/>
      <c r="M4576" s="9"/>
      <c r="N4576" s="9"/>
      <c r="O4576" s="9"/>
      <c r="P4576" s="9"/>
      <c r="Q4576" s="9"/>
      <c r="R4576" s="9"/>
      <c r="S4576" s="9"/>
      <c r="T4576" s="9"/>
    </row>
    <row r="4577" ht="15.75" customHeight="1">
      <c r="A4577" s="11">
        <f>IFERROR(__xludf.DUMMYFUNCTION("""COMPUTED_VALUE"""),44471.0)</f>
        <v>44471</v>
      </c>
      <c r="B4577" s="9">
        <f>IFERROR(__xludf.DUMMYFUNCTION("""COMPUTED_VALUE"""),1003938.0)</f>
        <v>1003938</v>
      </c>
      <c r="C4577" s="9">
        <f>IFERROR(__xludf.DUMMYFUNCTION("""COMPUTED_VALUE"""),101565.0)</f>
        <v>101565</v>
      </c>
      <c r="D4577" s="9"/>
      <c r="E4577" s="9"/>
      <c r="F4577" s="9">
        <f>IFERROR(__xludf.DUMMYFUNCTION("""COMPUTED_VALUE"""),2.71)</f>
        <v>2.71</v>
      </c>
      <c r="G4577" s="9">
        <f>IFERROR(__xludf.DUMMYFUNCTION("""COMPUTED_VALUE"""),2.71)</f>
        <v>2.71</v>
      </c>
      <c r="H4577" s="9">
        <f>IFERROR(__xludf.DUMMYFUNCTION("""COMPUTED_VALUE"""),1.0)</f>
        <v>1</v>
      </c>
      <c r="I4577" s="9"/>
      <c r="J4577" s="9"/>
      <c r="K4577" s="9"/>
      <c r="L4577" s="9"/>
      <c r="M4577" s="9"/>
      <c r="N4577" s="9"/>
      <c r="O4577" s="9"/>
      <c r="P4577" s="9"/>
      <c r="Q4577" s="9"/>
      <c r="R4577" s="9"/>
      <c r="S4577" s="9"/>
      <c r="T4577" s="9"/>
    </row>
    <row r="4578" ht="15.75" customHeight="1">
      <c r="A4578" s="11">
        <f>IFERROR(__xludf.DUMMYFUNCTION("""COMPUTED_VALUE"""),44471.0)</f>
        <v>44471</v>
      </c>
      <c r="B4578" s="9">
        <f>IFERROR(__xludf.DUMMYFUNCTION("""COMPUTED_VALUE"""),1003938.0)</f>
        <v>1003938</v>
      </c>
      <c r="C4578" s="9">
        <f>IFERROR(__xludf.DUMMYFUNCTION("""COMPUTED_VALUE"""),92313.0)</f>
        <v>92313</v>
      </c>
      <c r="D4578" s="9"/>
      <c r="E4578" s="9"/>
      <c r="F4578" s="9">
        <f>IFERROR(__xludf.DUMMYFUNCTION("""COMPUTED_VALUE"""),14.17)</f>
        <v>14.17</v>
      </c>
      <c r="G4578" s="9">
        <f>IFERROR(__xludf.DUMMYFUNCTION("""COMPUTED_VALUE"""),14.17)</f>
        <v>14.17</v>
      </c>
      <c r="H4578" s="9">
        <f>IFERROR(__xludf.DUMMYFUNCTION("""COMPUTED_VALUE"""),1.0)</f>
        <v>1</v>
      </c>
      <c r="I4578" s="9"/>
      <c r="J4578" s="9"/>
      <c r="K4578" s="9"/>
      <c r="L4578" s="9"/>
      <c r="M4578" s="9"/>
      <c r="N4578" s="9"/>
      <c r="O4578" s="9"/>
      <c r="P4578" s="9"/>
      <c r="Q4578" s="9"/>
      <c r="R4578" s="9"/>
      <c r="S4578" s="9"/>
      <c r="T4578" s="9"/>
    </row>
    <row r="4579" ht="15.75" customHeight="1">
      <c r="A4579" s="11">
        <f>IFERROR(__xludf.DUMMYFUNCTION("""COMPUTED_VALUE"""),44471.0)</f>
        <v>44471</v>
      </c>
      <c r="B4579" s="9">
        <f>IFERROR(__xludf.DUMMYFUNCTION("""COMPUTED_VALUE"""),1003938.0)</f>
        <v>1003938</v>
      </c>
      <c r="C4579" s="9">
        <f>IFERROR(__xludf.DUMMYFUNCTION("""COMPUTED_VALUE"""),92199.0)</f>
        <v>92199</v>
      </c>
      <c r="D4579" s="9"/>
      <c r="E4579" s="9"/>
      <c r="F4579" s="9">
        <f>IFERROR(__xludf.DUMMYFUNCTION("""COMPUTED_VALUE"""),17.59)</f>
        <v>17.59</v>
      </c>
      <c r="G4579" s="9">
        <f>IFERROR(__xludf.DUMMYFUNCTION("""COMPUTED_VALUE"""),17.59)</f>
        <v>17.59</v>
      </c>
      <c r="H4579" s="9">
        <f>IFERROR(__xludf.DUMMYFUNCTION("""COMPUTED_VALUE"""),1.0)</f>
        <v>1</v>
      </c>
      <c r="I4579" s="9"/>
      <c r="J4579" s="9"/>
      <c r="K4579" s="9"/>
      <c r="L4579" s="9"/>
      <c r="M4579" s="9"/>
      <c r="N4579" s="9"/>
      <c r="O4579" s="9"/>
      <c r="P4579" s="9"/>
      <c r="Q4579" s="9"/>
      <c r="R4579" s="9"/>
      <c r="S4579" s="9"/>
      <c r="T4579" s="9"/>
    </row>
    <row r="4580" ht="15.75" customHeight="1">
      <c r="A4580" s="11">
        <f>IFERROR(__xludf.DUMMYFUNCTION("""COMPUTED_VALUE"""),44471.0)</f>
        <v>44471</v>
      </c>
      <c r="B4580" s="9">
        <f>IFERROR(__xludf.DUMMYFUNCTION("""COMPUTED_VALUE"""),1003938.0)</f>
        <v>1003938</v>
      </c>
      <c r="C4580" s="9">
        <f>IFERROR(__xludf.DUMMYFUNCTION("""COMPUTED_VALUE"""),80785.0)</f>
        <v>80785</v>
      </c>
      <c r="D4580" s="9"/>
      <c r="E4580" s="9"/>
      <c r="F4580" s="9">
        <f>IFERROR(__xludf.DUMMYFUNCTION("""COMPUTED_VALUE"""),1.49)</f>
        <v>1.49</v>
      </c>
      <c r="G4580" s="9">
        <f>IFERROR(__xludf.DUMMYFUNCTION("""COMPUTED_VALUE"""),1.49)</f>
        <v>1.49</v>
      </c>
      <c r="H4580" s="9">
        <f>IFERROR(__xludf.DUMMYFUNCTION("""COMPUTED_VALUE"""),1.0)</f>
        <v>1</v>
      </c>
      <c r="I4580" s="9"/>
      <c r="J4580" s="9"/>
      <c r="K4580" s="9"/>
      <c r="L4580" s="9"/>
      <c r="M4580" s="9"/>
      <c r="N4580" s="9"/>
      <c r="O4580" s="9"/>
      <c r="P4580" s="9"/>
      <c r="Q4580" s="9"/>
      <c r="R4580" s="9"/>
      <c r="S4580" s="9"/>
      <c r="T4580" s="9"/>
    </row>
    <row r="4581" ht="15.75" customHeight="1">
      <c r="A4581" s="11">
        <f>IFERROR(__xludf.DUMMYFUNCTION("""COMPUTED_VALUE"""),44471.0)</f>
        <v>44471</v>
      </c>
      <c r="B4581" s="9">
        <f>IFERROR(__xludf.DUMMYFUNCTION("""COMPUTED_VALUE"""),1003938.0)</f>
        <v>1003938</v>
      </c>
      <c r="C4581" s="9">
        <f>IFERROR(__xludf.DUMMYFUNCTION("""COMPUTED_VALUE"""),10655.0)</f>
        <v>10655</v>
      </c>
      <c r="D4581" s="9"/>
      <c r="E4581" s="9"/>
      <c r="F4581" s="9">
        <f>IFERROR(__xludf.DUMMYFUNCTION("""COMPUTED_VALUE"""),5.0)</f>
        <v>5</v>
      </c>
      <c r="G4581" s="9">
        <f>IFERROR(__xludf.DUMMYFUNCTION("""COMPUTED_VALUE"""),5.0)</f>
        <v>5</v>
      </c>
      <c r="H4581" s="9">
        <f>IFERROR(__xludf.DUMMYFUNCTION("""COMPUTED_VALUE"""),2.0)</f>
        <v>2</v>
      </c>
      <c r="I4581" s="9"/>
      <c r="J4581" s="9"/>
      <c r="K4581" s="9"/>
      <c r="L4581" s="9"/>
      <c r="M4581" s="9"/>
      <c r="N4581" s="9"/>
      <c r="O4581" s="9"/>
      <c r="P4581" s="9"/>
      <c r="Q4581" s="9"/>
      <c r="R4581" s="9"/>
      <c r="S4581" s="9"/>
      <c r="T4581" s="9"/>
    </row>
    <row r="4582" ht="15.75" customHeight="1">
      <c r="A4582" s="11">
        <f>IFERROR(__xludf.DUMMYFUNCTION("""COMPUTED_VALUE"""),44471.0)</f>
        <v>44471</v>
      </c>
      <c r="B4582" s="9">
        <f>IFERROR(__xludf.DUMMYFUNCTION("""COMPUTED_VALUE"""),1003938.0)</f>
        <v>1003938</v>
      </c>
      <c r="C4582" s="9">
        <f>IFERROR(__xludf.DUMMYFUNCTION("""COMPUTED_VALUE"""),118212.0)</f>
        <v>118212</v>
      </c>
      <c r="D4582" s="10" t="str">
        <f>IFERROR(__xludf.DUMMYFUNCTION("""COMPUTED_VALUE"""),"Vive le bio")</f>
        <v>Vive le bio</v>
      </c>
      <c r="E4582" s="10"/>
      <c r="F4582" s="9">
        <f>IFERROR(__xludf.DUMMYFUNCTION("""COMPUTED_VALUE"""),10.5888888888888)</f>
        <v>10.58888889</v>
      </c>
      <c r="G4582" s="9">
        <f>IFERROR(__xludf.DUMMYFUNCTION("""COMPUTED_VALUE"""),9.53)</f>
        <v>9.53</v>
      </c>
      <c r="H4582" s="9">
        <f>IFERROR(__xludf.DUMMYFUNCTION("""COMPUTED_VALUE"""),2.0)</f>
        <v>2</v>
      </c>
      <c r="I4582" s="9"/>
      <c r="J4582" s="9"/>
      <c r="K4582" s="9"/>
      <c r="L4582" s="9"/>
      <c r="M4582" s="9"/>
      <c r="N4582" s="9"/>
      <c r="O4582" s="9"/>
      <c r="P4582" s="9"/>
      <c r="Q4582" s="9"/>
      <c r="R4582" s="9"/>
      <c r="S4582" s="9"/>
      <c r="T4582" s="9"/>
    </row>
    <row r="4583" ht="15.75" customHeight="1">
      <c r="A4583" s="11">
        <f>IFERROR(__xludf.DUMMYFUNCTION("""COMPUTED_VALUE"""),44471.0)</f>
        <v>44471</v>
      </c>
      <c r="B4583" s="9">
        <f>IFERROR(__xludf.DUMMYFUNCTION("""COMPUTED_VALUE"""),1003938.0)</f>
        <v>1003938</v>
      </c>
      <c r="C4583" s="9">
        <f>IFERROR(__xludf.DUMMYFUNCTION("""COMPUTED_VALUE"""),121475.0)</f>
        <v>121475</v>
      </c>
      <c r="D4583" s="9"/>
      <c r="E4583" s="9"/>
      <c r="F4583" s="9">
        <f>IFERROR(__xludf.DUMMYFUNCTION("""COMPUTED_VALUE"""),2.48)</f>
        <v>2.48</v>
      </c>
      <c r="G4583" s="9">
        <f>IFERROR(__xludf.DUMMYFUNCTION("""COMPUTED_VALUE"""),2.48)</f>
        <v>2.48</v>
      </c>
      <c r="H4583" s="9">
        <f>IFERROR(__xludf.DUMMYFUNCTION("""COMPUTED_VALUE"""),3.0)</f>
        <v>3</v>
      </c>
      <c r="I4583" s="9"/>
      <c r="J4583" s="9"/>
      <c r="K4583" s="9"/>
      <c r="L4583" s="9"/>
      <c r="M4583" s="9"/>
      <c r="N4583" s="9"/>
      <c r="O4583" s="9"/>
      <c r="P4583" s="9"/>
      <c r="Q4583" s="9"/>
      <c r="R4583" s="9"/>
      <c r="S4583" s="9"/>
      <c r="T4583" s="9"/>
    </row>
    <row r="4584" ht="15.75" customHeight="1">
      <c r="A4584" s="11">
        <f>IFERROR(__xludf.DUMMYFUNCTION("""COMPUTED_VALUE"""),44471.0)</f>
        <v>44471</v>
      </c>
      <c r="B4584" s="9">
        <f>IFERROR(__xludf.DUMMYFUNCTION("""COMPUTED_VALUE"""),1003938.0)</f>
        <v>1003938</v>
      </c>
      <c r="C4584" s="9">
        <f>IFERROR(__xludf.DUMMYFUNCTION("""COMPUTED_VALUE"""),110342.0)</f>
        <v>110342</v>
      </c>
      <c r="D4584" s="10" t="str">
        <f>IFERROR(__xludf.DUMMYFUNCTION("""COMPUTED_VALUE"""),"Love &amp; Green Couches et Culottes sept 2021")</f>
        <v>Love &amp; Green Couches et Culottes sept 2021</v>
      </c>
      <c r="E4584" s="10"/>
      <c r="F4584" s="9">
        <f>IFERROR(__xludf.DUMMYFUNCTION("""COMPUTED_VALUE"""),41.4)</f>
        <v>41.4</v>
      </c>
      <c r="G4584" s="9">
        <f>IFERROR(__xludf.DUMMYFUNCTION("""COMPUTED_VALUE"""),28.98)</f>
        <v>28.98</v>
      </c>
      <c r="H4584" s="9">
        <f>IFERROR(__xludf.DUMMYFUNCTION("""COMPUTED_VALUE"""),4.0)</f>
        <v>4</v>
      </c>
      <c r="I4584" s="9"/>
      <c r="J4584" s="9"/>
      <c r="K4584" s="9"/>
      <c r="L4584" s="9"/>
      <c r="M4584" s="9"/>
      <c r="N4584" s="9"/>
      <c r="O4584" s="9"/>
      <c r="P4584" s="9"/>
      <c r="Q4584" s="9"/>
      <c r="R4584" s="9"/>
      <c r="S4584" s="9"/>
      <c r="T4584" s="9"/>
    </row>
    <row r="4585" ht="15.75" customHeight="1">
      <c r="A4585" s="11">
        <f>IFERROR(__xludf.DUMMYFUNCTION("""COMPUTED_VALUE"""),44471.0)</f>
        <v>44471</v>
      </c>
      <c r="B4585" s="9">
        <f>IFERROR(__xludf.DUMMYFUNCTION("""COMPUTED_VALUE"""),1003939.0)</f>
        <v>1003939</v>
      </c>
      <c r="C4585" s="9">
        <f>IFERROR(__xludf.DUMMYFUNCTION("""COMPUTED_VALUE"""),103626.0)</f>
        <v>103626</v>
      </c>
      <c r="D4585" s="9"/>
      <c r="E4585" s="10" t="str">
        <f>IFERROR(__xludf.DUMMYFUNCTION("""COMPUTED_VALUE"""),"GREENRELAIS")</f>
        <v>GREENRELAIS</v>
      </c>
      <c r="F4585" s="10">
        <f>IFERROR(__xludf.DUMMYFUNCTION("""COMPUTED_VALUE"""),3.28)</f>
        <v>3.28</v>
      </c>
      <c r="G4585" s="9">
        <f>IFERROR(__xludf.DUMMYFUNCTION("""COMPUTED_VALUE"""),3.28)</f>
        <v>3.28</v>
      </c>
      <c r="H4585" s="9">
        <f>IFERROR(__xludf.DUMMYFUNCTION("""COMPUTED_VALUE"""),1.0)</f>
        <v>1</v>
      </c>
      <c r="I4585" s="9"/>
      <c r="J4585" s="9"/>
      <c r="K4585" s="9"/>
      <c r="L4585" s="9"/>
      <c r="M4585" s="9"/>
      <c r="N4585" s="9"/>
      <c r="O4585" s="9"/>
      <c r="P4585" s="9"/>
      <c r="Q4585" s="9"/>
      <c r="R4585" s="9"/>
      <c r="S4585" s="9"/>
      <c r="T4585" s="9"/>
    </row>
    <row r="4586" ht="15.75" customHeight="1">
      <c r="A4586" s="11">
        <f>IFERROR(__xludf.DUMMYFUNCTION("""COMPUTED_VALUE"""),44471.0)</f>
        <v>44471</v>
      </c>
      <c r="B4586" s="9">
        <f>IFERROR(__xludf.DUMMYFUNCTION("""COMPUTED_VALUE"""),1003939.0)</f>
        <v>1003939</v>
      </c>
      <c r="C4586" s="9">
        <f>IFERROR(__xludf.DUMMYFUNCTION("""COMPUTED_VALUE"""),110230.0)</f>
        <v>110230</v>
      </c>
      <c r="D4586" s="10" t="str">
        <f>IFERROR(__xludf.DUMMYFUNCTION("""COMPUTED_VALUE"""),"dlc courte")</f>
        <v>dlc courte</v>
      </c>
      <c r="E4586" s="10" t="str">
        <f>IFERROR(__xludf.DUMMYFUNCTION("""COMPUTED_VALUE"""),"GREENRELAIS")</f>
        <v>GREENRELAIS</v>
      </c>
      <c r="F4586" s="10">
        <f>IFERROR(__xludf.DUMMYFUNCTION("""COMPUTED_VALUE"""),72.4)</f>
        <v>72.4</v>
      </c>
      <c r="G4586" s="9">
        <f>IFERROR(__xludf.DUMMYFUNCTION("""COMPUTED_VALUE"""),36.2)</f>
        <v>36.2</v>
      </c>
      <c r="H4586" s="9">
        <f>IFERROR(__xludf.DUMMYFUNCTION("""COMPUTED_VALUE"""),1.0)</f>
        <v>1</v>
      </c>
      <c r="I4586" s="9"/>
      <c r="J4586" s="9"/>
      <c r="K4586" s="9"/>
      <c r="L4586" s="9"/>
      <c r="M4586" s="9"/>
      <c r="N4586" s="9"/>
      <c r="O4586" s="9"/>
      <c r="P4586" s="9"/>
      <c r="Q4586" s="9"/>
      <c r="R4586" s="9"/>
      <c r="S4586" s="9"/>
      <c r="T4586" s="9"/>
    </row>
    <row r="4587" ht="15.75" customHeight="1">
      <c r="A4587" s="11">
        <f>IFERROR(__xludf.DUMMYFUNCTION("""COMPUTED_VALUE"""),44471.0)</f>
        <v>44471</v>
      </c>
      <c r="B4587" s="9">
        <f>IFERROR(__xludf.DUMMYFUNCTION("""COMPUTED_VALUE"""),1003939.0)</f>
        <v>1003939</v>
      </c>
      <c r="C4587" s="9">
        <f>IFERROR(__xludf.DUMMYFUNCTION("""COMPUTED_VALUE"""),6618.0)</f>
        <v>6618</v>
      </c>
      <c r="D4587" s="10" t="str">
        <f>IFERROR(__xludf.DUMMYFUNCTION("""COMPUTED_VALUE"""),"Vive le bio")</f>
        <v>Vive le bio</v>
      </c>
      <c r="E4587" s="10" t="str">
        <f>IFERROR(__xludf.DUMMYFUNCTION("""COMPUTED_VALUE"""),"GREENRELAIS")</f>
        <v>GREENRELAIS</v>
      </c>
      <c r="F4587" s="10">
        <f>IFERROR(__xludf.DUMMYFUNCTION("""COMPUTED_VALUE"""),3.75555555555555)</f>
        <v>3.755555556</v>
      </c>
      <c r="G4587" s="9">
        <f>IFERROR(__xludf.DUMMYFUNCTION("""COMPUTED_VALUE"""),3.38)</f>
        <v>3.38</v>
      </c>
      <c r="H4587" s="9">
        <f>IFERROR(__xludf.DUMMYFUNCTION("""COMPUTED_VALUE"""),1.0)</f>
        <v>1</v>
      </c>
      <c r="I4587" s="9"/>
      <c r="J4587" s="9"/>
      <c r="K4587" s="9"/>
      <c r="L4587" s="9"/>
      <c r="M4587" s="9"/>
      <c r="N4587" s="9"/>
      <c r="O4587" s="9"/>
      <c r="P4587" s="9"/>
      <c r="Q4587" s="9"/>
      <c r="R4587" s="9"/>
      <c r="S4587" s="9"/>
      <c r="T4587" s="9"/>
    </row>
    <row r="4588" ht="15.75" customHeight="1">
      <c r="A4588" s="11">
        <f>IFERROR(__xludf.DUMMYFUNCTION("""COMPUTED_VALUE"""),44471.0)</f>
        <v>44471</v>
      </c>
      <c r="B4588" s="9">
        <f>IFERROR(__xludf.DUMMYFUNCTION("""COMPUTED_VALUE"""),1003939.0)</f>
        <v>1003939</v>
      </c>
      <c r="C4588" s="9">
        <f>IFERROR(__xludf.DUMMYFUNCTION("""COMPUTED_VALUE"""),7258.0)</f>
        <v>7258</v>
      </c>
      <c r="D4588" s="10" t="str">
        <f>IFERROR(__xludf.DUMMYFUNCTION("""COMPUTED_VALUE"""),"Vive le bio")</f>
        <v>Vive le bio</v>
      </c>
      <c r="E4588" s="10" t="str">
        <f>IFERROR(__xludf.DUMMYFUNCTION("""COMPUTED_VALUE"""),"GREENRELAIS")</f>
        <v>GREENRELAIS</v>
      </c>
      <c r="F4588" s="10">
        <f>IFERROR(__xludf.DUMMYFUNCTION("""COMPUTED_VALUE"""),2.56842105263157)</f>
        <v>2.568421053</v>
      </c>
      <c r="G4588" s="9">
        <f>IFERROR(__xludf.DUMMYFUNCTION("""COMPUTED_VALUE"""),2.44)</f>
        <v>2.44</v>
      </c>
      <c r="H4588" s="9">
        <f>IFERROR(__xludf.DUMMYFUNCTION("""COMPUTED_VALUE"""),1.0)</f>
        <v>1</v>
      </c>
      <c r="I4588" s="9"/>
      <c r="J4588" s="9"/>
      <c r="K4588" s="9"/>
      <c r="L4588" s="9"/>
      <c r="M4588" s="9"/>
      <c r="N4588" s="9"/>
      <c r="O4588" s="9"/>
      <c r="P4588" s="9"/>
      <c r="Q4588" s="9"/>
      <c r="R4588" s="9"/>
      <c r="S4588" s="9"/>
      <c r="T4588" s="9"/>
    </row>
    <row r="4589" ht="15.75" customHeight="1">
      <c r="A4589" s="11">
        <f>IFERROR(__xludf.DUMMYFUNCTION("""COMPUTED_VALUE"""),44471.0)</f>
        <v>44471</v>
      </c>
      <c r="B4589" s="9">
        <f>IFERROR(__xludf.DUMMYFUNCTION("""COMPUTED_VALUE"""),1003939.0)</f>
        <v>1003939</v>
      </c>
      <c r="C4589" s="9">
        <f>IFERROR(__xludf.DUMMYFUNCTION("""COMPUTED_VALUE"""),109966.0)</f>
        <v>109966</v>
      </c>
      <c r="D4589" s="10" t="str">
        <f>IFERROR(__xludf.DUMMYFUNCTION("""COMPUTED_VALUE"""),"Carryboo soin bebe 2021")</f>
        <v>Carryboo soin bebe 2021</v>
      </c>
      <c r="E4589" s="10" t="str">
        <f>IFERROR(__xludf.DUMMYFUNCTION("""COMPUTED_VALUE"""),"GREENRELAIS")</f>
        <v>GREENRELAIS</v>
      </c>
      <c r="F4589" s="10">
        <f>IFERROR(__xludf.DUMMYFUNCTION("""COMPUTED_VALUE"""),13.6933333333333)</f>
        <v>13.69333333</v>
      </c>
      <c r="G4589" s="9">
        <f>IFERROR(__xludf.DUMMYFUNCTION("""COMPUTED_VALUE"""),10.27)</f>
        <v>10.27</v>
      </c>
      <c r="H4589" s="9">
        <f>IFERROR(__xludf.DUMMYFUNCTION("""COMPUTED_VALUE"""),2.0)</f>
        <v>2</v>
      </c>
      <c r="I4589" s="9"/>
      <c r="J4589" s="9"/>
      <c r="K4589" s="9"/>
      <c r="L4589" s="9"/>
      <c r="M4589" s="9"/>
      <c r="N4589" s="9"/>
      <c r="O4589" s="9"/>
      <c r="P4589" s="9"/>
      <c r="Q4589" s="9"/>
      <c r="R4589" s="9"/>
      <c r="S4589" s="9"/>
      <c r="T4589" s="9"/>
    </row>
    <row r="4590" ht="15.75" customHeight="1">
      <c r="A4590" s="11">
        <f>IFERROR(__xludf.DUMMYFUNCTION("""COMPUTED_VALUE"""),44471.0)</f>
        <v>44471</v>
      </c>
      <c r="B4590" s="9">
        <f>IFERROR(__xludf.DUMMYFUNCTION("""COMPUTED_VALUE"""),1003941.0)</f>
        <v>1003941</v>
      </c>
      <c r="C4590" s="9">
        <f>IFERROR(__xludf.DUMMYFUNCTION("""COMPUTED_VALUE"""),2792.0)</f>
        <v>2792</v>
      </c>
      <c r="D4590" s="9"/>
      <c r="E4590" s="9"/>
      <c r="F4590" s="9">
        <f>IFERROR(__xludf.DUMMYFUNCTION("""COMPUTED_VALUE"""),7.68)</f>
        <v>7.68</v>
      </c>
      <c r="G4590" s="9">
        <f>IFERROR(__xludf.DUMMYFUNCTION("""COMPUTED_VALUE"""),7.68)</f>
        <v>7.68</v>
      </c>
      <c r="H4590" s="9">
        <f>IFERROR(__xludf.DUMMYFUNCTION("""COMPUTED_VALUE"""),1.0)</f>
        <v>1</v>
      </c>
      <c r="I4590" s="9"/>
      <c r="J4590" s="9"/>
      <c r="K4590" s="9"/>
      <c r="L4590" s="9"/>
      <c r="M4590" s="9"/>
      <c r="N4590" s="9"/>
      <c r="O4590" s="9"/>
      <c r="P4590" s="9"/>
      <c r="Q4590" s="9"/>
      <c r="R4590" s="9"/>
      <c r="S4590" s="9"/>
      <c r="T4590" s="9"/>
    </row>
    <row r="4591" ht="15.75" customHeight="1">
      <c r="A4591" s="11">
        <f>IFERROR(__xludf.DUMMYFUNCTION("""COMPUTED_VALUE"""),44471.0)</f>
        <v>44471</v>
      </c>
      <c r="B4591" s="9">
        <f>IFERROR(__xludf.DUMMYFUNCTION("""COMPUTED_VALUE"""),1003941.0)</f>
        <v>1003941</v>
      </c>
      <c r="C4591" s="9">
        <f>IFERROR(__xludf.DUMMYFUNCTION("""COMPUTED_VALUE"""),120135.0)</f>
        <v>120135</v>
      </c>
      <c r="D4591" s="10" t="str">
        <f>IFERROR(__xludf.DUMMYFUNCTION("""COMPUTED_VALUE"""),"Offre Speciale")</f>
        <v>Offre Speciale</v>
      </c>
      <c r="E4591" s="10"/>
      <c r="F4591" s="9">
        <f>IFERROR(__xludf.DUMMYFUNCTION("""COMPUTED_VALUE"""),8.77777777777777)</f>
        <v>8.777777778</v>
      </c>
      <c r="G4591" s="9">
        <f>IFERROR(__xludf.DUMMYFUNCTION("""COMPUTED_VALUE"""),7.9)</f>
        <v>7.9</v>
      </c>
      <c r="H4591" s="9">
        <f>IFERROR(__xludf.DUMMYFUNCTION("""COMPUTED_VALUE"""),1.0)</f>
        <v>1</v>
      </c>
      <c r="I4591" s="9"/>
      <c r="J4591" s="9"/>
      <c r="K4591" s="9"/>
      <c r="L4591" s="9"/>
      <c r="M4591" s="9"/>
      <c r="N4591" s="9"/>
      <c r="O4591" s="9"/>
      <c r="P4591" s="9"/>
      <c r="Q4591" s="9"/>
      <c r="R4591" s="9"/>
      <c r="S4591" s="9"/>
      <c r="T4591" s="9"/>
    </row>
    <row r="4592" ht="15.75" customHeight="1">
      <c r="A4592" s="11">
        <f>IFERROR(__xludf.DUMMYFUNCTION("""COMPUTED_VALUE"""),44471.0)</f>
        <v>44471</v>
      </c>
      <c r="B4592" s="9">
        <f>IFERROR(__xludf.DUMMYFUNCTION("""COMPUTED_VALUE"""),1003941.0)</f>
        <v>1003941</v>
      </c>
      <c r="C4592" s="9">
        <f>IFERROR(__xludf.DUMMYFUNCTION("""COMPUTED_VALUE"""),11408.0)</f>
        <v>11408</v>
      </c>
      <c r="D4592" s="9"/>
      <c r="E4592" s="9"/>
      <c r="F4592" s="9">
        <f>IFERROR(__xludf.DUMMYFUNCTION("""COMPUTED_VALUE"""),15.27)</f>
        <v>15.27</v>
      </c>
      <c r="G4592" s="9">
        <f>IFERROR(__xludf.DUMMYFUNCTION("""COMPUTED_VALUE"""),15.27)</f>
        <v>15.27</v>
      </c>
      <c r="H4592" s="9">
        <f>IFERROR(__xludf.DUMMYFUNCTION("""COMPUTED_VALUE"""),2.0)</f>
        <v>2</v>
      </c>
      <c r="I4592" s="9"/>
      <c r="J4592" s="9"/>
      <c r="K4592" s="9"/>
      <c r="L4592" s="9"/>
      <c r="M4592" s="9"/>
      <c r="N4592" s="9"/>
      <c r="O4592" s="9"/>
      <c r="P4592" s="9"/>
      <c r="Q4592" s="9"/>
      <c r="R4592" s="9"/>
      <c r="S4592" s="9"/>
      <c r="T4592" s="9"/>
    </row>
    <row r="4593" ht="15.75" customHeight="1">
      <c r="A4593" s="11">
        <f>IFERROR(__xludf.DUMMYFUNCTION("""COMPUTED_VALUE"""),44471.0)</f>
        <v>44471</v>
      </c>
      <c r="B4593" s="9">
        <f>IFERROR(__xludf.DUMMYFUNCTION("""COMPUTED_VALUE"""),1003941.0)</f>
        <v>1003941</v>
      </c>
      <c r="C4593" s="9">
        <f>IFERROR(__xludf.DUMMYFUNCTION("""COMPUTED_VALUE"""),11412.0)</f>
        <v>11412</v>
      </c>
      <c r="D4593" s="9"/>
      <c r="E4593" s="9"/>
      <c r="F4593" s="9">
        <f>IFERROR(__xludf.DUMMYFUNCTION("""COMPUTED_VALUE"""),11.08)</f>
        <v>11.08</v>
      </c>
      <c r="G4593" s="9">
        <f>IFERROR(__xludf.DUMMYFUNCTION("""COMPUTED_VALUE"""),11.08)</f>
        <v>11.08</v>
      </c>
      <c r="H4593" s="9">
        <f>IFERROR(__xludf.DUMMYFUNCTION("""COMPUTED_VALUE"""),2.0)</f>
        <v>2</v>
      </c>
      <c r="I4593" s="9"/>
      <c r="J4593" s="9"/>
      <c r="K4593" s="9"/>
      <c r="L4593" s="9"/>
      <c r="M4593" s="9"/>
      <c r="N4593" s="9"/>
      <c r="O4593" s="9"/>
      <c r="P4593" s="9"/>
      <c r="Q4593" s="9"/>
      <c r="R4593" s="9"/>
      <c r="S4593" s="9"/>
      <c r="T4593" s="9"/>
    </row>
    <row r="4594" ht="15.75" customHeight="1">
      <c r="A4594" s="11">
        <f>IFERROR(__xludf.DUMMYFUNCTION("""COMPUTED_VALUE"""),44471.0)</f>
        <v>44471</v>
      </c>
      <c r="B4594" s="9">
        <f>IFERROR(__xludf.DUMMYFUNCTION("""COMPUTED_VALUE"""),1003941.0)</f>
        <v>1003941</v>
      </c>
      <c r="C4594" s="9">
        <f>IFERROR(__xludf.DUMMYFUNCTION("""COMPUTED_VALUE"""),110002.0)</f>
        <v>110002</v>
      </c>
      <c r="D4594" s="9"/>
      <c r="E4594" s="9"/>
      <c r="F4594" s="9">
        <f>IFERROR(__xludf.DUMMYFUNCTION("""COMPUTED_VALUE"""),5.33)</f>
        <v>5.33</v>
      </c>
      <c r="G4594" s="9">
        <f>IFERROR(__xludf.DUMMYFUNCTION("""COMPUTED_VALUE"""),5.33)</f>
        <v>5.33</v>
      </c>
      <c r="H4594" s="9">
        <f>IFERROR(__xludf.DUMMYFUNCTION("""COMPUTED_VALUE"""),2.0)</f>
        <v>2</v>
      </c>
      <c r="I4594" s="9"/>
      <c r="J4594" s="9"/>
      <c r="K4594" s="9"/>
      <c r="L4594" s="9"/>
      <c r="M4594" s="9"/>
      <c r="N4594" s="9"/>
      <c r="O4594" s="9"/>
      <c r="P4594" s="9"/>
      <c r="Q4594" s="9"/>
      <c r="R4594" s="9"/>
      <c r="S4594" s="9"/>
      <c r="T4594" s="9"/>
    </row>
    <row r="4595" ht="15.75" customHeight="1">
      <c r="A4595" s="11">
        <f>IFERROR(__xludf.DUMMYFUNCTION("""COMPUTED_VALUE"""),44471.0)</f>
        <v>44471</v>
      </c>
      <c r="B4595" s="9">
        <f>IFERROR(__xludf.DUMMYFUNCTION("""COMPUTED_VALUE"""),1003941.0)</f>
        <v>1003941</v>
      </c>
      <c r="C4595" s="9">
        <f>IFERROR(__xludf.DUMMYFUNCTION("""COMPUTED_VALUE"""),110000.0)</f>
        <v>110000</v>
      </c>
      <c r="D4595" s="9"/>
      <c r="E4595" s="9"/>
      <c r="F4595" s="9">
        <f>IFERROR(__xludf.DUMMYFUNCTION("""COMPUTED_VALUE"""),5.43)</f>
        <v>5.43</v>
      </c>
      <c r="G4595" s="9">
        <f>IFERROR(__xludf.DUMMYFUNCTION("""COMPUTED_VALUE"""),5.43)</f>
        <v>5.43</v>
      </c>
      <c r="H4595" s="9">
        <f>IFERROR(__xludf.DUMMYFUNCTION("""COMPUTED_VALUE"""),2.0)</f>
        <v>2</v>
      </c>
      <c r="I4595" s="9"/>
      <c r="J4595" s="9"/>
      <c r="K4595" s="9"/>
      <c r="L4595" s="9"/>
      <c r="M4595" s="9"/>
      <c r="N4595" s="9"/>
      <c r="O4595" s="9"/>
      <c r="P4595" s="9"/>
      <c r="Q4595" s="9"/>
      <c r="R4595" s="9"/>
      <c r="S4595" s="9"/>
      <c r="T4595" s="9"/>
    </row>
    <row r="4596" ht="15.75" customHeight="1">
      <c r="A4596" s="11">
        <f>IFERROR(__xludf.DUMMYFUNCTION("""COMPUTED_VALUE"""),44471.0)</f>
        <v>44471</v>
      </c>
      <c r="B4596" s="9">
        <f>IFERROR(__xludf.DUMMYFUNCTION("""COMPUTED_VALUE"""),1003941.0)</f>
        <v>1003941</v>
      </c>
      <c r="C4596" s="9">
        <f>IFERROR(__xludf.DUMMYFUNCTION("""COMPUTED_VALUE"""),120153.0)</f>
        <v>120153</v>
      </c>
      <c r="D4596" s="10" t="str">
        <f>IFERROR(__xludf.DUMMYFUNCTION("""COMPUTED_VALUE"""),"Offre Speciale")</f>
        <v>Offre Speciale</v>
      </c>
      <c r="E4596" s="10"/>
      <c r="F4596" s="9">
        <f>IFERROR(__xludf.DUMMYFUNCTION("""COMPUTED_VALUE"""),9.93333333333333)</f>
        <v>9.933333333</v>
      </c>
      <c r="G4596" s="9">
        <f>IFERROR(__xludf.DUMMYFUNCTION("""COMPUTED_VALUE"""),8.94)</f>
        <v>8.94</v>
      </c>
      <c r="H4596" s="9">
        <f>IFERROR(__xludf.DUMMYFUNCTION("""COMPUTED_VALUE"""),2.0)</f>
        <v>2</v>
      </c>
      <c r="I4596" s="9"/>
      <c r="J4596" s="9"/>
      <c r="K4596" s="9"/>
      <c r="L4596" s="9"/>
      <c r="M4596" s="9"/>
      <c r="N4596" s="9"/>
      <c r="O4596" s="9"/>
      <c r="P4596" s="9"/>
      <c r="Q4596" s="9"/>
      <c r="R4596" s="9"/>
      <c r="S4596" s="9"/>
      <c r="T4596" s="9"/>
    </row>
    <row r="4597" ht="15.75" customHeight="1">
      <c r="A4597" s="11">
        <f>IFERROR(__xludf.DUMMYFUNCTION("""COMPUTED_VALUE"""),44471.0)</f>
        <v>44471</v>
      </c>
      <c r="B4597" s="9">
        <f>IFERROR(__xludf.DUMMYFUNCTION("""COMPUTED_VALUE"""),1003941.0)</f>
        <v>1003941</v>
      </c>
      <c r="C4597" s="9">
        <f>IFERROR(__xludf.DUMMYFUNCTION("""COMPUTED_VALUE"""),110001.0)</f>
        <v>110001</v>
      </c>
      <c r="D4597" s="9"/>
      <c r="E4597" s="9"/>
      <c r="F4597" s="9">
        <f>IFERROR(__xludf.DUMMYFUNCTION("""COMPUTED_VALUE"""),5.24)</f>
        <v>5.24</v>
      </c>
      <c r="G4597" s="9">
        <f>IFERROR(__xludf.DUMMYFUNCTION("""COMPUTED_VALUE"""),5.24)</f>
        <v>5.24</v>
      </c>
      <c r="H4597" s="9">
        <f>IFERROR(__xludf.DUMMYFUNCTION("""COMPUTED_VALUE"""),2.0)</f>
        <v>2</v>
      </c>
      <c r="I4597" s="9"/>
      <c r="J4597" s="9"/>
      <c r="K4597" s="9"/>
      <c r="L4597" s="9"/>
      <c r="M4597" s="9"/>
      <c r="N4597" s="9"/>
      <c r="O4597" s="9"/>
      <c r="P4597" s="9"/>
      <c r="Q4597" s="9"/>
      <c r="R4597" s="9"/>
      <c r="S4597" s="9"/>
      <c r="T4597" s="9"/>
    </row>
    <row r="4598" ht="15.75" customHeight="1">
      <c r="A4598" s="11">
        <f>IFERROR(__xludf.DUMMYFUNCTION("""COMPUTED_VALUE"""),44471.0)</f>
        <v>44471</v>
      </c>
      <c r="B4598" s="9">
        <f>IFERROR(__xludf.DUMMYFUNCTION("""COMPUTED_VALUE"""),1003941.0)</f>
        <v>1003941</v>
      </c>
      <c r="C4598" s="9">
        <f>IFERROR(__xludf.DUMMYFUNCTION("""COMPUTED_VALUE"""),104135.0)</f>
        <v>104135</v>
      </c>
      <c r="D4598" s="9"/>
      <c r="E4598" s="9"/>
      <c r="F4598" s="9">
        <f>IFERROR(__xludf.DUMMYFUNCTION("""COMPUTED_VALUE"""),11.41)</f>
        <v>11.41</v>
      </c>
      <c r="G4598" s="9">
        <f>IFERROR(__xludf.DUMMYFUNCTION("""COMPUTED_VALUE"""),11.41)</f>
        <v>11.41</v>
      </c>
      <c r="H4598" s="9">
        <f>IFERROR(__xludf.DUMMYFUNCTION("""COMPUTED_VALUE"""),3.0)</f>
        <v>3</v>
      </c>
      <c r="I4598" s="9"/>
      <c r="J4598" s="9"/>
      <c r="K4598" s="9"/>
      <c r="L4598" s="9"/>
      <c r="M4598" s="9"/>
      <c r="N4598" s="9"/>
      <c r="O4598" s="9"/>
      <c r="P4598" s="9"/>
      <c r="Q4598" s="9"/>
      <c r="R4598" s="9"/>
      <c r="S4598" s="9"/>
      <c r="T4598" s="9"/>
    </row>
    <row r="4599" ht="15.75" customHeight="1">
      <c r="A4599" s="11">
        <f>IFERROR(__xludf.DUMMYFUNCTION("""COMPUTED_VALUE"""),44471.0)</f>
        <v>44471</v>
      </c>
      <c r="B4599" s="9">
        <f>IFERROR(__xludf.DUMMYFUNCTION("""COMPUTED_VALUE"""),1003941.0)</f>
        <v>1003941</v>
      </c>
      <c r="C4599" s="9">
        <f>IFERROR(__xludf.DUMMYFUNCTION("""COMPUTED_VALUE"""),5519.0)</f>
        <v>5519</v>
      </c>
      <c r="D4599" s="9"/>
      <c r="E4599" s="9"/>
      <c r="F4599" s="9">
        <f>IFERROR(__xludf.DUMMYFUNCTION("""COMPUTED_VALUE"""),11.57)</f>
        <v>11.57</v>
      </c>
      <c r="G4599" s="9">
        <f>IFERROR(__xludf.DUMMYFUNCTION("""COMPUTED_VALUE"""),11.57)</f>
        <v>11.57</v>
      </c>
      <c r="H4599" s="9">
        <f>IFERROR(__xludf.DUMMYFUNCTION("""COMPUTED_VALUE"""),3.0)</f>
        <v>3</v>
      </c>
      <c r="I4599" s="9"/>
      <c r="J4599" s="9"/>
      <c r="K4599" s="9"/>
      <c r="L4599" s="9"/>
      <c r="M4599" s="9"/>
      <c r="N4599" s="9"/>
      <c r="O4599" s="9"/>
      <c r="P4599" s="9"/>
      <c r="Q4599" s="9"/>
      <c r="R4599" s="9"/>
      <c r="S4599" s="9"/>
      <c r="T4599" s="9"/>
    </row>
    <row r="4600" ht="15.75" customHeight="1">
      <c r="A4600" s="11">
        <f>IFERROR(__xludf.DUMMYFUNCTION("""COMPUTED_VALUE"""),44471.0)</f>
        <v>44471</v>
      </c>
      <c r="B4600" s="9">
        <f>IFERROR(__xludf.DUMMYFUNCTION("""COMPUTED_VALUE"""),1003942.0)</f>
        <v>1003942</v>
      </c>
      <c r="C4600" s="9">
        <f>IFERROR(__xludf.DUMMYFUNCTION("""COMPUTED_VALUE"""),111341.0)</f>
        <v>111341</v>
      </c>
      <c r="D4600" s="9"/>
      <c r="E4600" s="9"/>
      <c r="F4600" s="9">
        <f>IFERROR(__xludf.DUMMYFUNCTION("""COMPUTED_VALUE"""),7.89)</f>
        <v>7.89</v>
      </c>
      <c r="G4600" s="9">
        <f>IFERROR(__xludf.DUMMYFUNCTION("""COMPUTED_VALUE"""),7.89)</f>
        <v>7.89</v>
      </c>
      <c r="H4600" s="9">
        <f>IFERROR(__xludf.DUMMYFUNCTION("""COMPUTED_VALUE"""),1.0)</f>
        <v>1</v>
      </c>
      <c r="I4600" s="9"/>
      <c r="J4600" s="9"/>
      <c r="K4600" s="9"/>
      <c r="L4600" s="9"/>
      <c r="M4600" s="9"/>
      <c r="N4600" s="9"/>
      <c r="O4600" s="9"/>
      <c r="P4600" s="9"/>
      <c r="Q4600" s="9"/>
      <c r="R4600" s="9"/>
      <c r="S4600" s="9"/>
      <c r="T4600" s="9"/>
    </row>
    <row r="4601" ht="15.75" customHeight="1">
      <c r="A4601" s="11">
        <f>IFERROR(__xludf.DUMMYFUNCTION("""COMPUTED_VALUE"""),44471.0)</f>
        <v>44471</v>
      </c>
      <c r="B4601" s="9">
        <f>IFERROR(__xludf.DUMMYFUNCTION("""COMPUTED_VALUE"""),1003942.0)</f>
        <v>1003942</v>
      </c>
      <c r="C4601" s="9">
        <f>IFERROR(__xludf.DUMMYFUNCTION("""COMPUTED_VALUE"""),111339.0)</f>
        <v>111339</v>
      </c>
      <c r="D4601" s="9"/>
      <c r="E4601" s="9"/>
      <c r="F4601" s="9">
        <f>IFERROR(__xludf.DUMMYFUNCTION("""COMPUTED_VALUE"""),7.89)</f>
        <v>7.89</v>
      </c>
      <c r="G4601" s="9">
        <f>IFERROR(__xludf.DUMMYFUNCTION("""COMPUTED_VALUE"""),7.89)</f>
        <v>7.89</v>
      </c>
      <c r="H4601" s="9">
        <f>IFERROR(__xludf.DUMMYFUNCTION("""COMPUTED_VALUE"""),1.0)</f>
        <v>1</v>
      </c>
      <c r="I4601" s="9"/>
      <c r="J4601" s="9"/>
      <c r="K4601" s="9"/>
      <c r="L4601" s="9"/>
      <c r="M4601" s="9"/>
      <c r="N4601" s="9"/>
      <c r="O4601" s="9"/>
      <c r="P4601" s="9"/>
      <c r="Q4601" s="9"/>
      <c r="R4601" s="9"/>
      <c r="S4601" s="9"/>
      <c r="T4601" s="9"/>
    </row>
    <row r="4602" ht="15.75" customHeight="1">
      <c r="A4602" s="11">
        <f>IFERROR(__xludf.DUMMYFUNCTION("""COMPUTED_VALUE"""),44471.0)</f>
        <v>44471</v>
      </c>
      <c r="B4602" s="9">
        <f>IFERROR(__xludf.DUMMYFUNCTION("""COMPUTED_VALUE"""),1003944.0)</f>
        <v>1003944</v>
      </c>
      <c r="C4602" s="9">
        <f>IFERROR(__xludf.DUMMYFUNCTION("""COMPUTED_VALUE"""),43810.0)</f>
        <v>43810</v>
      </c>
      <c r="D4602" s="10" t="str">
        <f>IFERROR(__xludf.DUMMYFUNCTION("""COMPUTED_VALUE"""),"Vive le bio")</f>
        <v>Vive le bio</v>
      </c>
      <c r="E4602" s="10" t="str">
        <f>IFERROR(__xludf.DUMMYFUNCTION("""COMPUTED_VALUE"""),"GWZPC2")</f>
        <v>GWZPC2</v>
      </c>
      <c r="F4602" s="10">
        <f>IFERROR(__xludf.DUMMYFUNCTION("""COMPUTED_VALUE"""),4.92222222222222)</f>
        <v>4.922222222</v>
      </c>
      <c r="G4602" s="9">
        <f>IFERROR(__xludf.DUMMYFUNCTION("""COMPUTED_VALUE"""),4.43)</f>
        <v>4.43</v>
      </c>
      <c r="H4602" s="9">
        <f>IFERROR(__xludf.DUMMYFUNCTION("""COMPUTED_VALUE"""),1.0)</f>
        <v>1</v>
      </c>
      <c r="I4602" s="9"/>
      <c r="J4602" s="9"/>
      <c r="K4602" s="9"/>
      <c r="L4602" s="9"/>
      <c r="M4602" s="9"/>
      <c r="N4602" s="9"/>
      <c r="O4602" s="9"/>
      <c r="P4602" s="9"/>
      <c r="Q4602" s="9"/>
      <c r="R4602" s="9"/>
      <c r="S4602" s="9"/>
      <c r="T4602" s="9"/>
    </row>
    <row r="4603" ht="15.75" customHeight="1">
      <c r="A4603" s="11">
        <f>IFERROR(__xludf.DUMMYFUNCTION("""COMPUTED_VALUE"""),44471.0)</f>
        <v>44471</v>
      </c>
      <c r="B4603" s="9">
        <f>IFERROR(__xludf.DUMMYFUNCTION("""COMPUTED_VALUE"""),1003944.0)</f>
        <v>1003944</v>
      </c>
      <c r="C4603" s="9">
        <f>IFERROR(__xludf.DUMMYFUNCTION("""COMPUTED_VALUE"""),86771.0)</f>
        <v>86771</v>
      </c>
      <c r="D4603" s="9"/>
      <c r="E4603" s="10" t="str">
        <f>IFERROR(__xludf.DUMMYFUNCTION("""COMPUTED_VALUE"""),"GWZPC2")</f>
        <v>GWZPC2</v>
      </c>
      <c r="F4603" s="10">
        <f>IFERROR(__xludf.DUMMYFUNCTION("""COMPUTED_VALUE"""),27.87)</f>
        <v>27.87</v>
      </c>
      <c r="G4603" s="9">
        <f>IFERROR(__xludf.DUMMYFUNCTION("""COMPUTED_VALUE"""),27.87)</f>
        <v>27.87</v>
      </c>
      <c r="H4603" s="9">
        <f>IFERROR(__xludf.DUMMYFUNCTION("""COMPUTED_VALUE"""),1.0)</f>
        <v>1</v>
      </c>
      <c r="I4603" s="9"/>
      <c r="J4603" s="9"/>
      <c r="K4603" s="9"/>
      <c r="L4603" s="9"/>
      <c r="M4603" s="9"/>
      <c r="N4603" s="9"/>
      <c r="O4603" s="9"/>
      <c r="P4603" s="9"/>
      <c r="Q4603" s="9"/>
      <c r="R4603" s="9"/>
      <c r="S4603" s="9"/>
      <c r="T4603" s="9"/>
    </row>
    <row r="4604" ht="15.75" customHeight="1">
      <c r="A4604" s="11">
        <f>IFERROR(__xludf.DUMMYFUNCTION("""COMPUTED_VALUE"""),44471.0)</f>
        <v>44471</v>
      </c>
      <c r="B4604" s="9">
        <f>IFERROR(__xludf.DUMMYFUNCTION("""COMPUTED_VALUE"""),1003944.0)</f>
        <v>1003944</v>
      </c>
      <c r="C4604" s="9">
        <f>IFERROR(__xludf.DUMMYFUNCTION("""COMPUTED_VALUE"""),101380.0)</f>
        <v>101380</v>
      </c>
      <c r="D4604" s="9"/>
      <c r="E4604" s="10" t="str">
        <f>IFERROR(__xludf.DUMMYFUNCTION("""COMPUTED_VALUE"""),"GWZPC2")</f>
        <v>GWZPC2</v>
      </c>
      <c r="F4604" s="10">
        <f>IFERROR(__xludf.DUMMYFUNCTION("""COMPUTED_VALUE"""),1.64)</f>
        <v>1.64</v>
      </c>
      <c r="G4604" s="9">
        <f>IFERROR(__xludf.DUMMYFUNCTION("""COMPUTED_VALUE"""),1.64)</f>
        <v>1.64</v>
      </c>
      <c r="H4604" s="9">
        <f>IFERROR(__xludf.DUMMYFUNCTION("""COMPUTED_VALUE"""),1.0)</f>
        <v>1</v>
      </c>
      <c r="I4604" s="9"/>
      <c r="J4604" s="9"/>
      <c r="K4604" s="9"/>
      <c r="L4604" s="9"/>
      <c r="M4604" s="9"/>
      <c r="N4604" s="9"/>
      <c r="O4604" s="9"/>
      <c r="P4604" s="9"/>
      <c r="Q4604" s="9"/>
      <c r="R4604" s="9"/>
      <c r="S4604" s="9"/>
      <c r="T4604" s="9"/>
    </row>
    <row r="4605" ht="15.75" customHeight="1">
      <c r="A4605" s="11">
        <f>IFERROR(__xludf.DUMMYFUNCTION("""COMPUTED_VALUE"""),44471.0)</f>
        <v>44471</v>
      </c>
      <c r="B4605" s="9">
        <f>IFERROR(__xludf.DUMMYFUNCTION("""COMPUTED_VALUE"""),1003944.0)</f>
        <v>1003944</v>
      </c>
      <c r="C4605" s="9">
        <f>IFERROR(__xludf.DUMMYFUNCTION("""COMPUTED_VALUE"""),119239.0)</f>
        <v>119239</v>
      </c>
      <c r="D4605" s="9"/>
      <c r="E4605" s="10" t="str">
        <f>IFERROR(__xludf.DUMMYFUNCTION("""COMPUTED_VALUE"""),"GWZPC2")</f>
        <v>GWZPC2</v>
      </c>
      <c r="F4605" s="10">
        <f>IFERROR(__xludf.DUMMYFUNCTION("""COMPUTED_VALUE"""),2.66)</f>
        <v>2.66</v>
      </c>
      <c r="G4605" s="9">
        <f>IFERROR(__xludf.DUMMYFUNCTION("""COMPUTED_VALUE"""),2.66)</f>
        <v>2.66</v>
      </c>
      <c r="H4605" s="9">
        <f>IFERROR(__xludf.DUMMYFUNCTION("""COMPUTED_VALUE"""),1.0)</f>
        <v>1</v>
      </c>
      <c r="I4605" s="9"/>
      <c r="J4605" s="9"/>
      <c r="K4605" s="9"/>
      <c r="L4605" s="9"/>
      <c r="M4605" s="9"/>
      <c r="N4605" s="9"/>
      <c r="O4605" s="9"/>
      <c r="P4605" s="9"/>
      <c r="Q4605" s="9"/>
      <c r="R4605" s="9"/>
      <c r="S4605" s="9"/>
      <c r="T4605" s="9"/>
    </row>
    <row r="4606" ht="15.75" customHeight="1">
      <c r="A4606" s="11">
        <f>IFERROR(__xludf.DUMMYFUNCTION("""COMPUTED_VALUE"""),44471.0)</f>
        <v>44471</v>
      </c>
      <c r="B4606" s="9">
        <f>IFERROR(__xludf.DUMMYFUNCTION("""COMPUTED_VALUE"""),1003944.0)</f>
        <v>1003944</v>
      </c>
      <c r="C4606" s="9">
        <f>IFERROR(__xludf.DUMMYFUNCTION("""COMPUTED_VALUE"""),94930.0)</f>
        <v>94930</v>
      </c>
      <c r="D4606" s="9"/>
      <c r="E4606" s="10" t="str">
        <f>IFERROR(__xludf.DUMMYFUNCTION("""COMPUTED_VALUE"""),"GWZPC2")</f>
        <v>GWZPC2</v>
      </c>
      <c r="F4606" s="10">
        <f>IFERROR(__xludf.DUMMYFUNCTION("""COMPUTED_VALUE"""),14.7)</f>
        <v>14.7</v>
      </c>
      <c r="G4606" s="9">
        <f>IFERROR(__xludf.DUMMYFUNCTION("""COMPUTED_VALUE"""),14.7)</f>
        <v>14.7</v>
      </c>
      <c r="H4606" s="9">
        <f>IFERROR(__xludf.DUMMYFUNCTION("""COMPUTED_VALUE"""),1.0)</f>
        <v>1</v>
      </c>
      <c r="I4606" s="9"/>
      <c r="J4606" s="9"/>
      <c r="K4606" s="9"/>
      <c r="L4606" s="9"/>
      <c r="M4606" s="9"/>
      <c r="N4606" s="9"/>
      <c r="O4606" s="9"/>
      <c r="P4606" s="9"/>
      <c r="Q4606" s="9"/>
      <c r="R4606" s="9"/>
      <c r="S4606" s="9"/>
      <c r="T4606" s="9"/>
    </row>
    <row r="4607" ht="15.75" customHeight="1">
      <c r="A4607" s="11">
        <f>IFERROR(__xludf.DUMMYFUNCTION("""COMPUTED_VALUE"""),44471.0)</f>
        <v>44471</v>
      </c>
      <c r="B4607" s="9">
        <f>IFERROR(__xludf.DUMMYFUNCTION("""COMPUTED_VALUE"""),1003944.0)</f>
        <v>1003944</v>
      </c>
      <c r="C4607" s="9">
        <f>IFERROR(__xludf.DUMMYFUNCTION("""COMPUTED_VALUE"""),5722.0)</f>
        <v>5722</v>
      </c>
      <c r="D4607" s="9"/>
      <c r="E4607" s="10" t="str">
        <f>IFERROR(__xludf.DUMMYFUNCTION("""COMPUTED_VALUE"""),"GWZPC2")</f>
        <v>GWZPC2</v>
      </c>
      <c r="F4607" s="10">
        <f>IFERROR(__xludf.DUMMYFUNCTION("""COMPUTED_VALUE"""),4.61)</f>
        <v>4.61</v>
      </c>
      <c r="G4607" s="9">
        <f>IFERROR(__xludf.DUMMYFUNCTION("""COMPUTED_VALUE"""),4.61)</f>
        <v>4.61</v>
      </c>
      <c r="H4607" s="9">
        <f>IFERROR(__xludf.DUMMYFUNCTION("""COMPUTED_VALUE"""),1.0)</f>
        <v>1</v>
      </c>
      <c r="I4607" s="9"/>
      <c r="J4607" s="9"/>
      <c r="K4607" s="9"/>
      <c r="L4607" s="9"/>
      <c r="M4607" s="9"/>
      <c r="N4607" s="9"/>
      <c r="O4607" s="9"/>
      <c r="P4607" s="9"/>
      <c r="Q4607" s="9"/>
      <c r="R4607" s="9"/>
      <c r="S4607" s="9"/>
      <c r="T4607" s="9"/>
    </row>
    <row r="4608" ht="15.75" customHeight="1">
      <c r="A4608" s="11">
        <f>IFERROR(__xludf.DUMMYFUNCTION("""COMPUTED_VALUE"""),44471.0)</f>
        <v>44471</v>
      </c>
      <c r="B4608" s="9">
        <f>IFERROR(__xludf.DUMMYFUNCTION("""COMPUTED_VALUE"""),1003944.0)</f>
        <v>1003944</v>
      </c>
      <c r="C4608" s="9">
        <f>IFERROR(__xludf.DUMMYFUNCTION("""COMPUTED_VALUE"""),104220.0)</f>
        <v>104220</v>
      </c>
      <c r="D4608" s="9"/>
      <c r="E4608" s="10" t="str">
        <f>IFERROR(__xludf.DUMMYFUNCTION("""COMPUTED_VALUE"""),"GWZPC2")</f>
        <v>GWZPC2</v>
      </c>
      <c r="F4608" s="10">
        <f>IFERROR(__xludf.DUMMYFUNCTION("""COMPUTED_VALUE"""),10.74)</f>
        <v>10.74</v>
      </c>
      <c r="G4608" s="9">
        <f>IFERROR(__xludf.DUMMYFUNCTION("""COMPUTED_VALUE"""),10.74)</f>
        <v>10.74</v>
      </c>
      <c r="H4608" s="9">
        <f>IFERROR(__xludf.DUMMYFUNCTION("""COMPUTED_VALUE"""),1.0)</f>
        <v>1</v>
      </c>
      <c r="I4608" s="9"/>
      <c r="J4608" s="9"/>
      <c r="K4608" s="9"/>
      <c r="L4608" s="9"/>
      <c r="M4608" s="9"/>
      <c r="N4608" s="9"/>
      <c r="O4608" s="9"/>
      <c r="P4608" s="9"/>
      <c r="Q4608" s="9"/>
      <c r="R4608" s="9"/>
      <c r="S4608" s="9"/>
      <c r="T4608" s="9"/>
    </row>
    <row r="4609" ht="15.75" customHeight="1">
      <c r="A4609" s="11">
        <f>IFERROR(__xludf.DUMMYFUNCTION("""COMPUTED_VALUE"""),44471.0)</f>
        <v>44471</v>
      </c>
      <c r="B4609" s="9">
        <f>IFERROR(__xludf.DUMMYFUNCTION("""COMPUTED_VALUE"""),1003944.0)</f>
        <v>1003944</v>
      </c>
      <c r="C4609" s="9">
        <f>IFERROR(__xludf.DUMMYFUNCTION("""COMPUTED_VALUE"""),81109.0)</f>
        <v>81109</v>
      </c>
      <c r="D4609" s="9"/>
      <c r="E4609" s="10" t="str">
        <f>IFERROR(__xludf.DUMMYFUNCTION("""COMPUTED_VALUE"""),"GWZPC2")</f>
        <v>GWZPC2</v>
      </c>
      <c r="F4609" s="10">
        <f>IFERROR(__xludf.DUMMYFUNCTION("""COMPUTED_VALUE"""),2.45)</f>
        <v>2.45</v>
      </c>
      <c r="G4609" s="9">
        <f>IFERROR(__xludf.DUMMYFUNCTION("""COMPUTED_VALUE"""),2.45)</f>
        <v>2.45</v>
      </c>
      <c r="H4609" s="9">
        <f>IFERROR(__xludf.DUMMYFUNCTION("""COMPUTED_VALUE"""),1.0)</f>
        <v>1</v>
      </c>
      <c r="I4609" s="9"/>
      <c r="J4609" s="9"/>
      <c r="K4609" s="9"/>
      <c r="L4609" s="9"/>
      <c r="M4609" s="9"/>
      <c r="N4609" s="9"/>
      <c r="O4609" s="9"/>
      <c r="P4609" s="9"/>
      <c r="Q4609" s="9"/>
      <c r="R4609" s="9"/>
      <c r="S4609" s="9"/>
      <c r="T4609" s="9"/>
    </row>
    <row r="4610" ht="15.75" customHeight="1">
      <c r="A4610" s="11">
        <f>IFERROR(__xludf.DUMMYFUNCTION("""COMPUTED_VALUE"""),44471.0)</f>
        <v>44471</v>
      </c>
      <c r="B4610" s="9">
        <f>IFERROR(__xludf.DUMMYFUNCTION("""COMPUTED_VALUE"""),1003944.0)</f>
        <v>1003944</v>
      </c>
      <c r="C4610" s="9">
        <f>IFERROR(__xludf.DUMMYFUNCTION("""COMPUTED_VALUE"""),104427.0)</f>
        <v>104427</v>
      </c>
      <c r="D4610" s="9"/>
      <c r="E4610" s="10" t="str">
        <f>IFERROR(__xludf.DUMMYFUNCTION("""COMPUTED_VALUE"""),"GWZPC2")</f>
        <v>GWZPC2</v>
      </c>
      <c r="F4610" s="10">
        <f>IFERROR(__xludf.DUMMYFUNCTION("""COMPUTED_VALUE"""),6.15)</f>
        <v>6.15</v>
      </c>
      <c r="G4610" s="9">
        <f>IFERROR(__xludf.DUMMYFUNCTION("""COMPUTED_VALUE"""),6.15)</f>
        <v>6.15</v>
      </c>
      <c r="H4610" s="9">
        <f>IFERROR(__xludf.DUMMYFUNCTION("""COMPUTED_VALUE"""),1.0)</f>
        <v>1</v>
      </c>
      <c r="I4610" s="9"/>
      <c r="J4610" s="9"/>
      <c r="K4610" s="9"/>
      <c r="L4610" s="9"/>
      <c r="M4610" s="9"/>
      <c r="N4610" s="9"/>
      <c r="O4610" s="9"/>
      <c r="P4610" s="9"/>
      <c r="Q4610" s="9"/>
      <c r="R4610" s="9"/>
      <c r="S4610" s="9"/>
      <c r="T4610" s="9"/>
    </row>
    <row r="4611" ht="15.75" customHeight="1">
      <c r="A4611" s="11">
        <f>IFERROR(__xludf.DUMMYFUNCTION("""COMPUTED_VALUE"""),44471.0)</f>
        <v>44471</v>
      </c>
      <c r="B4611" s="9">
        <f>IFERROR(__xludf.DUMMYFUNCTION("""COMPUTED_VALUE"""),1003944.0)</f>
        <v>1003944</v>
      </c>
      <c r="C4611" s="9">
        <f>IFERROR(__xludf.DUMMYFUNCTION("""COMPUTED_VALUE"""),104168.0)</f>
        <v>104168</v>
      </c>
      <c r="D4611" s="10" t="str">
        <f>IFERROR(__xludf.DUMMYFUNCTION("""COMPUTED_VALUE"""),"Offre Speciale")</f>
        <v>Offre Speciale</v>
      </c>
      <c r="E4611" s="10" t="str">
        <f>IFERROR(__xludf.DUMMYFUNCTION("""COMPUTED_VALUE"""),"GWZPC2")</f>
        <v>GWZPC2</v>
      </c>
      <c r="F4611" s="10">
        <f>IFERROR(__xludf.DUMMYFUNCTION("""COMPUTED_VALUE"""),7.90243902439024)</f>
        <v>7.902439024</v>
      </c>
      <c r="G4611" s="9">
        <f>IFERROR(__xludf.DUMMYFUNCTION("""COMPUTED_VALUE"""),6.48)</f>
        <v>6.48</v>
      </c>
      <c r="H4611" s="9">
        <f>IFERROR(__xludf.DUMMYFUNCTION("""COMPUTED_VALUE"""),1.0)</f>
        <v>1</v>
      </c>
      <c r="I4611" s="9"/>
      <c r="J4611" s="9"/>
      <c r="K4611" s="9"/>
      <c r="L4611" s="9"/>
      <c r="M4611" s="9"/>
      <c r="N4611" s="9"/>
      <c r="O4611" s="9"/>
      <c r="P4611" s="9"/>
      <c r="Q4611" s="9"/>
      <c r="R4611" s="9"/>
      <c r="S4611" s="9"/>
      <c r="T4611" s="9"/>
    </row>
    <row r="4612" ht="15.75" customHeight="1">
      <c r="A4612" s="11">
        <f>IFERROR(__xludf.DUMMYFUNCTION("""COMPUTED_VALUE"""),44471.0)</f>
        <v>44471</v>
      </c>
      <c r="B4612" s="9">
        <f>IFERROR(__xludf.DUMMYFUNCTION("""COMPUTED_VALUE"""),1003944.0)</f>
        <v>1003944</v>
      </c>
      <c r="C4612" s="9">
        <f>IFERROR(__xludf.DUMMYFUNCTION("""COMPUTED_VALUE"""),70560.0)</f>
        <v>70560</v>
      </c>
      <c r="D4612" s="9"/>
      <c r="E4612" s="10" t="str">
        <f>IFERROR(__xludf.DUMMYFUNCTION("""COMPUTED_VALUE"""),"GWZPC2")</f>
        <v>GWZPC2</v>
      </c>
      <c r="F4612" s="10">
        <f>IFERROR(__xludf.DUMMYFUNCTION("""COMPUTED_VALUE"""),8.73)</f>
        <v>8.73</v>
      </c>
      <c r="G4612" s="9">
        <f>IFERROR(__xludf.DUMMYFUNCTION("""COMPUTED_VALUE"""),8.73)</f>
        <v>8.73</v>
      </c>
      <c r="H4612" s="9">
        <f>IFERROR(__xludf.DUMMYFUNCTION("""COMPUTED_VALUE"""),1.0)</f>
        <v>1</v>
      </c>
      <c r="I4612" s="9"/>
      <c r="J4612" s="9"/>
      <c r="K4612" s="9"/>
      <c r="L4612" s="9"/>
      <c r="M4612" s="9"/>
      <c r="N4612" s="9"/>
      <c r="O4612" s="9"/>
      <c r="P4612" s="9"/>
      <c r="Q4612" s="9"/>
      <c r="R4612" s="9"/>
      <c r="S4612" s="9"/>
      <c r="T4612" s="9"/>
    </row>
    <row r="4613" ht="15.75" customHeight="1">
      <c r="A4613" s="11">
        <f>IFERROR(__xludf.DUMMYFUNCTION("""COMPUTED_VALUE"""),44471.0)</f>
        <v>44471</v>
      </c>
      <c r="B4613" s="9">
        <f>IFERROR(__xludf.DUMMYFUNCTION("""COMPUTED_VALUE"""),1003944.0)</f>
        <v>1003944</v>
      </c>
      <c r="C4613" s="9">
        <f>IFERROR(__xludf.DUMMYFUNCTION("""COMPUTED_VALUE"""),76661.0)</f>
        <v>76661</v>
      </c>
      <c r="D4613" s="9"/>
      <c r="E4613" s="10" t="str">
        <f>IFERROR(__xludf.DUMMYFUNCTION("""COMPUTED_VALUE"""),"GWZPC2")</f>
        <v>GWZPC2</v>
      </c>
      <c r="F4613" s="10">
        <f>IFERROR(__xludf.DUMMYFUNCTION("""COMPUTED_VALUE"""),2.37)</f>
        <v>2.37</v>
      </c>
      <c r="G4613" s="9">
        <f>IFERROR(__xludf.DUMMYFUNCTION("""COMPUTED_VALUE"""),2.37)</f>
        <v>2.37</v>
      </c>
      <c r="H4613" s="9">
        <f>IFERROR(__xludf.DUMMYFUNCTION("""COMPUTED_VALUE"""),1.0)</f>
        <v>1</v>
      </c>
      <c r="I4613" s="9"/>
      <c r="J4613" s="9"/>
      <c r="K4613" s="9"/>
      <c r="L4613" s="9"/>
      <c r="M4613" s="9"/>
      <c r="N4613" s="9"/>
      <c r="O4613" s="9"/>
      <c r="P4613" s="9"/>
      <c r="Q4613" s="9"/>
      <c r="R4613" s="9"/>
      <c r="S4613" s="9"/>
      <c r="T4613" s="9"/>
    </row>
    <row r="4614" ht="15.75" customHeight="1">
      <c r="A4614" s="11">
        <f>IFERROR(__xludf.DUMMYFUNCTION("""COMPUTED_VALUE"""),44471.0)</f>
        <v>44471</v>
      </c>
      <c r="B4614" s="9">
        <f>IFERROR(__xludf.DUMMYFUNCTION("""COMPUTED_VALUE"""),1003945.0)</f>
        <v>1003945</v>
      </c>
      <c r="C4614" s="9">
        <f>IFERROR(__xludf.DUMMYFUNCTION("""COMPUTED_VALUE"""),113946.0)</f>
        <v>113946</v>
      </c>
      <c r="D4614" s="10" t="str">
        <f>IFERROR(__xludf.DUMMYFUNCTION("""COMPUTED_VALUE"""),"Offre speciale")</f>
        <v>Offre speciale</v>
      </c>
      <c r="E4614" s="10"/>
      <c r="F4614" s="9">
        <f>IFERROR(__xludf.DUMMYFUNCTION("""COMPUTED_VALUE"""),3.17647058823529)</f>
        <v>3.176470588</v>
      </c>
      <c r="G4614" s="9">
        <f>IFERROR(__xludf.DUMMYFUNCTION("""COMPUTED_VALUE"""),2.7)</f>
        <v>2.7</v>
      </c>
      <c r="H4614" s="9">
        <f>IFERROR(__xludf.DUMMYFUNCTION("""COMPUTED_VALUE"""),1.0)</f>
        <v>1</v>
      </c>
      <c r="I4614" s="9"/>
      <c r="J4614" s="9"/>
      <c r="K4614" s="9"/>
      <c r="L4614" s="9"/>
      <c r="M4614" s="9"/>
      <c r="N4614" s="9"/>
      <c r="O4614" s="9"/>
      <c r="P4614" s="9"/>
      <c r="Q4614" s="9"/>
      <c r="R4614" s="9"/>
      <c r="S4614" s="9"/>
      <c r="T4614" s="9"/>
    </row>
    <row r="4615" ht="15.75" customHeight="1">
      <c r="A4615" s="11">
        <f>IFERROR(__xludf.DUMMYFUNCTION("""COMPUTED_VALUE"""),44471.0)</f>
        <v>44471</v>
      </c>
      <c r="B4615" s="9">
        <f>IFERROR(__xludf.DUMMYFUNCTION("""COMPUTED_VALUE"""),1003945.0)</f>
        <v>1003945</v>
      </c>
      <c r="C4615" s="9">
        <f>IFERROR(__xludf.DUMMYFUNCTION("""COMPUTED_VALUE"""),76813.0)</f>
        <v>76813</v>
      </c>
      <c r="D4615" s="10" t="str">
        <f>IFERROR(__xludf.DUMMYFUNCTION("""COMPUTED_VALUE"""),"Offre speciale")</f>
        <v>Offre speciale</v>
      </c>
      <c r="E4615" s="10"/>
      <c r="F4615" s="9">
        <f>IFERROR(__xludf.DUMMYFUNCTION("""COMPUTED_VALUE"""),3.07058823529411)</f>
        <v>3.070588235</v>
      </c>
      <c r="G4615" s="9">
        <f>IFERROR(__xludf.DUMMYFUNCTION("""COMPUTED_VALUE"""),2.61)</f>
        <v>2.61</v>
      </c>
      <c r="H4615" s="9">
        <f>IFERROR(__xludf.DUMMYFUNCTION("""COMPUTED_VALUE"""),1.0)</f>
        <v>1</v>
      </c>
      <c r="I4615" s="9"/>
      <c r="J4615" s="9"/>
      <c r="K4615" s="9"/>
      <c r="L4615" s="9"/>
      <c r="M4615" s="9"/>
      <c r="N4615" s="9"/>
      <c r="O4615" s="9"/>
      <c r="P4615" s="9"/>
      <c r="Q4615" s="9"/>
      <c r="R4615" s="9"/>
      <c r="S4615" s="9"/>
      <c r="T4615" s="9"/>
    </row>
    <row r="4616" ht="15.75" customHeight="1">
      <c r="A4616" s="11">
        <f>IFERROR(__xludf.DUMMYFUNCTION("""COMPUTED_VALUE"""),44471.0)</f>
        <v>44471</v>
      </c>
      <c r="B4616" s="9">
        <f>IFERROR(__xludf.DUMMYFUNCTION("""COMPUTED_VALUE"""),1003945.0)</f>
        <v>1003945</v>
      </c>
      <c r="C4616" s="9">
        <f>IFERROR(__xludf.DUMMYFUNCTION("""COMPUTED_VALUE"""),113942.0)</f>
        <v>113942</v>
      </c>
      <c r="D4616" s="10" t="str">
        <f>IFERROR(__xludf.DUMMYFUNCTION("""COMPUTED_VALUE"""),"Offre speciale")</f>
        <v>Offre speciale</v>
      </c>
      <c r="E4616" s="10"/>
      <c r="F4616" s="9">
        <f>IFERROR(__xludf.DUMMYFUNCTION("""COMPUTED_VALUE"""),3.09411764705882)</f>
        <v>3.094117647</v>
      </c>
      <c r="G4616" s="9">
        <f>IFERROR(__xludf.DUMMYFUNCTION("""COMPUTED_VALUE"""),2.63)</f>
        <v>2.63</v>
      </c>
      <c r="H4616" s="9">
        <f>IFERROR(__xludf.DUMMYFUNCTION("""COMPUTED_VALUE"""),1.0)</f>
        <v>1</v>
      </c>
      <c r="I4616" s="9"/>
      <c r="J4616" s="9"/>
      <c r="K4616" s="9"/>
      <c r="L4616" s="9"/>
      <c r="M4616" s="9"/>
      <c r="N4616" s="9"/>
      <c r="O4616" s="9"/>
      <c r="P4616" s="9"/>
      <c r="Q4616" s="9"/>
      <c r="R4616" s="9"/>
      <c r="S4616" s="9"/>
      <c r="T4616" s="9"/>
    </row>
    <row r="4617" ht="15.75" customHeight="1">
      <c r="A4617" s="11">
        <f>IFERROR(__xludf.DUMMYFUNCTION("""COMPUTED_VALUE"""),44471.0)</f>
        <v>44471</v>
      </c>
      <c r="B4617" s="9">
        <f>IFERROR(__xludf.DUMMYFUNCTION("""COMPUTED_VALUE"""),1003945.0)</f>
        <v>1003945</v>
      </c>
      <c r="C4617" s="9">
        <f>IFERROR(__xludf.DUMMYFUNCTION("""COMPUTED_VALUE"""),68867.0)</f>
        <v>68867</v>
      </c>
      <c r="D4617" s="9"/>
      <c r="E4617" s="9"/>
      <c r="F4617" s="9">
        <f>IFERROR(__xludf.DUMMYFUNCTION("""COMPUTED_VALUE"""),2.61)</f>
        <v>2.61</v>
      </c>
      <c r="G4617" s="9">
        <f>IFERROR(__xludf.DUMMYFUNCTION("""COMPUTED_VALUE"""),2.61)</f>
        <v>2.61</v>
      </c>
      <c r="H4617" s="9">
        <f>IFERROR(__xludf.DUMMYFUNCTION("""COMPUTED_VALUE"""),1.0)</f>
        <v>1</v>
      </c>
      <c r="I4617" s="9"/>
      <c r="J4617" s="9"/>
      <c r="K4617" s="9"/>
      <c r="L4617" s="9"/>
      <c r="M4617" s="9"/>
      <c r="N4617" s="9"/>
      <c r="O4617" s="9"/>
      <c r="P4617" s="9"/>
      <c r="Q4617" s="9"/>
      <c r="R4617" s="9"/>
      <c r="S4617" s="9"/>
      <c r="T4617" s="9"/>
    </row>
    <row r="4618" ht="15.75" customHeight="1">
      <c r="A4618" s="11">
        <f>IFERROR(__xludf.DUMMYFUNCTION("""COMPUTED_VALUE"""),44471.0)</f>
        <v>44471</v>
      </c>
      <c r="B4618" s="9">
        <f>IFERROR(__xludf.DUMMYFUNCTION("""COMPUTED_VALUE"""),1003945.0)</f>
        <v>1003945</v>
      </c>
      <c r="C4618" s="9">
        <f>IFERROR(__xludf.DUMMYFUNCTION("""COMPUTED_VALUE"""),68866.0)</f>
        <v>68866</v>
      </c>
      <c r="D4618" s="10" t="str">
        <f>IFERROR(__xludf.DUMMYFUNCTION("""COMPUTED_VALUE"""),"Offre speciale")</f>
        <v>Offre speciale</v>
      </c>
      <c r="E4618" s="10"/>
      <c r="F4618" s="9">
        <f>IFERROR(__xludf.DUMMYFUNCTION("""COMPUTED_VALUE"""),2.98823529411764)</f>
        <v>2.988235294</v>
      </c>
      <c r="G4618" s="9">
        <f>IFERROR(__xludf.DUMMYFUNCTION("""COMPUTED_VALUE"""),2.54)</f>
        <v>2.54</v>
      </c>
      <c r="H4618" s="9">
        <f>IFERROR(__xludf.DUMMYFUNCTION("""COMPUTED_VALUE"""),1.0)</f>
        <v>1</v>
      </c>
      <c r="I4618" s="9"/>
      <c r="J4618" s="9"/>
      <c r="K4618" s="9"/>
      <c r="L4618" s="9"/>
      <c r="M4618" s="9"/>
      <c r="N4618" s="9"/>
      <c r="O4618" s="9"/>
      <c r="P4618" s="9"/>
      <c r="Q4618" s="9"/>
      <c r="R4618" s="9"/>
      <c r="S4618" s="9"/>
      <c r="T4618" s="9"/>
    </row>
    <row r="4619" ht="15.75" customHeight="1">
      <c r="A4619" s="11">
        <f>IFERROR(__xludf.DUMMYFUNCTION("""COMPUTED_VALUE"""),44471.0)</f>
        <v>44471</v>
      </c>
      <c r="B4619" s="9">
        <f>IFERROR(__xludf.DUMMYFUNCTION("""COMPUTED_VALUE"""),1003945.0)</f>
        <v>1003945</v>
      </c>
      <c r="C4619" s="9">
        <f>IFERROR(__xludf.DUMMYFUNCTION("""COMPUTED_VALUE"""),113954.0)</f>
        <v>113954</v>
      </c>
      <c r="D4619" s="10" t="str">
        <f>IFERROR(__xludf.DUMMYFUNCTION("""COMPUTED_VALUE"""),"Offre speciale")</f>
        <v>Offre speciale</v>
      </c>
      <c r="E4619" s="10"/>
      <c r="F4619" s="9">
        <f>IFERROR(__xludf.DUMMYFUNCTION("""COMPUTED_VALUE"""),3.11764705882352)</f>
        <v>3.117647059</v>
      </c>
      <c r="G4619" s="9">
        <f>IFERROR(__xludf.DUMMYFUNCTION("""COMPUTED_VALUE"""),2.65)</f>
        <v>2.65</v>
      </c>
      <c r="H4619" s="9">
        <f>IFERROR(__xludf.DUMMYFUNCTION("""COMPUTED_VALUE"""),1.0)</f>
        <v>1</v>
      </c>
      <c r="I4619" s="9"/>
      <c r="J4619" s="9"/>
      <c r="K4619" s="9"/>
      <c r="L4619" s="9"/>
      <c r="M4619" s="9"/>
      <c r="N4619" s="9"/>
      <c r="O4619" s="9"/>
      <c r="P4619" s="9"/>
      <c r="Q4619" s="9"/>
      <c r="R4619" s="9"/>
      <c r="S4619" s="9"/>
      <c r="T4619" s="9"/>
    </row>
    <row r="4620" ht="15.75" customHeight="1">
      <c r="A4620" s="11">
        <f>IFERROR(__xludf.DUMMYFUNCTION("""COMPUTED_VALUE"""),44471.0)</f>
        <v>44471</v>
      </c>
      <c r="B4620" s="9">
        <f>IFERROR(__xludf.DUMMYFUNCTION("""COMPUTED_VALUE"""),1003945.0)</f>
        <v>1003945</v>
      </c>
      <c r="C4620" s="9">
        <f>IFERROR(__xludf.DUMMYFUNCTION("""COMPUTED_VALUE"""),76822.0)</f>
        <v>76822</v>
      </c>
      <c r="D4620" s="10" t="str">
        <f>IFERROR(__xludf.DUMMYFUNCTION("""COMPUTED_VALUE"""),"Offre speciale")</f>
        <v>Offre speciale</v>
      </c>
      <c r="E4620" s="10"/>
      <c r="F4620" s="9">
        <f>IFERROR(__xludf.DUMMYFUNCTION("""COMPUTED_VALUE"""),3.11764705882352)</f>
        <v>3.117647059</v>
      </c>
      <c r="G4620" s="9">
        <f>IFERROR(__xludf.DUMMYFUNCTION("""COMPUTED_VALUE"""),2.65)</f>
        <v>2.65</v>
      </c>
      <c r="H4620" s="9">
        <f>IFERROR(__xludf.DUMMYFUNCTION("""COMPUTED_VALUE"""),1.0)</f>
        <v>1</v>
      </c>
      <c r="I4620" s="9"/>
      <c r="J4620" s="9"/>
      <c r="K4620" s="9"/>
      <c r="L4620" s="9"/>
      <c r="M4620" s="9"/>
      <c r="N4620" s="9"/>
      <c r="O4620" s="9"/>
      <c r="P4620" s="9"/>
      <c r="Q4620" s="9"/>
      <c r="R4620" s="9"/>
      <c r="S4620" s="9"/>
      <c r="T4620" s="9"/>
    </row>
    <row r="4621" ht="15.75" customHeight="1">
      <c r="A4621" s="11">
        <f>IFERROR(__xludf.DUMMYFUNCTION("""COMPUTED_VALUE"""),44471.0)</f>
        <v>44471</v>
      </c>
      <c r="B4621" s="9">
        <f>IFERROR(__xludf.DUMMYFUNCTION("""COMPUTED_VALUE"""),1003945.0)</f>
        <v>1003945</v>
      </c>
      <c r="C4621" s="9">
        <f>IFERROR(__xludf.DUMMYFUNCTION("""COMPUTED_VALUE"""),102346.0)</f>
        <v>102346</v>
      </c>
      <c r="D4621" s="10" t="str">
        <f>IFERROR(__xludf.DUMMYFUNCTION("""COMPUTED_VALUE"""),"Offre speciale")</f>
        <v>Offre speciale</v>
      </c>
      <c r="E4621" s="10"/>
      <c r="F4621" s="9">
        <f>IFERROR(__xludf.DUMMYFUNCTION("""COMPUTED_VALUE"""),3.71111111111111)</f>
        <v>3.711111111</v>
      </c>
      <c r="G4621" s="9">
        <f>IFERROR(__xludf.DUMMYFUNCTION("""COMPUTED_VALUE"""),3.34)</f>
        <v>3.34</v>
      </c>
      <c r="H4621" s="9">
        <f>IFERROR(__xludf.DUMMYFUNCTION("""COMPUTED_VALUE"""),2.0)</f>
        <v>2</v>
      </c>
      <c r="I4621" s="9"/>
      <c r="J4621" s="9"/>
      <c r="K4621" s="9"/>
      <c r="L4621" s="9"/>
      <c r="M4621" s="9"/>
      <c r="N4621" s="9"/>
      <c r="O4621" s="9"/>
      <c r="P4621" s="9"/>
      <c r="Q4621" s="9"/>
      <c r="R4621" s="9"/>
      <c r="S4621" s="9"/>
      <c r="T4621" s="9"/>
    </row>
    <row r="4622" ht="15.75" customHeight="1">
      <c r="A4622" s="11">
        <f>IFERROR(__xludf.DUMMYFUNCTION("""COMPUTED_VALUE"""),44471.0)</f>
        <v>44471</v>
      </c>
      <c r="B4622" s="9">
        <f>IFERROR(__xludf.DUMMYFUNCTION("""COMPUTED_VALUE"""),1003945.0)</f>
        <v>1003945</v>
      </c>
      <c r="C4622" s="9">
        <f>IFERROR(__xludf.DUMMYFUNCTION("""COMPUTED_VALUE"""),83055.0)</f>
        <v>83055</v>
      </c>
      <c r="D4622" s="9"/>
      <c r="E4622" s="9"/>
      <c r="F4622" s="9">
        <f>IFERROR(__xludf.DUMMYFUNCTION("""COMPUTED_VALUE"""),3.52)</f>
        <v>3.52</v>
      </c>
      <c r="G4622" s="9">
        <f>IFERROR(__xludf.DUMMYFUNCTION("""COMPUTED_VALUE"""),3.52)</f>
        <v>3.52</v>
      </c>
      <c r="H4622" s="9">
        <f>IFERROR(__xludf.DUMMYFUNCTION("""COMPUTED_VALUE"""),2.0)</f>
        <v>2</v>
      </c>
      <c r="I4622" s="9"/>
      <c r="J4622" s="9"/>
      <c r="K4622" s="9"/>
      <c r="L4622" s="9"/>
      <c r="M4622" s="9"/>
      <c r="N4622" s="9"/>
      <c r="O4622" s="9"/>
      <c r="P4622" s="9"/>
      <c r="Q4622" s="9"/>
      <c r="R4622" s="9"/>
      <c r="S4622" s="9"/>
      <c r="T4622" s="9"/>
    </row>
    <row r="4623" ht="15.75" customHeight="1">
      <c r="A4623" s="11">
        <f>IFERROR(__xludf.DUMMYFUNCTION("""COMPUTED_VALUE"""),44471.0)</f>
        <v>44471</v>
      </c>
      <c r="B4623" s="9">
        <f>IFERROR(__xludf.DUMMYFUNCTION("""COMPUTED_VALUE"""),1003945.0)</f>
        <v>1003945</v>
      </c>
      <c r="C4623" s="9">
        <f>IFERROR(__xludf.DUMMYFUNCTION("""COMPUTED_VALUE"""),46119.0)</f>
        <v>46119</v>
      </c>
      <c r="D4623" s="9"/>
      <c r="E4623" s="9"/>
      <c r="F4623" s="9">
        <f>IFERROR(__xludf.DUMMYFUNCTION("""COMPUTED_VALUE"""),4.3)</f>
        <v>4.3</v>
      </c>
      <c r="G4623" s="9">
        <f>IFERROR(__xludf.DUMMYFUNCTION("""COMPUTED_VALUE"""),4.3)</f>
        <v>4.3</v>
      </c>
      <c r="H4623" s="9">
        <f>IFERROR(__xludf.DUMMYFUNCTION("""COMPUTED_VALUE"""),2.0)</f>
        <v>2</v>
      </c>
      <c r="I4623" s="9"/>
      <c r="J4623" s="9"/>
      <c r="K4623" s="9"/>
      <c r="L4623" s="9"/>
      <c r="M4623" s="9"/>
      <c r="N4623" s="9"/>
      <c r="O4623" s="9"/>
      <c r="P4623" s="9"/>
      <c r="Q4623" s="9"/>
      <c r="R4623" s="9"/>
      <c r="S4623" s="9"/>
      <c r="T4623" s="9"/>
    </row>
    <row r="4624" ht="15.75" customHeight="1">
      <c r="A4624" s="11">
        <f>IFERROR(__xludf.DUMMYFUNCTION("""COMPUTED_VALUE"""),44471.0)</f>
        <v>44471</v>
      </c>
      <c r="B4624" s="9">
        <f>IFERROR(__xludf.DUMMYFUNCTION("""COMPUTED_VALUE"""),1003945.0)</f>
        <v>1003945</v>
      </c>
      <c r="C4624" s="9">
        <f>IFERROR(__xludf.DUMMYFUNCTION("""COMPUTED_VALUE"""),83054.0)</f>
        <v>83054</v>
      </c>
      <c r="D4624" s="9"/>
      <c r="E4624" s="9"/>
      <c r="F4624" s="9">
        <f>IFERROR(__xludf.DUMMYFUNCTION("""COMPUTED_VALUE"""),2.82)</f>
        <v>2.82</v>
      </c>
      <c r="G4624" s="9">
        <f>IFERROR(__xludf.DUMMYFUNCTION("""COMPUTED_VALUE"""),2.82)</f>
        <v>2.82</v>
      </c>
      <c r="H4624" s="9">
        <f>IFERROR(__xludf.DUMMYFUNCTION("""COMPUTED_VALUE"""),2.0)</f>
        <v>2</v>
      </c>
      <c r="I4624" s="9"/>
      <c r="J4624" s="9"/>
      <c r="K4624" s="9"/>
      <c r="L4624" s="9"/>
      <c r="M4624" s="9"/>
      <c r="N4624" s="9"/>
      <c r="O4624" s="9"/>
      <c r="P4624" s="9"/>
      <c r="Q4624" s="9"/>
      <c r="R4624" s="9"/>
      <c r="S4624" s="9"/>
      <c r="T4624" s="9"/>
    </row>
    <row r="4625" ht="15.75" customHeight="1">
      <c r="A4625" s="11">
        <f>IFERROR(__xludf.DUMMYFUNCTION("""COMPUTED_VALUE"""),44471.0)</f>
        <v>44471</v>
      </c>
      <c r="B4625" s="9">
        <f>IFERROR(__xludf.DUMMYFUNCTION("""COMPUTED_VALUE"""),1003945.0)</f>
        <v>1003945</v>
      </c>
      <c r="C4625" s="9">
        <f>IFERROR(__xludf.DUMMYFUNCTION("""COMPUTED_VALUE"""),80199.0)</f>
        <v>80199</v>
      </c>
      <c r="D4625" s="9"/>
      <c r="E4625" s="9"/>
      <c r="F4625" s="9">
        <f>IFERROR(__xludf.DUMMYFUNCTION("""COMPUTED_VALUE"""),3.32)</f>
        <v>3.32</v>
      </c>
      <c r="G4625" s="9">
        <f>IFERROR(__xludf.DUMMYFUNCTION("""COMPUTED_VALUE"""),3.32)</f>
        <v>3.32</v>
      </c>
      <c r="H4625" s="9">
        <f>IFERROR(__xludf.DUMMYFUNCTION("""COMPUTED_VALUE"""),2.0)</f>
        <v>2</v>
      </c>
      <c r="I4625" s="9"/>
      <c r="J4625" s="9"/>
      <c r="K4625" s="9"/>
      <c r="L4625" s="9"/>
      <c r="M4625" s="9"/>
      <c r="N4625" s="9"/>
      <c r="O4625" s="9"/>
      <c r="P4625" s="9"/>
      <c r="Q4625" s="9"/>
      <c r="R4625" s="9"/>
      <c r="S4625" s="9"/>
      <c r="T4625" s="9"/>
    </row>
    <row r="4626" ht="15.75" customHeight="1">
      <c r="A4626" s="11">
        <f>IFERROR(__xludf.DUMMYFUNCTION("""COMPUTED_VALUE"""),44471.0)</f>
        <v>44471</v>
      </c>
      <c r="B4626" s="9">
        <f>IFERROR(__xludf.DUMMYFUNCTION("""COMPUTED_VALUE"""),1003945.0)</f>
        <v>1003945</v>
      </c>
      <c r="C4626" s="9">
        <f>IFERROR(__xludf.DUMMYFUNCTION("""COMPUTED_VALUE"""),100688.0)</f>
        <v>100688</v>
      </c>
      <c r="D4626" s="9"/>
      <c r="E4626" s="9"/>
      <c r="F4626" s="9">
        <f>IFERROR(__xludf.DUMMYFUNCTION("""COMPUTED_VALUE"""),4.69)</f>
        <v>4.69</v>
      </c>
      <c r="G4626" s="9">
        <f>IFERROR(__xludf.DUMMYFUNCTION("""COMPUTED_VALUE"""),4.69)</f>
        <v>4.69</v>
      </c>
      <c r="H4626" s="9">
        <f>IFERROR(__xludf.DUMMYFUNCTION("""COMPUTED_VALUE"""),2.0)</f>
        <v>2</v>
      </c>
      <c r="I4626" s="9"/>
      <c r="J4626" s="9"/>
      <c r="K4626" s="9"/>
      <c r="L4626" s="9"/>
      <c r="M4626" s="9"/>
      <c r="N4626" s="9"/>
      <c r="O4626" s="9"/>
      <c r="P4626" s="9"/>
      <c r="Q4626" s="9"/>
      <c r="R4626" s="9"/>
      <c r="S4626" s="9"/>
      <c r="T4626" s="9"/>
    </row>
    <row r="4627" ht="15.75" customHeight="1">
      <c r="A4627" s="11">
        <f>IFERROR(__xludf.DUMMYFUNCTION("""COMPUTED_VALUE"""),44471.0)</f>
        <v>44471</v>
      </c>
      <c r="B4627" s="9">
        <f>IFERROR(__xludf.DUMMYFUNCTION("""COMPUTED_VALUE"""),1003945.0)</f>
        <v>1003945</v>
      </c>
      <c r="C4627" s="9">
        <f>IFERROR(__xludf.DUMMYFUNCTION("""COMPUTED_VALUE"""),113130.0)</f>
        <v>113130</v>
      </c>
      <c r="D4627" s="9"/>
      <c r="E4627" s="9"/>
      <c r="F4627" s="9">
        <f>IFERROR(__xludf.DUMMYFUNCTION("""COMPUTED_VALUE"""),58.73)</f>
        <v>58.73</v>
      </c>
      <c r="G4627" s="9">
        <f>IFERROR(__xludf.DUMMYFUNCTION("""COMPUTED_VALUE"""),58.73)</f>
        <v>58.73</v>
      </c>
      <c r="H4627" s="9">
        <f>IFERROR(__xludf.DUMMYFUNCTION("""COMPUTED_VALUE"""),4.0)</f>
        <v>4</v>
      </c>
      <c r="I4627" s="9"/>
      <c r="J4627" s="9"/>
      <c r="K4627" s="9"/>
      <c r="L4627" s="9"/>
      <c r="M4627" s="9"/>
      <c r="N4627" s="9"/>
      <c r="O4627" s="9"/>
      <c r="P4627" s="9"/>
      <c r="Q4627" s="9"/>
      <c r="R4627" s="9"/>
      <c r="S4627" s="9"/>
      <c r="T4627" s="9"/>
    </row>
    <row r="4628" ht="15.75" customHeight="1">
      <c r="A4628" s="11">
        <f>IFERROR(__xludf.DUMMYFUNCTION("""COMPUTED_VALUE"""),44471.0)</f>
        <v>44471</v>
      </c>
      <c r="B4628" s="9">
        <f>IFERROR(__xludf.DUMMYFUNCTION("""COMPUTED_VALUE"""),1003946.0)</f>
        <v>1003946</v>
      </c>
      <c r="C4628" s="9">
        <f>IFERROR(__xludf.DUMMYFUNCTION("""COMPUTED_VALUE"""),93893.0)</f>
        <v>93893</v>
      </c>
      <c r="D4628" s="10" t="str">
        <f>IFERROR(__xludf.DUMMYFUNCTION("""COMPUTED_VALUE"""),"Vive le bio")</f>
        <v>Vive le bio</v>
      </c>
      <c r="E4628" s="10"/>
      <c r="F4628" s="9">
        <f>IFERROR(__xludf.DUMMYFUNCTION("""COMPUTED_VALUE"""),8.41111111111111)</f>
        <v>8.411111111</v>
      </c>
      <c r="G4628" s="9">
        <f>IFERROR(__xludf.DUMMYFUNCTION("""COMPUTED_VALUE"""),7.57)</f>
        <v>7.57</v>
      </c>
      <c r="H4628" s="9">
        <f>IFERROR(__xludf.DUMMYFUNCTION("""COMPUTED_VALUE"""),1.0)</f>
        <v>1</v>
      </c>
      <c r="I4628" s="9"/>
      <c r="J4628" s="9"/>
      <c r="K4628" s="9"/>
      <c r="L4628" s="9"/>
      <c r="M4628" s="9"/>
      <c r="N4628" s="9"/>
      <c r="O4628" s="9"/>
      <c r="P4628" s="9"/>
      <c r="Q4628" s="9"/>
      <c r="R4628" s="9"/>
      <c r="S4628" s="9"/>
      <c r="T4628" s="9"/>
    </row>
    <row r="4629" ht="15.75" customHeight="1">
      <c r="A4629" s="11">
        <f>IFERROR(__xludf.DUMMYFUNCTION("""COMPUTED_VALUE"""),44471.0)</f>
        <v>44471</v>
      </c>
      <c r="B4629" s="9">
        <f>IFERROR(__xludf.DUMMYFUNCTION("""COMPUTED_VALUE"""),1003946.0)</f>
        <v>1003946</v>
      </c>
      <c r="C4629" s="9">
        <f>IFERROR(__xludf.DUMMYFUNCTION("""COMPUTED_VALUE"""),72096.0)</f>
        <v>72096</v>
      </c>
      <c r="D4629" s="9"/>
      <c r="E4629" s="9"/>
      <c r="F4629" s="9">
        <f>IFERROR(__xludf.DUMMYFUNCTION("""COMPUTED_VALUE"""),10.95)</f>
        <v>10.95</v>
      </c>
      <c r="G4629" s="9">
        <f>IFERROR(__xludf.DUMMYFUNCTION("""COMPUTED_VALUE"""),10.95)</f>
        <v>10.95</v>
      </c>
      <c r="H4629" s="9">
        <f>IFERROR(__xludf.DUMMYFUNCTION("""COMPUTED_VALUE"""),1.0)</f>
        <v>1</v>
      </c>
      <c r="I4629" s="9"/>
      <c r="J4629" s="9"/>
      <c r="K4629" s="9"/>
      <c r="L4629" s="9"/>
      <c r="M4629" s="9"/>
      <c r="N4629" s="9"/>
      <c r="O4629" s="9"/>
      <c r="P4629" s="9"/>
      <c r="Q4629" s="9"/>
      <c r="R4629" s="9"/>
      <c r="S4629" s="9"/>
      <c r="T4629" s="9"/>
    </row>
    <row r="4630" ht="15.75" customHeight="1">
      <c r="A4630" s="11">
        <f>IFERROR(__xludf.DUMMYFUNCTION("""COMPUTED_VALUE"""),44471.0)</f>
        <v>44471</v>
      </c>
      <c r="B4630" s="9">
        <f>IFERROR(__xludf.DUMMYFUNCTION("""COMPUTED_VALUE"""),1003946.0)</f>
        <v>1003946</v>
      </c>
      <c r="C4630" s="9">
        <f>IFERROR(__xludf.DUMMYFUNCTION("""COMPUTED_VALUE"""),121868.0)</f>
        <v>121868</v>
      </c>
      <c r="D4630" s="9"/>
      <c r="E4630" s="9"/>
      <c r="F4630" s="9">
        <f>IFERROR(__xludf.DUMMYFUNCTION("""COMPUTED_VALUE"""),6.37)</f>
        <v>6.37</v>
      </c>
      <c r="G4630" s="9">
        <f>IFERROR(__xludf.DUMMYFUNCTION("""COMPUTED_VALUE"""),6.37)</f>
        <v>6.37</v>
      </c>
      <c r="H4630" s="9">
        <f>IFERROR(__xludf.DUMMYFUNCTION("""COMPUTED_VALUE"""),1.0)</f>
        <v>1</v>
      </c>
      <c r="I4630" s="9"/>
      <c r="J4630" s="9"/>
      <c r="K4630" s="9"/>
      <c r="L4630" s="9"/>
      <c r="M4630" s="9"/>
      <c r="N4630" s="9"/>
      <c r="O4630" s="9"/>
      <c r="P4630" s="9"/>
      <c r="Q4630" s="9"/>
      <c r="R4630" s="9"/>
      <c r="S4630" s="9"/>
      <c r="T4630" s="9"/>
    </row>
    <row r="4631" ht="15.75" customHeight="1">
      <c r="A4631" s="11">
        <f>IFERROR(__xludf.DUMMYFUNCTION("""COMPUTED_VALUE"""),44471.0)</f>
        <v>44471</v>
      </c>
      <c r="B4631" s="9">
        <f>IFERROR(__xludf.DUMMYFUNCTION("""COMPUTED_VALUE"""),1003946.0)</f>
        <v>1003946</v>
      </c>
      <c r="C4631" s="9">
        <f>IFERROR(__xludf.DUMMYFUNCTION("""COMPUTED_VALUE"""),26446.0)</f>
        <v>26446</v>
      </c>
      <c r="D4631" s="9"/>
      <c r="E4631" s="9"/>
      <c r="F4631" s="9">
        <f>IFERROR(__xludf.DUMMYFUNCTION("""COMPUTED_VALUE"""),2.32)</f>
        <v>2.32</v>
      </c>
      <c r="G4631" s="9">
        <f>IFERROR(__xludf.DUMMYFUNCTION("""COMPUTED_VALUE"""),2.32)</f>
        <v>2.32</v>
      </c>
      <c r="H4631" s="9">
        <f>IFERROR(__xludf.DUMMYFUNCTION("""COMPUTED_VALUE"""),1.0)</f>
        <v>1</v>
      </c>
      <c r="I4631" s="9"/>
      <c r="J4631" s="9"/>
      <c r="K4631" s="9"/>
      <c r="L4631" s="9"/>
      <c r="M4631" s="9"/>
      <c r="N4631" s="9"/>
      <c r="O4631" s="9"/>
      <c r="P4631" s="9"/>
      <c r="Q4631" s="9"/>
      <c r="R4631" s="9"/>
      <c r="S4631" s="9"/>
      <c r="T4631" s="9"/>
    </row>
    <row r="4632" ht="15.75" customHeight="1">
      <c r="A4632" s="11">
        <f>IFERROR(__xludf.DUMMYFUNCTION("""COMPUTED_VALUE"""),44471.0)</f>
        <v>44471</v>
      </c>
      <c r="B4632" s="9">
        <f>IFERROR(__xludf.DUMMYFUNCTION("""COMPUTED_VALUE"""),1003946.0)</f>
        <v>1003946</v>
      </c>
      <c r="C4632" s="9">
        <f>IFERROR(__xludf.DUMMYFUNCTION("""COMPUTED_VALUE"""),86184.0)</f>
        <v>86184</v>
      </c>
      <c r="D4632" s="9"/>
      <c r="E4632" s="9"/>
      <c r="F4632" s="9">
        <f>IFERROR(__xludf.DUMMYFUNCTION("""COMPUTED_VALUE"""),16.34)</f>
        <v>16.34</v>
      </c>
      <c r="G4632" s="9">
        <f>IFERROR(__xludf.DUMMYFUNCTION("""COMPUTED_VALUE"""),16.34)</f>
        <v>16.34</v>
      </c>
      <c r="H4632" s="9">
        <f>IFERROR(__xludf.DUMMYFUNCTION("""COMPUTED_VALUE"""),1.0)</f>
        <v>1</v>
      </c>
      <c r="I4632" s="9"/>
      <c r="J4632" s="9"/>
      <c r="K4632" s="9"/>
      <c r="L4632" s="9"/>
      <c r="M4632" s="9"/>
      <c r="N4632" s="9"/>
      <c r="O4632" s="9"/>
      <c r="P4632" s="9"/>
      <c r="Q4632" s="9"/>
      <c r="R4632" s="9"/>
      <c r="S4632" s="9"/>
      <c r="T4632" s="9"/>
    </row>
    <row r="4633" ht="15.75" customHeight="1">
      <c r="A4633" s="11">
        <f>IFERROR(__xludf.DUMMYFUNCTION("""COMPUTED_VALUE"""),44471.0)</f>
        <v>44471</v>
      </c>
      <c r="B4633" s="9">
        <f>IFERROR(__xludf.DUMMYFUNCTION("""COMPUTED_VALUE"""),1003946.0)</f>
        <v>1003946</v>
      </c>
      <c r="C4633" s="9">
        <f>IFERROR(__xludf.DUMMYFUNCTION("""COMPUTED_VALUE"""),89130.0)</f>
        <v>89130</v>
      </c>
      <c r="D4633" s="9"/>
      <c r="E4633" s="9"/>
      <c r="F4633" s="9">
        <f>IFERROR(__xludf.DUMMYFUNCTION("""COMPUTED_VALUE"""),3.98)</f>
        <v>3.98</v>
      </c>
      <c r="G4633" s="9">
        <f>IFERROR(__xludf.DUMMYFUNCTION("""COMPUTED_VALUE"""),3.98)</f>
        <v>3.98</v>
      </c>
      <c r="H4633" s="9">
        <f>IFERROR(__xludf.DUMMYFUNCTION("""COMPUTED_VALUE"""),1.0)</f>
        <v>1</v>
      </c>
      <c r="I4633" s="9"/>
      <c r="J4633" s="9"/>
      <c r="K4633" s="9"/>
      <c r="L4633" s="9"/>
      <c r="M4633" s="9"/>
      <c r="N4633" s="9"/>
      <c r="O4633" s="9"/>
      <c r="P4633" s="9"/>
      <c r="Q4633" s="9"/>
      <c r="R4633" s="9"/>
      <c r="S4633" s="9"/>
      <c r="T4633" s="9"/>
    </row>
    <row r="4634" ht="15.75" customHeight="1">
      <c r="A4634" s="11">
        <f>IFERROR(__xludf.DUMMYFUNCTION("""COMPUTED_VALUE"""),44471.0)</f>
        <v>44471</v>
      </c>
      <c r="B4634" s="9">
        <f>IFERROR(__xludf.DUMMYFUNCTION("""COMPUTED_VALUE"""),1003946.0)</f>
        <v>1003946</v>
      </c>
      <c r="C4634" s="9">
        <f>IFERROR(__xludf.DUMMYFUNCTION("""COMPUTED_VALUE"""),117218.0)</f>
        <v>117218</v>
      </c>
      <c r="D4634" s="9"/>
      <c r="E4634" s="9"/>
      <c r="F4634" s="9">
        <f>IFERROR(__xludf.DUMMYFUNCTION("""COMPUTED_VALUE"""),3.24)</f>
        <v>3.24</v>
      </c>
      <c r="G4634" s="9">
        <f>IFERROR(__xludf.DUMMYFUNCTION("""COMPUTED_VALUE"""),3.24)</f>
        <v>3.24</v>
      </c>
      <c r="H4634" s="9">
        <f>IFERROR(__xludf.DUMMYFUNCTION("""COMPUTED_VALUE"""),1.0)</f>
        <v>1</v>
      </c>
      <c r="I4634" s="9"/>
      <c r="J4634" s="9"/>
      <c r="K4634" s="9"/>
      <c r="L4634" s="9"/>
      <c r="M4634" s="9"/>
      <c r="N4634" s="9"/>
      <c r="O4634" s="9"/>
      <c r="P4634" s="9"/>
      <c r="Q4634" s="9"/>
      <c r="R4634" s="9"/>
      <c r="S4634" s="9"/>
      <c r="T4634" s="9"/>
    </row>
    <row r="4635" ht="15.75" customHeight="1">
      <c r="A4635" s="11">
        <f>IFERROR(__xludf.DUMMYFUNCTION("""COMPUTED_VALUE"""),44471.0)</f>
        <v>44471</v>
      </c>
      <c r="B4635" s="9">
        <f>IFERROR(__xludf.DUMMYFUNCTION("""COMPUTED_VALUE"""),1003946.0)</f>
        <v>1003946</v>
      </c>
      <c r="C4635" s="9">
        <f>IFERROR(__xludf.DUMMYFUNCTION("""COMPUTED_VALUE"""),90662.0)</f>
        <v>90662</v>
      </c>
      <c r="D4635" s="9"/>
      <c r="E4635" s="9"/>
      <c r="F4635" s="9">
        <f>IFERROR(__xludf.DUMMYFUNCTION("""COMPUTED_VALUE"""),2.9)</f>
        <v>2.9</v>
      </c>
      <c r="G4635" s="9">
        <f>IFERROR(__xludf.DUMMYFUNCTION("""COMPUTED_VALUE"""),2.9)</f>
        <v>2.9</v>
      </c>
      <c r="H4635" s="9">
        <f>IFERROR(__xludf.DUMMYFUNCTION("""COMPUTED_VALUE"""),2.0)</f>
        <v>2</v>
      </c>
      <c r="I4635" s="9"/>
      <c r="J4635" s="9"/>
      <c r="K4635" s="9"/>
      <c r="L4635" s="9"/>
      <c r="M4635" s="9"/>
      <c r="N4635" s="9"/>
      <c r="O4635" s="9"/>
      <c r="P4635" s="9"/>
      <c r="Q4635" s="9"/>
      <c r="R4635" s="9"/>
      <c r="S4635" s="9"/>
      <c r="T4635" s="9"/>
    </row>
    <row r="4636" ht="15.75" customHeight="1">
      <c r="A4636" s="11">
        <f>IFERROR(__xludf.DUMMYFUNCTION("""COMPUTED_VALUE"""),44471.0)</f>
        <v>44471</v>
      </c>
      <c r="B4636" s="9">
        <f>IFERROR(__xludf.DUMMYFUNCTION("""COMPUTED_VALUE"""),1003946.0)</f>
        <v>1003946</v>
      </c>
      <c r="C4636" s="9">
        <f>IFERROR(__xludf.DUMMYFUNCTION("""COMPUTED_VALUE"""),76422.0)</f>
        <v>76422</v>
      </c>
      <c r="D4636" s="9"/>
      <c r="E4636" s="9"/>
      <c r="F4636" s="9">
        <f>IFERROR(__xludf.DUMMYFUNCTION("""COMPUTED_VALUE"""),3.9)</f>
        <v>3.9</v>
      </c>
      <c r="G4636" s="9">
        <f>IFERROR(__xludf.DUMMYFUNCTION("""COMPUTED_VALUE"""),3.9)</f>
        <v>3.9</v>
      </c>
      <c r="H4636" s="9">
        <f>IFERROR(__xludf.DUMMYFUNCTION("""COMPUTED_VALUE"""),2.0)</f>
        <v>2</v>
      </c>
      <c r="I4636" s="9"/>
      <c r="J4636" s="9"/>
      <c r="K4636" s="9"/>
      <c r="L4636" s="9"/>
      <c r="M4636" s="9"/>
      <c r="N4636" s="9"/>
      <c r="O4636" s="9"/>
      <c r="P4636" s="9"/>
      <c r="Q4636" s="9"/>
      <c r="R4636" s="9"/>
      <c r="S4636" s="9"/>
      <c r="T4636" s="9"/>
    </row>
    <row r="4637" ht="15.75" customHeight="1">
      <c r="A4637" s="11">
        <f>IFERROR(__xludf.DUMMYFUNCTION("""COMPUTED_VALUE"""),44471.0)</f>
        <v>44471</v>
      </c>
      <c r="B4637" s="9">
        <f>IFERROR(__xludf.DUMMYFUNCTION("""COMPUTED_VALUE"""),1003946.0)</f>
        <v>1003946</v>
      </c>
      <c r="C4637" s="9">
        <f>IFERROR(__xludf.DUMMYFUNCTION("""COMPUTED_VALUE"""),90671.0)</f>
        <v>90671</v>
      </c>
      <c r="D4637" s="9"/>
      <c r="E4637" s="9"/>
      <c r="F4637" s="9">
        <f>IFERROR(__xludf.DUMMYFUNCTION("""COMPUTED_VALUE"""),3.28)</f>
        <v>3.28</v>
      </c>
      <c r="G4637" s="9">
        <f>IFERROR(__xludf.DUMMYFUNCTION("""COMPUTED_VALUE"""),3.28)</f>
        <v>3.28</v>
      </c>
      <c r="H4637" s="9">
        <f>IFERROR(__xludf.DUMMYFUNCTION("""COMPUTED_VALUE"""),2.0)</f>
        <v>2</v>
      </c>
      <c r="I4637" s="9"/>
      <c r="J4637" s="9"/>
      <c r="K4637" s="9"/>
      <c r="L4637" s="9"/>
      <c r="M4637" s="9"/>
      <c r="N4637" s="9"/>
      <c r="O4637" s="9"/>
      <c r="P4637" s="9"/>
      <c r="Q4637" s="9"/>
      <c r="R4637" s="9"/>
      <c r="S4637" s="9"/>
      <c r="T4637" s="9"/>
    </row>
    <row r="4638" ht="15.75" customHeight="1">
      <c r="A4638" s="11">
        <f>IFERROR(__xludf.DUMMYFUNCTION("""COMPUTED_VALUE"""),44471.0)</f>
        <v>44471</v>
      </c>
      <c r="B4638" s="9">
        <f>IFERROR(__xludf.DUMMYFUNCTION("""COMPUTED_VALUE"""),1003946.0)</f>
        <v>1003946</v>
      </c>
      <c r="C4638" s="9">
        <f>IFERROR(__xludf.DUMMYFUNCTION("""COMPUTED_VALUE"""),90710.0)</f>
        <v>90710</v>
      </c>
      <c r="D4638" s="9"/>
      <c r="E4638" s="9"/>
      <c r="F4638" s="9">
        <f>IFERROR(__xludf.DUMMYFUNCTION("""COMPUTED_VALUE"""),2.04)</f>
        <v>2.04</v>
      </c>
      <c r="G4638" s="9">
        <f>IFERROR(__xludf.DUMMYFUNCTION("""COMPUTED_VALUE"""),2.04)</f>
        <v>2.04</v>
      </c>
      <c r="H4638" s="9">
        <f>IFERROR(__xludf.DUMMYFUNCTION("""COMPUTED_VALUE"""),2.0)</f>
        <v>2</v>
      </c>
      <c r="I4638" s="9"/>
      <c r="J4638" s="9"/>
      <c r="K4638" s="9"/>
      <c r="L4638" s="9"/>
      <c r="M4638" s="9"/>
      <c r="N4638" s="9"/>
      <c r="O4638" s="9"/>
      <c r="P4638" s="9"/>
      <c r="Q4638" s="9"/>
      <c r="R4638" s="9"/>
      <c r="S4638" s="9"/>
      <c r="T4638" s="9"/>
    </row>
    <row r="4639" ht="15.75" customHeight="1">
      <c r="A4639" s="11">
        <f>IFERROR(__xludf.DUMMYFUNCTION("""COMPUTED_VALUE"""),44471.0)</f>
        <v>44471</v>
      </c>
      <c r="B4639" s="9">
        <f>IFERROR(__xludf.DUMMYFUNCTION("""COMPUTED_VALUE"""),1003946.0)</f>
        <v>1003946</v>
      </c>
      <c r="C4639" s="9">
        <f>IFERROR(__xludf.DUMMYFUNCTION("""COMPUTED_VALUE"""),76426.0)</f>
        <v>76426</v>
      </c>
      <c r="D4639" s="9"/>
      <c r="E4639" s="9"/>
      <c r="F4639" s="9">
        <f>IFERROR(__xludf.DUMMYFUNCTION("""COMPUTED_VALUE"""),6.1)</f>
        <v>6.1</v>
      </c>
      <c r="G4639" s="9">
        <f>IFERROR(__xludf.DUMMYFUNCTION("""COMPUTED_VALUE"""),6.1)</f>
        <v>6.1</v>
      </c>
      <c r="H4639" s="9">
        <f>IFERROR(__xludf.DUMMYFUNCTION("""COMPUTED_VALUE"""),2.0)</f>
        <v>2</v>
      </c>
      <c r="I4639" s="9"/>
      <c r="J4639" s="9"/>
      <c r="K4639" s="9"/>
      <c r="L4639" s="9"/>
      <c r="M4639" s="9"/>
      <c r="N4639" s="9"/>
      <c r="O4639" s="9"/>
      <c r="P4639" s="9"/>
      <c r="Q4639" s="9"/>
      <c r="R4639" s="9"/>
      <c r="S4639" s="9"/>
      <c r="T4639" s="9"/>
    </row>
    <row r="4640" ht="15.75" customHeight="1">
      <c r="A4640" s="11">
        <f>IFERROR(__xludf.DUMMYFUNCTION("""COMPUTED_VALUE"""),44471.0)</f>
        <v>44471</v>
      </c>
      <c r="B4640" s="9">
        <f>IFERROR(__xludf.DUMMYFUNCTION("""COMPUTED_VALUE"""),1003946.0)</f>
        <v>1003946</v>
      </c>
      <c r="C4640" s="9">
        <f>IFERROR(__xludf.DUMMYFUNCTION("""COMPUTED_VALUE"""),76424.0)</f>
        <v>76424</v>
      </c>
      <c r="D4640" s="10" t="str">
        <f>IFERROR(__xludf.DUMMYFUNCTION("""COMPUTED_VALUE"""),"Vive le bio")</f>
        <v>Vive le bio</v>
      </c>
      <c r="E4640" s="10"/>
      <c r="F4640" s="9">
        <f>IFERROR(__xludf.DUMMYFUNCTION("""COMPUTED_VALUE"""),3.35555555555555)</f>
        <v>3.355555556</v>
      </c>
      <c r="G4640" s="9">
        <f>IFERROR(__xludf.DUMMYFUNCTION("""COMPUTED_VALUE"""),3.02)</f>
        <v>3.02</v>
      </c>
      <c r="H4640" s="9">
        <f>IFERROR(__xludf.DUMMYFUNCTION("""COMPUTED_VALUE"""),2.0)</f>
        <v>2</v>
      </c>
      <c r="I4640" s="9"/>
      <c r="J4640" s="9"/>
      <c r="K4640" s="9"/>
      <c r="L4640" s="9"/>
      <c r="M4640" s="9"/>
      <c r="N4640" s="9"/>
      <c r="O4640" s="9"/>
      <c r="P4640" s="9"/>
      <c r="Q4640" s="9"/>
      <c r="R4640" s="9"/>
      <c r="S4640" s="9"/>
      <c r="T4640" s="9"/>
    </row>
    <row r="4641" ht="15.75" customHeight="1">
      <c r="A4641" s="11">
        <f>IFERROR(__xludf.DUMMYFUNCTION("""COMPUTED_VALUE"""),44471.0)</f>
        <v>44471</v>
      </c>
      <c r="B4641" s="9">
        <f>IFERROR(__xludf.DUMMYFUNCTION("""COMPUTED_VALUE"""),1003946.0)</f>
        <v>1003946</v>
      </c>
      <c r="C4641" s="9">
        <f>IFERROR(__xludf.DUMMYFUNCTION("""COMPUTED_VALUE"""),85887.0)</f>
        <v>85887</v>
      </c>
      <c r="D4641" s="9"/>
      <c r="E4641" s="9"/>
      <c r="F4641" s="9">
        <f>IFERROR(__xludf.DUMMYFUNCTION("""COMPUTED_VALUE"""),17.35)</f>
        <v>17.35</v>
      </c>
      <c r="G4641" s="9">
        <f>IFERROR(__xludf.DUMMYFUNCTION("""COMPUTED_VALUE"""),17.35)</f>
        <v>17.35</v>
      </c>
      <c r="H4641" s="9">
        <f>IFERROR(__xludf.DUMMYFUNCTION("""COMPUTED_VALUE"""),2.0)</f>
        <v>2</v>
      </c>
      <c r="I4641" s="9"/>
      <c r="J4641" s="9"/>
      <c r="K4641" s="9"/>
      <c r="L4641" s="9"/>
      <c r="M4641" s="9"/>
      <c r="N4641" s="9"/>
      <c r="O4641" s="9"/>
      <c r="P4641" s="9"/>
      <c r="Q4641" s="9"/>
      <c r="R4641" s="9"/>
      <c r="S4641" s="9"/>
      <c r="T4641" s="9"/>
    </row>
    <row r="4642" ht="15.75" customHeight="1">
      <c r="A4642" s="11">
        <f>IFERROR(__xludf.DUMMYFUNCTION("""COMPUTED_VALUE"""),44471.0)</f>
        <v>44471</v>
      </c>
      <c r="B4642" s="9">
        <f>IFERROR(__xludf.DUMMYFUNCTION("""COMPUTED_VALUE"""),1003946.0)</f>
        <v>1003946</v>
      </c>
      <c r="C4642" s="9">
        <f>IFERROR(__xludf.DUMMYFUNCTION("""COMPUTED_VALUE"""),90792.0)</f>
        <v>90792</v>
      </c>
      <c r="D4642" s="9"/>
      <c r="E4642" s="9"/>
      <c r="F4642" s="9">
        <f>IFERROR(__xludf.DUMMYFUNCTION("""COMPUTED_VALUE"""),5.94)</f>
        <v>5.94</v>
      </c>
      <c r="G4642" s="9">
        <f>IFERROR(__xludf.DUMMYFUNCTION("""COMPUTED_VALUE"""),5.94)</f>
        <v>5.94</v>
      </c>
      <c r="H4642" s="9">
        <f>IFERROR(__xludf.DUMMYFUNCTION("""COMPUTED_VALUE"""),2.0)</f>
        <v>2</v>
      </c>
      <c r="I4642" s="9"/>
      <c r="J4642" s="9"/>
      <c r="K4642" s="9"/>
      <c r="L4642" s="9"/>
      <c r="M4642" s="9"/>
      <c r="N4642" s="9"/>
      <c r="O4642" s="9"/>
      <c r="P4642" s="9"/>
      <c r="Q4642" s="9"/>
      <c r="R4642" s="9"/>
      <c r="S4642" s="9"/>
      <c r="T4642" s="9"/>
    </row>
    <row r="4643" ht="15.75" customHeight="1">
      <c r="A4643" s="11">
        <f>IFERROR(__xludf.DUMMYFUNCTION("""COMPUTED_VALUE"""),44471.0)</f>
        <v>44471</v>
      </c>
      <c r="B4643" s="9">
        <f>IFERROR(__xludf.DUMMYFUNCTION("""COMPUTED_VALUE"""),1003946.0)</f>
        <v>1003946</v>
      </c>
      <c r="C4643" s="9">
        <f>IFERROR(__xludf.DUMMYFUNCTION("""COMPUTED_VALUE"""),68413.0)</f>
        <v>68413</v>
      </c>
      <c r="D4643" s="9"/>
      <c r="E4643" s="9"/>
      <c r="F4643" s="9">
        <f>IFERROR(__xludf.DUMMYFUNCTION("""COMPUTED_VALUE"""),4.21)</f>
        <v>4.21</v>
      </c>
      <c r="G4643" s="9">
        <f>IFERROR(__xludf.DUMMYFUNCTION("""COMPUTED_VALUE"""),4.21)</f>
        <v>4.21</v>
      </c>
      <c r="H4643" s="9">
        <f>IFERROR(__xludf.DUMMYFUNCTION("""COMPUTED_VALUE"""),2.0)</f>
        <v>2</v>
      </c>
      <c r="I4643" s="9"/>
      <c r="J4643" s="9"/>
      <c r="K4643" s="9"/>
      <c r="L4643" s="9"/>
      <c r="M4643" s="9"/>
      <c r="N4643" s="9"/>
      <c r="O4643" s="9"/>
      <c r="P4643" s="9"/>
      <c r="Q4643" s="9"/>
      <c r="R4643" s="9"/>
      <c r="S4643" s="9"/>
      <c r="T4643" s="9"/>
    </row>
    <row r="4644" ht="15.75" customHeight="1">
      <c r="A4644" s="11">
        <f>IFERROR(__xludf.DUMMYFUNCTION("""COMPUTED_VALUE"""),44471.0)</f>
        <v>44471</v>
      </c>
      <c r="B4644" s="9">
        <f>IFERROR(__xludf.DUMMYFUNCTION("""COMPUTED_VALUE"""),1003946.0)</f>
        <v>1003946</v>
      </c>
      <c r="C4644" s="9">
        <f>IFERROR(__xludf.DUMMYFUNCTION("""COMPUTED_VALUE"""),5543.0)</f>
        <v>5543</v>
      </c>
      <c r="D4644" s="9"/>
      <c r="E4644" s="9"/>
      <c r="F4644" s="9">
        <f>IFERROR(__xludf.DUMMYFUNCTION("""COMPUTED_VALUE"""),6.47)</f>
        <v>6.47</v>
      </c>
      <c r="G4644" s="9">
        <f>IFERROR(__xludf.DUMMYFUNCTION("""COMPUTED_VALUE"""),6.47)</f>
        <v>6.47</v>
      </c>
      <c r="H4644" s="9">
        <f>IFERROR(__xludf.DUMMYFUNCTION("""COMPUTED_VALUE"""),2.0)</f>
        <v>2</v>
      </c>
      <c r="I4644" s="9"/>
      <c r="J4644" s="9"/>
      <c r="K4644" s="9"/>
      <c r="L4644" s="9"/>
      <c r="M4644" s="9"/>
      <c r="N4644" s="9"/>
      <c r="O4644" s="9"/>
      <c r="P4644" s="9"/>
      <c r="Q4644" s="9"/>
      <c r="R4644" s="9"/>
      <c r="S4644" s="9"/>
      <c r="T4644" s="9"/>
    </row>
    <row r="4645" ht="15.75" customHeight="1">
      <c r="A4645" s="11">
        <f>IFERROR(__xludf.DUMMYFUNCTION("""COMPUTED_VALUE"""),44471.0)</f>
        <v>44471</v>
      </c>
      <c r="B4645" s="9">
        <f>IFERROR(__xludf.DUMMYFUNCTION("""COMPUTED_VALUE"""),1003946.0)</f>
        <v>1003946</v>
      </c>
      <c r="C4645" s="9">
        <f>IFERROR(__xludf.DUMMYFUNCTION("""COMPUTED_VALUE"""),68403.0)</f>
        <v>68403</v>
      </c>
      <c r="D4645" s="9"/>
      <c r="E4645" s="9"/>
      <c r="F4645" s="9">
        <f>IFERROR(__xludf.DUMMYFUNCTION("""COMPUTED_VALUE"""),5.66)</f>
        <v>5.66</v>
      </c>
      <c r="G4645" s="9">
        <f>IFERROR(__xludf.DUMMYFUNCTION("""COMPUTED_VALUE"""),5.66)</f>
        <v>5.66</v>
      </c>
      <c r="H4645" s="9">
        <f>IFERROR(__xludf.DUMMYFUNCTION("""COMPUTED_VALUE"""),3.0)</f>
        <v>3</v>
      </c>
      <c r="I4645" s="9"/>
      <c r="J4645" s="9"/>
      <c r="K4645" s="9"/>
      <c r="L4645" s="9"/>
      <c r="M4645" s="9"/>
      <c r="N4645" s="9"/>
      <c r="O4645" s="9"/>
      <c r="P4645" s="9"/>
      <c r="Q4645" s="9"/>
      <c r="R4645" s="9"/>
      <c r="S4645" s="9"/>
      <c r="T4645" s="9"/>
    </row>
    <row r="4646" ht="15.75" customHeight="1">
      <c r="A4646" s="11">
        <f>IFERROR(__xludf.DUMMYFUNCTION("""COMPUTED_VALUE"""),44471.0)</f>
        <v>44471</v>
      </c>
      <c r="B4646" s="9">
        <f>IFERROR(__xludf.DUMMYFUNCTION("""COMPUTED_VALUE"""),1003947.0)</f>
        <v>1003947</v>
      </c>
      <c r="C4646" s="9">
        <f>IFERROR(__xludf.DUMMYFUNCTION("""COMPUTED_VALUE"""),86622.0)</f>
        <v>86622</v>
      </c>
      <c r="D4646" s="9"/>
      <c r="E4646" s="9"/>
      <c r="F4646" s="9">
        <f>IFERROR(__xludf.DUMMYFUNCTION("""COMPUTED_VALUE"""),7.82)</f>
        <v>7.82</v>
      </c>
      <c r="G4646" s="9">
        <f>IFERROR(__xludf.DUMMYFUNCTION("""COMPUTED_VALUE"""),7.82)</f>
        <v>7.82</v>
      </c>
      <c r="H4646" s="9">
        <f>IFERROR(__xludf.DUMMYFUNCTION("""COMPUTED_VALUE"""),1.0)</f>
        <v>1</v>
      </c>
      <c r="I4646" s="9"/>
      <c r="J4646" s="9"/>
      <c r="K4646" s="9"/>
      <c r="L4646" s="9"/>
      <c r="M4646" s="9"/>
      <c r="N4646" s="9"/>
      <c r="O4646" s="9"/>
      <c r="P4646" s="9"/>
      <c r="Q4646" s="9"/>
      <c r="R4646" s="9"/>
      <c r="S4646" s="9"/>
      <c r="T4646" s="9"/>
    </row>
    <row r="4647" ht="15.75" customHeight="1">
      <c r="A4647" s="11">
        <f>IFERROR(__xludf.DUMMYFUNCTION("""COMPUTED_VALUE"""),44471.0)</f>
        <v>44471</v>
      </c>
      <c r="B4647" s="9">
        <f>IFERROR(__xludf.DUMMYFUNCTION("""COMPUTED_VALUE"""),1003947.0)</f>
        <v>1003947</v>
      </c>
      <c r="C4647" s="9">
        <f>IFERROR(__xludf.DUMMYFUNCTION("""COMPUTED_VALUE"""),82821.0)</f>
        <v>82821</v>
      </c>
      <c r="D4647" s="9"/>
      <c r="E4647" s="9"/>
      <c r="F4647" s="9">
        <f>IFERROR(__xludf.DUMMYFUNCTION("""COMPUTED_VALUE"""),7.82)</f>
        <v>7.82</v>
      </c>
      <c r="G4647" s="9">
        <f>IFERROR(__xludf.DUMMYFUNCTION("""COMPUTED_VALUE"""),7.82)</f>
        <v>7.82</v>
      </c>
      <c r="H4647" s="9">
        <f>IFERROR(__xludf.DUMMYFUNCTION("""COMPUTED_VALUE"""),1.0)</f>
        <v>1</v>
      </c>
      <c r="I4647" s="9"/>
      <c r="J4647" s="9"/>
      <c r="K4647" s="9"/>
      <c r="L4647" s="9"/>
      <c r="M4647" s="9"/>
      <c r="N4647" s="9"/>
      <c r="O4647" s="9"/>
      <c r="P4647" s="9"/>
      <c r="Q4647" s="9"/>
      <c r="R4647" s="9"/>
      <c r="S4647" s="9"/>
      <c r="T4647" s="9"/>
    </row>
    <row r="4648" ht="15.75" customHeight="1">
      <c r="A4648" s="11">
        <f>IFERROR(__xludf.DUMMYFUNCTION("""COMPUTED_VALUE"""),44471.0)</f>
        <v>44471</v>
      </c>
      <c r="B4648" s="9">
        <f>IFERROR(__xludf.DUMMYFUNCTION("""COMPUTED_VALUE"""),1003948.0)</f>
        <v>1003948</v>
      </c>
      <c r="C4648" s="9">
        <f>IFERROR(__xludf.DUMMYFUNCTION("""COMPUTED_VALUE"""),80584.0)</f>
        <v>80584</v>
      </c>
      <c r="D4648" s="9"/>
      <c r="E4648" s="10" t="str">
        <f>IFERROR(__xludf.DUMMYFUNCTION("""COMPUTED_VALUE"""),"GREENRELAIS")</f>
        <v>GREENRELAIS</v>
      </c>
      <c r="F4648" s="10">
        <f>IFERROR(__xludf.DUMMYFUNCTION("""COMPUTED_VALUE"""),13.93)</f>
        <v>13.93</v>
      </c>
      <c r="G4648" s="9">
        <f>IFERROR(__xludf.DUMMYFUNCTION("""COMPUTED_VALUE"""),13.93)</f>
        <v>13.93</v>
      </c>
      <c r="H4648" s="9">
        <f>IFERROR(__xludf.DUMMYFUNCTION("""COMPUTED_VALUE"""),1.0)</f>
        <v>1</v>
      </c>
      <c r="I4648" s="9"/>
      <c r="J4648" s="9"/>
      <c r="K4648" s="9"/>
      <c r="L4648" s="9"/>
      <c r="M4648" s="9"/>
      <c r="N4648" s="9"/>
      <c r="O4648" s="9"/>
      <c r="P4648" s="9"/>
      <c r="Q4648" s="9"/>
      <c r="R4648" s="9"/>
      <c r="S4648" s="9"/>
      <c r="T4648" s="9"/>
    </row>
    <row r="4649" ht="15.75" customHeight="1">
      <c r="A4649" s="11">
        <f>IFERROR(__xludf.DUMMYFUNCTION("""COMPUTED_VALUE"""),44471.0)</f>
        <v>44471</v>
      </c>
      <c r="B4649" s="9">
        <f>IFERROR(__xludf.DUMMYFUNCTION("""COMPUTED_VALUE"""),1003948.0)</f>
        <v>1003948</v>
      </c>
      <c r="C4649" s="9">
        <f>IFERROR(__xludf.DUMMYFUNCTION("""COMPUTED_VALUE"""),26352.0)</f>
        <v>26352</v>
      </c>
      <c r="D4649" s="9"/>
      <c r="E4649" s="10" t="str">
        <f>IFERROR(__xludf.DUMMYFUNCTION("""COMPUTED_VALUE"""),"GREENRELAIS")</f>
        <v>GREENRELAIS</v>
      </c>
      <c r="F4649" s="10">
        <f>IFERROR(__xludf.DUMMYFUNCTION("""COMPUTED_VALUE"""),2.05)</f>
        <v>2.05</v>
      </c>
      <c r="G4649" s="9">
        <f>IFERROR(__xludf.DUMMYFUNCTION("""COMPUTED_VALUE"""),2.05)</f>
        <v>2.05</v>
      </c>
      <c r="H4649" s="9">
        <f>IFERROR(__xludf.DUMMYFUNCTION("""COMPUTED_VALUE"""),1.0)</f>
        <v>1</v>
      </c>
      <c r="I4649" s="9"/>
      <c r="J4649" s="9"/>
      <c r="K4649" s="9"/>
      <c r="L4649" s="9"/>
      <c r="M4649" s="9"/>
      <c r="N4649" s="9"/>
      <c r="O4649" s="9"/>
      <c r="P4649" s="9"/>
      <c r="Q4649" s="9"/>
      <c r="R4649" s="9"/>
      <c r="S4649" s="9"/>
      <c r="T4649" s="9"/>
    </row>
    <row r="4650" ht="15.75" customHeight="1">
      <c r="A4650" s="11">
        <f>IFERROR(__xludf.DUMMYFUNCTION("""COMPUTED_VALUE"""),44471.0)</f>
        <v>44471</v>
      </c>
      <c r="B4650" s="9">
        <f>IFERROR(__xludf.DUMMYFUNCTION("""COMPUTED_VALUE"""),1003948.0)</f>
        <v>1003948</v>
      </c>
      <c r="C4650" s="9">
        <f>IFERROR(__xludf.DUMMYFUNCTION("""COMPUTED_VALUE"""),84212.0)</f>
        <v>84212</v>
      </c>
      <c r="D4650" s="9"/>
      <c r="E4650" s="10" t="str">
        <f>IFERROR(__xludf.DUMMYFUNCTION("""COMPUTED_VALUE"""),"GREENRELAIS")</f>
        <v>GREENRELAIS</v>
      </c>
      <c r="F4650" s="10">
        <f>IFERROR(__xludf.DUMMYFUNCTION("""COMPUTED_VALUE"""),3.95)</f>
        <v>3.95</v>
      </c>
      <c r="G4650" s="9">
        <f>IFERROR(__xludf.DUMMYFUNCTION("""COMPUTED_VALUE"""),3.95)</f>
        <v>3.95</v>
      </c>
      <c r="H4650" s="9">
        <f>IFERROR(__xludf.DUMMYFUNCTION("""COMPUTED_VALUE"""),1.0)</f>
        <v>1</v>
      </c>
      <c r="I4650" s="9"/>
      <c r="J4650" s="9"/>
      <c r="K4650" s="9"/>
      <c r="L4650" s="9"/>
      <c r="M4650" s="9"/>
      <c r="N4650" s="9"/>
      <c r="O4650" s="9"/>
      <c r="P4650" s="9"/>
      <c r="Q4650" s="9"/>
      <c r="R4650" s="9"/>
      <c r="S4650" s="9"/>
      <c r="T4650" s="9"/>
    </row>
    <row r="4651" ht="15.75" customHeight="1">
      <c r="A4651" s="11">
        <f>IFERROR(__xludf.DUMMYFUNCTION("""COMPUTED_VALUE"""),44471.0)</f>
        <v>44471</v>
      </c>
      <c r="B4651" s="9">
        <f>IFERROR(__xludf.DUMMYFUNCTION("""COMPUTED_VALUE"""),1003948.0)</f>
        <v>1003948</v>
      </c>
      <c r="C4651" s="9">
        <f>IFERROR(__xludf.DUMMYFUNCTION("""COMPUTED_VALUE"""),105026.0)</f>
        <v>105026</v>
      </c>
      <c r="D4651" s="9"/>
      <c r="E4651" s="10" t="str">
        <f>IFERROR(__xludf.DUMMYFUNCTION("""COMPUTED_VALUE"""),"GREENRELAIS")</f>
        <v>GREENRELAIS</v>
      </c>
      <c r="F4651" s="10">
        <f>IFERROR(__xludf.DUMMYFUNCTION("""COMPUTED_VALUE"""),9.42)</f>
        <v>9.42</v>
      </c>
      <c r="G4651" s="9">
        <f>IFERROR(__xludf.DUMMYFUNCTION("""COMPUTED_VALUE"""),9.42)</f>
        <v>9.42</v>
      </c>
      <c r="H4651" s="9">
        <f>IFERROR(__xludf.DUMMYFUNCTION("""COMPUTED_VALUE"""),1.0)</f>
        <v>1</v>
      </c>
      <c r="I4651" s="9"/>
      <c r="J4651" s="9"/>
      <c r="K4651" s="9"/>
      <c r="L4651" s="9"/>
      <c r="M4651" s="9"/>
      <c r="N4651" s="9"/>
      <c r="O4651" s="9"/>
      <c r="P4651" s="9"/>
      <c r="Q4651" s="9"/>
      <c r="R4651" s="9"/>
      <c r="S4651" s="9"/>
      <c r="T4651" s="9"/>
    </row>
    <row r="4652" ht="15.75" customHeight="1">
      <c r="A4652" s="11">
        <f>IFERROR(__xludf.DUMMYFUNCTION("""COMPUTED_VALUE"""),44471.0)</f>
        <v>44471</v>
      </c>
      <c r="B4652" s="9">
        <f>IFERROR(__xludf.DUMMYFUNCTION("""COMPUTED_VALUE"""),1003948.0)</f>
        <v>1003948</v>
      </c>
      <c r="C4652" s="9">
        <f>IFERROR(__xludf.DUMMYFUNCTION("""COMPUTED_VALUE"""),84211.0)</f>
        <v>84211</v>
      </c>
      <c r="D4652" s="9"/>
      <c r="E4652" s="10" t="str">
        <f>IFERROR(__xludf.DUMMYFUNCTION("""COMPUTED_VALUE"""),"GREENRELAIS")</f>
        <v>GREENRELAIS</v>
      </c>
      <c r="F4652" s="10">
        <f>IFERROR(__xludf.DUMMYFUNCTION("""COMPUTED_VALUE"""),4.24)</f>
        <v>4.24</v>
      </c>
      <c r="G4652" s="9">
        <f>IFERROR(__xludf.DUMMYFUNCTION("""COMPUTED_VALUE"""),4.24)</f>
        <v>4.24</v>
      </c>
      <c r="H4652" s="9">
        <f>IFERROR(__xludf.DUMMYFUNCTION("""COMPUTED_VALUE"""),1.0)</f>
        <v>1</v>
      </c>
      <c r="I4652" s="9"/>
      <c r="J4652" s="9"/>
      <c r="K4652" s="9"/>
      <c r="L4652" s="9"/>
      <c r="M4652" s="9"/>
      <c r="N4652" s="9"/>
      <c r="O4652" s="9"/>
      <c r="P4652" s="9"/>
      <c r="Q4652" s="9"/>
      <c r="R4652" s="9"/>
      <c r="S4652" s="9"/>
      <c r="T4652" s="9"/>
    </row>
    <row r="4653" ht="15.75" customHeight="1">
      <c r="A4653" s="11">
        <f>IFERROR(__xludf.DUMMYFUNCTION("""COMPUTED_VALUE"""),44471.0)</f>
        <v>44471</v>
      </c>
      <c r="B4653" s="9">
        <f>IFERROR(__xludf.DUMMYFUNCTION("""COMPUTED_VALUE"""),1003948.0)</f>
        <v>1003948</v>
      </c>
      <c r="C4653" s="9">
        <f>IFERROR(__xludf.DUMMYFUNCTION("""COMPUTED_VALUE"""),5639.0)</f>
        <v>5639</v>
      </c>
      <c r="D4653" s="9"/>
      <c r="E4653" s="10" t="str">
        <f>IFERROR(__xludf.DUMMYFUNCTION("""COMPUTED_VALUE"""),"GREENRELAIS")</f>
        <v>GREENRELAIS</v>
      </c>
      <c r="F4653" s="10">
        <f>IFERROR(__xludf.DUMMYFUNCTION("""COMPUTED_VALUE"""),1.31)</f>
        <v>1.31</v>
      </c>
      <c r="G4653" s="9">
        <f>IFERROR(__xludf.DUMMYFUNCTION("""COMPUTED_VALUE"""),1.31)</f>
        <v>1.31</v>
      </c>
      <c r="H4653" s="9">
        <f>IFERROR(__xludf.DUMMYFUNCTION("""COMPUTED_VALUE"""),1.0)</f>
        <v>1</v>
      </c>
      <c r="I4653" s="9"/>
      <c r="J4653" s="9"/>
      <c r="K4653" s="9"/>
      <c r="L4653" s="9"/>
      <c r="M4653" s="9"/>
      <c r="N4653" s="9"/>
      <c r="O4653" s="9"/>
      <c r="P4653" s="9"/>
      <c r="Q4653" s="9"/>
      <c r="R4653" s="9"/>
      <c r="S4653" s="9"/>
      <c r="T4653" s="9"/>
    </row>
    <row r="4654" ht="15.75" customHeight="1">
      <c r="A4654" s="11">
        <f>IFERROR(__xludf.DUMMYFUNCTION("""COMPUTED_VALUE"""),44471.0)</f>
        <v>44471</v>
      </c>
      <c r="B4654" s="9">
        <f>IFERROR(__xludf.DUMMYFUNCTION("""COMPUTED_VALUE"""),1003948.0)</f>
        <v>1003948</v>
      </c>
      <c r="C4654" s="9">
        <f>IFERROR(__xludf.DUMMYFUNCTION("""COMPUTED_VALUE"""),111607.0)</f>
        <v>111607</v>
      </c>
      <c r="D4654" s="9"/>
      <c r="E4654" s="10" t="str">
        <f>IFERROR(__xludf.DUMMYFUNCTION("""COMPUTED_VALUE"""),"GREENRELAIS")</f>
        <v>GREENRELAIS</v>
      </c>
      <c r="F4654" s="10">
        <f>IFERROR(__xludf.DUMMYFUNCTION("""COMPUTED_VALUE"""),1.94)</f>
        <v>1.94</v>
      </c>
      <c r="G4654" s="9">
        <f>IFERROR(__xludf.DUMMYFUNCTION("""COMPUTED_VALUE"""),1.94)</f>
        <v>1.94</v>
      </c>
      <c r="H4654" s="9">
        <f>IFERROR(__xludf.DUMMYFUNCTION("""COMPUTED_VALUE"""),2.0)</f>
        <v>2</v>
      </c>
      <c r="I4654" s="9"/>
      <c r="J4654" s="9"/>
      <c r="K4654" s="9"/>
      <c r="L4654" s="9"/>
      <c r="M4654" s="9"/>
      <c r="N4654" s="9"/>
      <c r="O4654" s="9"/>
      <c r="P4654" s="9"/>
      <c r="Q4654" s="9"/>
      <c r="R4654" s="9"/>
      <c r="S4654" s="9"/>
      <c r="T4654" s="9"/>
    </row>
    <row r="4655" ht="15.75" customHeight="1">
      <c r="A4655" s="11">
        <f>IFERROR(__xludf.DUMMYFUNCTION("""COMPUTED_VALUE"""),44471.0)</f>
        <v>44471</v>
      </c>
      <c r="B4655" s="9">
        <f>IFERROR(__xludf.DUMMYFUNCTION("""COMPUTED_VALUE"""),1003948.0)</f>
        <v>1003948</v>
      </c>
      <c r="C4655" s="9">
        <f>IFERROR(__xludf.DUMMYFUNCTION("""COMPUTED_VALUE"""),6158.0)</f>
        <v>6158</v>
      </c>
      <c r="D4655" s="9"/>
      <c r="E4655" s="10" t="str">
        <f>IFERROR(__xludf.DUMMYFUNCTION("""COMPUTED_VALUE"""),"GREENRELAIS")</f>
        <v>GREENRELAIS</v>
      </c>
      <c r="F4655" s="10">
        <f>IFERROR(__xludf.DUMMYFUNCTION("""COMPUTED_VALUE"""),10.56)</f>
        <v>10.56</v>
      </c>
      <c r="G4655" s="9">
        <f>IFERROR(__xludf.DUMMYFUNCTION("""COMPUTED_VALUE"""),10.56)</f>
        <v>10.56</v>
      </c>
      <c r="H4655" s="9">
        <f>IFERROR(__xludf.DUMMYFUNCTION("""COMPUTED_VALUE"""),2.0)</f>
        <v>2</v>
      </c>
      <c r="I4655" s="9"/>
      <c r="J4655" s="9"/>
      <c r="K4655" s="9"/>
      <c r="L4655" s="9"/>
      <c r="M4655" s="9"/>
      <c r="N4655" s="9"/>
      <c r="O4655" s="9"/>
      <c r="P4655" s="9"/>
      <c r="Q4655" s="9"/>
      <c r="R4655" s="9"/>
      <c r="S4655" s="9"/>
      <c r="T4655" s="9"/>
    </row>
    <row r="4656" ht="15.75" customHeight="1">
      <c r="A4656" s="11">
        <f>IFERROR(__xludf.DUMMYFUNCTION("""COMPUTED_VALUE"""),44471.0)</f>
        <v>44471</v>
      </c>
      <c r="B4656" s="9">
        <f>IFERROR(__xludf.DUMMYFUNCTION("""COMPUTED_VALUE"""),1003948.0)</f>
        <v>1003948</v>
      </c>
      <c r="C4656" s="9">
        <f>IFERROR(__xludf.DUMMYFUNCTION("""COMPUTED_VALUE"""),80043.0)</f>
        <v>80043</v>
      </c>
      <c r="D4656" s="10" t="str">
        <f>IFERROR(__xludf.DUMMYFUNCTION("""COMPUTED_VALUE"""),"Offre speciale")</f>
        <v>Offre speciale</v>
      </c>
      <c r="E4656" s="10" t="str">
        <f>IFERROR(__xludf.DUMMYFUNCTION("""COMPUTED_VALUE"""),"GREENRELAIS")</f>
        <v>GREENRELAIS</v>
      </c>
      <c r="F4656" s="10">
        <f>IFERROR(__xludf.DUMMYFUNCTION("""COMPUTED_VALUE"""),7.61333333333333)</f>
        <v>7.613333333</v>
      </c>
      <c r="G4656" s="9">
        <f>IFERROR(__xludf.DUMMYFUNCTION("""COMPUTED_VALUE"""),5.71)</f>
        <v>5.71</v>
      </c>
      <c r="H4656" s="9">
        <f>IFERROR(__xludf.DUMMYFUNCTION("""COMPUTED_VALUE"""),2.0)</f>
        <v>2</v>
      </c>
      <c r="I4656" s="9"/>
      <c r="J4656" s="9"/>
      <c r="K4656" s="9"/>
      <c r="L4656" s="9"/>
      <c r="M4656" s="9"/>
      <c r="N4656" s="9"/>
      <c r="O4656" s="9"/>
      <c r="P4656" s="9"/>
      <c r="Q4656" s="9"/>
      <c r="R4656" s="9"/>
      <c r="S4656" s="9"/>
      <c r="T4656" s="9"/>
    </row>
    <row r="4657" ht="15.75" customHeight="1">
      <c r="A4657" s="11">
        <f>IFERROR(__xludf.DUMMYFUNCTION("""COMPUTED_VALUE"""),44471.0)</f>
        <v>44471</v>
      </c>
      <c r="B4657" s="9">
        <f>IFERROR(__xludf.DUMMYFUNCTION("""COMPUTED_VALUE"""),1003948.0)</f>
        <v>1003948</v>
      </c>
      <c r="C4657" s="9">
        <f>IFERROR(__xludf.DUMMYFUNCTION("""COMPUTED_VALUE"""),76364.0)</f>
        <v>76364</v>
      </c>
      <c r="D4657" s="9"/>
      <c r="E4657" s="10" t="str">
        <f>IFERROR(__xludf.DUMMYFUNCTION("""COMPUTED_VALUE"""),"GREENRELAIS")</f>
        <v>GREENRELAIS</v>
      </c>
      <c r="F4657" s="10">
        <f>IFERROR(__xludf.DUMMYFUNCTION("""COMPUTED_VALUE"""),2.06)</f>
        <v>2.06</v>
      </c>
      <c r="G4657" s="9">
        <f>IFERROR(__xludf.DUMMYFUNCTION("""COMPUTED_VALUE"""),2.06)</f>
        <v>2.06</v>
      </c>
      <c r="H4657" s="9">
        <f>IFERROR(__xludf.DUMMYFUNCTION("""COMPUTED_VALUE"""),2.0)</f>
        <v>2</v>
      </c>
      <c r="I4657" s="9"/>
      <c r="J4657" s="9"/>
      <c r="K4657" s="9"/>
      <c r="L4657" s="9"/>
      <c r="M4657" s="9"/>
      <c r="N4657" s="9"/>
      <c r="O4657" s="9"/>
      <c r="P4657" s="9"/>
      <c r="Q4657" s="9"/>
      <c r="R4657" s="9"/>
      <c r="S4657" s="9"/>
      <c r="T4657" s="9"/>
    </row>
    <row r="4658" ht="15.75" customHeight="1">
      <c r="A4658" s="11">
        <f>IFERROR(__xludf.DUMMYFUNCTION("""COMPUTED_VALUE"""),44471.0)</f>
        <v>44471</v>
      </c>
      <c r="B4658" s="9">
        <f>IFERROR(__xludf.DUMMYFUNCTION("""COMPUTED_VALUE"""),1003949.0)</f>
        <v>1003949</v>
      </c>
      <c r="C4658" s="9">
        <f>IFERROR(__xludf.DUMMYFUNCTION("""COMPUTED_VALUE"""),122026.0)</f>
        <v>122026</v>
      </c>
      <c r="D4658" s="10" t="str">
        <f>IFERROR(__xludf.DUMMYFUNCTION("""COMPUTED_VALUE"""),"Love &amp; Green Couches et Culottes sept 2021")</f>
        <v>Love &amp; Green Couches et Culottes sept 2021</v>
      </c>
      <c r="E4658" s="10" t="str">
        <f>IFERROR(__xludf.DUMMYFUNCTION("""COMPUTED_VALUE"""),"GREENRELAIS")</f>
        <v>GREENRELAIS</v>
      </c>
      <c r="F4658" s="10">
        <f>IFERROR(__xludf.DUMMYFUNCTION("""COMPUTED_VALUE"""),10.0142857142857)</f>
        <v>10.01428571</v>
      </c>
      <c r="G4658" s="9">
        <f>IFERROR(__xludf.DUMMYFUNCTION("""COMPUTED_VALUE"""),7.01)</f>
        <v>7.01</v>
      </c>
      <c r="H4658" s="9">
        <f>IFERROR(__xludf.DUMMYFUNCTION("""COMPUTED_VALUE"""),1.0)</f>
        <v>1</v>
      </c>
      <c r="I4658" s="9"/>
      <c r="J4658" s="9"/>
      <c r="K4658" s="9"/>
      <c r="L4658" s="9"/>
      <c r="M4658" s="9"/>
      <c r="N4658" s="9"/>
      <c r="O4658" s="9"/>
      <c r="P4658" s="9"/>
      <c r="Q4658" s="9"/>
      <c r="R4658" s="9"/>
      <c r="S4658" s="9"/>
      <c r="T4658" s="9"/>
    </row>
    <row r="4659" ht="15.75" customHeight="1">
      <c r="A4659" s="11">
        <f>IFERROR(__xludf.DUMMYFUNCTION("""COMPUTED_VALUE"""),44471.0)</f>
        <v>44471</v>
      </c>
      <c r="B4659" s="9">
        <f>IFERROR(__xludf.DUMMYFUNCTION("""COMPUTED_VALUE"""),1003949.0)</f>
        <v>1003949</v>
      </c>
      <c r="C4659" s="9">
        <f>IFERROR(__xludf.DUMMYFUNCTION("""COMPUTED_VALUE"""),103603.0)</f>
        <v>103603</v>
      </c>
      <c r="D4659" s="9"/>
      <c r="E4659" s="10" t="str">
        <f>IFERROR(__xludf.DUMMYFUNCTION("""COMPUTED_VALUE"""),"GREENRELAIS")</f>
        <v>GREENRELAIS</v>
      </c>
      <c r="F4659" s="10">
        <f>IFERROR(__xludf.DUMMYFUNCTION("""COMPUTED_VALUE"""),2.58)</f>
        <v>2.58</v>
      </c>
      <c r="G4659" s="9">
        <f>IFERROR(__xludf.DUMMYFUNCTION("""COMPUTED_VALUE"""),2.58)</f>
        <v>2.58</v>
      </c>
      <c r="H4659" s="9">
        <f>IFERROR(__xludf.DUMMYFUNCTION("""COMPUTED_VALUE"""),1.0)</f>
        <v>1</v>
      </c>
      <c r="I4659" s="9"/>
      <c r="J4659" s="9"/>
      <c r="K4659" s="9"/>
      <c r="L4659" s="9"/>
      <c r="M4659" s="9"/>
      <c r="N4659" s="9"/>
      <c r="O4659" s="9"/>
      <c r="P4659" s="9"/>
      <c r="Q4659" s="9"/>
      <c r="R4659" s="9"/>
      <c r="S4659" s="9"/>
      <c r="T4659" s="9"/>
    </row>
    <row r="4660" ht="15.75" customHeight="1">
      <c r="A4660" s="11">
        <f>IFERROR(__xludf.DUMMYFUNCTION("""COMPUTED_VALUE"""),44471.0)</f>
        <v>44471</v>
      </c>
      <c r="B4660" s="9">
        <f>IFERROR(__xludf.DUMMYFUNCTION("""COMPUTED_VALUE"""),1003949.0)</f>
        <v>1003949</v>
      </c>
      <c r="C4660" s="9">
        <f>IFERROR(__xludf.DUMMYFUNCTION("""COMPUTED_VALUE"""),102607.0)</f>
        <v>102607</v>
      </c>
      <c r="D4660" s="9"/>
      <c r="E4660" s="10" t="str">
        <f>IFERROR(__xludf.DUMMYFUNCTION("""COMPUTED_VALUE"""),"GREENRELAIS")</f>
        <v>GREENRELAIS</v>
      </c>
      <c r="F4660" s="10">
        <f>IFERROR(__xludf.DUMMYFUNCTION("""COMPUTED_VALUE"""),5.99)</f>
        <v>5.99</v>
      </c>
      <c r="G4660" s="9">
        <f>IFERROR(__xludf.DUMMYFUNCTION("""COMPUTED_VALUE"""),5.99)</f>
        <v>5.99</v>
      </c>
      <c r="H4660" s="9">
        <f>IFERROR(__xludf.DUMMYFUNCTION("""COMPUTED_VALUE"""),1.0)</f>
        <v>1</v>
      </c>
      <c r="I4660" s="9"/>
      <c r="J4660" s="9"/>
      <c r="K4660" s="9"/>
      <c r="L4660" s="9"/>
      <c r="M4660" s="9"/>
      <c r="N4660" s="9"/>
      <c r="O4660" s="9"/>
      <c r="P4660" s="9"/>
      <c r="Q4660" s="9"/>
      <c r="R4660" s="9"/>
      <c r="S4660" s="9"/>
      <c r="T4660" s="9"/>
    </row>
    <row r="4661" ht="15.75" customHeight="1">
      <c r="A4661" s="11">
        <f>IFERROR(__xludf.DUMMYFUNCTION("""COMPUTED_VALUE"""),44471.0)</f>
        <v>44471</v>
      </c>
      <c r="B4661" s="9">
        <f>IFERROR(__xludf.DUMMYFUNCTION("""COMPUTED_VALUE"""),1003949.0)</f>
        <v>1003949</v>
      </c>
      <c r="C4661" s="9">
        <f>IFERROR(__xludf.DUMMYFUNCTION("""COMPUTED_VALUE"""),95063.0)</f>
        <v>95063</v>
      </c>
      <c r="D4661" s="10" t="str">
        <f>IFERROR(__xludf.DUMMYFUNCTION("""COMPUTED_VALUE"""),"Offre Speciale")</f>
        <v>Offre Speciale</v>
      </c>
      <c r="E4661" s="10" t="str">
        <f>IFERROR(__xludf.DUMMYFUNCTION("""COMPUTED_VALUE"""),"GREENRELAIS")</f>
        <v>GREENRELAIS</v>
      </c>
      <c r="F4661" s="10">
        <f>IFERROR(__xludf.DUMMYFUNCTION("""COMPUTED_VALUE"""),6.76470588235294)</f>
        <v>6.764705882</v>
      </c>
      <c r="G4661" s="9">
        <f>IFERROR(__xludf.DUMMYFUNCTION("""COMPUTED_VALUE"""),5.75)</f>
        <v>5.75</v>
      </c>
      <c r="H4661" s="9">
        <f>IFERROR(__xludf.DUMMYFUNCTION("""COMPUTED_VALUE"""),2.0)</f>
        <v>2</v>
      </c>
      <c r="I4661" s="9"/>
      <c r="J4661" s="9"/>
      <c r="K4661" s="9"/>
      <c r="L4661" s="9"/>
      <c r="M4661" s="9"/>
      <c r="N4661" s="9"/>
      <c r="O4661" s="9"/>
      <c r="P4661" s="9"/>
      <c r="Q4661" s="9"/>
      <c r="R4661" s="9"/>
      <c r="S4661" s="9"/>
      <c r="T4661" s="9"/>
    </row>
    <row r="4662" ht="15.75" customHeight="1">
      <c r="A4662" s="11">
        <f>IFERROR(__xludf.DUMMYFUNCTION("""COMPUTED_VALUE"""),44471.0)</f>
        <v>44471</v>
      </c>
      <c r="B4662" s="9">
        <f>IFERROR(__xludf.DUMMYFUNCTION("""COMPUTED_VALUE"""),1003949.0)</f>
        <v>1003949</v>
      </c>
      <c r="C4662" s="9">
        <f>IFERROR(__xludf.DUMMYFUNCTION("""COMPUTED_VALUE"""),76281.0)</f>
        <v>76281</v>
      </c>
      <c r="D4662" s="10" t="str">
        <f>IFERROR(__xludf.DUMMYFUNCTION("""COMPUTED_VALUE"""),"Vive le bio")</f>
        <v>Vive le bio</v>
      </c>
      <c r="E4662" s="10" t="str">
        <f>IFERROR(__xludf.DUMMYFUNCTION("""COMPUTED_VALUE"""),"GREENRELAIS")</f>
        <v>GREENRELAIS</v>
      </c>
      <c r="F4662" s="10">
        <f>IFERROR(__xludf.DUMMYFUNCTION("""COMPUTED_VALUE"""),12.1555555555555)</f>
        <v>12.15555556</v>
      </c>
      <c r="G4662" s="9">
        <f>IFERROR(__xludf.DUMMYFUNCTION("""COMPUTED_VALUE"""),10.94)</f>
        <v>10.94</v>
      </c>
      <c r="H4662" s="9">
        <f>IFERROR(__xludf.DUMMYFUNCTION("""COMPUTED_VALUE"""),4.0)</f>
        <v>4</v>
      </c>
      <c r="I4662" s="9"/>
      <c r="J4662" s="9"/>
      <c r="K4662" s="9"/>
      <c r="L4662" s="9"/>
      <c r="M4662" s="9"/>
      <c r="N4662" s="9"/>
      <c r="O4662" s="9"/>
      <c r="P4662" s="9"/>
      <c r="Q4662" s="9"/>
      <c r="R4662" s="9"/>
      <c r="S4662" s="9"/>
      <c r="T4662" s="9"/>
    </row>
    <row r="4663" ht="15.75" customHeight="1">
      <c r="A4663" s="11">
        <f>IFERROR(__xludf.DUMMYFUNCTION("""COMPUTED_VALUE"""),44471.0)</f>
        <v>44471</v>
      </c>
      <c r="B4663" s="9">
        <f>IFERROR(__xludf.DUMMYFUNCTION("""COMPUTED_VALUE"""),1003949.0)</f>
        <v>1003949</v>
      </c>
      <c r="C4663" s="9">
        <f>IFERROR(__xludf.DUMMYFUNCTION("""COMPUTED_VALUE"""),76366.0)</f>
        <v>76366</v>
      </c>
      <c r="D4663" s="10" t="str">
        <f>IFERROR(__xludf.DUMMYFUNCTION("""COMPUTED_VALUE"""),"Vive le bio")</f>
        <v>Vive le bio</v>
      </c>
      <c r="E4663" s="10" t="str">
        <f>IFERROR(__xludf.DUMMYFUNCTION("""COMPUTED_VALUE"""),"GREENRELAIS")</f>
        <v>GREENRELAIS</v>
      </c>
      <c r="F4663" s="10">
        <f>IFERROR(__xludf.DUMMYFUNCTION("""COMPUTED_VALUE"""),28.8666666666666)</f>
        <v>28.86666667</v>
      </c>
      <c r="G4663" s="9">
        <f>IFERROR(__xludf.DUMMYFUNCTION("""COMPUTED_VALUE"""),25.98)</f>
        <v>25.98</v>
      </c>
      <c r="H4663" s="9">
        <f>IFERROR(__xludf.DUMMYFUNCTION("""COMPUTED_VALUE"""),10.0)</f>
        <v>10</v>
      </c>
      <c r="I4663" s="9"/>
      <c r="J4663" s="9"/>
      <c r="K4663" s="9"/>
      <c r="L4663" s="9"/>
      <c r="M4663" s="9"/>
      <c r="N4663" s="9"/>
      <c r="O4663" s="9"/>
      <c r="P4663" s="9"/>
      <c r="Q4663" s="9"/>
      <c r="R4663" s="9"/>
      <c r="S4663" s="9"/>
      <c r="T4663" s="9"/>
    </row>
    <row r="4664" ht="15.75" customHeight="1">
      <c r="A4664" s="11">
        <f>IFERROR(__xludf.DUMMYFUNCTION("""COMPUTED_VALUE"""),44471.0)</f>
        <v>44471</v>
      </c>
      <c r="B4664" s="9">
        <f>IFERROR(__xludf.DUMMYFUNCTION("""COMPUTED_VALUE"""),1003950.0)</f>
        <v>1003950</v>
      </c>
      <c r="C4664" s="9">
        <f>IFERROR(__xludf.DUMMYFUNCTION("""COMPUTED_VALUE"""),76514.0)</f>
        <v>76514</v>
      </c>
      <c r="D4664" s="9"/>
      <c r="E4664" s="10" t="str">
        <f>IFERROR(__xludf.DUMMYFUNCTION("""COMPUTED_VALUE"""),"GREENRELAIS")</f>
        <v>GREENRELAIS</v>
      </c>
      <c r="F4664" s="10">
        <f>IFERROR(__xludf.DUMMYFUNCTION("""COMPUTED_VALUE"""),9.54)</f>
        <v>9.54</v>
      </c>
      <c r="G4664" s="9">
        <f>IFERROR(__xludf.DUMMYFUNCTION("""COMPUTED_VALUE"""),9.54)</f>
        <v>9.54</v>
      </c>
      <c r="H4664" s="9">
        <f>IFERROR(__xludf.DUMMYFUNCTION("""COMPUTED_VALUE"""),1.0)</f>
        <v>1</v>
      </c>
      <c r="I4664" s="9"/>
      <c r="J4664" s="9"/>
      <c r="K4664" s="9"/>
      <c r="L4664" s="9"/>
      <c r="M4664" s="9"/>
      <c r="N4664" s="9"/>
      <c r="O4664" s="9"/>
      <c r="P4664" s="9"/>
      <c r="Q4664" s="9"/>
      <c r="R4664" s="9"/>
      <c r="S4664" s="9"/>
      <c r="T4664" s="9"/>
    </row>
    <row r="4665" ht="15.75" customHeight="1">
      <c r="A4665" s="11">
        <f>IFERROR(__xludf.DUMMYFUNCTION("""COMPUTED_VALUE"""),44471.0)</f>
        <v>44471</v>
      </c>
      <c r="B4665" s="9">
        <f>IFERROR(__xludf.DUMMYFUNCTION("""COMPUTED_VALUE"""),1003950.0)</f>
        <v>1003950</v>
      </c>
      <c r="C4665" s="9">
        <f>IFERROR(__xludf.DUMMYFUNCTION("""COMPUTED_VALUE"""),45642.0)</f>
        <v>45642</v>
      </c>
      <c r="D4665" s="9"/>
      <c r="E4665" s="10" t="str">
        <f>IFERROR(__xludf.DUMMYFUNCTION("""COMPUTED_VALUE"""),"GREENRELAIS")</f>
        <v>GREENRELAIS</v>
      </c>
      <c r="F4665" s="10">
        <f>IFERROR(__xludf.DUMMYFUNCTION("""COMPUTED_VALUE"""),4.12)</f>
        <v>4.12</v>
      </c>
      <c r="G4665" s="9">
        <f>IFERROR(__xludf.DUMMYFUNCTION("""COMPUTED_VALUE"""),4.12)</f>
        <v>4.12</v>
      </c>
      <c r="H4665" s="9">
        <f>IFERROR(__xludf.DUMMYFUNCTION("""COMPUTED_VALUE"""),1.0)</f>
        <v>1</v>
      </c>
      <c r="I4665" s="9"/>
      <c r="J4665" s="9"/>
      <c r="K4665" s="9"/>
      <c r="L4665" s="9"/>
      <c r="M4665" s="9"/>
      <c r="N4665" s="9"/>
      <c r="O4665" s="9"/>
      <c r="P4665" s="9"/>
      <c r="Q4665" s="9"/>
      <c r="R4665" s="9"/>
      <c r="S4665" s="9"/>
      <c r="T4665" s="9"/>
    </row>
    <row r="4666" ht="15.75" customHeight="1">
      <c r="A4666" s="11">
        <f>IFERROR(__xludf.DUMMYFUNCTION("""COMPUTED_VALUE"""),44471.0)</f>
        <v>44471</v>
      </c>
      <c r="B4666" s="9">
        <f>IFERROR(__xludf.DUMMYFUNCTION("""COMPUTED_VALUE"""),1003950.0)</f>
        <v>1003950</v>
      </c>
      <c r="C4666" s="9">
        <f>IFERROR(__xludf.DUMMYFUNCTION("""COMPUTED_VALUE"""),119117.0)</f>
        <v>119117</v>
      </c>
      <c r="D4666" s="9"/>
      <c r="E4666" s="10" t="str">
        <f>IFERROR(__xludf.DUMMYFUNCTION("""COMPUTED_VALUE"""),"GREENRELAIS")</f>
        <v>GREENRELAIS</v>
      </c>
      <c r="F4666" s="10">
        <f>IFERROR(__xludf.DUMMYFUNCTION("""COMPUTED_VALUE"""),6.16)</f>
        <v>6.16</v>
      </c>
      <c r="G4666" s="9">
        <f>IFERROR(__xludf.DUMMYFUNCTION("""COMPUTED_VALUE"""),6.16)</f>
        <v>6.16</v>
      </c>
      <c r="H4666" s="9">
        <f>IFERROR(__xludf.DUMMYFUNCTION("""COMPUTED_VALUE"""),1.0)</f>
        <v>1</v>
      </c>
      <c r="I4666" s="9"/>
      <c r="J4666" s="9"/>
      <c r="K4666" s="9"/>
      <c r="L4666" s="9"/>
      <c r="M4666" s="9"/>
      <c r="N4666" s="9"/>
      <c r="O4666" s="9"/>
      <c r="P4666" s="9"/>
      <c r="Q4666" s="9"/>
      <c r="R4666" s="9"/>
      <c r="S4666" s="9"/>
      <c r="T4666" s="9"/>
    </row>
    <row r="4667" ht="15.75" customHeight="1">
      <c r="A4667" s="11">
        <f>IFERROR(__xludf.DUMMYFUNCTION("""COMPUTED_VALUE"""),44471.0)</f>
        <v>44471</v>
      </c>
      <c r="B4667" s="9">
        <f>IFERROR(__xludf.DUMMYFUNCTION("""COMPUTED_VALUE"""),1003950.0)</f>
        <v>1003950</v>
      </c>
      <c r="C4667" s="9">
        <f>IFERROR(__xludf.DUMMYFUNCTION("""COMPUTED_VALUE"""),119118.0)</f>
        <v>119118</v>
      </c>
      <c r="D4667" s="9"/>
      <c r="E4667" s="10" t="str">
        <f>IFERROR(__xludf.DUMMYFUNCTION("""COMPUTED_VALUE"""),"GREENRELAIS")</f>
        <v>GREENRELAIS</v>
      </c>
      <c r="F4667" s="10">
        <f>IFERROR(__xludf.DUMMYFUNCTION("""COMPUTED_VALUE"""),6.16)</f>
        <v>6.16</v>
      </c>
      <c r="G4667" s="9">
        <f>IFERROR(__xludf.DUMMYFUNCTION("""COMPUTED_VALUE"""),6.16)</f>
        <v>6.16</v>
      </c>
      <c r="H4667" s="9">
        <f>IFERROR(__xludf.DUMMYFUNCTION("""COMPUTED_VALUE"""),1.0)</f>
        <v>1</v>
      </c>
      <c r="I4667" s="9"/>
      <c r="J4667" s="9"/>
      <c r="K4667" s="9"/>
      <c r="L4667" s="9"/>
      <c r="M4667" s="9"/>
      <c r="N4667" s="9"/>
      <c r="O4667" s="9"/>
      <c r="P4667" s="9"/>
      <c r="Q4667" s="9"/>
      <c r="R4667" s="9"/>
      <c r="S4667" s="9"/>
      <c r="T4667" s="9"/>
    </row>
    <row r="4668" ht="15.75" customHeight="1">
      <c r="A4668" s="11">
        <f>IFERROR(__xludf.DUMMYFUNCTION("""COMPUTED_VALUE"""),44471.0)</f>
        <v>44471</v>
      </c>
      <c r="B4668" s="9">
        <f>IFERROR(__xludf.DUMMYFUNCTION("""COMPUTED_VALUE"""),1003950.0)</f>
        <v>1003950</v>
      </c>
      <c r="C4668" s="9">
        <f>IFERROR(__xludf.DUMMYFUNCTION("""COMPUTED_VALUE"""),24076.0)</f>
        <v>24076</v>
      </c>
      <c r="D4668" s="9"/>
      <c r="E4668" s="10" t="str">
        <f>IFERROR(__xludf.DUMMYFUNCTION("""COMPUTED_VALUE"""),"GREENRELAIS")</f>
        <v>GREENRELAIS</v>
      </c>
      <c r="F4668" s="10">
        <f>IFERROR(__xludf.DUMMYFUNCTION("""COMPUTED_VALUE"""),6.41)</f>
        <v>6.41</v>
      </c>
      <c r="G4668" s="9">
        <f>IFERROR(__xludf.DUMMYFUNCTION("""COMPUTED_VALUE"""),6.41)</f>
        <v>6.41</v>
      </c>
      <c r="H4668" s="9">
        <f>IFERROR(__xludf.DUMMYFUNCTION("""COMPUTED_VALUE"""),1.0)</f>
        <v>1</v>
      </c>
      <c r="I4668" s="9"/>
      <c r="J4668" s="9"/>
      <c r="K4668" s="9"/>
      <c r="L4668" s="9"/>
      <c r="M4668" s="9"/>
      <c r="N4668" s="9"/>
      <c r="O4668" s="9"/>
      <c r="P4668" s="9"/>
      <c r="Q4668" s="9"/>
      <c r="R4668" s="9"/>
      <c r="S4668" s="9"/>
      <c r="T4668" s="9"/>
    </row>
    <row r="4669" ht="15.75" customHeight="1">
      <c r="A4669" s="11">
        <f>IFERROR(__xludf.DUMMYFUNCTION("""COMPUTED_VALUE"""),44471.0)</f>
        <v>44471</v>
      </c>
      <c r="B4669" s="9">
        <f>IFERROR(__xludf.DUMMYFUNCTION("""COMPUTED_VALUE"""),1003950.0)</f>
        <v>1003950</v>
      </c>
      <c r="C4669" s="9">
        <f>IFERROR(__xludf.DUMMYFUNCTION("""COMPUTED_VALUE"""),47325.0)</f>
        <v>47325</v>
      </c>
      <c r="D4669" s="9"/>
      <c r="E4669" s="10" t="str">
        <f>IFERROR(__xludf.DUMMYFUNCTION("""COMPUTED_VALUE"""),"GREENRELAIS")</f>
        <v>GREENRELAIS</v>
      </c>
      <c r="F4669" s="10">
        <f>IFERROR(__xludf.DUMMYFUNCTION("""COMPUTED_VALUE"""),5.17)</f>
        <v>5.17</v>
      </c>
      <c r="G4669" s="9">
        <f>IFERROR(__xludf.DUMMYFUNCTION("""COMPUTED_VALUE"""),5.17)</f>
        <v>5.17</v>
      </c>
      <c r="H4669" s="9">
        <f>IFERROR(__xludf.DUMMYFUNCTION("""COMPUTED_VALUE"""),1.0)</f>
        <v>1</v>
      </c>
      <c r="I4669" s="9"/>
      <c r="J4669" s="9"/>
      <c r="K4669" s="9"/>
      <c r="L4669" s="9"/>
      <c r="M4669" s="9"/>
      <c r="N4669" s="9"/>
      <c r="O4669" s="9"/>
      <c r="P4669" s="9"/>
      <c r="Q4669" s="9"/>
      <c r="R4669" s="9"/>
      <c r="S4669" s="9"/>
      <c r="T4669" s="9"/>
    </row>
    <row r="4670" ht="15.75" customHeight="1">
      <c r="A4670" s="11">
        <f>IFERROR(__xludf.DUMMYFUNCTION("""COMPUTED_VALUE"""),44471.0)</f>
        <v>44471</v>
      </c>
      <c r="B4670" s="9">
        <f>IFERROR(__xludf.DUMMYFUNCTION("""COMPUTED_VALUE"""),1003950.0)</f>
        <v>1003950</v>
      </c>
      <c r="C4670" s="9">
        <f>IFERROR(__xludf.DUMMYFUNCTION("""COMPUTED_VALUE"""),110226.0)</f>
        <v>110226</v>
      </c>
      <c r="D4670" s="9"/>
      <c r="E4670" s="10" t="str">
        <f>IFERROR(__xludf.DUMMYFUNCTION("""COMPUTED_VALUE"""),"GREENRELAIS")</f>
        <v>GREENRELAIS</v>
      </c>
      <c r="F4670" s="10">
        <f>IFERROR(__xludf.DUMMYFUNCTION("""COMPUTED_VALUE"""),117.39)</f>
        <v>117.39</v>
      </c>
      <c r="G4670" s="9">
        <f>IFERROR(__xludf.DUMMYFUNCTION("""COMPUTED_VALUE"""),117.39)</f>
        <v>117.39</v>
      </c>
      <c r="H4670" s="9">
        <f>IFERROR(__xludf.DUMMYFUNCTION("""COMPUTED_VALUE"""),5.0)</f>
        <v>5</v>
      </c>
      <c r="I4670" s="9"/>
      <c r="J4670" s="9"/>
      <c r="K4670" s="9"/>
      <c r="L4670" s="9"/>
      <c r="M4670" s="9"/>
      <c r="N4670" s="9"/>
      <c r="O4670" s="9"/>
      <c r="P4670" s="9"/>
      <c r="Q4670" s="9"/>
      <c r="R4670" s="9"/>
      <c r="S4670" s="9"/>
      <c r="T4670" s="9"/>
    </row>
    <row r="4671" ht="15.75" customHeight="1">
      <c r="A4671" s="11">
        <f>IFERROR(__xludf.DUMMYFUNCTION("""COMPUTED_VALUE"""),44471.0)</f>
        <v>44471</v>
      </c>
      <c r="B4671" s="9">
        <f>IFERROR(__xludf.DUMMYFUNCTION("""COMPUTED_VALUE"""),1003951.0)</f>
        <v>1003951</v>
      </c>
      <c r="C4671" s="9">
        <f>IFERROR(__xludf.DUMMYFUNCTION("""COMPUTED_VALUE"""),111576.0)</f>
        <v>111576</v>
      </c>
      <c r="D4671" s="10" t="str">
        <f>IFERROR(__xludf.DUMMYFUNCTION("""COMPUTED_VALUE"""),"dlc courte")</f>
        <v>dlc courte</v>
      </c>
      <c r="E4671" s="10"/>
      <c r="F4671" s="9">
        <f>IFERROR(__xludf.DUMMYFUNCTION("""COMPUTED_VALUE"""),10.02)</f>
        <v>10.02</v>
      </c>
      <c r="G4671" s="9">
        <f>IFERROR(__xludf.DUMMYFUNCTION("""COMPUTED_VALUE"""),5.01)</f>
        <v>5.01</v>
      </c>
      <c r="H4671" s="9">
        <f>IFERROR(__xludf.DUMMYFUNCTION("""COMPUTED_VALUE"""),1.0)</f>
        <v>1</v>
      </c>
      <c r="I4671" s="9"/>
      <c r="J4671" s="9"/>
      <c r="K4671" s="9"/>
      <c r="L4671" s="9"/>
      <c r="M4671" s="9"/>
      <c r="N4671" s="9"/>
      <c r="O4671" s="9"/>
      <c r="P4671" s="9"/>
      <c r="Q4671" s="9"/>
      <c r="R4671" s="9"/>
      <c r="S4671" s="9"/>
      <c r="T4671" s="9"/>
    </row>
    <row r="4672" ht="15.75" customHeight="1">
      <c r="A4672" s="11">
        <f>IFERROR(__xludf.DUMMYFUNCTION("""COMPUTED_VALUE"""),44471.0)</f>
        <v>44471</v>
      </c>
      <c r="B4672" s="9">
        <f>IFERROR(__xludf.DUMMYFUNCTION("""COMPUTED_VALUE"""),1003951.0)</f>
        <v>1003951</v>
      </c>
      <c r="C4672" s="9">
        <f>IFERROR(__xludf.DUMMYFUNCTION("""COMPUTED_VALUE"""),10571.0)</f>
        <v>10571</v>
      </c>
      <c r="D4672" s="9"/>
      <c r="E4672" s="9"/>
      <c r="F4672" s="9">
        <f>IFERROR(__xludf.DUMMYFUNCTION("""COMPUTED_VALUE"""),7.54)</f>
        <v>7.54</v>
      </c>
      <c r="G4672" s="9">
        <f>IFERROR(__xludf.DUMMYFUNCTION("""COMPUTED_VALUE"""),7.54)</f>
        <v>7.54</v>
      </c>
      <c r="H4672" s="9">
        <f>IFERROR(__xludf.DUMMYFUNCTION("""COMPUTED_VALUE"""),1.0)</f>
        <v>1</v>
      </c>
      <c r="I4672" s="9"/>
      <c r="J4672" s="9"/>
      <c r="K4672" s="9"/>
      <c r="L4672" s="9"/>
      <c r="M4672" s="9"/>
      <c r="N4672" s="9"/>
      <c r="O4672" s="9"/>
      <c r="P4672" s="9"/>
      <c r="Q4672" s="9"/>
      <c r="R4672" s="9"/>
      <c r="S4672" s="9"/>
      <c r="T4672" s="9"/>
    </row>
    <row r="4673" ht="15.75" customHeight="1">
      <c r="A4673" s="11">
        <f>IFERROR(__xludf.DUMMYFUNCTION("""COMPUTED_VALUE"""),44471.0)</f>
        <v>44471</v>
      </c>
      <c r="B4673" s="9">
        <f>IFERROR(__xludf.DUMMYFUNCTION("""COMPUTED_VALUE"""),1003952.0)</f>
        <v>1003952</v>
      </c>
      <c r="C4673" s="9">
        <f>IFERROR(__xludf.DUMMYFUNCTION("""COMPUTED_VALUE"""),122747.0)</f>
        <v>122747</v>
      </c>
      <c r="D4673" s="9"/>
      <c r="E4673" s="9"/>
      <c r="F4673" s="9">
        <f>IFERROR(__xludf.DUMMYFUNCTION("""COMPUTED_VALUE"""),104.03)</f>
        <v>104.03</v>
      </c>
      <c r="G4673" s="9">
        <f>IFERROR(__xludf.DUMMYFUNCTION("""COMPUTED_VALUE"""),104.03)</f>
        <v>104.03</v>
      </c>
      <c r="H4673" s="9">
        <f>IFERROR(__xludf.DUMMYFUNCTION("""COMPUTED_VALUE"""),6.0)</f>
        <v>6</v>
      </c>
      <c r="I4673" s="9"/>
      <c r="J4673" s="9"/>
      <c r="K4673" s="9"/>
      <c r="L4673" s="9"/>
      <c r="M4673" s="9"/>
      <c r="N4673" s="9"/>
      <c r="O4673" s="9"/>
      <c r="P4673" s="9"/>
      <c r="Q4673" s="9"/>
      <c r="R4673" s="9"/>
      <c r="S4673" s="9"/>
      <c r="T4673" s="9"/>
    </row>
    <row r="4674" ht="15.75" customHeight="1">
      <c r="A4674" s="11">
        <f>IFERROR(__xludf.DUMMYFUNCTION("""COMPUTED_VALUE"""),44471.0)</f>
        <v>44471</v>
      </c>
      <c r="B4674" s="9">
        <f>IFERROR(__xludf.DUMMYFUNCTION("""COMPUTED_VALUE"""),1003953.0)</f>
        <v>1003953</v>
      </c>
      <c r="C4674" s="9">
        <f>IFERROR(__xludf.DUMMYFUNCTION("""COMPUTED_VALUE"""),105656.0)</f>
        <v>105656</v>
      </c>
      <c r="D4674" s="9"/>
      <c r="E4674" s="10" t="str">
        <f>IFERROR(__xludf.DUMMYFUNCTION("""COMPUTED_VALUE"""),"GREENRELAIS")</f>
        <v>GREENRELAIS</v>
      </c>
      <c r="F4674" s="10">
        <f>IFERROR(__xludf.DUMMYFUNCTION("""COMPUTED_VALUE"""),16.62)</f>
        <v>16.62</v>
      </c>
      <c r="G4674" s="9">
        <f>IFERROR(__xludf.DUMMYFUNCTION("""COMPUTED_VALUE"""),16.62)</f>
        <v>16.62</v>
      </c>
      <c r="H4674" s="9">
        <f>IFERROR(__xludf.DUMMYFUNCTION("""COMPUTED_VALUE"""),1.0)</f>
        <v>1</v>
      </c>
      <c r="I4674" s="9"/>
      <c r="J4674" s="9"/>
      <c r="K4674" s="9"/>
      <c r="L4674" s="9"/>
      <c r="M4674" s="9"/>
      <c r="N4674" s="9"/>
      <c r="O4674" s="9"/>
      <c r="P4674" s="9"/>
      <c r="Q4674" s="9"/>
      <c r="R4674" s="9"/>
      <c r="S4674" s="9"/>
      <c r="T4674" s="9"/>
    </row>
    <row r="4675" ht="15.75" customHeight="1">
      <c r="A4675" s="11">
        <f>IFERROR(__xludf.DUMMYFUNCTION("""COMPUTED_VALUE"""),44471.0)</f>
        <v>44471</v>
      </c>
      <c r="B4675" s="9">
        <f>IFERROR(__xludf.DUMMYFUNCTION("""COMPUTED_VALUE"""),1003953.0)</f>
        <v>1003953</v>
      </c>
      <c r="C4675" s="9">
        <f>IFERROR(__xludf.DUMMYFUNCTION("""COMPUTED_VALUE"""),117638.0)</f>
        <v>117638</v>
      </c>
      <c r="D4675" s="9"/>
      <c r="E4675" s="10" t="str">
        <f>IFERROR(__xludf.DUMMYFUNCTION("""COMPUTED_VALUE"""),"GREENRELAIS")</f>
        <v>GREENRELAIS</v>
      </c>
      <c r="F4675" s="10">
        <f>IFERROR(__xludf.DUMMYFUNCTION("""COMPUTED_VALUE"""),3.03)</f>
        <v>3.03</v>
      </c>
      <c r="G4675" s="9">
        <f>IFERROR(__xludf.DUMMYFUNCTION("""COMPUTED_VALUE"""),3.03)</f>
        <v>3.03</v>
      </c>
      <c r="H4675" s="9">
        <f>IFERROR(__xludf.DUMMYFUNCTION("""COMPUTED_VALUE"""),1.0)</f>
        <v>1</v>
      </c>
      <c r="I4675" s="9"/>
      <c r="J4675" s="9"/>
      <c r="K4675" s="9"/>
      <c r="L4675" s="9"/>
      <c r="M4675" s="9"/>
      <c r="N4675" s="9"/>
      <c r="O4675" s="9"/>
      <c r="P4675" s="9"/>
      <c r="Q4675" s="9"/>
      <c r="R4675" s="9"/>
      <c r="S4675" s="9"/>
      <c r="T4675" s="9"/>
    </row>
    <row r="4676" ht="15.75" customHeight="1">
      <c r="A4676" s="11">
        <f>IFERROR(__xludf.DUMMYFUNCTION("""COMPUTED_VALUE"""),44471.0)</f>
        <v>44471</v>
      </c>
      <c r="B4676" s="9">
        <f>IFERROR(__xludf.DUMMYFUNCTION("""COMPUTED_VALUE"""),1003953.0)</f>
        <v>1003953</v>
      </c>
      <c r="C4676" s="9">
        <f>IFERROR(__xludf.DUMMYFUNCTION("""COMPUTED_VALUE"""),116446.0)</f>
        <v>116446</v>
      </c>
      <c r="D4676" s="9"/>
      <c r="E4676" s="10" t="str">
        <f>IFERROR(__xludf.DUMMYFUNCTION("""COMPUTED_VALUE"""),"GREENRELAIS")</f>
        <v>GREENRELAIS</v>
      </c>
      <c r="F4676" s="10">
        <f>IFERROR(__xludf.DUMMYFUNCTION("""COMPUTED_VALUE"""),2.91)</f>
        <v>2.91</v>
      </c>
      <c r="G4676" s="9">
        <f>IFERROR(__xludf.DUMMYFUNCTION("""COMPUTED_VALUE"""),2.91)</f>
        <v>2.91</v>
      </c>
      <c r="H4676" s="9">
        <f>IFERROR(__xludf.DUMMYFUNCTION("""COMPUTED_VALUE"""),1.0)</f>
        <v>1</v>
      </c>
      <c r="I4676" s="9"/>
      <c r="J4676" s="9"/>
      <c r="K4676" s="9"/>
      <c r="L4676" s="9"/>
      <c r="M4676" s="9"/>
      <c r="N4676" s="9"/>
      <c r="O4676" s="9"/>
      <c r="P4676" s="9"/>
      <c r="Q4676" s="9"/>
      <c r="R4676" s="9"/>
      <c r="S4676" s="9"/>
      <c r="T4676" s="9"/>
    </row>
    <row r="4677" ht="15.75" customHeight="1">
      <c r="A4677" s="11">
        <f>IFERROR(__xludf.DUMMYFUNCTION("""COMPUTED_VALUE"""),44471.0)</f>
        <v>44471</v>
      </c>
      <c r="B4677" s="9">
        <f>IFERROR(__xludf.DUMMYFUNCTION("""COMPUTED_VALUE"""),1003953.0)</f>
        <v>1003953</v>
      </c>
      <c r="C4677" s="9">
        <f>IFERROR(__xludf.DUMMYFUNCTION("""COMPUTED_VALUE"""),115770.0)</f>
        <v>115770</v>
      </c>
      <c r="D4677" s="9"/>
      <c r="E4677" s="10" t="str">
        <f>IFERROR(__xludf.DUMMYFUNCTION("""COMPUTED_VALUE"""),"GREENRELAIS")</f>
        <v>GREENRELAIS</v>
      </c>
      <c r="F4677" s="10">
        <f>IFERROR(__xludf.DUMMYFUNCTION("""COMPUTED_VALUE"""),3.21)</f>
        <v>3.21</v>
      </c>
      <c r="G4677" s="9">
        <f>IFERROR(__xludf.DUMMYFUNCTION("""COMPUTED_VALUE"""),3.21)</f>
        <v>3.21</v>
      </c>
      <c r="H4677" s="9">
        <f>IFERROR(__xludf.DUMMYFUNCTION("""COMPUTED_VALUE"""),1.0)</f>
        <v>1</v>
      </c>
      <c r="I4677" s="9"/>
      <c r="J4677" s="9"/>
      <c r="K4677" s="9"/>
      <c r="L4677" s="9"/>
      <c r="M4677" s="9"/>
      <c r="N4677" s="9"/>
      <c r="O4677" s="9"/>
      <c r="P4677" s="9"/>
      <c r="Q4677" s="9"/>
      <c r="R4677" s="9"/>
      <c r="S4677" s="9"/>
      <c r="T4677" s="9"/>
    </row>
    <row r="4678" ht="15.75" customHeight="1">
      <c r="A4678" s="11">
        <f>IFERROR(__xludf.DUMMYFUNCTION("""COMPUTED_VALUE"""),44471.0)</f>
        <v>44471</v>
      </c>
      <c r="B4678" s="9">
        <f>IFERROR(__xludf.DUMMYFUNCTION("""COMPUTED_VALUE"""),1003953.0)</f>
        <v>1003953</v>
      </c>
      <c r="C4678" s="9">
        <f>IFERROR(__xludf.DUMMYFUNCTION("""COMPUTED_VALUE"""),113608.0)</f>
        <v>113608</v>
      </c>
      <c r="D4678" s="10" t="str">
        <f>IFERROR(__xludf.DUMMYFUNCTION("""COMPUTED_VALUE"""),"Vive le bio")</f>
        <v>Vive le bio</v>
      </c>
      <c r="E4678" s="10" t="str">
        <f>IFERROR(__xludf.DUMMYFUNCTION("""COMPUTED_VALUE"""),"GREENRELAIS")</f>
        <v>GREENRELAIS</v>
      </c>
      <c r="F4678" s="10">
        <f>IFERROR(__xludf.DUMMYFUNCTION("""COMPUTED_VALUE"""),16.4222222222222)</f>
        <v>16.42222222</v>
      </c>
      <c r="G4678" s="9">
        <f>IFERROR(__xludf.DUMMYFUNCTION("""COMPUTED_VALUE"""),14.78)</f>
        <v>14.78</v>
      </c>
      <c r="H4678" s="9">
        <f>IFERROR(__xludf.DUMMYFUNCTION("""COMPUTED_VALUE"""),1.0)</f>
        <v>1</v>
      </c>
      <c r="I4678" s="9"/>
      <c r="J4678" s="9"/>
      <c r="K4678" s="9"/>
      <c r="L4678" s="9"/>
      <c r="M4678" s="9"/>
      <c r="N4678" s="9"/>
      <c r="O4678" s="9"/>
      <c r="P4678" s="9"/>
      <c r="Q4678" s="9"/>
      <c r="R4678" s="9"/>
      <c r="S4678" s="9"/>
      <c r="T4678" s="9"/>
    </row>
    <row r="4679" ht="15.75" customHeight="1">
      <c r="A4679" s="11">
        <f>IFERROR(__xludf.DUMMYFUNCTION("""COMPUTED_VALUE"""),44471.0)</f>
        <v>44471</v>
      </c>
      <c r="B4679" s="9">
        <f>IFERROR(__xludf.DUMMYFUNCTION("""COMPUTED_VALUE"""),1003953.0)</f>
        <v>1003953</v>
      </c>
      <c r="C4679" s="9">
        <f>IFERROR(__xludf.DUMMYFUNCTION("""COMPUTED_VALUE"""),44718.0)</f>
        <v>44718</v>
      </c>
      <c r="D4679" s="10" t="str">
        <f>IFERROR(__xludf.DUMMYFUNCTION("""COMPUTED_VALUE"""),"Offre speciale")</f>
        <v>Offre speciale</v>
      </c>
      <c r="E4679" s="10" t="str">
        <f>IFERROR(__xludf.DUMMYFUNCTION("""COMPUTED_VALUE"""),"GREENRELAIS")</f>
        <v>GREENRELAIS</v>
      </c>
      <c r="F4679" s="10">
        <f>IFERROR(__xludf.DUMMYFUNCTION("""COMPUTED_VALUE"""),3.78260869565217)</f>
        <v>3.782608696</v>
      </c>
      <c r="G4679" s="9">
        <f>IFERROR(__xludf.DUMMYFUNCTION("""COMPUTED_VALUE"""),3.48)</f>
        <v>3.48</v>
      </c>
      <c r="H4679" s="9">
        <f>IFERROR(__xludf.DUMMYFUNCTION("""COMPUTED_VALUE"""),2.0)</f>
        <v>2</v>
      </c>
      <c r="I4679" s="9"/>
      <c r="J4679" s="9"/>
      <c r="K4679" s="9"/>
      <c r="L4679" s="9"/>
      <c r="M4679" s="9"/>
      <c r="N4679" s="9"/>
      <c r="O4679" s="9"/>
      <c r="P4679" s="9"/>
      <c r="Q4679" s="9"/>
      <c r="R4679" s="9"/>
      <c r="S4679" s="9"/>
      <c r="T4679" s="9"/>
    </row>
    <row r="4680" ht="15.75" customHeight="1">
      <c r="A4680" s="11">
        <f>IFERROR(__xludf.DUMMYFUNCTION("""COMPUTED_VALUE"""),44471.0)</f>
        <v>44471</v>
      </c>
      <c r="B4680" s="9">
        <f>IFERROR(__xludf.DUMMYFUNCTION("""COMPUTED_VALUE"""),1003953.0)</f>
        <v>1003953</v>
      </c>
      <c r="C4680" s="9">
        <f>IFERROR(__xludf.DUMMYFUNCTION("""COMPUTED_VALUE"""),115768.0)</f>
        <v>115768</v>
      </c>
      <c r="D4680" s="9"/>
      <c r="E4680" s="10" t="str">
        <f>IFERROR(__xludf.DUMMYFUNCTION("""COMPUTED_VALUE"""),"GREENRELAIS")</f>
        <v>GREENRELAIS</v>
      </c>
      <c r="F4680" s="10">
        <f>IFERROR(__xludf.DUMMYFUNCTION("""COMPUTED_VALUE"""),2.69)</f>
        <v>2.69</v>
      </c>
      <c r="G4680" s="9">
        <f>IFERROR(__xludf.DUMMYFUNCTION("""COMPUTED_VALUE"""),2.69)</f>
        <v>2.69</v>
      </c>
      <c r="H4680" s="9">
        <f>IFERROR(__xludf.DUMMYFUNCTION("""COMPUTED_VALUE"""),2.0)</f>
        <v>2</v>
      </c>
      <c r="I4680" s="9"/>
      <c r="J4680" s="9"/>
      <c r="K4680" s="9"/>
      <c r="L4680" s="9"/>
      <c r="M4680" s="9"/>
      <c r="N4680" s="9"/>
      <c r="O4680" s="9"/>
      <c r="P4680" s="9"/>
      <c r="Q4680" s="9"/>
      <c r="R4680" s="9"/>
      <c r="S4680" s="9"/>
      <c r="T4680" s="9"/>
    </row>
    <row r="4681" ht="15.75" customHeight="1">
      <c r="A4681" s="11">
        <f>IFERROR(__xludf.DUMMYFUNCTION("""COMPUTED_VALUE"""),44471.0)</f>
        <v>44471</v>
      </c>
      <c r="B4681" s="9">
        <f>IFERROR(__xludf.DUMMYFUNCTION("""COMPUTED_VALUE"""),1003953.0)</f>
        <v>1003953</v>
      </c>
      <c r="C4681" s="9">
        <f>IFERROR(__xludf.DUMMYFUNCTION("""COMPUTED_VALUE"""),80299.0)</f>
        <v>80299</v>
      </c>
      <c r="D4681" s="10" t="str">
        <f>IFERROR(__xludf.DUMMYFUNCTION("""COMPUTED_VALUE"""),"DLC courtes")</f>
        <v>DLC courtes</v>
      </c>
      <c r="E4681" s="10" t="str">
        <f>IFERROR(__xludf.DUMMYFUNCTION("""COMPUTED_VALUE"""),"GREENRELAIS")</f>
        <v>GREENRELAIS</v>
      </c>
      <c r="F4681" s="10">
        <f>IFERROR(__xludf.DUMMYFUNCTION("""COMPUTED_VALUE"""),20.02)</f>
        <v>20.02</v>
      </c>
      <c r="G4681" s="9">
        <f>IFERROR(__xludf.DUMMYFUNCTION("""COMPUTED_VALUE"""),10.01)</f>
        <v>10.01</v>
      </c>
      <c r="H4681" s="9">
        <f>IFERROR(__xludf.DUMMYFUNCTION("""COMPUTED_VALUE"""),3.0)</f>
        <v>3</v>
      </c>
      <c r="I4681" s="9"/>
      <c r="J4681" s="9"/>
      <c r="K4681" s="9"/>
      <c r="L4681" s="9"/>
      <c r="M4681" s="9"/>
      <c r="N4681" s="9"/>
      <c r="O4681" s="9"/>
      <c r="P4681" s="9"/>
      <c r="Q4681" s="9"/>
      <c r="R4681" s="9"/>
      <c r="S4681" s="9"/>
      <c r="T4681" s="9"/>
    </row>
    <row r="4682" ht="15.75" customHeight="1">
      <c r="A4682" s="11">
        <f>IFERROR(__xludf.DUMMYFUNCTION("""COMPUTED_VALUE"""),44471.0)</f>
        <v>44471</v>
      </c>
      <c r="B4682" s="9">
        <f>IFERROR(__xludf.DUMMYFUNCTION("""COMPUTED_VALUE"""),1003954.0)</f>
        <v>1003954</v>
      </c>
      <c r="C4682" s="9">
        <f>IFERROR(__xludf.DUMMYFUNCTION("""COMPUTED_VALUE"""),104169.0)</f>
        <v>104169</v>
      </c>
      <c r="D4682" s="10" t="str">
        <f>IFERROR(__xludf.DUMMYFUNCTION("""COMPUTED_VALUE"""),"Offre Speciale")</f>
        <v>Offre Speciale</v>
      </c>
      <c r="E4682" s="10" t="str">
        <f>IFERROR(__xludf.DUMMYFUNCTION("""COMPUTED_VALUE"""),"GREENRELAIS")</f>
        <v>GREENRELAIS</v>
      </c>
      <c r="F4682" s="10">
        <f>IFERROR(__xludf.DUMMYFUNCTION("""COMPUTED_VALUE"""),7.97183098591549)</f>
        <v>7.971830986</v>
      </c>
      <c r="G4682" s="9">
        <f>IFERROR(__xludf.DUMMYFUNCTION("""COMPUTED_VALUE"""),5.66)</f>
        <v>5.66</v>
      </c>
      <c r="H4682" s="9">
        <f>IFERROR(__xludf.DUMMYFUNCTION("""COMPUTED_VALUE"""),1.0)</f>
        <v>1</v>
      </c>
      <c r="I4682" s="9"/>
      <c r="J4682" s="9"/>
      <c r="K4682" s="9"/>
      <c r="L4682" s="9"/>
      <c r="M4682" s="9"/>
      <c r="N4682" s="9"/>
      <c r="O4682" s="9"/>
      <c r="P4682" s="9"/>
      <c r="Q4682" s="9"/>
      <c r="R4682" s="9"/>
      <c r="S4682" s="9"/>
      <c r="T4682" s="9"/>
    </row>
    <row r="4683" ht="15.75" customHeight="1">
      <c r="A4683" s="11">
        <f>IFERROR(__xludf.DUMMYFUNCTION("""COMPUTED_VALUE"""),44471.0)</f>
        <v>44471</v>
      </c>
      <c r="B4683" s="9">
        <f>IFERROR(__xludf.DUMMYFUNCTION("""COMPUTED_VALUE"""),1003954.0)</f>
        <v>1003954</v>
      </c>
      <c r="C4683" s="9">
        <f>IFERROR(__xludf.DUMMYFUNCTION("""COMPUTED_VALUE"""),80299.0)</f>
        <v>80299</v>
      </c>
      <c r="D4683" s="10" t="str">
        <f>IFERROR(__xludf.DUMMYFUNCTION("""COMPUTED_VALUE"""),"DLC courtes")</f>
        <v>DLC courtes</v>
      </c>
      <c r="E4683" s="10" t="str">
        <f>IFERROR(__xludf.DUMMYFUNCTION("""COMPUTED_VALUE"""),"GREENRELAIS")</f>
        <v>GREENRELAIS</v>
      </c>
      <c r="F4683" s="10">
        <f>IFERROR(__xludf.DUMMYFUNCTION("""COMPUTED_VALUE"""),20.02)</f>
        <v>20.02</v>
      </c>
      <c r="G4683" s="9">
        <f>IFERROR(__xludf.DUMMYFUNCTION("""COMPUTED_VALUE"""),10.01)</f>
        <v>10.01</v>
      </c>
      <c r="H4683" s="9">
        <f>IFERROR(__xludf.DUMMYFUNCTION("""COMPUTED_VALUE"""),3.0)</f>
        <v>3</v>
      </c>
      <c r="I4683" s="9"/>
      <c r="J4683" s="9"/>
      <c r="K4683" s="9"/>
      <c r="L4683" s="9"/>
      <c r="M4683" s="9"/>
      <c r="N4683" s="9"/>
      <c r="O4683" s="9"/>
      <c r="P4683" s="9"/>
      <c r="Q4683" s="9"/>
      <c r="R4683" s="9"/>
      <c r="S4683" s="9"/>
      <c r="T4683" s="9"/>
    </row>
    <row r="4684" ht="15.75" customHeight="1">
      <c r="A4684" s="11">
        <f>IFERROR(__xludf.DUMMYFUNCTION("""COMPUTED_VALUE"""),44471.0)</f>
        <v>44471</v>
      </c>
      <c r="B4684" s="9">
        <f>IFERROR(__xludf.DUMMYFUNCTION("""COMPUTED_VALUE"""),1003954.0)</f>
        <v>1003954</v>
      </c>
      <c r="C4684" s="9">
        <f>IFERROR(__xludf.DUMMYFUNCTION("""COMPUTED_VALUE"""),111130.0)</f>
        <v>111130</v>
      </c>
      <c r="D4684" s="10" t="str">
        <f>IFERROR(__xludf.DUMMYFUNCTION("""COMPUTED_VALUE"""),"dlc courte")</f>
        <v>dlc courte</v>
      </c>
      <c r="E4684" s="10" t="str">
        <f>IFERROR(__xludf.DUMMYFUNCTION("""COMPUTED_VALUE"""),"GREENRELAIS")</f>
        <v>GREENRELAIS</v>
      </c>
      <c r="F4684" s="10">
        <f>IFERROR(__xludf.DUMMYFUNCTION("""COMPUTED_VALUE"""),11.92)</f>
        <v>11.92</v>
      </c>
      <c r="G4684" s="9">
        <f>IFERROR(__xludf.DUMMYFUNCTION("""COMPUTED_VALUE"""),5.96)</f>
        <v>5.96</v>
      </c>
      <c r="H4684" s="9">
        <f>IFERROR(__xludf.DUMMYFUNCTION("""COMPUTED_VALUE"""),3.0)</f>
        <v>3</v>
      </c>
      <c r="I4684" s="9"/>
      <c r="J4684" s="9"/>
      <c r="K4684" s="9"/>
      <c r="L4684" s="9"/>
      <c r="M4684" s="9"/>
      <c r="N4684" s="9"/>
      <c r="O4684" s="9"/>
      <c r="P4684" s="9"/>
      <c r="Q4684" s="9"/>
      <c r="R4684" s="9"/>
      <c r="S4684" s="9"/>
      <c r="T4684" s="9"/>
    </row>
    <row r="4685" ht="15.75" customHeight="1">
      <c r="A4685" s="11">
        <f>IFERROR(__xludf.DUMMYFUNCTION("""COMPUTED_VALUE"""),44471.0)</f>
        <v>44471</v>
      </c>
      <c r="B4685" s="9">
        <f>IFERROR(__xludf.DUMMYFUNCTION("""COMPUTED_VALUE"""),1003954.0)</f>
        <v>1003954</v>
      </c>
      <c r="C4685" s="9">
        <f>IFERROR(__xludf.DUMMYFUNCTION("""COMPUTED_VALUE"""),103080.0)</f>
        <v>103080</v>
      </c>
      <c r="D4685" s="9"/>
      <c r="E4685" s="10" t="str">
        <f>IFERROR(__xludf.DUMMYFUNCTION("""COMPUTED_VALUE"""),"GREENRELAIS")</f>
        <v>GREENRELAIS</v>
      </c>
      <c r="F4685" s="10">
        <f>IFERROR(__xludf.DUMMYFUNCTION("""COMPUTED_VALUE"""),4.59)</f>
        <v>4.59</v>
      </c>
      <c r="G4685" s="9">
        <f>IFERROR(__xludf.DUMMYFUNCTION("""COMPUTED_VALUE"""),4.59)</f>
        <v>4.59</v>
      </c>
      <c r="H4685" s="9">
        <f>IFERROR(__xludf.DUMMYFUNCTION("""COMPUTED_VALUE"""),4.0)</f>
        <v>4</v>
      </c>
      <c r="I4685" s="9"/>
      <c r="J4685" s="9"/>
      <c r="K4685" s="9"/>
      <c r="L4685" s="9"/>
      <c r="M4685" s="9"/>
      <c r="N4685" s="9"/>
      <c r="O4685" s="9"/>
      <c r="P4685" s="9"/>
      <c r="Q4685" s="9"/>
      <c r="R4685" s="9"/>
      <c r="S4685" s="9"/>
      <c r="T4685" s="9"/>
    </row>
    <row r="4686" ht="15.75" customHeight="1">
      <c r="A4686" s="11">
        <f>IFERROR(__xludf.DUMMYFUNCTION("""COMPUTED_VALUE"""),44471.0)</f>
        <v>44471</v>
      </c>
      <c r="B4686" s="9">
        <f>IFERROR(__xludf.DUMMYFUNCTION("""COMPUTED_VALUE"""),1003954.0)</f>
        <v>1003954</v>
      </c>
      <c r="C4686" s="9">
        <f>IFERROR(__xludf.DUMMYFUNCTION("""COMPUTED_VALUE"""),124769.0)</f>
        <v>124769</v>
      </c>
      <c r="D4686" s="10" t="str">
        <f>IFERROR(__xludf.DUMMYFUNCTION("""COMPUTED_VALUE"""),"DLC courtes")</f>
        <v>DLC courtes</v>
      </c>
      <c r="E4686" s="10" t="str">
        <f>IFERROR(__xludf.DUMMYFUNCTION("""COMPUTED_VALUE"""),"GREENRELAIS")</f>
        <v>GREENRELAIS</v>
      </c>
      <c r="F4686" s="10">
        <f>IFERROR(__xludf.DUMMYFUNCTION("""COMPUTED_VALUE"""),55.56)</f>
        <v>55.56</v>
      </c>
      <c r="G4686" s="9">
        <f>IFERROR(__xludf.DUMMYFUNCTION("""COMPUTED_VALUE"""),27.78)</f>
        <v>27.78</v>
      </c>
      <c r="H4686" s="9">
        <f>IFERROR(__xludf.DUMMYFUNCTION("""COMPUTED_VALUE"""),20.0)</f>
        <v>20</v>
      </c>
      <c r="I4686" s="9"/>
      <c r="J4686" s="9"/>
      <c r="K4686" s="9"/>
      <c r="L4686" s="9"/>
      <c r="M4686" s="9"/>
      <c r="N4686" s="9"/>
      <c r="O4686" s="9"/>
      <c r="P4686" s="9"/>
      <c r="Q4686" s="9"/>
      <c r="R4686" s="9"/>
      <c r="S4686" s="9"/>
      <c r="T4686" s="9"/>
    </row>
    <row r="4687" ht="15.75" customHeight="1">
      <c r="A4687" s="11">
        <f>IFERROR(__xludf.DUMMYFUNCTION("""COMPUTED_VALUE"""),44471.0)</f>
        <v>44471</v>
      </c>
      <c r="B4687" s="9">
        <f>IFERROR(__xludf.DUMMYFUNCTION("""COMPUTED_VALUE"""),1003955.0)</f>
        <v>1003955</v>
      </c>
      <c r="C4687" s="9">
        <f>IFERROR(__xludf.DUMMYFUNCTION("""COMPUTED_VALUE"""),122261.0)</f>
        <v>122261</v>
      </c>
      <c r="D4687" s="9"/>
      <c r="E4687" s="9"/>
      <c r="F4687" s="9">
        <f>IFERROR(__xludf.DUMMYFUNCTION("""COMPUTED_VALUE"""),1.44)</f>
        <v>1.44</v>
      </c>
      <c r="G4687" s="9">
        <f>IFERROR(__xludf.DUMMYFUNCTION("""COMPUTED_VALUE"""),1.44)</f>
        <v>1.44</v>
      </c>
      <c r="H4687" s="9">
        <f>IFERROR(__xludf.DUMMYFUNCTION("""COMPUTED_VALUE"""),1.0)</f>
        <v>1</v>
      </c>
      <c r="I4687" s="9"/>
      <c r="J4687" s="9"/>
      <c r="K4687" s="9"/>
      <c r="L4687" s="9"/>
      <c r="M4687" s="9"/>
      <c r="N4687" s="9"/>
      <c r="O4687" s="9"/>
      <c r="P4687" s="9"/>
      <c r="Q4687" s="9"/>
      <c r="R4687" s="9"/>
      <c r="S4687" s="9"/>
      <c r="T4687" s="9"/>
    </row>
    <row r="4688" ht="15.75" customHeight="1">
      <c r="A4688" s="11">
        <f>IFERROR(__xludf.DUMMYFUNCTION("""COMPUTED_VALUE"""),44471.0)</f>
        <v>44471</v>
      </c>
      <c r="B4688" s="9">
        <f>IFERROR(__xludf.DUMMYFUNCTION("""COMPUTED_VALUE"""),1003955.0)</f>
        <v>1003955</v>
      </c>
      <c r="C4688" s="9">
        <f>IFERROR(__xludf.DUMMYFUNCTION("""COMPUTED_VALUE"""),48280.0)</f>
        <v>48280</v>
      </c>
      <c r="D4688" s="9"/>
      <c r="E4688" s="9"/>
      <c r="F4688" s="9">
        <f>IFERROR(__xludf.DUMMYFUNCTION("""COMPUTED_VALUE"""),1.46)</f>
        <v>1.46</v>
      </c>
      <c r="G4688" s="9">
        <f>IFERROR(__xludf.DUMMYFUNCTION("""COMPUTED_VALUE"""),1.46)</f>
        <v>1.46</v>
      </c>
      <c r="H4688" s="9">
        <f>IFERROR(__xludf.DUMMYFUNCTION("""COMPUTED_VALUE"""),1.0)</f>
        <v>1</v>
      </c>
      <c r="I4688" s="9"/>
      <c r="J4688" s="9"/>
      <c r="K4688" s="9"/>
      <c r="L4688" s="9"/>
      <c r="M4688" s="9"/>
      <c r="N4688" s="9"/>
      <c r="O4688" s="9"/>
      <c r="P4688" s="9"/>
      <c r="Q4688" s="9"/>
      <c r="R4688" s="9"/>
      <c r="S4688" s="9"/>
      <c r="T4688" s="9"/>
    </row>
    <row r="4689" ht="15.75" customHeight="1">
      <c r="A4689" s="11">
        <f>IFERROR(__xludf.DUMMYFUNCTION("""COMPUTED_VALUE"""),44471.0)</f>
        <v>44471</v>
      </c>
      <c r="B4689" s="9">
        <f>IFERROR(__xludf.DUMMYFUNCTION("""COMPUTED_VALUE"""),1003955.0)</f>
        <v>1003955</v>
      </c>
      <c r="C4689" s="9">
        <f>IFERROR(__xludf.DUMMYFUNCTION("""COMPUTED_VALUE"""),110701.0)</f>
        <v>110701</v>
      </c>
      <c r="D4689" s="10" t="str">
        <f>IFERROR(__xludf.DUMMYFUNCTION("""COMPUTED_VALUE"""),"Vive le bio")</f>
        <v>Vive le bio</v>
      </c>
      <c r="E4689" s="10"/>
      <c r="F4689" s="9">
        <f>IFERROR(__xludf.DUMMYFUNCTION("""COMPUTED_VALUE"""),2.83333333333333)</f>
        <v>2.833333333</v>
      </c>
      <c r="G4689" s="9">
        <f>IFERROR(__xludf.DUMMYFUNCTION("""COMPUTED_VALUE"""),2.55)</f>
        <v>2.55</v>
      </c>
      <c r="H4689" s="9">
        <f>IFERROR(__xludf.DUMMYFUNCTION("""COMPUTED_VALUE"""),1.0)</f>
        <v>1</v>
      </c>
      <c r="I4689" s="9"/>
      <c r="J4689" s="9"/>
      <c r="K4689" s="9"/>
      <c r="L4689" s="9"/>
      <c r="M4689" s="9"/>
      <c r="N4689" s="9"/>
      <c r="O4689" s="9"/>
      <c r="P4689" s="9"/>
      <c r="Q4689" s="9"/>
      <c r="R4689" s="9"/>
      <c r="S4689" s="9"/>
      <c r="T4689" s="9"/>
    </row>
    <row r="4690" ht="15.75" customHeight="1">
      <c r="A4690" s="11">
        <f>IFERROR(__xludf.DUMMYFUNCTION("""COMPUTED_VALUE"""),44471.0)</f>
        <v>44471</v>
      </c>
      <c r="B4690" s="9">
        <f>IFERROR(__xludf.DUMMYFUNCTION("""COMPUTED_VALUE"""),1003955.0)</f>
        <v>1003955</v>
      </c>
      <c r="C4690" s="9">
        <f>IFERROR(__xludf.DUMMYFUNCTION("""COMPUTED_VALUE"""),117218.0)</f>
        <v>117218</v>
      </c>
      <c r="D4690" s="9"/>
      <c r="E4690" s="9"/>
      <c r="F4690" s="9">
        <f>IFERROR(__xludf.DUMMYFUNCTION("""COMPUTED_VALUE"""),3.24)</f>
        <v>3.24</v>
      </c>
      <c r="G4690" s="9">
        <f>IFERROR(__xludf.DUMMYFUNCTION("""COMPUTED_VALUE"""),3.24)</f>
        <v>3.24</v>
      </c>
      <c r="H4690" s="9">
        <f>IFERROR(__xludf.DUMMYFUNCTION("""COMPUTED_VALUE"""),1.0)</f>
        <v>1</v>
      </c>
      <c r="I4690" s="9"/>
      <c r="J4690" s="9"/>
      <c r="K4690" s="9"/>
      <c r="L4690" s="9"/>
      <c r="M4690" s="9"/>
      <c r="N4690" s="9"/>
      <c r="O4690" s="9"/>
      <c r="P4690" s="9"/>
      <c r="Q4690" s="9"/>
      <c r="R4690" s="9"/>
      <c r="S4690" s="9"/>
      <c r="T4690" s="9"/>
    </row>
    <row r="4691" ht="15.75" customHeight="1">
      <c r="A4691" s="11">
        <f>IFERROR(__xludf.DUMMYFUNCTION("""COMPUTED_VALUE"""),44471.0)</f>
        <v>44471</v>
      </c>
      <c r="B4691" s="9">
        <f>IFERROR(__xludf.DUMMYFUNCTION("""COMPUTED_VALUE"""),1003955.0)</f>
        <v>1003955</v>
      </c>
      <c r="C4691" s="9">
        <f>IFERROR(__xludf.DUMMYFUNCTION("""COMPUTED_VALUE"""),76418.0)</f>
        <v>76418</v>
      </c>
      <c r="D4691" s="10" t="str">
        <f>IFERROR(__xludf.DUMMYFUNCTION("""COMPUTED_VALUE"""),"Vive le bio")</f>
        <v>Vive le bio</v>
      </c>
      <c r="E4691" s="10"/>
      <c r="F4691" s="9">
        <f>IFERROR(__xludf.DUMMYFUNCTION("""COMPUTED_VALUE"""),2.97777777777777)</f>
        <v>2.977777778</v>
      </c>
      <c r="G4691" s="9">
        <f>IFERROR(__xludf.DUMMYFUNCTION("""COMPUTED_VALUE"""),2.68)</f>
        <v>2.68</v>
      </c>
      <c r="H4691" s="9">
        <f>IFERROR(__xludf.DUMMYFUNCTION("""COMPUTED_VALUE"""),2.0)</f>
        <v>2</v>
      </c>
      <c r="I4691" s="9"/>
      <c r="J4691" s="9"/>
      <c r="K4691" s="9"/>
      <c r="L4691" s="9"/>
      <c r="M4691" s="9"/>
      <c r="N4691" s="9"/>
      <c r="O4691" s="9"/>
      <c r="P4691" s="9"/>
      <c r="Q4691" s="9"/>
      <c r="R4691" s="9"/>
      <c r="S4691" s="9"/>
      <c r="T4691" s="9"/>
    </row>
    <row r="4692" ht="15.75" customHeight="1">
      <c r="A4692" s="11">
        <f>IFERROR(__xludf.DUMMYFUNCTION("""COMPUTED_VALUE"""),44471.0)</f>
        <v>44471</v>
      </c>
      <c r="B4692" s="9">
        <f>IFERROR(__xludf.DUMMYFUNCTION("""COMPUTED_VALUE"""),1003955.0)</f>
        <v>1003955</v>
      </c>
      <c r="C4692" s="9">
        <f>IFERROR(__xludf.DUMMYFUNCTION("""COMPUTED_VALUE"""),115754.0)</f>
        <v>115754</v>
      </c>
      <c r="D4692" s="10" t="str">
        <f>IFERROR(__xludf.DUMMYFUNCTION("""COMPUTED_VALUE"""),"Vive le bio")</f>
        <v>Vive le bio</v>
      </c>
      <c r="E4692" s="10"/>
      <c r="F4692" s="9">
        <f>IFERROR(__xludf.DUMMYFUNCTION("""COMPUTED_VALUE"""),2.32222222222222)</f>
        <v>2.322222222</v>
      </c>
      <c r="G4692" s="9">
        <f>IFERROR(__xludf.DUMMYFUNCTION("""COMPUTED_VALUE"""),2.09)</f>
        <v>2.09</v>
      </c>
      <c r="H4692" s="9">
        <f>IFERROR(__xludf.DUMMYFUNCTION("""COMPUTED_VALUE"""),2.0)</f>
        <v>2</v>
      </c>
      <c r="I4692" s="9"/>
      <c r="J4692" s="9"/>
      <c r="K4692" s="9"/>
      <c r="L4692" s="9"/>
      <c r="M4692" s="9"/>
      <c r="N4692" s="9"/>
      <c r="O4692" s="9"/>
      <c r="P4692" s="9"/>
      <c r="Q4692" s="9"/>
      <c r="R4692" s="9"/>
      <c r="S4692" s="9"/>
      <c r="T4692" s="9"/>
    </row>
    <row r="4693" ht="15.75" customHeight="1">
      <c r="A4693" s="11">
        <f>IFERROR(__xludf.DUMMYFUNCTION("""COMPUTED_VALUE"""),44471.0)</f>
        <v>44471</v>
      </c>
      <c r="B4693" s="9">
        <f>IFERROR(__xludf.DUMMYFUNCTION("""COMPUTED_VALUE"""),1003955.0)</f>
        <v>1003955</v>
      </c>
      <c r="C4693" s="9">
        <f>IFERROR(__xludf.DUMMYFUNCTION("""COMPUTED_VALUE"""),149512.0)</f>
        <v>149512</v>
      </c>
      <c r="D4693" s="9"/>
      <c r="E4693" s="9"/>
      <c r="F4693" s="9">
        <f>IFERROR(__xludf.DUMMYFUNCTION("""COMPUTED_VALUE"""),3.98)</f>
        <v>3.98</v>
      </c>
      <c r="G4693" s="9">
        <f>IFERROR(__xludf.DUMMYFUNCTION("""COMPUTED_VALUE"""),3.98)</f>
        <v>3.98</v>
      </c>
      <c r="H4693" s="9">
        <f>IFERROR(__xludf.DUMMYFUNCTION("""COMPUTED_VALUE"""),2.0)</f>
        <v>2</v>
      </c>
      <c r="I4693" s="9"/>
      <c r="J4693" s="9"/>
      <c r="K4693" s="9"/>
      <c r="L4693" s="9"/>
      <c r="M4693" s="9"/>
      <c r="N4693" s="9"/>
      <c r="O4693" s="9"/>
      <c r="P4693" s="9"/>
      <c r="Q4693" s="9"/>
      <c r="R4693" s="9"/>
      <c r="S4693" s="9"/>
      <c r="T4693" s="9"/>
    </row>
    <row r="4694" ht="15.75" customHeight="1">
      <c r="A4694" s="11">
        <f>IFERROR(__xludf.DUMMYFUNCTION("""COMPUTED_VALUE"""),44471.0)</f>
        <v>44471</v>
      </c>
      <c r="B4694" s="9">
        <f>IFERROR(__xludf.DUMMYFUNCTION("""COMPUTED_VALUE"""),1003955.0)</f>
        <v>1003955</v>
      </c>
      <c r="C4694" s="9">
        <f>IFERROR(__xludf.DUMMYFUNCTION("""COMPUTED_VALUE"""),149510.0)</f>
        <v>149510</v>
      </c>
      <c r="D4694" s="9"/>
      <c r="E4694" s="9"/>
      <c r="F4694" s="9">
        <f>IFERROR(__xludf.DUMMYFUNCTION("""COMPUTED_VALUE"""),6.28)</f>
        <v>6.28</v>
      </c>
      <c r="G4694" s="9">
        <f>IFERROR(__xludf.DUMMYFUNCTION("""COMPUTED_VALUE"""),6.28)</f>
        <v>6.28</v>
      </c>
      <c r="H4694" s="9">
        <f>IFERROR(__xludf.DUMMYFUNCTION("""COMPUTED_VALUE"""),3.0)</f>
        <v>3</v>
      </c>
      <c r="I4694" s="9"/>
      <c r="J4694" s="9"/>
      <c r="K4694" s="9"/>
      <c r="L4694" s="9"/>
      <c r="M4694" s="9"/>
      <c r="N4694" s="9"/>
      <c r="O4694" s="9"/>
      <c r="P4694" s="9"/>
      <c r="Q4694" s="9"/>
      <c r="R4694" s="9"/>
      <c r="S4694" s="9"/>
      <c r="T4694" s="9"/>
    </row>
    <row r="4695" ht="15.75" customHeight="1">
      <c r="A4695" s="11">
        <f>IFERROR(__xludf.DUMMYFUNCTION("""COMPUTED_VALUE"""),44471.0)</f>
        <v>44471</v>
      </c>
      <c r="B4695" s="9">
        <f>IFERROR(__xludf.DUMMYFUNCTION("""COMPUTED_VALUE"""),1003955.0)</f>
        <v>1003955</v>
      </c>
      <c r="C4695" s="9">
        <f>IFERROR(__xludf.DUMMYFUNCTION("""COMPUTED_VALUE"""),110004.0)</f>
        <v>110004</v>
      </c>
      <c r="D4695" s="9"/>
      <c r="E4695" s="9"/>
      <c r="F4695" s="9">
        <f>IFERROR(__xludf.DUMMYFUNCTION("""COMPUTED_VALUE"""),8.07)</f>
        <v>8.07</v>
      </c>
      <c r="G4695" s="9">
        <f>IFERROR(__xludf.DUMMYFUNCTION("""COMPUTED_VALUE"""),8.07)</f>
        <v>8.07</v>
      </c>
      <c r="H4695" s="9">
        <f>IFERROR(__xludf.DUMMYFUNCTION("""COMPUTED_VALUE"""),3.0)</f>
        <v>3</v>
      </c>
      <c r="I4695" s="9"/>
      <c r="J4695" s="9"/>
      <c r="K4695" s="9"/>
      <c r="L4695" s="9"/>
      <c r="M4695" s="9"/>
      <c r="N4695" s="9"/>
      <c r="O4695" s="9"/>
      <c r="P4695" s="9"/>
      <c r="Q4695" s="9"/>
      <c r="R4695" s="9"/>
      <c r="S4695" s="9"/>
      <c r="T4695" s="9"/>
    </row>
    <row r="4696" ht="15.75" customHeight="1">
      <c r="A4696" s="11">
        <f>IFERROR(__xludf.DUMMYFUNCTION("""COMPUTED_VALUE"""),44471.0)</f>
        <v>44471</v>
      </c>
      <c r="B4696" s="9">
        <f>IFERROR(__xludf.DUMMYFUNCTION("""COMPUTED_VALUE"""),1003955.0)</f>
        <v>1003955</v>
      </c>
      <c r="C4696" s="9">
        <f>IFERROR(__xludf.DUMMYFUNCTION("""COMPUTED_VALUE"""),110003.0)</f>
        <v>110003</v>
      </c>
      <c r="D4696" s="9"/>
      <c r="E4696" s="9"/>
      <c r="F4696" s="9">
        <f>IFERROR(__xludf.DUMMYFUNCTION("""COMPUTED_VALUE"""),8.07)</f>
        <v>8.07</v>
      </c>
      <c r="G4696" s="9">
        <f>IFERROR(__xludf.DUMMYFUNCTION("""COMPUTED_VALUE"""),8.07)</f>
        <v>8.07</v>
      </c>
      <c r="H4696" s="9">
        <f>IFERROR(__xludf.DUMMYFUNCTION("""COMPUTED_VALUE"""),3.0)</f>
        <v>3</v>
      </c>
      <c r="I4696" s="9"/>
      <c r="J4696" s="9"/>
      <c r="K4696" s="9"/>
      <c r="L4696" s="9"/>
      <c r="M4696" s="9"/>
      <c r="N4696" s="9"/>
      <c r="O4696" s="9"/>
      <c r="P4696" s="9"/>
      <c r="Q4696" s="9"/>
      <c r="R4696" s="9"/>
      <c r="S4696" s="9"/>
      <c r="T4696" s="9"/>
    </row>
    <row r="4697" ht="15.75" customHeight="1">
      <c r="A4697" s="11">
        <f>IFERROR(__xludf.DUMMYFUNCTION("""COMPUTED_VALUE"""),44471.0)</f>
        <v>44471</v>
      </c>
      <c r="B4697" s="9">
        <f>IFERROR(__xludf.DUMMYFUNCTION("""COMPUTED_VALUE"""),1003955.0)</f>
        <v>1003955</v>
      </c>
      <c r="C4697" s="9">
        <f>IFERROR(__xludf.DUMMYFUNCTION("""COMPUTED_VALUE"""),110398.0)</f>
        <v>110398</v>
      </c>
      <c r="D4697" s="9"/>
      <c r="E4697" s="9"/>
      <c r="F4697" s="9">
        <f>IFERROR(__xludf.DUMMYFUNCTION("""COMPUTED_VALUE"""),6.42)</f>
        <v>6.42</v>
      </c>
      <c r="G4697" s="9">
        <f>IFERROR(__xludf.DUMMYFUNCTION("""COMPUTED_VALUE"""),6.42)</f>
        <v>6.42</v>
      </c>
      <c r="H4697" s="9">
        <f>IFERROR(__xludf.DUMMYFUNCTION("""COMPUTED_VALUE"""),3.0)</f>
        <v>3</v>
      </c>
      <c r="I4697" s="9"/>
      <c r="J4697" s="9"/>
      <c r="K4697" s="9"/>
      <c r="L4697" s="9"/>
      <c r="M4697" s="9"/>
      <c r="N4697" s="9"/>
      <c r="O4697" s="9"/>
      <c r="P4697" s="9"/>
      <c r="Q4697" s="9"/>
      <c r="R4697" s="9"/>
      <c r="S4697" s="9"/>
      <c r="T4697" s="9"/>
    </row>
    <row r="4698" ht="15.75" customHeight="1">
      <c r="A4698" s="11">
        <f>IFERROR(__xludf.DUMMYFUNCTION("""COMPUTED_VALUE"""),44471.0)</f>
        <v>44471</v>
      </c>
      <c r="B4698" s="9">
        <f>IFERROR(__xludf.DUMMYFUNCTION("""COMPUTED_VALUE"""),1003955.0)</f>
        <v>1003955</v>
      </c>
      <c r="C4698" s="9">
        <f>IFERROR(__xludf.DUMMYFUNCTION("""COMPUTED_VALUE"""),109999.0)</f>
        <v>109999</v>
      </c>
      <c r="D4698" s="9"/>
      <c r="E4698" s="9"/>
      <c r="F4698" s="9">
        <f>IFERROR(__xludf.DUMMYFUNCTION("""COMPUTED_VALUE"""),7.92)</f>
        <v>7.92</v>
      </c>
      <c r="G4698" s="9">
        <f>IFERROR(__xludf.DUMMYFUNCTION("""COMPUTED_VALUE"""),7.92)</f>
        <v>7.92</v>
      </c>
      <c r="H4698" s="9">
        <f>IFERROR(__xludf.DUMMYFUNCTION("""COMPUTED_VALUE"""),3.0)</f>
        <v>3</v>
      </c>
      <c r="I4698" s="9"/>
      <c r="J4698" s="9"/>
      <c r="K4698" s="9"/>
      <c r="L4698" s="9"/>
      <c r="M4698" s="9"/>
      <c r="N4698" s="9"/>
      <c r="O4698" s="9"/>
      <c r="P4698" s="9"/>
      <c r="Q4698" s="9"/>
      <c r="R4698" s="9"/>
      <c r="S4698" s="9"/>
      <c r="T4698" s="9"/>
    </row>
    <row r="4699" ht="15.75" customHeight="1">
      <c r="A4699" s="11">
        <f>IFERROR(__xludf.DUMMYFUNCTION("""COMPUTED_VALUE"""),44471.0)</f>
        <v>44471</v>
      </c>
      <c r="B4699" s="9">
        <f>IFERROR(__xludf.DUMMYFUNCTION("""COMPUTED_VALUE"""),1003955.0)</f>
        <v>1003955</v>
      </c>
      <c r="C4699" s="9">
        <f>IFERROR(__xludf.DUMMYFUNCTION("""COMPUTED_VALUE"""),109184.0)</f>
        <v>109184</v>
      </c>
      <c r="D4699" s="9"/>
      <c r="E4699" s="9"/>
      <c r="F4699" s="9">
        <f>IFERROR(__xludf.DUMMYFUNCTION("""COMPUTED_VALUE"""),31.5)</f>
        <v>31.5</v>
      </c>
      <c r="G4699" s="9">
        <f>IFERROR(__xludf.DUMMYFUNCTION("""COMPUTED_VALUE"""),31.5)</f>
        <v>31.5</v>
      </c>
      <c r="H4699" s="9">
        <f>IFERROR(__xludf.DUMMYFUNCTION("""COMPUTED_VALUE"""),4.0)</f>
        <v>4</v>
      </c>
      <c r="I4699" s="9"/>
      <c r="J4699" s="9"/>
      <c r="K4699" s="9"/>
      <c r="L4699" s="9"/>
      <c r="M4699" s="9"/>
      <c r="N4699" s="9"/>
      <c r="O4699" s="9"/>
      <c r="P4699" s="9"/>
      <c r="Q4699" s="9"/>
      <c r="R4699" s="9"/>
      <c r="S4699" s="9"/>
      <c r="T4699" s="9"/>
    </row>
    <row r="4700" ht="15.75" customHeight="1">
      <c r="A4700" s="11">
        <f>IFERROR(__xludf.DUMMYFUNCTION("""COMPUTED_VALUE"""),44471.0)</f>
        <v>44471</v>
      </c>
      <c r="B4700" s="9">
        <f>IFERROR(__xludf.DUMMYFUNCTION("""COMPUTED_VALUE"""),1003958.0)</f>
        <v>1003958</v>
      </c>
      <c r="C4700" s="9">
        <f>IFERROR(__xludf.DUMMYFUNCTION("""COMPUTED_VALUE"""),43943.0)</f>
        <v>43943</v>
      </c>
      <c r="D4700" s="9"/>
      <c r="E4700" s="9"/>
      <c r="F4700" s="9">
        <f>IFERROR(__xludf.DUMMYFUNCTION("""COMPUTED_VALUE"""),16.54)</f>
        <v>16.54</v>
      </c>
      <c r="G4700" s="9">
        <f>IFERROR(__xludf.DUMMYFUNCTION("""COMPUTED_VALUE"""),16.54)</f>
        <v>16.54</v>
      </c>
      <c r="H4700" s="9">
        <f>IFERROR(__xludf.DUMMYFUNCTION("""COMPUTED_VALUE"""),1.0)</f>
        <v>1</v>
      </c>
      <c r="I4700" s="9"/>
      <c r="J4700" s="9"/>
      <c r="K4700" s="9"/>
      <c r="L4700" s="9"/>
      <c r="M4700" s="9"/>
      <c r="N4700" s="9"/>
      <c r="O4700" s="9"/>
      <c r="P4700" s="9"/>
      <c r="Q4700" s="9"/>
      <c r="R4700" s="9"/>
      <c r="S4700" s="9"/>
      <c r="T4700" s="9"/>
    </row>
    <row r="4701" ht="15.75" customHeight="1">
      <c r="A4701" s="11">
        <f>IFERROR(__xludf.DUMMYFUNCTION("""COMPUTED_VALUE"""),44471.0)</f>
        <v>44471</v>
      </c>
      <c r="B4701" s="9">
        <f>IFERROR(__xludf.DUMMYFUNCTION("""COMPUTED_VALUE"""),1003958.0)</f>
        <v>1003958</v>
      </c>
      <c r="C4701" s="9">
        <f>IFERROR(__xludf.DUMMYFUNCTION("""COMPUTED_VALUE"""),47660.0)</f>
        <v>47660</v>
      </c>
      <c r="D4701" s="9"/>
      <c r="E4701" s="9"/>
      <c r="F4701" s="9">
        <f>IFERROR(__xludf.DUMMYFUNCTION("""COMPUTED_VALUE"""),15.75)</f>
        <v>15.75</v>
      </c>
      <c r="G4701" s="9">
        <f>IFERROR(__xludf.DUMMYFUNCTION("""COMPUTED_VALUE"""),15.75)</f>
        <v>15.75</v>
      </c>
      <c r="H4701" s="9">
        <f>IFERROR(__xludf.DUMMYFUNCTION("""COMPUTED_VALUE"""),2.0)</f>
        <v>2</v>
      </c>
      <c r="I4701" s="9"/>
      <c r="J4701" s="9"/>
      <c r="K4701" s="9"/>
      <c r="L4701" s="9"/>
      <c r="M4701" s="9"/>
      <c r="N4701" s="9"/>
      <c r="O4701" s="9"/>
      <c r="P4701" s="9"/>
      <c r="Q4701" s="9"/>
      <c r="R4701" s="9"/>
      <c r="S4701" s="9"/>
      <c r="T4701" s="9"/>
    </row>
    <row r="4702" ht="15.75" customHeight="1">
      <c r="A4702" s="11">
        <f>IFERROR(__xludf.DUMMYFUNCTION("""COMPUTED_VALUE"""),44471.0)</f>
        <v>44471</v>
      </c>
      <c r="B4702" s="9">
        <f>IFERROR(__xludf.DUMMYFUNCTION("""COMPUTED_VALUE"""),1003958.0)</f>
        <v>1003958</v>
      </c>
      <c r="C4702" s="9">
        <f>IFERROR(__xludf.DUMMYFUNCTION("""COMPUTED_VALUE"""),85159.0)</f>
        <v>85159</v>
      </c>
      <c r="D4702" s="9"/>
      <c r="E4702" s="9"/>
      <c r="F4702" s="9">
        <f>IFERROR(__xludf.DUMMYFUNCTION("""COMPUTED_VALUE"""),8.06)</f>
        <v>8.06</v>
      </c>
      <c r="G4702" s="9">
        <f>IFERROR(__xludf.DUMMYFUNCTION("""COMPUTED_VALUE"""),8.06)</f>
        <v>8.06</v>
      </c>
      <c r="H4702" s="9">
        <f>IFERROR(__xludf.DUMMYFUNCTION("""COMPUTED_VALUE"""),3.0)</f>
        <v>3</v>
      </c>
      <c r="I4702" s="9"/>
      <c r="J4702" s="9"/>
      <c r="K4702" s="9"/>
      <c r="L4702" s="9"/>
      <c r="M4702" s="9"/>
      <c r="N4702" s="9"/>
      <c r="O4702" s="9"/>
      <c r="P4702" s="9"/>
      <c r="Q4702" s="9"/>
      <c r="R4702" s="9"/>
      <c r="S4702" s="9"/>
      <c r="T4702" s="9"/>
    </row>
    <row r="4703" ht="15.75" customHeight="1">
      <c r="A4703" s="11">
        <f>IFERROR(__xludf.DUMMYFUNCTION("""COMPUTED_VALUE"""),44471.0)</f>
        <v>44471</v>
      </c>
      <c r="B4703" s="9">
        <f>IFERROR(__xludf.DUMMYFUNCTION("""COMPUTED_VALUE"""),1003959.0)</f>
        <v>1003959</v>
      </c>
      <c r="C4703" s="9">
        <f>IFERROR(__xludf.DUMMYFUNCTION("""COMPUTED_VALUE"""),104426.0)</f>
        <v>104426</v>
      </c>
      <c r="D4703" s="9"/>
      <c r="E4703" s="10" t="str">
        <f>IFERROR(__xludf.DUMMYFUNCTION("""COMPUTED_VALUE"""),"GREENRELAIS")</f>
        <v>GREENRELAIS</v>
      </c>
      <c r="F4703" s="10">
        <f>IFERROR(__xludf.DUMMYFUNCTION("""COMPUTED_VALUE"""),7.97)</f>
        <v>7.97</v>
      </c>
      <c r="G4703" s="9">
        <f>IFERROR(__xludf.DUMMYFUNCTION("""COMPUTED_VALUE"""),7.97)</f>
        <v>7.97</v>
      </c>
      <c r="H4703" s="9">
        <f>IFERROR(__xludf.DUMMYFUNCTION("""COMPUTED_VALUE"""),1.0)</f>
        <v>1</v>
      </c>
      <c r="I4703" s="9"/>
      <c r="J4703" s="9"/>
      <c r="K4703" s="9"/>
      <c r="L4703" s="9"/>
      <c r="M4703" s="9"/>
      <c r="N4703" s="9"/>
      <c r="O4703" s="9"/>
      <c r="P4703" s="9"/>
      <c r="Q4703" s="9"/>
      <c r="R4703" s="9"/>
      <c r="S4703" s="9"/>
      <c r="T4703" s="9"/>
    </row>
    <row r="4704" ht="15.75" customHeight="1">
      <c r="A4704" s="11">
        <f>IFERROR(__xludf.DUMMYFUNCTION("""COMPUTED_VALUE"""),44471.0)</f>
        <v>44471</v>
      </c>
      <c r="B4704" s="9">
        <f>IFERROR(__xludf.DUMMYFUNCTION("""COMPUTED_VALUE"""),1003959.0)</f>
        <v>1003959</v>
      </c>
      <c r="C4704" s="9">
        <f>IFERROR(__xludf.DUMMYFUNCTION("""COMPUTED_VALUE"""),10054.0)</f>
        <v>10054</v>
      </c>
      <c r="D4704" s="9"/>
      <c r="E4704" s="10" t="str">
        <f>IFERROR(__xludf.DUMMYFUNCTION("""COMPUTED_VALUE"""),"GREENRELAIS")</f>
        <v>GREENRELAIS</v>
      </c>
      <c r="F4704" s="10">
        <f>IFERROR(__xludf.DUMMYFUNCTION("""COMPUTED_VALUE"""),51.8)</f>
        <v>51.8</v>
      </c>
      <c r="G4704" s="9">
        <f>IFERROR(__xludf.DUMMYFUNCTION("""COMPUTED_VALUE"""),51.8)</f>
        <v>51.8</v>
      </c>
      <c r="H4704" s="9">
        <f>IFERROR(__xludf.DUMMYFUNCTION("""COMPUTED_VALUE"""),10.0)</f>
        <v>10</v>
      </c>
      <c r="I4704" s="9"/>
      <c r="J4704" s="9"/>
      <c r="K4704" s="9"/>
      <c r="L4704" s="9"/>
      <c r="M4704" s="9"/>
      <c r="N4704" s="9"/>
      <c r="O4704" s="9"/>
      <c r="P4704" s="9"/>
      <c r="Q4704" s="9"/>
      <c r="R4704" s="9"/>
      <c r="S4704" s="9"/>
      <c r="T4704" s="9"/>
    </row>
    <row r="4705" ht="15.75" customHeight="1">
      <c r="A4705" s="11">
        <f>IFERROR(__xludf.DUMMYFUNCTION("""COMPUTED_VALUE"""),44471.0)</f>
        <v>44471</v>
      </c>
      <c r="B4705" s="9">
        <f>IFERROR(__xludf.DUMMYFUNCTION("""COMPUTED_VALUE"""),1003960.0)</f>
        <v>1003960</v>
      </c>
      <c r="C4705" s="9">
        <f>IFERROR(__xludf.DUMMYFUNCTION("""COMPUTED_VALUE"""),109309.0)</f>
        <v>109309</v>
      </c>
      <c r="D4705" s="9"/>
      <c r="E4705" s="9"/>
      <c r="F4705" s="9">
        <f>IFERROR(__xludf.DUMMYFUNCTION("""COMPUTED_VALUE"""),8.27)</f>
        <v>8.27</v>
      </c>
      <c r="G4705" s="9">
        <f>IFERROR(__xludf.DUMMYFUNCTION("""COMPUTED_VALUE"""),8.27)</f>
        <v>8.27</v>
      </c>
      <c r="H4705" s="9">
        <f>IFERROR(__xludf.DUMMYFUNCTION("""COMPUTED_VALUE"""),1.0)</f>
        <v>1</v>
      </c>
      <c r="I4705" s="9"/>
      <c r="J4705" s="9"/>
      <c r="K4705" s="9"/>
      <c r="L4705" s="9"/>
      <c r="M4705" s="9"/>
      <c r="N4705" s="9"/>
      <c r="O4705" s="9"/>
      <c r="P4705" s="9"/>
      <c r="Q4705" s="9"/>
      <c r="R4705" s="9"/>
      <c r="S4705" s="9"/>
      <c r="T4705" s="9"/>
    </row>
    <row r="4706" ht="15.75" customHeight="1">
      <c r="A4706" s="11">
        <f>IFERROR(__xludf.DUMMYFUNCTION("""COMPUTED_VALUE"""),44471.0)</f>
        <v>44471</v>
      </c>
      <c r="B4706" s="9">
        <f>IFERROR(__xludf.DUMMYFUNCTION("""COMPUTED_VALUE"""),1003960.0)</f>
        <v>1003960</v>
      </c>
      <c r="C4706" s="9">
        <f>IFERROR(__xludf.DUMMYFUNCTION("""COMPUTED_VALUE"""),122854.0)</f>
        <v>122854</v>
      </c>
      <c r="D4706" s="9"/>
      <c r="E4706" s="9"/>
      <c r="F4706" s="9">
        <f>IFERROR(__xludf.DUMMYFUNCTION("""COMPUTED_VALUE"""),21.79)</f>
        <v>21.79</v>
      </c>
      <c r="G4706" s="9">
        <f>IFERROR(__xludf.DUMMYFUNCTION("""COMPUTED_VALUE"""),21.79)</f>
        <v>21.79</v>
      </c>
      <c r="H4706" s="9">
        <f>IFERROR(__xludf.DUMMYFUNCTION("""COMPUTED_VALUE"""),1.0)</f>
        <v>1</v>
      </c>
      <c r="I4706" s="9"/>
      <c r="J4706" s="9"/>
      <c r="K4706" s="9"/>
      <c r="L4706" s="9"/>
      <c r="M4706" s="9"/>
      <c r="N4706" s="9"/>
      <c r="O4706" s="9"/>
      <c r="P4706" s="9"/>
      <c r="Q4706" s="9"/>
      <c r="R4706" s="9"/>
      <c r="S4706" s="9"/>
      <c r="T4706" s="9"/>
    </row>
    <row r="4707" ht="15.75" customHeight="1">
      <c r="A4707" s="11">
        <f>IFERROR(__xludf.DUMMYFUNCTION("""COMPUTED_VALUE"""),44471.0)</f>
        <v>44471</v>
      </c>
      <c r="B4707" s="9">
        <f>IFERROR(__xludf.DUMMYFUNCTION("""COMPUTED_VALUE"""),1003960.0)</f>
        <v>1003960</v>
      </c>
      <c r="C4707" s="9">
        <f>IFERROR(__xludf.DUMMYFUNCTION("""COMPUTED_VALUE"""),101303.0)</f>
        <v>101303</v>
      </c>
      <c r="D4707" s="10" t="str">
        <f>IFERROR(__xludf.DUMMYFUNCTION("""COMPUTED_VALUE"""),"Natur'vox Carryboo couches Sept 21")</f>
        <v>Natur'vox Carryboo couches Sept 21</v>
      </c>
      <c r="E4707" s="10"/>
      <c r="F4707" s="9">
        <f>IFERROR(__xludf.DUMMYFUNCTION("""COMPUTED_VALUE"""),8.53333333333333)</f>
        <v>8.533333333</v>
      </c>
      <c r="G4707" s="9">
        <f>IFERROR(__xludf.DUMMYFUNCTION("""COMPUTED_VALUE"""),6.4)</f>
        <v>6.4</v>
      </c>
      <c r="H4707" s="9">
        <f>IFERROR(__xludf.DUMMYFUNCTION("""COMPUTED_VALUE"""),1.0)</f>
        <v>1</v>
      </c>
      <c r="I4707" s="9"/>
      <c r="J4707" s="9"/>
      <c r="K4707" s="9"/>
      <c r="L4707" s="9"/>
      <c r="M4707" s="9"/>
      <c r="N4707" s="9"/>
      <c r="O4707" s="9"/>
      <c r="P4707" s="9"/>
      <c r="Q4707" s="9"/>
      <c r="R4707" s="9"/>
      <c r="S4707" s="9"/>
      <c r="T4707" s="9"/>
    </row>
    <row r="4708" ht="15.75" customHeight="1">
      <c r="A4708" s="11">
        <f>IFERROR(__xludf.DUMMYFUNCTION("""COMPUTED_VALUE"""),44471.0)</f>
        <v>44471</v>
      </c>
      <c r="B4708" s="9">
        <f>IFERROR(__xludf.DUMMYFUNCTION("""COMPUTED_VALUE"""),1003960.0)</f>
        <v>1003960</v>
      </c>
      <c r="C4708" s="9">
        <f>IFERROR(__xludf.DUMMYFUNCTION("""COMPUTED_VALUE"""),158473.0)</f>
        <v>158473</v>
      </c>
      <c r="D4708" s="9"/>
      <c r="E4708" s="9"/>
      <c r="F4708" s="9">
        <f>IFERROR(__xludf.DUMMYFUNCTION("""COMPUTED_VALUE"""),5.53)</f>
        <v>5.53</v>
      </c>
      <c r="G4708" s="9">
        <f>IFERROR(__xludf.DUMMYFUNCTION("""COMPUTED_VALUE"""),5.53)</f>
        <v>5.53</v>
      </c>
      <c r="H4708" s="9">
        <f>IFERROR(__xludf.DUMMYFUNCTION("""COMPUTED_VALUE"""),1.0)</f>
        <v>1</v>
      </c>
      <c r="I4708" s="9"/>
      <c r="J4708" s="9"/>
      <c r="K4708" s="9"/>
      <c r="L4708" s="9"/>
      <c r="M4708" s="9"/>
      <c r="N4708" s="9"/>
      <c r="O4708" s="9"/>
      <c r="P4708" s="9"/>
      <c r="Q4708" s="9"/>
      <c r="R4708" s="9"/>
      <c r="S4708" s="9"/>
      <c r="T4708" s="9"/>
    </row>
    <row r="4709" ht="15.75" customHeight="1">
      <c r="A4709" s="11">
        <f>IFERROR(__xludf.DUMMYFUNCTION("""COMPUTED_VALUE"""),44471.0)</f>
        <v>44471</v>
      </c>
      <c r="B4709" s="9">
        <f>IFERROR(__xludf.DUMMYFUNCTION("""COMPUTED_VALUE"""),1003960.0)</f>
        <v>1003960</v>
      </c>
      <c r="C4709" s="9">
        <f>IFERROR(__xludf.DUMMYFUNCTION("""COMPUTED_VALUE"""),150939.0)</f>
        <v>150939</v>
      </c>
      <c r="D4709" s="9"/>
      <c r="E4709" s="9"/>
      <c r="F4709" s="9">
        <f>IFERROR(__xludf.DUMMYFUNCTION("""COMPUTED_VALUE"""),12.08)</f>
        <v>12.08</v>
      </c>
      <c r="G4709" s="9">
        <f>IFERROR(__xludf.DUMMYFUNCTION("""COMPUTED_VALUE"""),12.08)</f>
        <v>12.08</v>
      </c>
      <c r="H4709" s="9">
        <f>IFERROR(__xludf.DUMMYFUNCTION("""COMPUTED_VALUE"""),1.0)</f>
        <v>1</v>
      </c>
      <c r="I4709" s="9"/>
      <c r="J4709" s="9"/>
      <c r="K4709" s="9"/>
      <c r="L4709" s="9"/>
      <c r="M4709" s="9"/>
      <c r="N4709" s="9"/>
      <c r="O4709" s="9"/>
      <c r="P4709" s="9"/>
      <c r="Q4709" s="9"/>
      <c r="R4709" s="9"/>
      <c r="S4709" s="9"/>
      <c r="T4709" s="9"/>
    </row>
    <row r="4710" ht="15.75" customHeight="1">
      <c r="A4710" s="11">
        <f>IFERROR(__xludf.DUMMYFUNCTION("""COMPUTED_VALUE"""),44471.0)</f>
        <v>44471</v>
      </c>
      <c r="B4710" s="9">
        <f>IFERROR(__xludf.DUMMYFUNCTION("""COMPUTED_VALUE"""),1003960.0)</f>
        <v>1003960</v>
      </c>
      <c r="C4710" s="9">
        <f>IFERROR(__xludf.DUMMYFUNCTION("""COMPUTED_VALUE"""),83055.0)</f>
        <v>83055</v>
      </c>
      <c r="D4710" s="9"/>
      <c r="E4710" s="9"/>
      <c r="F4710" s="9">
        <f>IFERROR(__xludf.DUMMYFUNCTION("""COMPUTED_VALUE"""),1.76)</f>
        <v>1.76</v>
      </c>
      <c r="G4710" s="9">
        <f>IFERROR(__xludf.DUMMYFUNCTION("""COMPUTED_VALUE"""),1.76)</f>
        <v>1.76</v>
      </c>
      <c r="H4710" s="9">
        <f>IFERROR(__xludf.DUMMYFUNCTION("""COMPUTED_VALUE"""),1.0)</f>
        <v>1</v>
      </c>
      <c r="I4710" s="9"/>
      <c r="J4710" s="9"/>
      <c r="K4710" s="9"/>
      <c r="L4710" s="9"/>
      <c r="M4710" s="9"/>
      <c r="N4710" s="9"/>
      <c r="O4710" s="9"/>
      <c r="P4710" s="9"/>
      <c r="Q4710" s="9"/>
      <c r="R4710" s="9"/>
      <c r="S4710" s="9"/>
      <c r="T4710" s="9"/>
    </row>
    <row r="4711" ht="15.75" customHeight="1">
      <c r="A4711" s="11">
        <f>IFERROR(__xludf.DUMMYFUNCTION("""COMPUTED_VALUE"""),44471.0)</f>
        <v>44471</v>
      </c>
      <c r="B4711" s="9">
        <f>IFERROR(__xludf.DUMMYFUNCTION("""COMPUTED_VALUE"""),1003960.0)</f>
        <v>1003960</v>
      </c>
      <c r="C4711" s="9">
        <f>IFERROR(__xludf.DUMMYFUNCTION("""COMPUTED_VALUE"""),111502.0)</f>
        <v>111502</v>
      </c>
      <c r="D4711" s="10" t="str">
        <f>IFERROR(__xludf.DUMMYFUNCTION("""COMPUTED_VALUE"""),"Vive le bio")</f>
        <v>Vive le bio</v>
      </c>
      <c r="E4711" s="10"/>
      <c r="F4711" s="9">
        <f>IFERROR(__xludf.DUMMYFUNCTION("""COMPUTED_VALUE"""),4.67777777777777)</f>
        <v>4.677777778</v>
      </c>
      <c r="G4711" s="9">
        <f>IFERROR(__xludf.DUMMYFUNCTION("""COMPUTED_VALUE"""),4.21)</f>
        <v>4.21</v>
      </c>
      <c r="H4711" s="9">
        <f>IFERROR(__xludf.DUMMYFUNCTION("""COMPUTED_VALUE"""),1.0)</f>
        <v>1</v>
      </c>
      <c r="I4711" s="9"/>
      <c r="J4711" s="9"/>
      <c r="K4711" s="9"/>
      <c r="L4711" s="9"/>
      <c r="M4711" s="9"/>
      <c r="N4711" s="9"/>
      <c r="O4711" s="9"/>
      <c r="P4711" s="9"/>
      <c r="Q4711" s="9"/>
      <c r="R4711" s="9"/>
      <c r="S4711" s="9"/>
      <c r="T4711" s="9"/>
    </row>
    <row r="4712" ht="15.75" customHeight="1">
      <c r="A4712" s="11">
        <f>IFERROR(__xludf.DUMMYFUNCTION("""COMPUTED_VALUE"""),44471.0)</f>
        <v>44471</v>
      </c>
      <c r="B4712" s="9">
        <f>IFERROR(__xludf.DUMMYFUNCTION("""COMPUTED_VALUE"""),1003960.0)</f>
        <v>1003960</v>
      </c>
      <c r="C4712" s="9">
        <f>IFERROR(__xludf.DUMMYFUNCTION("""COMPUTED_VALUE"""),93896.0)</f>
        <v>93896</v>
      </c>
      <c r="D4712" s="10" t="str">
        <f>IFERROR(__xludf.DUMMYFUNCTION("""COMPUTED_VALUE"""),"Vive le bio")</f>
        <v>Vive le bio</v>
      </c>
      <c r="E4712" s="10"/>
      <c r="F4712" s="9">
        <f>IFERROR(__xludf.DUMMYFUNCTION("""COMPUTED_VALUE"""),3.35555555555555)</f>
        <v>3.355555556</v>
      </c>
      <c r="G4712" s="9">
        <f>IFERROR(__xludf.DUMMYFUNCTION("""COMPUTED_VALUE"""),3.02)</f>
        <v>3.02</v>
      </c>
      <c r="H4712" s="9">
        <f>IFERROR(__xludf.DUMMYFUNCTION("""COMPUTED_VALUE"""),1.0)</f>
        <v>1</v>
      </c>
      <c r="I4712" s="9"/>
      <c r="J4712" s="9"/>
      <c r="K4712" s="9"/>
      <c r="L4712" s="9"/>
      <c r="M4712" s="9"/>
      <c r="N4712" s="9"/>
      <c r="O4712" s="9"/>
      <c r="P4712" s="9"/>
      <c r="Q4712" s="9"/>
      <c r="R4712" s="9"/>
      <c r="S4712" s="9"/>
      <c r="T4712" s="9"/>
    </row>
    <row r="4713" ht="15.75" customHeight="1">
      <c r="A4713" s="11">
        <f>IFERROR(__xludf.DUMMYFUNCTION("""COMPUTED_VALUE"""),44471.0)</f>
        <v>44471</v>
      </c>
      <c r="B4713" s="9">
        <f>IFERROR(__xludf.DUMMYFUNCTION("""COMPUTED_VALUE"""),1003960.0)</f>
        <v>1003960</v>
      </c>
      <c r="C4713" s="9">
        <f>IFERROR(__xludf.DUMMYFUNCTION("""COMPUTED_VALUE"""),103873.0)</f>
        <v>103873</v>
      </c>
      <c r="D4713" s="9"/>
      <c r="E4713" s="9"/>
      <c r="F4713" s="9">
        <f>IFERROR(__xludf.DUMMYFUNCTION("""COMPUTED_VALUE"""),2.32)</f>
        <v>2.32</v>
      </c>
      <c r="G4713" s="9">
        <f>IFERROR(__xludf.DUMMYFUNCTION("""COMPUTED_VALUE"""),2.32)</f>
        <v>2.32</v>
      </c>
      <c r="H4713" s="9">
        <f>IFERROR(__xludf.DUMMYFUNCTION("""COMPUTED_VALUE"""),1.0)</f>
        <v>1</v>
      </c>
      <c r="I4713" s="9"/>
      <c r="J4713" s="9"/>
      <c r="K4713" s="9"/>
      <c r="L4713" s="9"/>
      <c r="M4713" s="9"/>
      <c r="N4713" s="9"/>
      <c r="O4713" s="9"/>
      <c r="P4713" s="9"/>
      <c r="Q4713" s="9"/>
      <c r="R4713" s="9"/>
      <c r="S4713" s="9"/>
      <c r="T4713" s="9"/>
    </row>
    <row r="4714" ht="15.75" customHeight="1">
      <c r="A4714" s="11">
        <f>IFERROR(__xludf.DUMMYFUNCTION("""COMPUTED_VALUE"""),44471.0)</f>
        <v>44471</v>
      </c>
      <c r="B4714" s="9">
        <f>IFERROR(__xludf.DUMMYFUNCTION("""COMPUTED_VALUE"""),1003960.0)</f>
        <v>1003960</v>
      </c>
      <c r="C4714" s="9">
        <f>IFERROR(__xludf.DUMMYFUNCTION("""COMPUTED_VALUE"""),80318.0)</f>
        <v>80318</v>
      </c>
      <c r="D4714" s="9"/>
      <c r="E4714" s="9"/>
      <c r="F4714" s="9">
        <f>IFERROR(__xludf.DUMMYFUNCTION("""COMPUTED_VALUE"""),3.32)</f>
        <v>3.32</v>
      </c>
      <c r="G4714" s="9">
        <f>IFERROR(__xludf.DUMMYFUNCTION("""COMPUTED_VALUE"""),3.32)</f>
        <v>3.32</v>
      </c>
      <c r="H4714" s="9">
        <f>IFERROR(__xludf.DUMMYFUNCTION("""COMPUTED_VALUE"""),1.0)</f>
        <v>1</v>
      </c>
      <c r="I4714" s="9"/>
      <c r="J4714" s="9"/>
      <c r="K4714" s="9"/>
      <c r="L4714" s="9"/>
      <c r="M4714" s="9"/>
      <c r="N4714" s="9"/>
      <c r="O4714" s="9"/>
      <c r="P4714" s="9"/>
      <c r="Q4714" s="9"/>
      <c r="R4714" s="9"/>
      <c r="S4714" s="9"/>
      <c r="T4714" s="9"/>
    </row>
    <row r="4715" ht="15.75" customHeight="1">
      <c r="A4715" s="11">
        <f>IFERROR(__xludf.DUMMYFUNCTION("""COMPUTED_VALUE"""),44471.0)</f>
        <v>44471</v>
      </c>
      <c r="B4715" s="9">
        <f>IFERROR(__xludf.DUMMYFUNCTION("""COMPUTED_VALUE"""),1003960.0)</f>
        <v>1003960</v>
      </c>
      <c r="C4715" s="9">
        <f>IFERROR(__xludf.DUMMYFUNCTION("""COMPUTED_VALUE"""),47299.0)</f>
        <v>47299</v>
      </c>
      <c r="D4715" s="10" t="str">
        <f>IFERROR(__xludf.DUMMYFUNCTION("""COMPUTED_VALUE"""),"Offre speciale")</f>
        <v>Offre speciale</v>
      </c>
      <c r="E4715" s="10"/>
      <c r="F4715" s="9">
        <f>IFERROR(__xludf.DUMMYFUNCTION("""COMPUTED_VALUE"""),2.2)</f>
        <v>2.2</v>
      </c>
      <c r="G4715" s="9">
        <f>IFERROR(__xludf.DUMMYFUNCTION("""COMPUTED_VALUE"""),1.87)</f>
        <v>1.87</v>
      </c>
      <c r="H4715" s="9">
        <f>IFERROR(__xludf.DUMMYFUNCTION("""COMPUTED_VALUE"""),1.0)</f>
        <v>1</v>
      </c>
      <c r="I4715" s="9"/>
      <c r="J4715" s="9"/>
      <c r="K4715" s="9"/>
      <c r="L4715" s="9"/>
      <c r="M4715" s="9"/>
      <c r="N4715" s="9"/>
      <c r="O4715" s="9"/>
      <c r="P4715" s="9"/>
      <c r="Q4715" s="9"/>
      <c r="R4715" s="9"/>
      <c r="S4715" s="9"/>
      <c r="T4715" s="9"/>
    </row>
    <row r="4716" ht="15.75" customHeight="1">
      <c r="A4716" s="11">
        <f>IFERROR(__xludf.DUMMYFUNCTION("""COMPUTED_VALUE"""),44471.0)</f>
        <v>44471</v>
      </c>
      <c r="B4716" s="9">
        <f>IFERROR(__xludf.DUMMYFUNCTION("""COMPUTED_VALUE"""),1003960.0)</f>
        <v>1003960</v>
      </c>
      <c r="C4716" s="9">
        <f>IFERROR(__xludf.DUMMYFUNCTION("""COMPUTED_VALUE"""),16645.0)</f>
        <v>16645</v>
      </c>
      <c r="D4716" s="9"/>
      <c r="E4716" s="9"/>
      <c r="F4716" s="9">
        <f>IFERROR(__xludf.DUMMYFUNCTION("""COMPUTED_VALUE"""),2.34)</f>
        <v>2.34</v>
      </c>
      <c r="G4716" s="9">
        <f>IFERROR(__xludf.DUMMYFUNCTION("""COMPUTED_VALUE"""),2.34)</f>
        <v>2.34</v>
      </c>
      <c r="H4716" s="9">
        <f>IFERROR(__xludf.DUMMYFUNCTION("""COMPUTED_VALUE"""),1.0)</f>
        <v>1</v>
      </c>
      <c r="I4716" s="9"/>
      <c r="J4716" s="9"/>
      <c r="K4716" s="9"/>
      <c r="L4716" s="9"/>
      <c r="M4716" s="9"/>
      <c r="N4716" s="9"/>
      <c r="O4716" s="9"/>
      <c r="P4716" s="9"/>
      <c r="Q4716" s="9"/>
      <c r="R4716" s="9"/>
      <c r="S4716" s="9"/>
      <c r="T4716" s="9"/>
    </row>
    <row r="4717" ht="15.75" customHeight="1">
      <c r="A4717" s="11">
        <f>IFERROR(__xludf.DUMMYFUNCTION("""COMPUTED_VALUE"""),44471.0)</f>
        <v>44471</v>
      </c>
      <c r="B4717" s="9">
        <f>IFERROR(__xludf.DUMMYFUNCTION("""COMPUTED_VALUE"""),1003960.0)</f>
        <v>1003960</v>
      </c>
      <c r="C4717" s="9">
        <f>IFERROR(__xludf.DUMMYFUNCTION("""COMPUTED_VALUE"""),110414.0)</f>
        <v>110414</v>
      </c>
      <c r="D4717" s="9"/>
      <c r="E4717" s="9"/>
      <c r="F4717" s="9">
        <f>IFERROR(__xludf.DUMMYFUNCTION("""COMPUTED_VALUE"""),4.73)</f>
        <v>4.73</v>
      </c>
      <c r="G4717" s="9">
        <f>IFERROR(__xludf.DUMMYFUNCTION("""COMPUTED_VALUE"""),4.73)</f>
        <v>4.73</v>
      </c>
      <c r="H4717" s="9">
        <f>IFERROR(__xludf.DUMMYFUNCTION("""COMPUTED_VALUE"""),1.0)</f>
        <v>1</v>
      </c>
      <c r="I4717" s="9"/>
      <c r="J4717" s="9"/>
      <c r="K4717" s="9"/>
      <c r="L4717" s="9"/>
      <c r="M4717" s="9"/>
      <c r="N4717" s="9"/>
      <c r="O4717" s="9"/>
      <c r="P4717" s="9"/>
      <c r="Q4717" s="9"/>
      <c r="R4717" s="9"/>
      <c r="S4717" s="9"/>
      <c r="T4717" s="9"/>
    </row>
    <row r="4718" ht="15.75" customHeight="1">
      <c r="A4718" s="11">
        <f>IFERROR(__xludf.DUMMYFUNCTION("""COMPUTED_VALUE"""),44471.0)</f>
        <v>44471</v>
      </c>
      <c r="B4718" s="9">
        <f>IFERROR(__xludf.DUMMYFUNCTION("""COMPUTED_VALUE"""),1003960.0)</f>
        <v>1003960</v>
      </c>
      <c r="C4718" s="9">
        <f>IFERROR(__xludf.DUMMYFUNCTION("""COMPUTED_VALUE"""),46132.0)</f>
        <v>46132</v>
      </c>
      <c r="D4718" s="9"/>
      <c r="E4718" s="9"/>
      <c r="F4718" s="9">
        <f>IFERROR(__xludf.DUMMYFUNCTION("""COMPUTED_VALUE"""),5.36)</f>
        <v>5.36</v>
      </c>
      <c r="G4718" s="9">
        <f>IFERROR(__xludf.DUMMYFUNCTION("""COMPUTED_VALUE"""),5.36)</f>
        <v>5.36</v>
      </c>
      <c r="H4718" s="9">
        <f>IFERROR(__xludf.DUMMYFUNCTION("""COMPUTED_VALUE"""),3.0)</f>
        <v>3</v>
      </c>
      <c r="I4718" s="9"/>
      <c r="J4718" s="9"/>
      <c r="K4718" s="9"/>
      <c r="L4718" s="9"/>
      <c r="M4718" s="9"/>
      <c r="N4718" s="9"/>
      <c r="O4718" s="9"/>
      <c r="P4718" s="9"/>
      <c r="Q4718" s="9"/>
      <c r="R4718" s="9"/>
      <c r="S4718" s="9"/>
      <c r="T4718" s="9"/>
    </row>
    <row r="4719" ht="15.75" customHeight="1">
      <c r="A4719" s="11">
        <f>IFERROR(__xludf.DUMMYFUNCTION("""COMPUTED_VALUE"""),44471.0)</f>
        <v>44471</v>
      </c>
      <c r="B4719" s="9">
        <f>IFERROR(__xludf.DUMMYFUNCTION("""COMPUTED_VALUE"""),1003960.0)</f>
        <v>1003960</v>
      </c>
      <c r="C4719" s="9">
        <f>IFERROR(__xludf.DUMMYFUNCTION("""COMPUTED_VALUE"""),80318.0)</f>
        <v>80318</v>
      </c>
      <c r="D4719" s="9"/>
      <c r="E4719" s="9"/>
      <c r="F4719" s="9">
        <f>IFERROR(__xludf.DUMMYFUNCTION("""COMPUTED_VALUE"""),9.86)</f>
        <v>9.86</v>
      </c>
      <c r="G4719" s="9">
        <f>IFERROR(__xludf.DUMMYFUNCTION("""COMPUTED_VALUE"""),9.86)</f>
        <v>9.86</v>
      </c>
      <c r="H4719" s="9">
        <f>IFERROR(__xludf.DUMMYFUNCTION("""COMPUTED_VALUE"""),3.0)</f>
        <v>3</v>
      </c>
      <c r="I4719" s="9"/>
      <c r="J4719" s="9"/>
      <c r="K4719" s="9"/>
      <c r="L4719" s="9"/>
      <c r="M4719" s="9"/>
      <c r="N4719" s="9"/>
      <c r="O4719" s="9"/>
      <c r="P4719" s="9"/>
      <c r="Q4719" s="9"/>
      <c r="R4719" s="9"/>
      <c r="S4719" s="9"/>
      <c r="T4719" s="9"/>
    </row>
    <row r="4720" ht="15.75" customHeight="1">
      <c r="A4720" s="11">
        <f>IFERROR(__xludf.DUMMYFUNCTION("""COMPUTED_VALUE"""),44471.0)</f>
        <v>44471</v>
      </c>
      <c r="B4720" s="9">
        <f>IFERROR(__xludf.DUMMYFUNCTION("""COMPUTED_VALUE"""),1003961.0)</f>
        <v>1003961</v>
      </c>
      <c r="C4720" s="9">
        <f>IFERROR(__xludf.DUMMYFUNCTION("""COMPUTED_VALUE"""),82427.0)</f>
        <v>82427</v>
      </c>
      <c r="D4720" s="9"/>
      <c r="E4720" s="9"/>
      <c r="F4720" s="9">
        <f>IFERROR(__xludf.DUMMYFUNCTION("""COMPUTED_VALUE"""),4.01)</f>
        <v>4.01</v>
      </c>
      <c r="G4720" s="9">
        <f>IFERROR(__xludf.DUMMYFUNCTION("""COMPUTED_VALUE"""),4.01)</f>
        <v>4.01</v>
      </c>
      <c r="H4720" s="9">
        <f>IFERROR(__xludf.DUMMYFUNCTION("""COMPUTED_VALUE"""),1.0)</f>
        <v>1</v>
      </c>
      <c r="I4720" s="9"/>
      <c r="J4720" s="9"/>
      <c r="K4720" s="9"/>
      <c r="L4720" s="9"/>
      <c r="M4720" s="9"/>
      <c r="N4720" s="9"/>
      <c r="O4720" s="9"/>
      <c r="P4720" s="9"/>
      <c r="Q4720" s="9"/>
      <c r="R4720" s="9"/>
      <c r="S4720" s="9"/>
      <c r="T4720" s="9"/>
    </row>
    <row r="4721" ht="15.75" customHeight="1">
      <c r="A4721" s="11">
        <f>IFERROR(__xludf.DUMMYFUNCTION("""COMPUTED_VALUE"""),44471.0)</f>
        <v>44471</v>
      </c>
      <c r="B4721" s="9">
        <f>IFERROR(__xludf.DUMMYFUNCTION("""COMPUTED_VALUE"""),1003961.0)</f>
        <v>1003961</v>
      </c>
      <c r="C4721" s="9">
        <f>IFERROR(__xludf.DUMMYFUNCTION("""COMPUTED_VALUE"""),116770.0)</f>
        <v>116770</v>
      </c>
      <c r="D4721" s="9"/>
      <c r="E4721" s="9"/>
      <c r="F4721" s="9">
        <f>IFERROR(__xludf.DUMMYFUNCTION("""COMPUTED_VALUE"""),3.92)</f>
        <v>3.92</v>
      </c>
      <c r="G4721" s="9">
        <f>IFERROR(__xludf.DUMMYFUNCTION("""COMPUTED_VALUE"""),3.92)</f>
        <v>3.92</v>
      </c>
      <c r="H4721" s="9">
        <f>IFERROR(__xludf.DUMMYFUNCTION("""COMPUTED_VALUE"""),1.0)</f>
        <v>1</v>
      </c>
      <c r="I4721" s="9"/>
      <c r="J4721" s="9"/>
      <c r="K4721" s="9"/>
      <c r="L4721" s="9"/>
      <c r="M4721" s="9"/>
      <c r="N4721" s="9"/>
      <c r="O4721" s="9"/>
      <c r="P4721" s="9"/>
      <c r="Q4721" s="9"/>
      <c r="R4721" s="9"/>
      <c r="S4721" s="9"/>
      <c r="T4721" s="9"/>
    </row>
    <row r="4722" ht="15.75" customHeight="1">
      <c r="A4722" s="11">
        <f>IFERROR(__xludf.DUMMYFUNCTION("""COMPUTED_VALUE"""),44471.0)</f>
        <v>44471</v>
      </c>
      <c r="B4722" s="9">
        <f>IFERROR(__xludf.DUMMYFUNCTION("""COMPUTED_VALUE"""),1003961.0)</f>
        <v>1003961</v>
      </c>
      <c r="C4722" s="9">
        <f>IFERROR(__xludf.DUMMYFUNCTION("""COMPUTED_VALUE"""),118351.0)</f>
        <v>118351</v>
      </c>
      <c r="D4722" s="9"/>
      <c r="E4722" s="9"/>
      <c r="F4722" s="9">
        <f>IFERROR(__xludf.DUMMYFUNCTION("""COMPUTED_VALUE"""),4.34)</f>
        <v>4.34</v>
      </c>
      <c r="G4722" s="9">
        <f>IFERROR(__xludf.DUMMYFUNCTION("""COMPUTED_VALUE"""),4.34)</f>
        <v>4.34</v>
      </c>
      <c r="H4722" s="9">
        <f>IFERROR(__xludf.DUMMYFUNCTION("""COMPUTED_VALUE"""),1.0)</f>
        <v>1</v>
      </c>
      <c r="I4722" s="9"/>
      <c r="J4722" s="9"/>
      <c r="K4722" s="9"/>
      <c r="L4722" s="9"/>
      <c r="M4722" s="9"/>
      <c r="N4722" s="9"/>
      <c r="O4722" s="9"/>
      <c r="P4722" s="9"/>
      <c r="Q4722" s="9"/>
      <c r="R4722" s="9"/>
      <c r="S4722" s="9"/>
      <c r="T4722" s="9"/>
    </row>
    <row r="4723" ht="15.75" customHeight="1">
      <c r="A4723" s="11">
        <f>IFERROR(__xludf.DUMMYFUNCTION("""COMPUTED_VALUE"""),44471.0)</f>
        <v>44471</v>
      </c>
      <c r="B4723" s="9">
        <f>IFERROR(__xludf.DUMMYFUNCTION("""COMPUTED_VALUE"""),1003961.0)</f>
        <v>1003961</v>
      </c>
      <c r="C4723" s="9">
        <f>IFERROR(__xludf.DUMMYFUNCTION("""COMPUTED_VALUE"""),166324.0)</f>
        <v>166324</v>
      </c>
      <c r="D4723" s="9"/>
      <c r="E4723" s="9"/>
      <c r="F4723" s="9">
        <f>IFERROR(__xludf.DUMMYFUNCTION("""COMPUTED_VALUE"""),12.53)</f>
        <v>12.53</v>
      </c>
      <c r="G4723" s="9">
        <f>IFERROR(__xludf.DUMMYFUNCTION("""COMPUTED_VALUE"""),12.53)</f>
        <v>12.53</v>
      </c>
      <c r="H4723" s="9">
        <f>IFERROR(__xludf.DUMMYFUNCTION("""COMPUTED_VALUE"""),1.0)</f>
        <v>1</v>
      </c>
      <c r="I4723" s="9"/>
      <c r="J4723" s="9"/>
      <c r="K4723" s="9"/>
      <c r="L4723" s="9"/>
      <c r="M4723" s="9"/>
      <c r="N4723" s="9"/>
      <c r="O4723" s="9"/>
      <c r="P4723" s="9"/>
      <c r="Q4723" s="9"/>
      <c r="R4723" s="9"/>
      <c r="S4723" s="9"/>
      <c r="T4723" s="9"/>
    </row>
    <row r="4724" ht="15.75" customHeight="1">
      <c r="A4724" s="11">
        <f>IFERROR(__xludf.DUMMYFUNCTION("""COMPUTED_VALUE"""),44471.0)</f>
        <v>44471</v>
      </c>
      <c r="B4724" s="9">
        <f>IFERROR(__xludf.DUMMYFUNCTION("""COMPUTED_VALUE"""),1003961.0)</f>
        <v>1003961</v>
      </c>
      <c r="C4724" s="9">
        <f>IFERROR(__xludf.DUMMYFUNCTION("""COMPUTED_VALUE"""),43945.0)</f>
        <v>43945</v>
      </c>
      <c r="D4724" s="9"/>
      <c r="E4724" s="9"/>
      <c r="F4724" s="9">
        <f>IFERROR(__xludf.DUMMYFUNCTION("""COMPUTED_VALUE"""),49.12)</f>
        <v>49.12</v>
      </c>
      <c r="G4724" s="9">
        <f>IFERROR(__xludf.DUMMYFUNCTION("""COMPUTED_VALUE"""),49.12)</f>
        <v>49.12</v>
      </c>
      <c r="H4724" s="9">
        <f>IFERROR(__xludf.DUMMYFUNCTION("""COMPUTED_VALUE"""),3.0)</f>
        <v>3</v>
      </c>
      <c r="I4724" s="9"/>
      <c r="J4724" s="9"/>
      <c r="K4724" s="9"/>
      <c r="L4724" s="9"/>
      <c r="M4724" s="9"/>
      <c r="N4724" s="9"/>
      <c r="O4724" s="9"/>
      <c r="P4724" s="9"/>
      <c r="Q4724" s="9"/>
      <c r="R4724" s="9"/>
      <c r="S4724" s="9"/>
      <c r="T4724" s="9"/>
    </row>
    <row r="4725" ht="15.75" customHeight="1">
      <c r="A4725" s="11">
        <f>IFERROR(__xludf.DUMMYFUNCTION("""COMPUTED_VALUE"""),44471.0)</f>
        <v>44471</v>
      </c>
      <c r="B4725" s="9">
        <f>IFERROR(__xludf.DUMMYFUNCTION("""COMPUTED_VALUE"""),1003962.0)</f>
        <v>1003962</v>
      </c>
      <c r="C4725" s="9">
        <f>IFERROR(__xludf.DUMMYFUNCTION("""COMPUTED_VALUE"""),111924.0)</f>
        <v>111924</v>
      </c>
      <c r="D4725" s="9"/>
      <c r="E4725" s="10" t="str">
        <f>IFERROR(__xludf.DUMMYFUNCTION("""COMPUTED_VALUE"""),"GREENRELAIS")</f>
        <v>GREENRELAIS</v>
      </c>
      <c r="F4725" s="10">
        <f>IFERROR(__xludf.DUMMYFUNCTION("""COMPUTED_VALUE"""),4.38)</f>
        <v>4.38</v>
      </c>
      <c r="G4725" s="9">
        <f>IFERROR(__xludf.DUMMYFUNCTION("""COMPUTED_VALUE"""),4.38)</f>
        <v>4.38</v>
      </c>
      <c r="H4725" s="9">
        <f>IFERROR(__xludf.DUMMYFUNCTION("""COMPUTED_VALUE"""),1.0)</f>
        <v>1</v>
      </c>
      <c r="I4725" s="9"/>
      <c r="J4725" s="9"/>
      <c r="K4725" s="9"/>
      <c r="L4725" s="9"/>
      <c r="M4725" s="9"/>
      <c r="N4725" s="9"/>
      <c r="O4725" s="9"/>
      <c r="P4725" s="9"/>
      <c r="Q4725" s="9"/>
      <c r="R4725" s="9"/>
      <c r="S4725" s="9"/>
      <c r="T4725" s="9"/>
    </row>
    <row r="4726" ht="15.75" customHeight="1">
      <c r="A4726" s="11">
        <f>IFERROR(__xludf.DUMMYFUNCTION("""COMPUTED_VALUE"""),44471.0)</f>
        <v>44471</v>
      </c>
      <c r="B4726" s="9">
        <f>IFERROR(__xludf.DUMMYFUNCTION("""COMPUTED_VALUE"""),1003962.0)</f>
        <v>1003962</v>
      </c>
      <c r="C4726" s="9">
        <f>IFERROR(__xludf.DUMMYFUNCTION("""COMPUTED_VALUE"""),111922.0)</f>
        <v>111922</v>
      </c>
      <c r="D4726" s="9"/>
      <c r="E4726" s="10" t="str">
        <f>IFERROR(__xludf.DUMMYFUNCTION("""COMPUTED_VALUE"""),"GREENRELAIS")</f>
        <v>GREENRELAIS</v>
      </c>
      <c r="F4726" s="10">
        <f>IFERROR(__xludf.DUMMYFUNCTION("""COMPUTED_VALUE"""),4.38)</f>
        <v>4.38</v>
      </c>
      <c r="G4726" s="9">
        <f>IFERROR(__xludf.DUMMYFUNCTION("""COMPUTED_VALUE"""),4.38)</f>
        <v>4.38</v>
      </c>
      <c r="H4726" s="9">
        <f>IFERROR(__xludf.DUMMYFUNCTION("""COMPUTED_VALUE"""),1.0)</f>
        <v>1</v>
      </c>
      <c r="I4726" s="9"/>
      <c r="J4726" s="9"/>
      <c r="K4726" s="9"/>
      <c r="L4726" s="9"/>
      <c r="M4726" s="9"/>
      <c r="N4726" s="9"/>
      <c r="O4726" s="9"/>
      <c r="P4726" s="9"/>
      <c r="Q4726" s="9"/>
      <c r="R4726" s="9"/>
      <c r="S4726" s="9"/>
      <c r="T4726" s="9"/>
    </row>
    <row r="4727" ht="15.75" customHeight="1">
      <c r="A4727" s="11">
        <f>IFERROR(__xludf.DUMMYFUNCTION("""COMPUTED_VALUE"""),44471.0)</f>
        <v>44471</v>
      </c>
      <c r="B4727" s="9">
        <f>IFERROR(__xludf.DUMMYFUNCTION("""COMPUTED_VALUE"""),1003962.0)</f>
        <v>1003962</v>
      </c>
      <c r="C4727" s="9">
        <f>IFERROR(__xludf.DUMMYFUNCTION("""COMPUTED_VALUE"""),110282.0)</f>
        <v>110282</v>
      </c>
      <c r="D4727" s="9"/>
      <c r="E4727" s="10" t="str">
        <f>IFERROR(__xludf.DUMMYFUNCTION("""COMPUTED_VALUE"""),"GREENRELAIS")</f>
        <v>GREENRELAIS</v>
      </c>
      <c r="F4727" s="10">
        <f>IFERROR(__xludf.DUMMYFUNCTION("""COMPUTED_VALUE"""),6.38)</f>
        <v>6.38</v>
      </c>
      <c r="G4727" s="9">
        <f>IFERROR(__xludf.DUMMYFUNCTION("""COMPUTED_VALUE"""),6.38)</f>
        <v>6.38</v>
      </c>
      <c r="H4727" s="9">
        <f>IFERROR(__xludf.DUMMYFUNCTION("""COMPUTED_VALUE"""),1.0)</f>
        <v>1</v>
      </c>
      <c r="I4727" s="9"/>
      <c r="J4727" s="9"/>
      <c r="K4727" s="9"/>
      <c r="L4727" s="9"/>
      <c r="M4727" s="9"/>
      <c r="N4727" s="9"/>
      <c r="O4727" s="9"/>
      <c r="P4727" s="9"/>
      <c r="Q4727" s="9"/>
      <c r="R4727" s="9"/>
      <c r="S4727" s="9"/>
      <c r="T4727" s="9"/>
    </row>
    <row r="4728" ht="15.75" customHeight="1">
      <c r="A4728" s="11">
        <f>IFERROR(__xludf.DUMMYFUNCTION("""COMPUTED_VALUE"""),44471.0)</f>
        <v>44471</v>
      </c>
      <c r="B4728" s="9">
        <f>IFERROR(__xludf.DUMMYFUNCTION("""COMPUTED_VALUE"""),1003962.0)</f>
        <v>1003962</v>
      </c>
      <c r="C4728" s="9">
        <f>IFERROR(__xludf.DUMMYFUNCTION("""COMPUTED_VALUE"""),121981.0)</f>
        <v>121981</v>
      </c>
      <c r="D4728" s="10" t="str">
        <f>IFERROR(__xludf.DUMMYFUNCTION("""COMPUTED_VALUE"""),"Offre speciale")</f>
        <v>Offre speciale</v>
      </c>
      <c r="E4728" s="10" t="str">
        <f>IFERROR(__xludf.DUMMYFUNCTION("""COMPUTED_VALUE"""),"GREENRELAIS")</f>
        <v>GREENRELAIS</v>
      </c>
      <c r="F4728" s="10">
        <f>IFERROR(__xludf.DUMMYFUNCTION("""COMPUTED_VALUE"""),3.12222222222222)</f>
        <v>3.122222222</v>
      </c>
      <c r="G4728" s="9">
        <f>IFERROR(__xludf.DUMMYFUNCTION("""COMPUTED_VALUE"""),2.81)</f>
        <v>2.81</v>
      </c>
      <c r="H4728" s="9">
        <f>IFERROR(__xludf.DUMMYFUNCTION("""COMPUTED_VALUE"""),1.0)</f>
        <v>1</v>
      </c>
      <c r="I4728" s="9"/>
      <c r="J4728" s="9"/>
      <c r="K4728" s="9"/>
      <c r="L4728" s="9"/>
      <c r="M4728" s="9"/>
      <c r="N4728" s="9"/>
      <c r="O4728" s="9"/>
      <c r="P4728" s="9"/>
      <c r="Q4728" s="9"/>
      <c r="R4728" s="9"/>
      <c r="S4728" s="9"/>
      <c r="T4728" s="9"/>
    </row>
    <row r="4729" ht="15.75" customHeight="1">
      <c r="A4729" s="11">
        <f>IFERROR(__xludf.DUMMYFUNCTION("""COMPUTED_VALUE"""),44471.0)</f>
        <v>44471</v>
      </c>
      <c r="B4729" s="9">
        <f>IFERROR(__xludf.DUMMYFUNCTION("""COMPUTED_VALUE"""),1003962.0)</f>
        <v>1003962</v>
      </c>
      <c r="C4729" s="9">
        <f>IFERROR(__xludf.DUMMYFUNCTION("""COMPUTED_VALUE"""),69115.0)</f>
        <v>69115</v>
      </c>
      <c r="D4729" s="9"/>
      <c r="E4729" s="10" t="str">
        <f>IFERROR(__xludf.DUMMYFUNCTION("""COMPUTED_VALUE"""),"GREENRELAIS")</f>
        <v>GREENRELAIS</v>
      </c>
      <c r="F4729" s="10">
        <f>IFERROR(__xludf.DUMMYFUNCTION("""COMPUTED_VALUE"""),2.46)</f>
        <v>2.46</v>
      </c>
      <c r="G4729" s="9">
        <f>IFERROR(__xludf.DUMMYFUNCTION("""COMPUTED_VALUE"""),2.46)</f>
        <v>2.46</v>
      </c>
      <c r="H4729" s="9">
        <f>IFERROR(__xludf.DUMMYFUNCTION("""COMPUTED_VALUE"""),1.0)</f>
        <v>1</v>
      </c>
      <c r="I4729" s="9"/>
      <c r="J4729" s="9"/>
      <c r="K4729" s="9"/>
      <c r="L4729" s="9"/>
      <c r="M4729" s="9"/>
      <c r="N4729" s="9"/>
      <c r="O4729" s="9"/>
      <c r="P4729" s="9"/>
      <c r="Q4729" s="9"/>
      <c r="R4729" s="9"/>
      <c r="S4729" s="9"/>
      <c r="T4729" s="9"/>
    </row>
    <row r="4730" ht="15.75" customHeight="1">
      <c r="A4730" s="11">
        <f>IFERROR(__xludf.DUMMYFUNCTION("""COMPUTED_VALUE"""),44471.0)</f>
        <v>44471</v>
      </c>
      <c r="B4730" s="9">
        <f>IFERROR(__xludf.DUMMYFUNCTION("""COMPUTED_VALUE"""),1003962.0)</f>
        <v>1003962</v>
      </c>
      <c r="C4730" s="9">
        <f>IFERROR(__xludf.DUMMYFUNCTION("""COMPUTED_VALUE"""),110587.0)</f>
        <v>110587</v>
      </c>
      <c r="D4730" s="10" t="str">
        <f>IFERROR(__xludf.DUMMYFUNCTION("""COMPUTED_VALUE"""),"Vive le bio")</f>
        <v>Vive le bio</v>
      </c>
      <c r="E4730" s="10" t="str">
        <f>IFERROR(__xludf.DUMMYFUNCTION("""COMPUTED_VALUE"""),"GREENRELAIS")</f>
        <v>GREENRELAIS</v>
      </c>
      <c r="F4730" s="10">
        <f>IFERROR(__xludf.DUMMYFUNCTION("""COMPUTED_VALUE"""),26.0444444444444)</f>
        <v>26.04444444</v>
      </c>
      <c r="G4730" s="9">
        <f>IFERROR(__xludf.DUMMYFUNCTION("""COMPUTED_VALUE"""),23.44)</f>
        <v>23.44</v>
      </c>
      <c r="H4730" s="9">
        <f>IFERROR(__xludf.DUMMYFUNCTION("""COMPUTED_VALUE"""),1.0)</f>
        <v>1</v>
      </c>
      <c r="I4730" s="9"/>
      <c r="J4730" s="9"/>
      <c r="K4730" s="9"/>
      <c r="L4730" s="9"/>
      <c r="M4730" s="9"/>
      <c r="N4730" s="9"/>
      <c r="O4730" s="9"/>
      <c r="P4730" s="9"/>
      <c r="Q4730" s="9"/>
      <c r="R4730" s="9"/>
      <c r="S4730" s="9"/>
      <c r="T4730" s="9"/>
    </row>
    <row r="4731" ht="15.75" customHeight="1">
      <c r="A4731" s="11">
        <f>IFERROR(__xludf.DUMMYFUNCTION("""COMPUTED_VALUE"""),44471.0)</f>
        <v>44471</v>
      </c>
      <c r="B4731" s="9">
        <f>IFERROR(__xludf.DUMMYFUNCTION("""COMPUTED_VALUE"""),1003962.0)</f>
        <v>1003962</v>
      </c>
      <c r="C4731" s="9">
        <f>IFERROR(__xludf.DUMMYFUNCTION("""COMPUTED_VALUE"""),69111.0)</f>
        <v>69111</v>
      </c>
      <c r="D4731" s="9"/>
      <c r="E4731" s="10" t="str">
        <f>IFERROR(__xludf.DUMMYFUNCTION("""COMPUTED_VALUE"""),"GREENRELAIS")</f>
        <v>GREENRELAIS</v>
      </c>
      <c r="F4731" s="10">
        <f>IFERROR(__xludf.DUMMYFUNCTION("""COMPUTED_VALUE"""),2.73)</f>
        <v>2.73</v>
      </c>
      <c r="G4731" s="9">
        <f>IFERROR(__xludf.DUMMYFUNCTION("""COMPUTED_VALUE"""),2.73)</f>
        <v>2.73</v>
      </c>
      <c r="H4731" s="9">
        <f>IFERROR(__xludf.DUMMYFUNCTION("""COMPUTED_VALUE"""),1.0)</f>
        <v>1</v>
      </c>
      <c r="I4731" s="9"/>
      <c r="J4731" s="9"/>
      <c r="K4731" s="9"/>
      <c r="L4731" s="9"/>
      <c r="M4731" s="9"/>
      <c r="N4731" s="9"/>
      <c r="O4731" s="9"/>
      <c r="P4731" s="9"/>
      <c r="Q4731" s="9"/>
      <c r="R4731" s="9"/>
      <c r="S4731" s="9"/>
      <c r="T4731" s="9"/>
    </row>
    <row r="4732" ht="15.75" customHeight="1">
      <c r="A4732" s="11">
        <f>IFERROR(__xludf.DUMMYFUNCTION("""COMPUTED_VALUE"""),44471.0)</f>
        <v>44471</v>
      </c>
      <c r="B4732" s="9">
        <f>IFERROR(__xludf.DUMMYFUNCTION("""COMPUTED_VALUE"""),1003962.0)</f>
        <v>1003962</v>
      </c>
      <c r="C4732" s="9">
        <f>IFERROR(__xludf.DUMMYFUNCTION("""COMPUTED_VALUE"""),69121.0)</f>
        <v>69121</v>
      </c>
      <c r="D4732" s="9"/>
      <c r="E4732" s="10" t="str">
        <f>IFERROR(__xludf.DUMMYFUNCTION("""COMPUTED_VALUE"""),"GREENRELAIS")</f>
        <v>GREENRELAIS</v>
      </c>
      <c r="F4732" s="10">
        <f>IFERROR(__xludf.DUMMYFUNCTION("""COMPUTED_VALUE"""),2.49)</f>
        <v>2.49</v>
      </c>
      <c r="G4732" s="9">
        <f>IFERROR(__xludf.DUMMYFUNCTION("""COMPUTED_VALUE"""),2.49)</f>
        <v>2.49</v>
      </c>
      <c r="H4732" s="9">
        <f>IFERROR(__xludf.DUMMYFUNCTION("""COMPUTED_VALUE"""),1.0)</f>
        <v>1</v>
      </c>
      <c r="I4732" s="9"/>
      <c r="J4732" s="9"/>
      <c r="K4732" s="9"/>
      <c r="L4732" s="9"/>
      <c r="M4732" s="9"/>
      <c r="N4732" s="9"/>
      <c r="O4732" s="9"/>
      <c r="P4732" s="9"/>
      <c r="Q4732" s="9"/>
      <c r="R4732" s="9"/>
      <c r="S4732" s="9"/>
      <c r="T4732" s="9"/>
    </row>
    <row r="4733" ht="15.75" customHeight="1">
      <c r="A4733" s="11">
        <f>IFERROR(__xludf.DUMMYFUNCTION("""COMPUTED_VALUE"""),44471.0)</f>
        <v>44471</v>
      </c>
      <c r="B4733" s="9">
        <f>IFERROR(__xludf.DUMMYFUNCTION("""COMPUTED_VALUE"""),1003962.0)</f>
        <v>1003962</v>
      </c>
      <c r="C4733" s="9">
        <f>IFERROR(__xludf.DUMMYFUNCTION("""COMPUTED_VALUE"""),121990.0)</f>
        <v>121990</v>
      </c>
      <c r="D4733" s="9"/>
      <c r="E4733" s="10" t="str">
        <f>IFERROR(__xludf.DUMMYFUNCTION("""COMPUTED_VALUE"""),"GREENRELAIS")</f>
        <v>GREENRELAIS</v>
      </c>
      <c r="F4733" s="10">
        <f>IFERROR(__xludf.DUMMYFUNCTION("""COMPUTED_VALUE"""),2.49)</f>
        <v>2.49</v>
      </c>
      <c r="G4733" s="9">
        <f>IFERROR(__xludf.DUMMYFUNCTION("""COMPUTED_VALUE"""),2.49)</f>
        <v>2.49</v>
      </c>
      <c r="H4733" s="9">
        <f>IFERROR(__xludf.DUMMYFUNCTION("""COMPUTED_VALUE"""),1.0)</f>
        <v>1</v>
      </c>
      <c r="I4733" s="9"/>
      <c r="J4733" s="9"/>
      <c r="K4733" s="9"/>
      <c r="L4733" s="9"/>
      <c r="M4733" s="9"/>
      <c r="N4733" s="9"/>
      <c r="O4733" s="9"/>
      <c r="P4733" s="9"/>
      <c r="Q4733" s="9"/>
      <c r="R4733" s="9"/>
      <c r="S4733" s="9"/>
      <c r="T4733" s="9"/>
    </row>
    <row r="4734" ht="15.75" customHeight="1">
      <c r="A4734" s="11">
        <f>IFERROR(__xludf.DUMMYFUNCTION("""COMPUTED_VALUE"""),44471.0)</f>
        <v>44471</v>
      </c>
      <c r="B4734" s="9">
        <f>IFERROR(__xludf.DUMMYFUNCTION("""COMPUTED_VALUE"""),1003962.0)</f>
        <v>1003962</v>
      </c>
      <c r="C4734" s="9">
        <f>IFERROR(__xludf.DUMMYFUNCTION("""COMPUTED_VALUE"""),69112.0)</f>
        <v>69112</v>
      </c>
      <c r="D4734" s="9"/>
      <c r="E4734" s="10" t="str">
        <f>IFERROR(__xludf.DUMMYFUNCTION("""COMPUTED_VALUE"""),"GREENRELAIS")</f>
        <v>GREENRELAIS</v>
      </c>
      <c r="F4734" s="10">
        <f>IFERROR(__xludf.DUMMYFUNCTION("""COMPUTED_VALUE"""),2.49)</f>
        <v>2.49</v>
      </c>
      <c r="G4734" s="9">
        <f>IFERROR(__xludf.DUMMYFUNCTION("""COMPUTED_VALUE"""),2.49)</f>
        <v>2.49</v>
      </c>
      <c r="H4734" s="9">
        <f>IFERROR(__xludf.DUMMYFUNCTION("""COMPUTED_VALUE"""),1.0)</f>
        <v>1</v>
      </c>
      <c r="I4734" s="9"/>
      <c r="J4734" s="9"/>
      <c r="K4734" s="9"/>
      <c r="L4734" s="9"/>
      <c r="M4734" s="9"/>
      <c r="N4734" s="9"/>
      <c r="O4734" s="9"/>
      <c r="P4734" s="9"/>
      <c r="Q4734" s="9"/>
      <c r="R4734" s="9"/>
      <c r="S4734" s="9"/>
      <c r="T4734" s="9"/>
    </row>
    <row r="4735" ht="15.75" customHeight="1">
      <c r="A4735" s="11">
        <f>IFERROR(__xludf.DUMMYFUNCTION("""COMPUTED_VALUE"""),44471.0)</f>
        <v>44471</v>
      </c>
      <c r="B4735" s="9">
        <f>IFERROR(__xludf.DUMMYFUNCTION("""COMPUTED_VALUE"""),1003962.0)</f>
        <v>1003962</v>
      </c>
      <c r="C4735" s="9">
        <f>IFERROR(__xludf.DUMMYFUNCTION("""COMPUTED_VALUE"""),69124.0)</f>
        <v>69124</v>
      </c>
      <c r="D4735" s="9"/>
      <c r="E4735" s="10" t="str">
        <f>IFERROR(__xludf.DUMMYFUNCTION("""COMPUTED_VALUE"""),"GREENRELAIS")</f>
        <v>GREENRELAIS</v>
      </c>
      <c r="F4735" s="10">
        <f>IFERROR(__xludf.DUMMYFUNCTION("""COMPUTED_VALUE"""),3.12)</f>
        <v>3.12</v>
      </c>
      <c r="G4735" s="9">
        <f>IFERROR(__xludf.DUMMYFUNCTION("""COMPUTED_VALUE"""),3.12)</f>
        <v>3.12</v>
      </c>
      <c r="H4735" s="9">
        <f>IFERROR(__xludf.DUMMYFUNCTION("""COMPUTED_VALUE"""),1.0)</f>
        <v>1</v>
      </c>
      <c r="I4735" s="9"/>
      <c r="J4735" s="9"/>
      <c r="K4735" s="9"/>
      <c r="L4735" s="9"/>
      <c r="M4735" s="9"/>
      <c r="N4735" s="9"/>
      <c r="O4735" s="9"/>
      <c r="P4735" s="9"/>
      <c r="Q4735" s="9"/>
      <c r="R4735" s="9"/>
      <c r="S4735" s="9"/>
      <c r="T4735" s="9"/>
    </row>
    <row r="4736" ht="15.75" customHeight="1">
      <c r="A4736" s="11">
        <f>IFERROR(__xludf.DUMMYFUNCTION("""COMPUTED_VALUE"""),44471.0)</f>
        <v>44471</v>
      </c>
      <c r="B4736" s="9">
        <f>IFERROR(__xludf.DUMMYFUNCTION("""COMPUTED_VALUE"""),1003963.0)</f>
        <v>1003963</v>
      </c>
      <c r="C4736" s="9">
        <f>IFERROR(__xludf.DUMMYFUNCTION("""COMPUTED_VALUE"""),133904.0)</f>
        <v>133904</v>
      </c>
      <c r="D4736" s="9"/>
      <c r="E4736" s="9"/>
      <c r="F4736" s="9">
        <f>IFERROR(__xludf.DUMMYFUNCTION("""COMPUTED_VALUE"""),6.04)</f>
        <v>6.04</v>
      </c>
      <c r="G4736" s="9">
        <f>IFERROR(__xludf.DUMMYFUNCTION("""COMPUTED_VALUE"""),6.04)</f>
        <v>6.04</v>
      </c>
      <c r="H4736" s="9">
        <f>IFERROR(__xludf.DUMMYFUNCTION("""COMPUTED_VALUE"""),1.0)</f>
        <v>1</v>
      </c>
      <c r="I4736" s="9"/>
      <c r="J4736" s="9"/>
      <c r="K4736" s="9"/>
      <c r="L4736" s="9"/>
      <c r="M4736" s="9"/>
      <c r="N4736" s="9"/>
      <c r="O4736" s="9"/>
      <c r="P4736" s="9"/>
      <c r="Q4736" s="9"/>
      <c r="R4736" s="9"/>
      <c r="S4736" s="9"/>
      <c r="T4736" s="9"/>
    </row>
    <row r="4737" ht="15.75" customHeight="1">
      <c r="A4737" s="11">
        <f>IFERROR(__xludf.DUMMYFUNCTION("""COMPUTED_VALUE"""),44471.0)</f>
        <v>44471</v>
      </c>
      <c r="B4737" s="9">
        <f>IFERROR(__xludf.DUMMYFUNCTION("""COMPUTED_VALUE"""),1003963.0)</f>
        <v>1003963</v>
      </c>
      <c r="C4737" s="9">
        <f>IFERROR(__xludf.DUMMYFUNCTION("""COMPUTED_VALUE"""),118205.0)</f>
        <v>118205</v>
      </c>
      <c r="D4737" s="9"/>
      <c r="E4737" s="9"/>
      <c r="F4737" s="9">
        <f>IFERROR(__xludf.DUMMYFUNCTION("""COMPUTED_VALUE"""),7.23)</f>
        <v>7.23</v>
      </c>
      <c r="G4737" s="9">
        <f>IFERROR(__xludf.DUMMYFUNCTION("""COMPUTED_VALUE"""),7.23)</f>
        <v>7.23</v>
      </c>
      <c r="H4737" s="9">
        <f>IFERROR(__xludf.DUMMYFUNCTION("""COMPUTED_VALUE"""),1.0)</f>
        <v>1</v>
      </c>
      <c r="I4737" s="9"/>
      <c r="J4737" s="9"/>
      <c r="K4737" s="9"/>
      <c r="L4737" s="9"/>
      <c r="M4737" s="9"/>
      <c r="N4737" s="9"/>
      <c r="O4737" s="9"/>
      <c r="P4737" s="9"/>
      <c r="Q4737" s="9"/>
      <c r="R4737" s="9"/>
      <c r="S4737" s="9"/>
      <c r="T4737" s="9"/>
    </row>
    <row r="4738" ht="15.75" customHeight="1">
      <c r="A4738" s="11">
        <f>IFERROR(__xludf.DUMMYFUNCTION("""COMPUTED_VALUE"""),44471.0)</f>
        <v>44471</v>
      </c>
      <c r="B4738" s="9">
        <f>IFERROR(__xludf.DUMMYFUNCTION("""COMPUTED_VALUE"""),1003963.0)</f>
        <v>1003963</v>
      </c>
      <c r="C4738" s="9">
        <f>IFERROR(__xludf.DUMMYFUNCTION("""COMPUTED_VALUE"""),109971.0)</f>
        <v>109971</v>
      </c>
      <c r="D4738" s="10" t="str">
        <f>IFERROR(__xludf.DUMMYFUNCTION("""COMPUTED_VALUE"""),"Carryboo soin bebe 2021")</f>
        <v>Carryboo soin bebe 2021</v>
      </c>
      <c r="E4738" s="10"/>
      <c r="F4738" s="9">
        <f>IFERROR(__xludf.DUMMYFUNCTION("""COMPUTED_VALUE"""),12.08)</f>
        <v>12.08</v>
      </c>
      <c r="G4738" s="9">
        <f>IFERROR(__xludf.DUMMYFUNCTION("""COMPUTED_VALUE"""),9.06)</f>
        <v>9.06</v>
      </c>
      <c r="H4738" s="9">
        <f>IFERROR(__xludf.DUMMYFUNCTION("""COMPUTED_VALUE"""),2.0)</f>
        <v>2</v>
      </c>
      <c r="I4738" s="9"/>
      <c r="J4738" s="9"/>
      <c r="K4738" s="9"/>
      <c r="L4738" s="9"/>
      <c r="M4738" s="9"/>
      <c r="N4738" s="9"/>
      <c r="O4738" s="9"/>
      <c r="P4738" s="9"/>
      <c r="Q4738" s="9"/>
      <c r="R4738" s="9"/>
      <c r="S4738" s="9"/>
      <c r="T4738" s="9"/>
    </row>
    <row r="4739" ht="15.75" customHeight="1">
      <c r="A4739" s="11">
        <f>IFERROR(__xludf.DUMMYFUNCTION("""COMPUTED_VALUE"""),44471.0)</f>
        <v>44471</v>
      </c>
      <c r="B4739" s="9">
        <f>IFERROR(__xludf.DUMMYFUNCTION("""COMPUTED_VALUE"""),1003963.0)</f>
        <v>1003963</v>
      </c>
      <c r="C4739" s="9">
        <f>IFERROR(__xludf.DUMMYFUNCTION("""COMPUTED_VALUE"""),101323.0)</f>
        <v>101323</v>
      </c>
      <c r="D4739" s="10" t="str">
        <f>IFERROR(__xludf.DUMMYFUNCTION("""COMPUTED_VALUE"""),"Carryboo soin bebe 2021")</f>
        <v>Carryboo soin bebe 2021</v>
      </c>
      <c r="E4739" s="10"/>
      <c r="F4739" s="9">
        <f>IFERROR(__xludf.DUMMYFUNCTION("""COMPUTED_VALUE"""),2.02666666666666)</f>
        <v>2.026666667</v>
      </c>
      <c r="G4739" s="9">
        <f>IFERROR(__xludf.DUMMYFUNCTION("""COMPUTED_VALUE"""),1.52)</f>
        <v>1.52</v>
      </c>
      <c r="H4739" s="9">
        <f>IFERROR(__xludf.DUMMYFUNCTION("""COMPUTED_VALUE"""),2.0)</f>
        <v>2</v>
      </c>
      <c r="I4739" s="9"/>
      <c r="J4739" s="9"/>
      <c r="K4739" s="9"/>
      <c r="L4739" s="9"/>
      <c r="M4739" s="9"/>
      <c r="N4739" s="9"/>
      <c r="O4739" s="9"/>
      <c r="P4739" s="9"/>
      <c r="Q4739" s="9"/>
      <c r="R4739" s="9"/>
      <c r="S4739" s="9"/>
      <c r="T4739" s="9"/>
    </row>
    <row r="4740" ht="15.75" customHeight="1">
      <c r="A4740" s="11">
        <f>IFERROR(__xludf.DUMMYFUNCTION("""COMPUTED_VALUE"""),44471.0)</f>
        <v>44471</v>
      </c>
      <c r="B4740" s="9">
        <f>IFERROR(__xludf.DUMMYFUNCTION("""COMPUTED_VALUE"""),1003963.0)</f>
        <v>1003963</v>
      </c>
      <c r="C4740" s="9">
        <f>IFERROR(__xludf.DUMMYFUNCTION("""COMPUTED_VALUE"""),109966.0)</f>
        <v>109966</v>
      </c>
      <c r="D4740" s="10" t="str">
        <f>IFERROR(__xludf.DUMMYFUNCTION("""COMPUTED_VALUE"""),"Carryboo soin bebe 2021")</f>
        <v>Carryboo soin bebe 2021</v>
      </c>
      <c r="E4740" s="10"/>
      <c r="F4740" s="9">
        <f>IFERROR(__xludf.DUMMYFUNCTION("""COMPUTED_VALUE"""),20.7333333333333)</f>
        <v>20.73333333</v>
      </c>
      <c r="G4740" s="9">
        <f>IFERROR(__xludf.DUMMYFUNCTION("""COMPUTED_VALUE"""),15.55)</f>
        <v>15.55</v>
      </c>
      <c r="H4740" s="9">
        <f>IFERROR(__xludf.DUMMYFUNCTION("""COMPUTED_VALUE"""),3.0)</f>
        <v>3</v>
      </c>
      <c r="I4740" s="9"/>
      <c r="J4740" s="9"/>
      <c r="K4740" s="9"/>
      <c r="L4740" s="9"/>
      <c r="M4740" s="9"/>
      <c r="N4740" s="9"/>
      <c r="O4740" s="9"/>
      <c r="P4740" s="9"/>
      <c r="Q4740" s="9"/>
      <c r="R4740" s="9"/>
      <c r="S4740" s="9"/>
      <c r="T4740" s="9"/>
    </row>
    <row r="4741" ht="15.75" customHeight="1">
      <c r="A4741" s="11">
        <f>IFERROR(__xludf.DUMMYFUNCTION("""COMPUTED_VALUE"""),44471.0)</f>
        <v>44471</v>
      </c>
      <c r="B4741" s="9">
        <f>IFERROR(__xludf.DUMMYFUNCTION("""COMPUTED_VALUE"""),1003963.0)</f>
        <v>1003963</v>
      </c>
      <c r="C4741" s="9">
        <f>IFERROR(__xludf.DUMMYFUNCTION("""COMPUTED_VALUE"""),127017.0)</f>
        <v>127017</v>
      </c>
      <c r="D4741" s="10" t="str">
        <f>IFERROR(__xludf.DUMMYFUNCTION("""COMPUTED_VALUE"""),"Carryboo coton 2021")</f>
        <v>Carryboo coton 2021</v>
      </c>
      <c r="E4741" s="10"/>
      <c r="F4741" s="9">
        <f>IFERROR(__xludf.DUMMYFUNCTION("""COMPUTED_VALUE"""),12.0266666666666)</f>
        <v>12.02666667</v>
      </c>
      <c r="G4741" s="9">
        <f>IFERROR(__xludf.DUMMYFUNCTION("""COMPUTED_VALUE"""),9.02)</f>
        <v>9.02</v>
      </c>
      <c r="H4741" s="9">
        <f>IFERROR(__xludf.DUMMYFUNCTION("""COMPUTED_VALUE"""),5.0)</f>
        <v>5</v>
      </c>
      <c r="I4741" s="9"/>
      <c r="J4741" s="9"/>
      <c r="K4741" s="9"/>
      <c r="L4741" s="9"/>
      <c r="M4741" s="9"/>
      <c r="N4741" s="9"/>
      <c r="O4741" s="9"/>
      <c r="P4741" s="9"/>
      <c r="Q4741" s="9"/>
      <c r="R4741" s="9"/>
      <c r="S4741" s="9"/>
      <c r="T4741" s="9"/>
    </row>
    <row r="4742" ht="15.75" customHeight="1">
      <c r="A4742" s="11">
        <f>IFERROR(__xludf.DUMMYFUNCTION("""COMPUTED_VALUE"""),44471.0)</f>
        <v>44471</v>
      </c>
      <c r="B4742" s="9">
        <f>IFERROR(__xludf.DUMMYFUNCTION("""COMPUTED_VALUE"""),1003963.0)</f>
        <v>1003963</v>
      </c>
      <c r="C4742" s="9">
        <f>IFERROR(__xludf.DUMMYFUNCTION("""COMPUTED_VALUE"""),81128.0)</f>
        <v>81128</v>
      </c>
      <c r="D4742" s="9"/>
      <c r="E4742" s="9"/>
      <c r="F4742" s="9">
        <f>IFERROR(__xludf.DUMMYFUNCTION("""COMPUTED_VALUE"""),19.23)</f>
        <v>19.23</v>
      </c>
      <c r="G4742" s="9">
        <f>IFERROR(__xludf.DUMMYFUNCTION("""COMPUTED_VALUE"""),19.23)</f>
        <v>19.23</v>
      </c>
      <c r="H4742" s="9">
        <f>IFERROR(__xludf.DUMMYFUNCTION("""COMPUTED_VALUE"""),6.0)</f>
        <v>6</v>
      </c>
      <c r="I4742" s="9"/>
      <c r="J4742" s="9"/>
      <c r="K4742" s="9"/>
      <c r="L4742" s="9"/>
      <c r="M4742" s="9"/>
      <c r="N4742" s="9"/>
      <c r="O4742" s="9"/>
      <c r="P4742" s="9"/>
      <c r="Q4742" s="9"/>
      <c r="R4742" s="9"/>
      <c r="S4742" s="9"/>
      <c r="T4742" s="9"/>
    </row>
    <row r="4743" ht="15.75" customHeight="1">
      <c r="A4743" s="11">
        <f>IFERROR(__xludf.DUMMYFUNCTION("""COMPUTED_VALUE"""),44471.0)</f>
        <v>44471</v>
      </c>
      <c r="B4743" s="9">
        <f>IFERROR(__xludf.DUMMYFUNCTION("""COMPUTED_VALUE"""),1003963.0)</f>
        <v>1003963</v>
      </c>
      <c r="C4743" s="9">
        <f>IFERROR(__xludf.DUMMYFUNCTION("""COMPUTED_VALUE"""),109984.0)</f>
        <v>109984</v>
      </c>
      <c r="D4743" s="10" t="str">
        <f>IFERROR(__xludf.DUMMYFUNCTION("""COMPUTED_VALUE"""),"Carryboo soin bebe 2021")</f>
        <v>Carryboo soin bebe 2021</v>
      </c>
      <c r="E4743" s="10"/>
      <c r="F4743" s="9">
        <f>IFERROR(__xludf.DUMMYFUNCTION("""COMPUTED_VALUE"""),14.2933333333333)</f>
        <v>14.29333333</v>
      </c>
      <c r="G4743" s="9">
        <f>IFERROR(__xludf.DUMMYFUNCTION("""COMPUTED_VALUE"""),10.72)</f>
        <v>10.72</v>
      </c>
      <c r="H4743" s="9">
        <f>IFERROR(__xludf.DUMMYFUNCTION("""COMPUTED_VALUE"""),6.0)</f>
        <v>6</v>
      </c>
      <c r="I4743" s="9"/>
      <c r="J4743" s="9"/>
      <c r="K4743" s="9"/>
      <c r="L4743" s="9"/>
      <c r="M4743" s="9"/>
      <c r="N4743" s="9"/>
      <c r="O4743" s="9"/>
      <c r="P4743" s="9"/>
      <c r="Q4743" s="9"/>
      <c r="R4743" s="9"/>
      <c r="S4743" s="9"/>
      <c r="T4743" s="9"/>
    </row>
    <row r="4744" ht="15.75" customHeight="1">
      <c r="A4744" s="11">
        <f>IFERROR(__xludf.DUMMYFUNCTION("""COMPUTED_VALUE"""),44471.0)</f>
        <v>44471</v>
      </c>
      <c r="B4744" s="9">
        <f>IFERROR(__xludf.DUMMYFUNCTION("""COMPUTED_VALUE"""),1003963.0)</f>
        <v>1003963</v>
      </c>
      <c r="C4744" s="9">
        <f>IFERROR(__xludf.DUMMYFUNCTION("""COMPUTED_VALUE"""),109985.0)</f>
        <v>109985</v>
      </c>
      <c r="D4744" s="10" t="str">
        <f>IFERROR(__xludf.DUMMYFUNCTION("""COMPUTED_VALUE"""),"Carryboo soin bebe 2021")</f>
        <v>Carryboo soin bebe 2021</v>
      </c>
      <c r="E4744" s="10"/>
      <c r="F4744" s="9">
        <f>IFERROR(__xludf.DUMMYFUNCTION("""COMPUTED_VALUE"""),14.2933333333333)</f>
        <v>14.29333333</v>
      </c>
      <c r="G4744" s="9">
        <f>IFERROR(__xludf.DUMMYFUNCTION("""COMPUTED_VALUE"""),10.72)</f>
        <v>10.72</v>
      </c>
      <c r="H4744" s="9">
        <f>IFERROR(__xludf.DUMMYFUNCTION("""COMPUTED_VALUE"""),6.0)</f>
        <v>6</v>
      </c>
      <c r="I4744" s="9"/>
      <c r="J4744" s="9"/>
      <c r="K4744" s="9"/>
      <c r="L4744" s="9"/>
      <c r="M4744" s="9"/>
      <c r="N4744" s="9"/>
      <c r="O4744" s="9"/>
      <c r="P4744" s="9"/>
      <c r="Q4744" s="9"/>
      <c r="R4744" s="9"/>
      <c r="S4744" s="9"/>
      <c r="T4744" s="9"/>
    </row>
    <row r="4745" ht="15.75" customHeight="1">
      <c r="A4745" s="11">
        <f>IFERROR(__xludf.DUMMYFUNCTION("""COMPUTED_VALUE"""),44471.0)</f>
        <v>44471</v>
      </c>
      <c r="B4745" s="9">
        <f>IFERROR(__xludf.DUMMYFUNCTION("""COMPUTED_VALUE"""),1003963.0)</f>
        <v>1003963</v>
      </c>
      <c r="C4745" s="9">
        <f>IFERROR(__xludf.DUMMYFUNCTION("""COMPUTED_VALUE"""),101325.0)</f>
        <v>101325</v>
      </c>
      <c r="D4745" s="10" t="str">
        <f>IFERROR(__xludf.DUMMYFUNCTION("""COMPUTED_VALUE"""),"Carryboo soin bebe 2021")</f>
        <v>Carryboo soin bebe 2021</v>
      </c>
      <c r="E4745" s="10"/>
      <c r="F4745" s="9">
        <f>IFERROR(__xludf.DUMMYFUNCTION("""COMPUTED_VALUE"""),31.08)</f>
        <v>31.08</v>
      </c>
      <c r="G4745" s="9">
        <f>IFERROR(__xludf.DUMMYFUNCTION("""COMPUTED_VALUE"""),23.31)</f>
        <v>23.31</v>
      </c>
      <c r="H4745" s="9">
        <f>IFERROR(__xludf.DUMMYFUNCTION("""COMPUTED_VALUE"""),12.0)</f>
        <v>12</v>
      </c>
      <c r="I4745" s="9"/>
      <c r="J4745" s="9"/>
      <c r="K4745" s="9"/>
      <c r="L4745" s="9"/>
      <c r="M4745" s="9"/>
      <c r="N4745" s="9"/>
      <c r="O4745" s="9"/>
      <c r="P4745" s="9"/>
      <c r="Q4745" s="9"/>
      <c r="R4745" s="9"/>
      <c r="S4745" s="9"/>
      <c r="T4745" s="9"/>
    </row>
    <row r="4746" ht="15.75" customHeight="1">
      <c r="A4746" s="11">
        <f>IFERROR(__xludf.DUMMYFUNCTION("""COMPUTED_VALUE"""),44471.0)</f>
        <v>44471</v>
      </c>
      <c r="B4746" s="9">
        <f>IFERROR(__xludf.DUMMYFUNCTION("""COMPUTED_VALUE"""),1003964.0)</f>
        <v>1003964</v>
      </c>
      <c r="C4746" s="9">
        <f>IFERROR(__xludf.DUMMYFUNCTION("""COMPUTED_VALUE"""),48605.0)</f>
        <v>48605</v>
      </c>
      <c r="D4746" s="9"/>
      <c r="E4746" s="9"/>
      <c r="F4746" s="9">
        <f>IFERROR(__xludf.DUMMYFUNCTION("""COMPUTED_VALUE"""),3.39)</f>
        <v>3.39</v>
      </c>
      <c r="G4746" s="9">
        <f>IFERROR(__xludf.DUMMYFUNCTION("""COMPUTED_VALUE"""),3.39)</f>
        <v>3.39</v>
      </c>
      <c r="H4746" s="9">
        <f>IFERROR(__xludf.DUMMYFUNCTION("""COMPUTED_VALUE"""),1.0)</f>
        <v>1</v>
      </c>
      <c r="I4746" s="9"/>
      <c r="J4746" s="9"/>
      <c r="K4746" s="9"/>
      <c r="L4746" s="9"/>
      <c r="M4746" s="9"/>
      <c r="N4746" s="9"/>
      <c r="O4746" s="9"/>
      <c r="P4746" s="9"/>
      <c r="Q4746" s="9"/>
      <c r="R4746" s="9"/>
      <c r="S4746" s="9"/>
      <c r="T4746" s="9"/>
    </row>
    <row r="4747" ht="15.75" customHeight="1">
      <c r="A4747" s="11">
        <f>IFERROR(__xludf.DUMMYFUNCTION("""COMPUTED_VALUE"""),44471.0)</f>
        <v>44471</v>
      </c>
      <c r="B4747" s="9">
        <f>IFERROR(__xludf.DUMMYFUNCTION("""COMPUTED_VALUE"""),1003964.0)</f>
        <v>1003964</v>
      </c>
      <c r="C4747" s="9">
        <f>IFERROR(__xludf.DUMMYFUNCTION("""COMPUTED_VALUE"""),129473.0)</f>
        <v>129473</v>
      </c>
      <c r="D4747" s="9"/>
      <c r="E4747" s="9"/>
      <c r="F4747" s="9">
        <f>IFERROR(__xludf.DUMMYFUNCTION("""COMPUTED_VALUE"""),9.47)</f>
        <v>9.47</v>
      </c>
      <c r="G4747" s="9">
        <f>IFERROR(__xludf.DUMMYFUNCTION("""COMPUTED_VALUE"""),9.47)</f>
        <v>9.47</v>
      </c>
      <c r="H4747" s="9">
        <f>IFERROR(__xludf.DUMMYFUNCTION("""COMPUTED_VALUE"""),2.0)</f>
        <v>2</v>
      </c>
      <c r="I4747" s="9"/>
      <c r="J4747" s="9"/>
      <c r="K4747" s="9"/>
      <c r="L4747" s="9"/>
      <c r="M4747" s="9"/>
      <c r="N4747" s="9"/>
      <c r="O4747" s="9"/>
      <c r="P4747" s="9"/>
      <c r="Q4747" s="9"/>
      <c r="R4747" s="9"/>
      <c r="S4747" s="9"/>
      <c r="T4747" s="9"/>
    </row>
    <row r="4748" ht="15.75" customHeight="1">
      <c r="A4748" s="11">
        <f>IFERROR(__xludf.DUMMYFUNCTION("""COMPUTED_VALUE"""),44471.0)</f>
        <v>44471</v>
      </c>
      <c r="B4748" s="9">
        <f>IFERROR(__xludf.DUMMYFUNCTION("""COMPUTED_VALUE"""),1003964.0)</f>
        <v>1003964</v>
      </c>
      <c r="C4748" s="9">
        <f>IFERROR(__xludf.DUMMYFUNCTION("""COMPUTED_VALUE"""),121868.0)</f>
        <v>121868</v>
      </c>
      <c r="D4748" s="9"/>
      <c r="E4748" s="9"/>
      <c r="F4748" s="9">
        <f>IFERROR(__xludf.DUMMYFUNCTION("""COMPUTED_VALUE"""),12.74)</f>
        <v>12.74</v>
      </c>
      <c r="G4748" s="9">
        <f>IFERROR(__xludf.DUMMYFUNCTION("""COMPUTED_VALUE"""),12.74)</f>
        <v>12.74</v>
      </c>
      <c r="H4748" s="9">
        <f>IFERROR(__xludf.DUMMYFUNCTION("""COMPUTED_VALUE"""),2.0)</f>
        <v>2</v>
      </c>
      <c r="I4748" s="9"/>
      <c r="J4748" s="9"/>
      <c r="K4748" s="9"/>
      <c r="L4748" s="9"/>
      <c r="M4748" s="9"/>
      <c r="N4748" s="9"/>
      <c r="O4748" s="9"/>
      <c r="P4748" s="9"/>
      <c r="Q4748" s="9"/>
      <c r="R4748" s="9"/>
      <c r="S4748" s="9"/>
      <c r="T4748" s="9"/>
    </row>
    <row r="4749" ht="15.75" customHeight="1">
      <c r="A4749" s="11">
        <f>IFERROR(__xludf.DUMMYFUNCTION("""COMPUTED_VALUE"""),44471.0)</f>
        <v>44471</v>
      </c>
      <c r="B4749" s="9">
        <f>IFERROR(__xludf.DUMMYFUNCTION("""COMPUTED_VALUE"""),1003964.0)</f>
        <v>1003964</v>
      </c>
      <c r="C4749" s="9">
        <f>IFERROR(__xludf.DUMMYFUNCTION("""COMPUTED_VALUE"""),68354.0)</f>
        <v>68354</v>
      </c>
      <c r="D4749" s="9"/>
      <c r="E4749" s="9"/>
      <c r="F4749" s="9">
        <f>IFERROR(__xludf.DUMMYFUNCTION("""COMPUTED_VALUE"""),21.66)</f>
        <v>21.66</v>
      </c>
      <c r="G4749" s="9">
        <f>IFERROR(__xludf.DUMMYFUNCTION("""COMPUTED_VALUE"""),21.66)</f>
        <v>21.66</v>
      </c>
      <c r="H4749" s="9">
        <f>IFERROR(__xludf.DUMMYFUNCTION("""COMPUTED_VALUE"""),4.0)</f>
        <v>4</v>
      </c>
      <c r="I4749" s="9"/>
      <c r="J4749" s="9"/>
      <c r="K4749" s="9"/>
      <c r="L4749" s="9"/>
      <c r="M4749" s="9"/>
      <c r="N4749" s="9"/>
      <c r="O4749" s="9"/>
      <c r="P4749" s="9"/>
      <c r="Q4749" s="9"/>
      <c r="R4749" s="9"/>
      <c r="S4749" s="9"/>
      <c r="T4749" s="9"/>
    </row>
    <row r="4750" ht="15.75" customHeight="1">
      <c r="A4750" s="11">
        <f>IFERROR(__xludf.DUMMYFUNCTION("""COMPUTED_VALUE"""),44471.0)</f>
        <v>44471</v>
      </c>
      <c r="B4750" s="9">
        <f>IFERROR(__xludf.DUMMYFUNCTION("""COMPUTED_VALUE"""),1003964.0)</f>
        <v>1003964</v>
      </c>
      <c r="C4750" s="9">
        <f>IFERROR(__xludf.DUMMYFUNCTION("""COMPUTED_VALUE"""),109185.0)</f>
        <v>109185</v>
      </c>
      <c r="D4750" s="9"/>
      <c r="E4750" s="9"/>
      <c r="F4750" s="9">
        <f>IFERROR(__xludf.DUMMYFUNCTION("""COMPUTED_VALUE"""),67.69)</f>
        <v>67.69</v>
      </c>
      <c r="G4750" s="9">
        <f>IFERROR(__xludf.DUMMYFUNCTION("""COMPUTED_VALUE"""),67.69)</f>
        <v>67.69</v>
      </c>
      <c r="H4750" s="9">
        <f>IFERROR(__xludf.DUMMYFUNCTION("""COMPUTED_VALUE"""),7.0)</f>
        <v>7</v>
      </c>
      <c r="I4750" s="9"/>
      <c r="J4750" s="9"/>
      <c r="K4750" s="9"/>
      <c r="L4750" s="9"/>
      <c r="M4750" s="9"/>
      <c r="N4750" s="9"/>
      <c r="O4750" s="9"/>
      <c r="P4750" s="9"/>
      <c r="Q4750" s="9"/>
      <c r="R4750" s="9"/>
      <c r="S4750" s="9"/>
      <c r="T4750" s="9"/>
    </row>
    <row r="4751" ht="15.75" customHeight="1">
      <c r="A4751" s="11">
        <f>IFERROR(__xludf.DUMMYFUNCTION("""COMPUTED_VALUE"""),44471.0)</f>
        <v>44471</v>
      </c>
      <c r="B4751" s="9">
        <f>IFERROR(__xludf.DUMMYFUNCTION("""COMPUTED_VALUE"""),1003965.0)</f>
        <v>1003965</v>
      </c>
      <c r="C4751" s="9">
        <f>IFERROR(__xludf.DUMMYFUNCTION("""COMPUTED_VALUE"""),121621.0)</f>
        <v>121621</v>
      </c>
      <c r="D4751" s="9"/>
      <c r="E4751" s="9"/>
      <c r="F4751" s="9">
        <f>IFERROR(__xludf.DUMMYFUNCTION("""COMPUTED_VALUE"""),1.57)</f>
        <v>1.57</v>
      </c>
      <c r="G4751" s="9">
        <f>IFERROR(__xludf.DUMMYFUNCTION("""COMPUTED_VALUE"""),1.57)</f>
        <v>1.57</v>
      </c>
      <c r="H4751" s="9">
        <f>IFERROR(__xludf.DUMMYFUNCTION("""COMPUTED_VALUE"""),1.0)</f>
        <v>1</v>
      </c>
      <c r="I4751" s="9"/>
      <c r="J4751" s="9"/>
      <c r="K4751" s="9"/>
      <c r="L4751" s="9"/>
      <c r="M4751" s="9"/>
      <c r="N4751" s="9"/>
      <c r="O4751" s="9"/>
      <c r="P4751" s="9"/>
      <c r="Q4751" s="9"/>
      <c r="R4751" s="9"/>
      <c r="S4751" s="9"/>
      <c r="T4751" s="9"/>
    </row>
    <row r="4752" ht="15.75" customHeight="1">
      <c r="A4752" s="11">
        <f>IFERROR(__xludf.DUMMYFUNCTION("""COMPUTED_VALUE"""),44471.0)</f>
        <v>44471</v>
      </c>
      <c r="B4752" s="9">
        <f>IFERROR(__xludf.DUMMYFUNCTION("""COMPUTED_VALUE"""),1003965.0)</f>
        <v>1003965</v>
      </c>
      <c r="C4752" s="9">
        <f>IFERROR(__xludf.DUMMYFUNCTION("""COMPUTED_VALUE"""),80199.0)</f>
        <v>80199</v>
      </c>
      <c r="D4752" s="9"/>
      <c r="E4752" s="9"/>
      <c r="F4752" s="9">
        <f>IFERROR(__xludf.DUMMYFUNCTION("""COMPUTED_VALUE"""),1.66)</f>
        <v>1.66</v>
      </c>
      <c r="G4752" s="9">
        <f>IFERROR(__xludf.DUMMYFUNCTION("""COMPUTED_VALUE"""),1.66)</f>
        <v>1.66</v>
      </c>
      <c r="H4752" s="9">
        <f>IFERROR(__xludf.DUMMYFUNCTION("""COMPUTED_VALUE"""),1.0)</f>
        <v>1</v>
      </c>
      <c r="I4752" s="9"/>
      <c r="J4752" s="9"/>
      <c r="K4752" s="9"/>
      <c r="L4752" s="9"/>
      <c r="M4752" s="9"/>
      <c r="N4752" s="9"/>
      <c r="O4752" s="9"/>
      <c r="P4752" s="9"/>
      <c r="Q4752" s="9"/>
      <c r="R4752" s="9"/>
      <c r="S4752" s="9"/>
      <c r="T4752" s="9"/>
    </row>
    <row r="4753" ht="15.75" customHeight="1">
      <c r="A4753" s="11">
        <f>IFERROR(__xludf.DUMMYFUNCTION("""COMPUTED_VALUE"""),44471.0)</f>
        <v>44471</v>
      </c>
      <c r="B4753" s="9">
        <f>IFERROR(__xludf.DUMMYFUNCTION("""COMPUTED_VALUE"""),1003965.0)</f>
        <v>1003965</v>
      </c>
      <c r="C4753" s="9">
        <f>IFERROR(__xludf.DUMMYFUNCTION("""COMPUTED_VALUE"""),9335.0)</f>
        <v>9335</v>
      </c>
      <c r="D4753" s="9"/>
      <c r="E4753" s="9"/>
      <c r="F4753" s="9">
        <f>IFERROR(__xludf.DUMMYFUNCTION("""COMPUTED_VALUE"""),14.55)</f>
        <v>14.55</v>
      </c>
      <c r="G4753" s="9">
        <f>IFERROR(__xludf.DUMMYFUNCTION("""COMPUTED_VALUE"""),14.55)</f>
        <v>14.55</v>
      </c>
      <c r="H4753" s="9">
        <f>IFERROR(__xludf.DUMMYFUNCTION("""COMPUTED_VALUE"""),1.0)</f>
        <v>1</v>
      </c>
      <c r="I4753" s="9"/>
      <c r="J4753" s="9"/>
      <c r="K4753" s="9"/>
      <c r="L4753" s="9"/>
      <c r="M4753" s="9"/>
      <c r="N4753" s="9"/>
      <c r="O4753" s="9"/>
      <c r="P4753" s="9"/>
      <c r="Q4753" s="9"/>
      <c r="R4753" s="9"/>
      <c r="S4753" s="9"/>
      <c r="T4753" s="9"/>
    </row>
    <row r="4754" ht="15.75" customHeight="1">
      <c r="A4754" s="11">
        <f>IFERROR(__xludf.DUMMYFUNCTION("""COMPUTED_VALUE"""),44471.0)</f>
        <v>44471</v>
      </c>
      <c r="B4754" s="9">
        <f>IFERROR(__xludf.DUMMYFUNCTION("""COMPUTED_VALUE"""),1003965.0)</f>
        <v>1003965</v>
      </c>
      <c r="C4754" s="9">
        <f>IFERROR(__xludf.DUMMYFUNCTION("""COMPUTED_VALUE"""),104384.0)</f>
        <v>104384</v>
      </c>
      <c r="D4754" s="10" t="str">
        <f>IFERROR(__xludf.DUMMYFUNCTION("""COMPUTED_VALUE"""),"Offre Speciale")</f>
        <v>Offre Speciale</v>
      </c>
      <c r="E4754" s="10"/>
      <c r="F4754" s="9">
        <f>IFERROR(__xludf.DUMMYFUNCTION("""COMPUTED_VALUE"""),10.3414634146341)</f>
        <v>10.34146341</v>
      </c>
      <c r="G4754" s="9">
        <f>IFERROR(__xludf.DUMMYFUNCTION("""COMPUTED_VALUE"""),8.48)</f>
        <v>8.48</v>
      </c>
      <c r="H4754" s="9">
        <f>IFERROR(__xludf.DUMMYFUNCTION("""COMPUTED_VALUE"""),1.0)</f>
        <v>1</v>
      </c>
      <c r="I4754" s="9"/>
      <c r="J4754" s="9"/>
      <c r="K4754" s="9"/>
      <c r="L4754" s="9"/>
      <c r="M4754" s="9"/>
      <c r="N4754" s="9"/>
      <c r="O4754" s="9"/>
      <c r="P4754" s="9"/>
      <c r="Q4754" s="9"/>
      <c r="R4754" s="9"/>
      <c r="S4754" s="9"/>
      <c r="T4754" s="9"/>
    </row>
    <row r="4755" ht="15.75" customHeight="1">
      <c r="A4755" s="11">
        <f>IFERROR(__xludf.DUMMYFUNCTION("""COMPUTED_VALUE"""),44471.0)</f>
        <v>44471</v>
      </c>
      <c r="B4755" s="9">
        <f>IFERROR(__xludf.DUMMYFUNCTION("""COMPUTED_VALUE"""),1003965.0)</f>
        <v>1003965</v>
      </c>
      <c r="C4755" s="9">
        <f>IFERROR(__xludf.DUMMYFUNCTION("""COMPUTED_VALUE"""),112194.0)</f>
        <v>112194</v>
      </c>
      <c r="D4755" s="9"/>
      <c r="E4755" s="9"/>
      <c r="F4755" s="9">
        <f>IFERROR(__xludf.DUMMYFUNCTION("""COMPUTED_VALUE"""),2.12)</f>
        <v>2.12</v>
      </c>
      <c r="G4755" s="9">
        <f>IFERROR(__xludf.DUMMYFUNCTION("""COMPUTED_VALUE"""),2.12)</f>
        <v>2.12</v>
      </c>
      <c r="H4755" s="9">
        <f>IFERROR(__xludf.DUMMYFUNCTION("""COMPUTED_VALUE"""),1.0)</f>
        <v>1</v>
      </c>
      <c r="I4755" s="9"/>
      <c r="J4755" s="9"/>
      <c r="K4755" s="9"/>
      <c r="L4755" s="9"/>
      <c r="M4755" s="9"/>
      <c r="N4755" s="9"/>
      <c r="O4755" s="9"/>
      <c r="P4755" s="9"/>
      <c r="Q4755" s="9"/>
      <c r="R4755" s="9"/>
      <c r="S4755" s="9"/>
      <c r="T4755" s="9"/>
    </row>
    <row r="4756" ht="15.75" customHeight="1">
      <c r="A4756" s="11">
        <f>IFERROR(__xludf.DUMMYFUNCTION("""COMPUTED_VALUE"""),44471.0)</f>
        <v>44471</v>
      </c>
      <c r="B4756" s="9">
        <f>IFERROR(__xludf.DUMMYFUNCTION("""COMPUTED_VALUE"""),1003965.0)</f>
        <v>1003965</v>
      </c>
      <c r="C4756" s="9">
        <f>IFERROR(__xludf.DUMMYFUNCTION("""COMPUTED_VALUE"""),73430.0)</f>
        <v>73430</v>
      </c>
      <c r="D4756" s="9"/>
      <c r="E4756" s="9"/>
      <c r="F4756" s="9">
        <f>IFERROR(__xludf.DUMMYFUNCTION("""COMPUTED_VALUE"""),15.52)</f>
        <v>15.52</v>
      </c>
      <c r="G4756" s="9">
        <f>IFERROR(__xludf.DUMMYFUNCTION("""COMPUTED_VALUE"""),15.52)</f>
        <v>15.52</v>
      </c>
      <c r="H4756" s="9">
        <f>IFERROR(__xludf.DUMMYFUNCTION("""COMPUTED_VALUE"""),2.0)</f>
        <v>2</v>
      </c>
      <c r="I4756" s="9"/>
      <c r="J4756" s="9"/>
      <c r="K4756" s="9"/>
      <c r="L4756" s="9"/>
      <c r="M4756" s="9"/>
      <c r="N4756" s="9"/>
      <c r="O4756" s="9"/>
      <c r="P4756" s="9"/>
      <c r="Q4756" s="9"/>
      <c r="R4756" s="9"/>
      <c r="S4756" s="9"/>
      <c r="T4756" s="9"/>
    </row>
    <row r="4757" ht="15.75" customHeight="1">
      <c r="A4757" s="11">
        <f>IFERROR(__xludf.DUMMYFUNCTION("""COMPUTED_VALUE"""),44471.0)</f>
        <v>44471</v>
      </c>
      <c r="B4757" s="9">
        <f>IFERROR(__xludf.DUMMYFUNCTION("""COMPUTED_VALUE"""),1003965.0)</f>
        <v>1003965</v>
      </c>
      <c r="C4757" s="9">
        <f>IFERROR(__xludf.DUMMYFUNCTION("""COMPUTED_VALUE"""),104427.0)</f>
        <v>104427</v>
      </c>
      <c r="D4757" s="9"/>
      <c r="E4757" s="9"/>
      <c r="F4757" s="9">
        <f>IFERROR(__xludf.DUMMYFUNCTION("""COMPUTED_VALUE"""),18.45)</f>
        <v>18.45</v>
      </c>
      <c r="G4757" s="9">
        <f>IFERROR(__xludf.DUMMYFUNCTION("""COMPUTED_VALUE"""),18.45)</f>
        <v>18.45</v>
      </c>
      <c r="H4757" s="9">
        <f>IFERROR(__xludf.DUMMYFUNCTION("""COMPUTED_VALUE"""),3.0)</f>
        <v>3</v>
      </c>
      <c r="I4757" s="9"/>
      <c r="J4757" s="9"/>
      <c r="K4757" s="9"/>
      <c r="L4757" s="9"/>
      <c r="M4757" s="9"/>
      <c r="N4757" s="9"/>
      <c r="O4757" s="9"/>
      <c r="P4757" s="9"/>
      <c r="Q4757" s="9"/>
      <c r="R4757" s="9"/>
      <c r="S4757" s="9"/>
      <c r="T4757" s="9"/>
    </row>
    <row r="4758" ht="15.75" customHeight="1">
      <c r="A4758" s="11">
        <f>IFERROR(__xludf.DUMMYFUNCTION("""COMPUTED_VALUE"""),44471.0)</f>
        <v>44471</v>
      </c>
      <c r="B4758" s="9">
        <f>IFERROR(__xludf.DUMMYFUNCTION("""COMPUTED_VALUE"""),1003965.0)</f>
        <v>1003965</v>
      </c>
      <c r="C4758" s="9">
        <f>IFERROR(__xludf.DUMMYFUNCTION("""COMPUTED_VALUE"""),16383.0)</f>
        <v>16383</v>
      </c>
      <c r="D4758" s="10" t="str">
        <f>IFERROR(__xludf.DUMMYFUNCTION("""COMPUTED_VALUE"""),"Vive le bio")</f>
        <v>Vive le bio</v>
      </c>
      <c r="E4758" s="10"/>
      <c r="F4758" s="9">
        <f>IFERROR(__xludf.DUMMYFUNCTION("""COMPUTED_VALUE"""),32.1777777777777)</f>
        <v>32.17777778</v>
      </c>
      <c r="G4758" s="9">
        <f>IFERROR(__xludf.DUMMYFUNCTION("""COMPUTED_VALUE"""),28.96)</f>
        <v>28.96</v>
      </c>
      <c r="H4758" s="9">
        <f>IFERROR(__xludf.DUMMYFUNCTION("""COMPUTED_VALUE"""),3.0)</f>
        <v>3</v>
      </c>
      <c r="I4758" s="9"/>
      <c r="J4758" s="9"/>
      <c r="K4758" s="9"/>
      <c r="L4758" s="9"/>
      <c r="M4758" s="9"/>
      <c r="N4758" s="9"/>
      <c r="O4758" s="9"/>
      <c r="P4758" s="9"/>
      <c r="Q4758" s="9"/>
      <c r="R4758" s="9"/>
      <c r="S4758" s="9"/>
      <c r="T4758" s="9"/>
    </row>
    <row r="4759" ht="15.75" customHeight="1">
      <c r="A4759" s="11">
        <f>IFERROR(__xludf.DUMMYFUNCTION("""COMPUTED_VALUE"""),44471.0)</f>
        <v>44471</v>
      </c>
      <c r="B4759" s="9">
        <f>IFERROR(__xludf.DUMMYFUNCTION("""COMPUTED_VALUE"""),1003965.0)</f>
        <v>1003965</v>
      </c>
      <c r="C4759" s="9">
        <f>IFERROR(__xludf.DUMMYFUNCTION("""COMPUTED_VALUE"""),128346.0)</f>
        <v>128346</v>
      </c>
      <c r="D4759" s="10" t="str">
        <f>IFERROR(__xludf.DUMMYFUNCTION("""COMPUTED_VALUE"""),"Vive le bio")</f>
        <v>Vive le bio</v>
      </c>
      <c r="E4759" s="10"/>
      <c r="F4759" s="9">
        <f>IFERROR(__xludf.DUMMYFUNCTION("""COMPUTED_VALUE"""),33.2222222222222)</f>
        <v>33.22222222</v>
      </c>
      <c r="G4759" s="9">
        <f>IFERROR(__xludf.DUMMYFUNCTION("""COMPUTED_VALUE"""),29.9)</f>
        <v>29.9</v>
      </c>
      <c r="H4759" s="9">
        <f>IFERROR(__xludf.DUMMYFUNCTION("""COMPUTED_VALUE"""),3.0)</f>
        <v>3</v>
      </c>
      <c r="I4759" s="9"/>
      <c r="J4759" s="9"/>
      <c r="K4759" s="9"/>
      <c r="L4759" s="9"/>
      <c r="M4759" s="9"/>
      <c r="N4759" s="9"/>
      <c r="O4759" s="9"/>
      <c r="P4759" s="9"/>
      <c r="Q4759" s="9"/>
      <c r="R4759" s="9"/>
      <c r="S4759" s="9"/>
      <c r="T4759" s="9"/>
    </row>
    <row r="4760" ht="15.75" customHeight="1">
      <c r="A4760" s="11">
        <f>IFERROR(__xludf.DUMMYFUNCTION("""COMPUTED_VALUE"""),44471.0)</f>
        <v>44471</v>
      </c>
      <c r="B4760" s="9">
        <f>IFERROR(__xludf.DUMMYFUNCTION("""COMPUTED_VALUE"""),1003965.0)</f>
        <v>1003965</v>
      </c>
      <c r="C4760" s="9">
        <f>IFERROR(__xludf.DUMMYFUNCTION("""COMPUTED_VALUE"""),70327.0)</f>
        <v>70327</v>
      </c>
      <c r="D4760" s="9"/>
      <c r="E4760" s="9"/>
      <c r="F4760" s="9">
        <f>IFERROR(__xludf.DUMMYFUNCTION("""COMPUTED_VALUE"""),10.26)</f>
        <v>10.26</v>
      </c>
      <c r="G4760" s="9">
        <f>IFERROR(__xludf.DUMMYFUNCTION("""COMPUTED_VALUE"""),10.26)</f>
        <v>10.26</v>
      </c>
      <c r="H4760" s="9">
        <f>IFERROR(__xludf.DUMMYFUNCTION("""COMPUTED_VALUE"""),4.0)</f>
        <v>4</v>
      </c>
      <c r="I4760" s="9"/>
      <c r="J4760" s="9"/>
      <c r="K4760" s="9"/>
      <c r="L4760" s="9"/>
      <c r="M4760" s="9"/>
      <c r="N4760" s="9"/>
      <c r="O4760" s="9"/>
      <c r="P4760" s="9"/>
      <c r="Q4760" s="9"/>
      <c r="R4760" s="9"/>
      <c r="S4760" s="9"/>
      <c r="T4760" s="9"/>
    </row>
    <row r="4761" ht="15.75" customHeight="1">
      <c r="A4761" s="11">
        <f>IFERROR(__xludf.DUMMYFUNCTION("""COMPUTED_VALUE"""),44471.0)</f>
        <v>44471</v>
      </c>
      <c r="B4761" s="9">
        <f>IFERROR(__xludf.DUMMYFUNCTION("""COMPUTED_VALUE"""),1003966.0)</f>
        <v>1003966</v>
      </c>
      <c r="C4761" s="9">
        <f>IFERROR(__xludf.DUMMYFUNCTION("""COMPUTED_VALUE"""),21520.0)</f>
        <v>21520</v>
      </c>
      <c r="D4761" s="9"/>
      <c r="E4761" s="10" t="str">
        <f>IFERROR(__xludf.DUMMYFUNCTION("""COMPUTED_VALUE"""),"PREMIERE")</f>
        <v>PREMIERE</v>
      </c>
      <c r="F4761" s="10">
        <f>IFERROR(__xludf.DUMMYFUNCTION("""COMPUTED_VALUE"""),2.42)</f>
        <v>2.42</v>
      </c>
      <c r="G4761" s="9">
        <f>IFERROR(__xludf.DUMMYFUNCTION("""COMPUTED_VALUE"""),2.42)</f>
        <v>2.42</v>
      </c>
      <c r="H4761" s="9">
        <f>IFERROR(__xludf.DUMMYFUNCTION("""COMPUTED_VALUE"""),1.0)</f>
        <v>1</v>
      </c>
      <c r="I4761" s="9"/>
      <c r="J4761" s="9"/>
      <c r="K4761" s="9"/>
      <c r="L4761" s="9"/>
      <c r="M4761" s="9"/>
      <c r="N4761" s="9"/>
      <c r="O4761" s="9"/>
      <c r="P4761" s="9"/>
      <c r="Q4761" s="9"/>
      <c r="R4761" s="9"/>
      <c r="S4761" s="9"/>
      <c r="T4761" s="9"/>
    </row>
    <row r="4762" ht="15.75" customHeight="1">
      <c r="A4762" s="11">
        <f>IFERROR(__xludf.DUMMYFUNCTION("""COMPUTED_VALUE"""),44471.0)</f>
        <v>44471</v>
      </c>
      <c r="B4762" s="9">
        <f>IFERROR(__xludf.DUMMYFUNCTION("""COMPUTED_VALUE"""),1003966.0)</f>
        <v>1003966</v>
      </c>
      <c r="C4762" s="9">
        <f>IFERROR(__xludf.DUMMYFUNCTION("""COMPUTED_VALUE"""),21523.0)</f>
        <v>21523</v>
      </c>
      <c r="D4762" s="9"/>
      <c r="E4762" s="10" t="str">
        <f>IFERROR(__xludf.DUMMYFUNCTION("""COMPUTED_VALUE"""),"PREMIERE")</f>
        <v>PREMIERE</v>
      </c>
      <c r="F4762" s="10">
        <f>IFERROR(__xludf.DUMMYFUNCTION("""COMPUTED_VALUE"""),2.68)</f>
        <v>2.68</v>
      </c>
      <c r="G4762" s="9">
        <f>IFERROR(__xludf.DUMMYFUNCTION("""COMPUTED_VALUE"""),2.68)</f>
        <v>2.68</v>
      </c>
      <c r="H4762" s="9">
        <f>IFERROR(__xludf.DUMMYFUNCTION("""COMPUTED_VALUE"""),1.0)</f>
        <v>1</v>
      </c>
      <c r="I4762" s="9"/>
      <c r="J4762" s="9"/>
      <c r="K4762" s="9"/>
      <c r="L4762" s="9"/>
      <c r="M4762" s="9"/>
      <c r="N4762" s="9"/>
      <c r="O4762" s="9"/>
      <c r="P4762" s="9"/>
      <c r="Q4762" s="9"/>
      <c r="R4762" s="9"/>
      <c r="S4762" s="9"/>
      <c r="T4762" s="9"/>
    </row>
    <row r="4763" ht="15.75" customHeight="1">
      <c r="A4763" s="11">
        <f>IFERROR(__xludf.DUMMYFUNCTION("""COMPUTED_VALUE"""),44471.0)</f>
        <v>44471</v>
      </c>
      <c r="B4763" s="9">
        <f>IFERROR(__xludf.DUMMYFUNCTION("""COMPUTED_VALUE"""),1003966.0)</f>
        <v>1003966</v>
      </c>
      <c r="C4763" s="9">
        <f>IFERROR(__xludf.DUMMYFUNCTION("""COMPUTED_VALUE"""),86792.0)</f>
        <v>86792</v>
      </c>
      <c r="D4763" s="9"/>
      <c r="E4763" s="10" t="str">
        <f>IFERROR(__xludf.DUMMYFUNCTION("""COMPUTED_VALUE"""),"PREMIERE")</f>
        <v>PREMIERE</v>
      </c>
      <c r="F4763" s="10">
        <f>IFERROR(__xludf.DUMMYFUNCTION("""COMPUTED_VALUE"""),3.95)</f>
        <v>3.95</v>
      </c>
      <c r="G4763" s="9">
        <f>IFERROR(__xludf.DUMMYFUNCTION("""COMPUTED_VALUE"""),3.95)</f>
        <v>3.95</v>
      </c>
      <c r="H4763" s="9">
        <f>IFERROR(__xludf.DUMMYFUNCTION("""COMPUTED_VALUE"""),1.0)</f>
        <v>1</v>
      </c>
      <c r="I4763" s="9"/>
      <c r="J4763" s="9"/>
      <c r="K4763" s="9"/>
      <c r="L4763" s="9"/>
      <c r="M4763" s="9"/>
      <c r="N4763" s="9"/>
      <c r="O4763" s="9"/>
      <c r="P4763" s="9"/>
      <c r="Q4763" s="9"/>
      <c r="R4763" s="9"/>
      <c r="S4763" s="9"/>
      <c r="T4763" s="9"/>
    </row>
    <row r="4764" ht="15.75" customHeight="1">
      <c r="A4764" s="11">
        <f>IFERROR(__xludf.DUMMYFUNCTION("""COMPUTED_VALUE"""),44471.0)</f>
        <v>44471</v>
      </c>
      <c r="B4764" s="9">
        <f>IFERROR(__xludf.DUMMYFUNCTION("""COMPUTED_VALUE"""),1003966.0)</f>
        <v>1003966</v>
      </c>
      <c r="C4764" s="9">
        <f>IFERROR(__xludf.DUMMYFUNCTION("""COMPUTED_VALUE"""),68313.0)</f>
        <v>68313</v>
      </c>
      <c r="D4764" s="9"/>
      <c r="E4764" s="10" t="str">
        <f>IFERROR(__xludf.DUMMYFUNCTION("""COMPUTED_VALUE"""),"PREMIERE")</f>
        <v>PREMIERE</v>
      </c>
      <c r="F4764" s="10">
        <f>IFERROR(__xludf.DUMMYFUNCTION("""COMPUTED_VALUE"""),4.73)</f>
        <v>4.73</v>
      </c>
      <c r="G4764" s="9">
        <f>IFERROR(__xludf.DUMMYFUNCTION("""COMPUTED_VALUE"""),4.73)</f>
        <v>4.73</v>
      </c>
      <c r="H4764" s="9">
        <f>IFERROR(__xludf.DUMMYFUNCTION("""COMPUTED_VALUE"""),1.0)</f>
        <v>1</v>
      </c>
      <c r="I4764" s="9"/>
      <c r="J4764" s="9"/>
      <c r="K4764" s="9"/>
      <c r="L4764" s="9"/>
      <c r="M4764" s="9"/>
      <c r="N4764" s="9"/>
      <c r="O4764" s="9"/>
      <c r="P4764" s="9"/>
      <c r="Q4764" s="9"/>
      <c r="R4764" s="9"/>
      <c r="S4764" s="9"/>
      <c r="T4764" s="9"/>
    </row>
    <row r="4765" ht="15.75" customHeight="1">
      <c r="A4765" s="11">
        <f>IFERROR(__xludf.DUMMYFUNCTION("""COMPUTED_VALUE"""),44471.0)</f>
        <v>44471</v>
      </c>
      <c r="B4765" s="9">
        <f>IFERROR(__xludf.DUMMYFUNCTION("""COMPUTED_VALUE"""),1003966.0)</f>
        <v>1003966</v>
      </c>
      <c r="C4765" s="9">
        <f>IFERROR(__xludf.DUMMYFUNCTION("""COMPUTED_VALUE"""),90909.0)</f>
        <v>90909</v>
      </c>
      <c r="D4765" s="9"/>
      <c r="E4765" s="10" t="str">
        <f>IFERROR(__xludf.DUMMYFUNCTION("""COMPUTED_VALUE"""),"PREMIERE")</f>
        <v>PREMIERE</v>
      </c>
      <c r="F4765" s="10">
        <f>IFERROR(__xludf.DUMMYFUNCTION("""COMPUTED_VALUE"""),3.92)</f>
        <v>3.92</v>
      </c>
      <c r="G4765" s="9">
        <f>IFERROR(__xludf.DUMMYFUNCTION("""COMPUTED_VALUE"""),3.92)</f>
        <v>3.92</v>
      </c>
      <c r="H4765" s="9">
        <f>IFERROR(__xludf.DUMMYFUNCTION("""COMPUTED_VALUE"""),2.0)</f>
        <v>2</v>
      </c>
      <c r="I4765" s="9"/>
      <c r="J4765" s="9"/>
      <c r="K4765" s="9"/>
      <c r="L4765" s="9"/>
      <c r="M4765" s="9"/>
      <c r="N4765" s="9"/>
      <c r="O4765" s="9"/>
      <c r="P4765" s="9"/>
      <c r="Q4765" s="9"/>
      <c r="R4765" s="9"/>
      <c r="S4765" s="9"/>
      <c r="T4765" s="9"/>
    </row>
    <row r="4766" ht="15.75" customHeight="1">
      <c r="A4766" s="11">
        <f>IFERROR(__xludf.DUMMYFUNCTION("""COMPUTED_VALUE"""),44471.0)</f>
        <v>44471</v>
      </c>
      <c r="B4766" s="9">
        <f>IFERROR(__xludf.DUMMYFUNCTION("""COMPUTED_VALUE"""),1003966.0)</f>
        <v>1003966</v>
      </c>
      <c r="C4766" s="9">
        <f>IFERROR(__xludf.DUMMYFUNCTION("""COMPUTED_VALUE"""),76365.0)</f>
        <v>76365</v>
      </c>
      <c r="D4766" s="9"/>
      <c r="E4766" s="10" t="str">
        <f>IFERROR(__xludf.DUMMYFUNCTION("""COMPUTED_VALUE"""),"PREMIERE")</f>
        <v>PREMIERE</v>
      </c>
      <c r="F4766" s="10">
        <f>IFERROR(__xludf.DUMMYFUNCTION("""COMPUTED_VALUE"""),4.16)</f>
        <v>4.16</v>
      </c>
      <c r="G4766" s="9">
        <f>IFERROR(__xludf.DUMMYFUNCTION("""COMPUTED_VALUE"""),4.16)</f>
        <v>4.16</v>
      </c>
      <c r="H4766" s="9">
        <f>IFERROR(__xludf.DUMMYFUNCTION("""COMPUTED_VALUE"""),2.0)</f>
        <v>2</v>
      </c>
      <c r="I4766" s="9"/>
      <c r="J4766" s="9"/>
      <c r="K4766" s="9"/>
      <c r="L4766" s="9"/>
      <c r="M4766" s="9"/>
      <c r="N4766" s="9"/>
      <c r="O4766" s="9"/>
      <c r="P4766" s="9"/>
      <c r="Q4766" s="9"/>
      <c r="R4766" s="9"/>
      <c r="S4766" s="9"/>
      <c r="T4766" s="9"/>
    </row>
    <row r="4767" ht="15.75" customHeight="1">
      <c r="A4767" s="11">
        <f>IFERROR(__xludf.DUMMYFUNCTION("""COMPUTED_VALUE"""),44471.0)</f>
        <v>44471</v>
      </c>
      <c r="B4767" s="9">
        <f>IFERROR(__xludf.DUMMYFUNCTION("""COMPUTED_VALUE"""),1003966.0)</f>
        <v>1003966</v>
      </c>
      <c r="C4767" s="9">
        <f>IFERROR(__xludf.DUMMYFUNCTION("""COMPUTED_VALUE"""),110689.0)</f>
        <v>110689</v>
      </c>
      <c r="D4767" s="9"/>
      <c r="E4767" s="10" t="str">
        <f>IFERROR(__xludf.DUMMYFUNCTION("""COMPUTED_VALUE"""),"PREMIERE")</f>
        <v>PREMIERE</v>
      </c>
      <c r="F4767" s="10">
        <f>IFERROR(__xludf.DUMMYFUNCTION("""COMPUTED_VALUE"""),3.72)</f>
        <v>3.72</v>
      </c>
      <c r="G4767" s="9">
        <f>IFERROR(__xludf.DUMMYFUNCTION("""COMPUTED_VALUE"""),3.72)</f>
        <v>3.72</v>
      </c>
      <c r="H4767" s="9">
        <f>IFERROR(__xludf.DUMMYFUNCTION("""COMPUTED_VALUE"""),2.0)</f>
        <v>2</v>
      </c>
      <c r="I4767" s="9"/>
      <c r="J4767" s="9"/>
      <c r="K4767" s="9"/>
      <c r="L4767" s="9"/>
      <c r="M4767" s="9"/>
      <c r="N4767" s="9"/>
      <c r="O4767" s="9"/>
      <c r="P4767" s="9"/>
      <c r="Q4767" s="9"/>
      <c r="R4767" s="9"/>
      <c r="S4767" s="9"/>
      <c r="T4767" s="9"/>
    </row>
    <row r="4768" ht="15.75" customHeight="1">
      <c r="A4768" s="11">
        <f>IFERROR(__xludf.DUMMYFUNCTION("""COMPUTED_VALUE"""),44471.0)</f>
        <v>44471</v>
      </c>
      <c r="B4768" s="9">
        <f>IFERROR(__xludf.DUMMYFUNCTION("""COMPUTED_VALUE"""),1003966.0)</f>
        <v>1003966</v>
      </c>
      <c r="C4768" s="9">
        <f>IFERROR(__xludf.DUMMYFUNCTION("""COMPUTED_VALUE"""),87758.0)</f>
        <v>87758</v>
      </c>
      <c r="D4768" s="9"/>
      <c r="E4768" s="10" t="str">
        <f>IFERROR(__xludf.DUMMYFUNCTION("""COMPUTED_VALUE"""),"PREMIERE")</f>
        <v>PREMIERE</v>
      </c>
      <c r="F4768" s="10">
        <f>IFERROR(__xludf.DUMMYFUNCTION("""COMPUTED_VALUE"""),8.88)</f>
        <v>8.88</v>
      </c>
      <c r="G4768" s="9">
        <f>IFERROR(__xludf.DUMMYFUNCTION("""COMPUTED_VALUE"""),8.88)</f>
        <v>8.88</v>
      </c>
      <c r="H4768" s="9">
        <f>IFERROR(__xludf.DUMMYFUNCTION("""COMPUTED_VALUE"""),3.0)</f>
        <v>3</v>
      </c>
      <c r="I4768" s="9"/>
      <c r="J4768" s="9"/>
      <c r="K4768" s="9"/>
      <c r="L4768" s="9"/>
      <c r="M4768" s="9"/>
      <c r="N4768" s="9"/>
      <c r="O4768" s="9"/>
      <c r="P4768" s="9"/>
      <c r="Q4768" s="9"/>
      <c r="R4768" s="9"/>
      <c r="S4768" s="9"/>
      <c r="T4768" s="9"/>
    </row>
    <row r="4769" ht="15.75" customHeight="1">
      <c r="A4769" s="11">
        <f>IFERROR(__xludf.DUMMYFUNCTION("""COMPUTED_VALUE"""),44471.0)</f>
        <v>44471</v>
      </c>
      <c r="B4769" s="9">
        <f>IFERROR(__xludf.DUMMYFUNCTION("""COMPUTED_VALUE"""),1003967.0)</f>
        <v>1003967</v>
      </c>
      <c r="C4769" s="9">
        <f>IFERROR(__xludf.DUMMYFUNCTION("""COMPUTED_VALUE"""),109310.0)</f>
        <v>109310</v>
      </c>
      <c r="D4769" s="9"/>
      <c r="E4769" s="9"/>
      <c r="F4769" s="9">
        <f>IFERROR(__xludf.DUMMYFUNCTION("""COMPUTED_VALUE"""),6.27)</f>
        <v>6.27</v>
      </c>
      <c r="G4769" s="9">
        <f>IFERROR(__xludf.DUMMYFUNCTION("""COMPUTED_VALUE"""),6.27)</f>
        <v>6.27</v>
      </c>
      <c r="H4769" s="9">
        <f>IFERROR(__xludf.DUMMYFUNCTION("""COMPUTED_VALUE"""),1.0)</f>
        <v>1</v>
      </c>
      <c r="I4769" s="9"/>
      <c r="J4769" s="9"/>
      <c r="K4769" s="9"/>
      <c r="L4769" s="9"/>
      <c r="M4769" s="9"/>
      <c r="N4769" s="9"/>
      <c r="O4769" s="9"/>
      <c r="P4769" s="9"/>
      <c r="Q4769" s="9"/>
      <c r="R4769" s="9"/>
      <c r="S4769" s="9"/>
      <c r="T4769" s="9"/>
    </row>
    <row r="4770" ht="15.75" customHeight="1">
      <c r="A4770" s="11">
        <f>IFERROR(__xludf.DUMMYFUNCTION("""COMPUTED_VALUE"""),44471.0)</f>
        <v>44471</v>
      </c>
      <c r="B4770" s="9">
        <f>IFERROR(__xludf.DUMMYFUNCTION("""COMPUTED_VALUE"""),1003967.0)</f>
        <v>1003967</v>
      </c>
      <c r="C4770" s="9">
        <f>IFERROR(__xludf.DUMMYFUNCTION("""COMPUTED_VALUE"""),122235.0)</f>
        <v>122235</v>
      </c>
      <c r="D4770" s="9"/>
      <c r="E4770" s="9"/>
      <c r="F4770" s="9">
        <f>IFERROR(__xludf.DUMMYFUNCTION("""COMPUTED_VALUE"""),16.74)</f>
        <v>16.74</v>
      </c>
      <c r="G4770" s="9">
        <f>IFERROR(__xludf.DUMMYFUNCTION("""COMPUTED_VALUE"""),16.74)</f>
        <v>16.74</v>
      </c>
      <c r="H4770" s="9">
        <f>IFERROR(__xludf.DUMMYFUNCTION("""COMPUTED_VALUE"""),1.0)</f>
        <v>1</v>
      </c>
      <c r="I4770" s="9"/>
      <c r="J4770" s="9"/>
      <c r="K4770" s="9"/>
      <c r="L4770" s="9"/>
      <c r="M4770" s="9"/>
      <c r="N4770" s="9"/>
      <c r="O4770" s="9"/>
      <c r="P4770" s="9"/>
      <c r="Q4770" s="9"/>
      <c r="R4770" s="9"/>
      <c r="S4770" s="9"/>
      <c r="T4770" s="9"/>
    </row>
    <row r="4771" ht="15.75" customHeight="1">
      <c r="A4771" s="11">
        <f>IFERROR(__xludf.DUMMYFUNCTION("""COMPUTED_VALUE"""),44471.0)</f>
        <v>44471</v>
      </c>
      <c r="B4771" s="9">
        <f>IFERROR(__xludf.DUMMYFUNCTION("""COMPUTED_VALUE"""),1003967.0)</f>
        <v>1003967</v>
      </c>
      <c r="C4771" s="9">
        <f>IFERROR(__xludf.DUMMYFUNCTION("""COMPUTED_VALUE"""),77488.0)</f>
        <v>77488</v>
      </c>
      <c r="D4771" s="9"/>
      <c r="E4771" s="9"/>
      <c r="F4771" s="9">
        <f>IFERROR(__xludf.DUMMYFUNCTION("""COMPUTED_VALUE"""),4.57)</f>
        <v>4.57</v>
      </c>
      <c r="G4771" s="9">
        <f>IFERROR(__xludf.DUMMYFUNCTION("""COMPUTED_VALUE"""),4.57)</f>
        <v>4.57</v>
      </c>
      <c r="H4771" s="9">
        <f>IFERROR(__xludf.DUMMYFUNCTION("""COMPUTED_VALUE"""),1.0)</f>
        <v>1</v>
      </c>
      <c r="I4771" s="9"/>
      <c r="J4771" s="9"/>
      <c r="K4771" s="9"/>
      <c r="L4771" s="9"/>
      <c r="M4771" s="9"/>
      <c r="N4771" s="9"/>
      <c r="O4771" s="9"/>
      <c r="P4771" s="9"/>
      <c r="Q4771" s="9"/>
      <c r="R4771" s="9"/>
      <c r="S4771" s="9"/>
      <c r="T4771" s="9"/>
    </row>
    <row r="4772" ht="15.75" customHeight="1">
      <c r="A4772" s="11">
        <f>IFERROR(__xludf.DUMMYFUNCTION("""COMPUTED_VALUE"""),44471.0)</f>
        <v>44471</v>
      </c>
      <c r="B4772" s="9">
        <f>IFERROR(__xludf.DUMMYFUNCTION("""COMPUTED_VALUE"""),1003967.0)</f>
        <v>1003967</v>
      </c>
      <c r="C4772" s="9">
        <f>IFERROR(__xludf.DUMMYFUNCTION("""COMPUTED_VALUE"""),18115.0)</f>
        <v>18115</v>
      </c>
      <c r="D4772" s="9"/>
      <c r="E4772" s="9"/>
      <c r="F4772" s="9">
        <f>IFERROR(__xludf.DUMMYFUNCTION("""COMPUTED_VALUE"""),3.79)</f>
        <v>3.79</v>
      </c>
      <c r="G4772" s="9">
        <f>IFERROR(__xludf.DUMMYFUNCTION("""COMPUTED_VALUE"""),3.79)</f>
        <v>3.79</v>
      </c>
      <c r="H4772" s="9">
        <f>IFERROR(__xludf.DUMMYFUNCTION("""COMPUTED_VALUE"""),1.0)</f>
        <v>1</v>
      </c>
      <c r="I4772" s="9"/>
      <c r="J4772" s="9"/>
      <c r="K4772" s="9"/>
      <c r="L4772" s="9"/>
      <c r="M4772" s="9"/>
      <c r="N4772" s="9"/>
      <c r="O4772" s="9"/>
      <c r="P4772" s="9"/>
      <c r="Q4772" s="9"/>
      <c r="R4772" s="9"/>
      <c r="S4772" s="9"/>
      <c r="T4772" s="9"/>
    </row>
    <row r="4773" ht="15.75" customHeight="1">
      <c r="A4773" s="11">
        <f>IFERROR(__xludf.DUMMYFUNCTION("""COMPUTED_VALUE"""),44471.0)</f>
        <v>44471</v>
      </c>
      <c r="B4773" s="9">
        <f>IFERROR(__xludf.DUMMYFUNCTION("""COMPUTED_VALUE"""),1003967.0)</f>
        <v>1003967</v>
      </c>
      <c r="C4773" s="9">
        <f>IFERROR(__xludf.DUMMYFUNCTION("""COMPUTED_VALUE"""),81504.0)</f>
        <v>81504</v>
      </c>
      <c r="D4773" s="9"/>
      <c r="E4773" s="9"/>
      <c r="F4773" s="9">
        <f>IFERROR(__xludf.DUMMYFUNCTION("""COMPUTED_VALUE"""),0.73)</f>
        <v>0.73</v>
      </c>
      <c r="G4773" s="9">
        <f>IFERROR(__xludf.DUMMYFUNCTION("""COMPUTED_VALUE"""),0.73)</f>
        <v>0.73</v>
      </c>
      <c r="H4773" s="9">
        <f>IFERROR(__xludf.DUMMYFUNCTION("""COMPUTED_VALUE"""),1.0)</f>
        <v>1</v>
      </c>
      <c r="I4773" s="9"/>
      <c r="J4773" s="9"/>
      <c r="K4773" s="9"/>
      <c r="L4773" s="9"/>
      <c r="M4773" s="9"/>
      <c r="N4773" s="9"/>
      <c r="O4773" s="9"/>
      <c r="P4773" s="9"/>
      <c r="Q4773" s="9"/>
      <c r="R4773" s="9"/>
      <c r="S4773" s="9"/>
      <c r="T4773" s="9"/>
    </row>
    <row r="4774" ht="15.75" customHeight="1">
      <c r="A4774" s="11">
        <f>IFERROR(__xludf.DUMMYFUNCTION("""COMPUTED_VALUE"""),44471.0)</f>
        <v>44471</v>
      </c>
      <c r="B4774" s="9">
        <f>IFERROR(__xludf.DUMMYFUNCTION("""COMPUTED_VALUE"""),1003967.0)</f>
        <v>1003967</v>
      </c>
      <c r="C4774" s="9">
        <f>IFERROR(__xludf.DUMMYFUNCTION("""COMPUTED_VALUE"""),87083.0)</f>
        <v>87083</v>
      </c>
      <c r="D4774" s="9"/>
      <c r="E4774" s="9"/>
      <c r="F4774" s="9">
        <f>IFERROR(__xludf.DUMMYFUNCTION("""COMPUTED_VALUE"""),3.59)</f>
        <v>3.59</v>
      </c>
      <c r="G4774" s="9">
        <f>IFERROR(__xludf.DUMMYFUNCTION("""COMPUTED_VALUE"""),3.59)</f>
        <v>3.59</v>
      </c>
      <c r="H4774" s="9">
        <f>IFERROR(__xludf.DUMMYFUNCTION("""COMPUTED_VALUE"""),1.0)</f>
        <v>1</v>
      </c>
      <c r="I4774" s="9"/>
      <c r="J4774" s="9"/>
      <c r="K4774" s="9"/>
      <c r="L4774" s="9"/>
      <c r="M4774" s="9"/>
      <c r="N4774" s="9"/>
      <c r="O4774" s="9"/>
      <c r="P4774" s="9"/>
      <c r="Q4774" s="9"/>
      <c r="R4774" s="9"/>
      <c r="S4774" s="9"/>
      <c r="T4774" s="9"/>
    </row>
    <row r="4775" ht="15.75" customHeight="1">
      <c r="A4775" s="11">
        <f>IFERROR(__xludf.DUMMYFUNCTION("""COMPUTED_VALUE"""),44471.0)</f>
        <v>44471</v>
      </c>
      <c r="B4775" s="9">
        <f>IFERROR(__xludf.DUMMYFUNCTION("""COMPUTED_VALUE"""),1003968.0)</f>
        <v>1003968</v>
      </c>
      <c r="C4775" s="9">
        <f>IFERROR(__xludf.DUMMYFUNCTION("""COMPUTED_VALUE"""),76297.0)</f>
        <v>76297</v>
      </c>
      <c r="D4775" s="10" t="str">
        <f>IFERROR(__xludf.DUMMYFUNCTION("""COMPUTED_VALUE"""),"Vive le bio")</f>
        <v>Vive le bio</v>
      </c>
      <c r="E4775" s="10"/>
      <c r="F4775" s="9">
        <f>IFERROR(__xludf.DUMMYFUNCTION("""COMPUTED_VALUE"""),3.4)</f>
        <v>3.4</v>
      </c>
      <c r="G4775" s="9">
        <f>IFERROR(__xludf.DUMMYFUNCTION("""COMPUTED_VALUE"""),3.06)</f>
        <v>3.06</v>
      </c>
      <c r="H4775" s="9">
        <f>IFERROR(__xludf.DUMMYFUNCTION("""COMPUTED_VALUE"""),1.0)</f>
        <v>1</v>
      </c>
      <c r="I4775" s="9"/>
      <c r="J4775" s="9"/>
      <c r="K4775" s="9"/>
      <c r="L4775" s="9"/>
      <c r="M4775" s="9"/>
      <c r="N4775" s="9"/>
      <c r="O4775" s="9"/>
      <c r="P4775" s="9"/>
      <c r="Q4775" s="9"/>
      <c r="R4775" s="9"/>
      <c r="S4775" s="9"/>
      <c r="T4775" s="9"/>
    </row>
    <row r="4776" ht="15.75" customHeight="1">
      <c r="A4776" s="11">
        <f>IFERROR(__xludf.DUMMYFUNCTION("""COMPUTED_VALUE"""),44471.0)</f>
        <v>44471</v>
      </c>
      <c r="B4776" s="9">
        <f>IFERROR(__xludf.DUMMYFUNCTION("""COMPUTED_VALUE"""),1003968.0)</f>
        <v>1003968</v>
      </c>
      <c r="C4776" s="9">
        <f>IFERROR(__xludf.DUMMYFUNCTION("""COMPUTED_VALUE"""),18115.0)</f>
        <v>18115</v>
      </c>
      <c r="D4776" s="9"/>
      <c r="E4776" s="9"/>
      <c r="F4776" s="9">
        <f>IFERROR(__xludf.DUMMYFUNCTION("""COMPUTED_VALUE"""),3.79)</f>
        <v>3.79</v>
      </c>
      <c r="G4776" s="9">
        <f>IFERROR(__xludf.DUMMYFUNCTION("""COMPUTED_VALUE"""),3.79)</f>
        <v>3.79</v>
      </c>
      <c r="H4776" s="9">
        <f>IFERROR(__xludf.DUMMYFUNCTION("""COMPUTED_VALUE"""),1.0)</f>
        <v>1</v>
      </c>
      <c r="I4776" s="9"/>
      <c r="J4776" s="9"/>
      <c r="K4776" s="9"/>
      <c r="L4776" s="9"/>
      <c r="M4776" s="9"/>
      <c r="N4776" s="9"/>
      <c r="O4776" s="9"/>
      <c r="P4776" s="9"/>
      <c r="Q4776" s="9"/>
      <c r="R4776" s="9"/>
      <c r="S4776" s="9"/>
      <c r="T4776" s="9"/>
    </row>
    <row r="4777" ht="15.75" customHeight="1">
      <c r="A4777" s="11">
        <f>IFERROR(__xludf.DUMMYFUNCTION("""COMPUTED_VALUE"""),44471.0)</f>
        <v>44471</v>
      </c>
      <c r="B4777" s="9">
        <f>IFERROR(__xludf.DUMMYFUNCTION("""COMPUTED_VALUE"""),1003968.0)</f>
        <v>1003968</v>
      </c>
      <c r="C4777" s="9">
        <f>IFERROR(__xludf.DUMMYFUNCTION("""COMPUTED_VALUE"""),82005.0)</f>
        <v>82005</v>
      </c>
      <c r="D4777" s="9"/>
      <c r="E4777" s="9"/>
      <c r="F4777" s="9">
        <f>IFERROR(__xludf.DUMMYFUNCTION("""COMPUTED_VALUE"""),1.85)</f>
        <v>1.85</v>
      </c>
      <c r="G4777" s="9">
        <f>IFERROR(__xludf.DUMMYFUNCTION("""COMPUTED_VALUE"""),1.85)</f>
        <v>1.85</v>
      </c>
      <c r="H4777" s="9">
        <f>IFERROR(__xludf.DUMMYFUNCTION("""COMPUTED_VALUE"""),1.0)</f>
        <v>1</v>
      </c>
      <c r="I4777" s="9"/>
      <c r="J4777" s="9"/>
      <c r="K4777" s="9"/>
      <c r="L4777" s="9"/>
      <c r="M4777" s="9"/>
      <c r="N4777" s="9"/>
      <c r="O4777" s="9"/>
      <c r="P4777" s="9"/>
      <c r="Q4777" s="9"/>
      <c r="R4777" s="9"/>
      <c r="S4777" s="9"/>
      <c r="T4777" s="9"/>
    </row>
    <row r="4778" ht="15.75" customHeight="1">
      <c r="A4778" s="11">
        <f>IFERROR(__xludf.DUMMYFUNCTION("""COMPUTED_VALUE"""),44471.0)</f>
        <v>44471</v>
      </c>
      <c r="B4778" s="9">
        <f>IFERROR(__xludf.DUMMYFUNCTION("""COMPUTED_VALUE"""),1003968.0)</f>
        <v>1003968</v>
      </c>
      <c r="C4778" s="9">
        <f>IFERROR(__xludf.DUMMYFUNCTION("""COMPUTED_VALUE"""),117148.0)</f>
        <v>117148</v>
      </c>
      <c r="D4778" s="9"/>
      <c r="E4778" s="9"/>
      <c r="F4778" s="9">
        <f>IFERROR(__xludf.DUMMYFUNCTION("""COMPUTED_VALUE"""),2.08)</f>
        <v>2.08</v>
      </c>
      <c r="G4778" s="9">
        <f>IFERROR(__xludf.DUMMYFUNCTION("""COMPUTED_VALUE"""),2.08)</f>
        <v>2.08</v>
      </c>
      <c r="H4778" s="9">
        <f>IFERROR(__xludf.DUMMYFUNCTION("""COMPUTED_VALUE"""),1.0)</f>
        <v>1</v>
      </c>
      <c r="I4778" s="9"/>
      <c r="J4778" s="9"/>
      <c r="K4778" s="9"/>
      <c r="L4778" s="9"/>
      <c r="M4778" s="9"/>
      <c r="N4778" s="9"/>
      <c r="O4778" s="9"/>
      <c r="P4778" s="9"/>
      <c r="Q4778" s="9"/>
      <c r="R4778" s="9"/>
      <c r="S4778" s="9"/>
      <c r="T4778" s="9"/>
    </row>
    <row r="4779" ht="15.75" customHeight="1">
      <c r="A4779" s="11">
        <f>IFERROR(__xludf.DUMMYFUNCTION("""COMPUTED_VALUE"""),44471.0)</f>
        <v>44471</v>
      </c>
      <c r="B4779" s="9">
        <f>IFERROR(__xludf.DUMMYFUNCTION("""COMPUTED_VALUE"""),1003968.0)</f>
        <v>1003968</v>
      </c>
      <c r="C4779" s="9">
        <f>IFERROR(__xludf.DUMMYFUNCTION("""COMPUTED_VALUE"""),117165.0)</f>
        <v>117165</v>
      </c>
      <c r="D4779" s="9"/>
      <c r="E4779" s="9"/>
      <c r="F4779" s="9">
        <f>IFERROR(__xludf.DUMMYFUNCTION("""COMPUTED_VALUE"""),1.92)</f>
        <v>1.92</v>
      </c>
      <c r="G4779" s="9">
        <f>IFERROR(__xludf.DUMMYFUNCTION("""COMPUTED_VALUE"""),1.92)</f>
        <v>1.92</v>
      </c>
      <c r="H4779" s="9">
        <f>IFERROR(__xludf.DUMMYFUNCTION("""COMPUTED_VALUE"""),1.0)</f>
        <v>1</v>
      </c>
      <c r="I4779" s="9"/>
      <c r="J4779" s="9"/>
      <c r="K4779" s="9"/>
      <c r="L4779" s="9"/>
      <c r="M4779" s="9"/>
      <c r="N4779" s="9"/>
      <c r="O4779" s="9"/>
      <c r="P4779" s="9"/>
      <c r="Q4779" s="9"/>
      <c r="R4779" s="9"/>
      <c r="S4779" s="9"/>
      <c r="T4779" s="9"/>
    </row>
    <row r="4780" ht="15.75" customHeight="1">
      <c r="A4780" s="11">
        <f>IFERROR(__xludf.DUMMYFUNCTION("""COMPUTED_VALUE"""),44471.0)</f>
        <v>44471</v>
      </c>
      <c r="B4780" s="9">
        <f>IFERROR(__xludf.DUMMYFUNCTION("""COMPUTED_VALUE"""),1003968.0)</f>
        <v>1003968</v>
      </c>
      <c r="C4780" s="9">
        <f>IFERROR(__xludf.DUMMYFUNCTION("""COMPUTED_VALUE"""),80546.0)</f>
        <v>80546</v>
      </c>
      <c r="D4780" s="10" t="str">
        <f>IFERROR(__xludf.DUMMYFUNCTION("""COMPUTED_VALUE"""),"Offre speciale")</f>
        <v>Offre speciale</v>
      </c>
      <c r="E4780" s="10"/>
      <c r="F4780" s="9">
        <f>IFERROR(__xludf.DUMMYFUNCTION("""COMPUTED_VALUE"""),12.9)</f>
        <v>12.9</v>
      </c>
      <c r="G4780" s="9">
        <f>IFERROR(__xludf.DUMMYFUNCTION("""COMPUTED_VALUE"""),10.32)</f>
        <v>10.32</v>
      </c>
      <c r="H4780" s="9">
        <f>IFERROR(__xludf.DUMMYFUNCTION("""COMPUTED_VALUE"""),2.0)</f>
        <v>2</v>
      </c>
      <c r="I4780" s="9"/>
      <c r="J4780" s="9"/>
      <c r="K4780" s="9"/>
      <c r="L4780" s="9"/>
      <c r="M4780" s="9"/>
      <c r="N4780" s="9"/>
      <c r="O4780" s="9"/>
      <c r="P4780" s="9"/>
      <c r="Q4780" s="9"/>
      <c r="R4780" s="9"/>
      <c r="S4780" s="9"/>
      <c r="T4780" s="9"/>
    </row>
    <row r="4781" ht="15.75" customHeight="1">
      <c r="A4781" s="11">
        <f>IFERROR(__xludf.DUMMYFUNCTION("""COMPUTED_VALUE"""),44471.0)</f>
        <v>44471</v>
      </c>
      <c r="B4781" s="9">
        <f>IFERROR(__xludf.DUMMYFUNCTION("""COMPUTED_VALUE"""),1003969.0)</f>
        <v>1003969</v>
      </c>
      <c r="C4781" s="9">
        <f>IFERROR(__xludf.DUMMYFUNCTION("""COMPUTED_VALUE"""),112013.0)</f>
        <v>112013</v>
      </c>
      <c r="D4781" s="9"/>
      <c r="E4781" s="10" t="str">
        <f>IFERROR(__xludf.DUMMYFUNCTION("""COMPUTED_VALUE"""),"GREENRELAIS")</f>
        <v>GREENRELAIS</v>
      </c>
      <c r="F4781" s="10">
        <f>IFERROR(__xludf.DUMMYFUNCTION("""COMPUTED_VALUE"""),10.21)</f>
        <v>10.21</v>
      </c>
      <c r="G4781" s="9">
        <f>IFERROR(__xludf.DUMMYFUNCTION("""COMPUTED_VALUE"""),10.21)</f>
        <v>10.21</v>
      </c>
      <c r="H4781" s="9">
        <f>IFERROR(__xludf.DUMMYFUNCTION("""COMPUTED_VALUE"""),1.0)</f>
        <v>1</v>
      </c>
      <c r="I4781" s="9"/>
      <c r="J4781" s="9"/>
      <c r="K4781" s="9"/>
      <c r="L4781" s="9"/>
      <c r="M4781" s="9"/>
      <c r="N4781" s="9"/>
      <c r="O4781" s="9"/>
      <c r="P4781" s="9"/>
      <c r="Q4781" s="9"/>
      <c r="R4781" s="9"/>
      <c r="S4781" s="9"/>
      <c r="T4781" s="9"/>
    </row>
    <row r="4782" ht="15.75" customHeight="1">
      <c r="A4782" s="11">
        <f>IFERROR(__xludf.DUMMYFUNCTION("""COMPUTED_VALUE"""),44471.0)</f>
        <v>44471</v>
      </c>
      <c r="B4782" s="9">
        <f>IFERROR(__xludf.DUMMYFUNCTION("""COMPUTED_VALUE"""),1003969.0)</f>
        <v>1003969</v>
      </c>
      <c r="C4782" s="9">
        <f>IFERROR(__xludf.DUMMYFUNCTION("""COMPUTED_VALUE"""),50372.0)</f>
        <v>50372</v>
      </c>
      <c r="D4782" s="10" t="str">
        <f>IFERROR(__xludf.DUMMYFUNCTION("""COMPUTED_VALUE"""),"Vive le bio")</f>
        <v>Vive le bio</v>
      </c>
      <c r="E4782" s="10" t="str">
        <f>IFERROR(__xludf.DUMMYFUNCTION("""COMPUTED_VALUE"""),"GREENRELAIS")</f>
        <v>GREENRELAIS</v>
      </c>
      <c r="F4782" s="10">
        <f>IFERROR(__xludf.DUMMYFUNCTION("""COMPUTED_VALUE"""),15.3222222222222)</f>
        <v>15.32222222</v>
      </c>
      <c r="G4782" s="9">
        <f>IFERROR(__xludf.DUMMYFUNCTION("""COMPUTED_VALUE"""),13.79)</f>
        <v>13.79</v>
      </c>
      <c r="H4782" s="9">
        <f>IFERROR(__xludf.DUMMYFUNCTION("""COMPUTED_VALUE"""),2.0)</f>
        <v>2</v>
      </c>
      <c r="I4782" s="9"/>
      <c r="J4782" s="9"/>
      <c r="K4782" s="9"/>
      <c r="L4782" s="9"/>
      <c r="M4782" s="9"/>
      <c r="N4782" s="9"/>
      <c r="O4782" s="9"/>
      <c r="P4782" s="9"/>
      <c r="Q4782" s="9"/>
      <c r="R4782" s="9"/>
      <c r="S4782" s="9"/>
      <c r="T4782" s="9"/>
    </row>
    <row r="4783" ht="15.75" customHeight="1">
      <c r="A4783" s="11">
        <f>IFERROR(__xludf.DUMMYFUNCTION("""COMPUTED_VALUE"""),44471.0)</f>
        <v>44471</v>
      </c>
      <c r="B4783" s="9">
        <f>IFERROR(__xludf.DUMMYFUNCTION("""COMPUTED_VALUE"""),1003969.0)</f>
        <v>1003969</v>
      </c>
      <c r="C4783" s="9">
        <f>IFERROR(__xludf.DUMMYFUNCTION("""COMPUTED_VALUE"""),76567.0)</f>
        <v>76567</v>
      </c>
      <c r="D4783" s="9"/>
      <c r="E4783" s="10" t="str">
        <f>IFERROR(__xludf.DUMMYFUNCTION("""COMPUTED_VALUE"""),"GREENRELAIS")</f>
        <v>GREENRELAIS</v>
      </c>
      <c r="F4783" s="10">
        <f>IFERROR(__xludf.DUMMYFUNCTION("""COMPUTED_VALUE"""),83.88)</f>
        <v>83.88</v>
      </c>
      <c r="G4783" s="9">
        <f>IFERROR(__xludf.DUMMYFUNCTION("""COMPUTED_VALUE"""),83.88)</f>
        <v>83.88</v>
      </c>
      <c r="H4783" s="9">
        <f>IFERROR(__xludf.DUMMYFUNCTION("""COMPUTED_VALUE"""),3.0)</f>
        <v>3</v>
      </c>
      <c r="I4783" s="9"/>
      <c r="J4783" s="9"/>
      <c r="K4783" s="9"/>
      <c r="L4783" s="9"/>
      <c r="M4783" s="9"/>
      <c r="N4783" s="9"/>
      <c r="O4783" s="9"/>
      <c r="P4783" s="9"/>
      <c r="Q4783" s="9"/>
      <c r="R4783" s="9"/>
      <c r="S4783" s="9"/>
      <c r="T4783" s="9"/>
    </row>
    <row r="4784" ht="15.75" customHeight="1">
      <c r="A4784" s="11">
        <f>IFERROR(__xludf.DUMMYFUNCTION("""COMPUTED_VALUE"""),44471.0)</f>
        <v>44471</v>
      </c>
      <c r="B4784" s="9">
        <f>IFERROR(__xludf.DUMMYFUNCTION("""COMPUTED_VALUE"""),1003970.0)</f>
        <v>1003970</v>
      </c>
      <c r="C4784" s="9">
        <f>IFERROR(__xludf.DUMMYFUNCTION("""COMPUTED_VALUE"""),47514.0)</f>
        <v>47514</v>
      </c>
      <c r="D4784" s="9"/>
      <c r="E4784" s="9"/>
      <c r="F4784" s="9">
        <f>IFERROR(__xludf.DUMMYFUNCTION("""COMPUTED_VALUE"""),7.29)</f>
        <v>7.29</v>
      </c>
      <c r="G4784" s="9">
        <f>IFERROR(__xludf.DUMMYFUNCTION("""COMPUTED_VALUE"""),7.29)</f>
        <v>7.29</v>
      </c>
      <c r="H4784" s="9">
        <f>IFERROR(__xludf.DUMMYFUNCTION("""COMPUTED_VALUE"""),1.0)</f>
        <v>1</v>
      </c>
      <c r="I4784" s="9"/>
      <c r="J4784" s="9"/>
      <c r="K4784" s="9"/>
      <c r="L4784" s="9"/>
      <c r="M4784" s="9"/>
      <c r="N4784" s="9"/>
      <c r="O4784" s="9"/>
      <c r="P4784" s="9"/>
      <c r="Q4784" s="9"/>
      <c r="R4784" s="9"/>
      <c r="S4784" s="9"/>
      <c r="T4784" s="9"/>
    </row>
    <row r="4785" ht="15.75" customHeight="1">
      <c r="A4785" s="11">
        <f>IFERROR(__xludf.DUMMYFUNCTION("""COMPUTED_VALUE"""),44471.0)</f>
        <v>44471</v>
      </c>
      <c r="B4785" s="9">
        <f>IFERROR(__xludf.DUMMYFUNCTION("""COMPUTED_VALUE"""),1003970.0)</f>
        <v>1003970</v>
      </c>
      <c r="C4785" s="9">
        <f>IFERROR(__xludf.DUMMYFUNCTION("""COMPUTED_VALUE"""),99263.0)</f>
        <v>99263</v>
      </c>
      <c r="D4785" s="9"/>
      <c r="E4785" s="9"/>
      <c r="F4785" s="9">
        <f>IFERROR(__xludf.DUMMYFUNCTION("""COMPUTED_VALUE"""),3.4)</f>
        <v>3.4</v>
      </c>
      <c r="G4785" s="9">
        <f>IFERROR(__xludf.DUMMYFUNCTION("""COMPUTED_VALUE"""),3.4)</f>
        <v>3.4</v>
      </c>
      <c r="H4785" s="9">
        <f>IFERROR(__xludf.DUMMYFUNCTION("""COMPUTED_VALUE"""),1.0)</f>
        <v>1</v>
      </c>
      <c r="I4785" s="9"/>
      <c r="J4785" s="9"/>
      <c r="K4785" s="9"/>
      <c r="L4785" s="9"/>
      <c r="M4785" s="9"/>
      <c r="N4785" s="9"/>
      <c r="O4785" s="9"/>
      <c r="P4785" s="9"/>
      <c r="Q4785" s="9"/>
      <c r="R4785" s="9"/>
      <c r="S4785" s="9"/>
      <c r="T4785" s="9"/>
    </row>
    <row r="4786" ht="15.75" customHeight="1">
      <c r="A4786" s="11">
        <f>IFERROR(__xludf.DUMMYFUNCTION("""COMPUTED_VALUE"""),44471.0)</f>
        <v>44471</v>
      </c>
      <c r="B4786" s="9">
        <f>IFERROR(__xludf.DUMMYFUNCTION("""COMPUTED_VALUE"""),1003970.0)</f>
        <v>1003970</v>
      </c>
      <c r="C4786" s="9">
        <f>IFERROR(__xludf.DUMMYFUNCTION("""COMPUTED_VALUE"""),47648.0)</f>
        <v>47648</v>
      </c>
      <c r="D4786" s="10" t="str">
        <f>IFERROR(__xludf.DUMMYFUNCTION("""COMPUTED_VALUE"""),"Vive le bio")</f>
        <v>Vive le bio</v>
      </c>
      <c r="E4786" s="10"/>
      <c r="F4786" s="9">
        <f>IFERROR(__xludf.DUMMYFUNCTION("""COMPUTED_VALUE"""),1.76666666666666)</f>
        <v>1.766666667</v>
      </c>
      <c r="G4786" s="9">
        <f>IFERROR(__xludf.DUMMYFUNCTION("""COMPUTED_VALUE"""),1.59)</f>
        <v>1.59</v>
      </c>
      <c r="H4786" s="9">
        <f>IFERROR(__xludf.DUMMYFUNCTION("""COMPUTED_VALUE"""),1.0)</f>
        <v>1</v>
      </c>
      <c r="I4786" s="9"/>
      <c r="J4786" s="9"/>
      <c r="K4786" s="9"/>
      <c r="L4786" s="9"/>
      <c r="M4786" s="9"/>
      <c r="N4786" s="9"/>
      <c r="O4786" s="9"/>
      <c r="P4786" s="9"/>
      <c r="Q4786" s="9"/>
      <c r="R4786" s="9"/>
      <c r="S4786" s="9"/>
      <c r="T4786" s="9"/>
    </row>
    <row r="4787" ht="15.75" customHeight="1">
      <c r="A4787" s="11">
        <f>IFERROR(__xludf.DUMMYFUNCTION("""COMPUTED_VALUE"""),44471.0)</f>
        <v>44471</v>
      </c>
      <c r="B4787" s="9">
        <f>IFERROR(__xludf.DUMMYFUNCTION("""COMPUTED_VALUE"""),1003970.0)</f>
        <v>1003970</v>
      </c>
      <c r="C4787" s="9">
        <f>IFERROR(__xludf.DUMMYFUNCTION("""COMPUTED_VALUE"""),46482.0)</f>
        <v>46482</v>
      </c>
      <c r="D4787" s="9"/>
      <c r="E4787" s="9"/>
      <c r="F4787" s="9">
        <f>IFERROR(__xludf.DUMMYFUNCTION("""COMPUTED_VALUE"""),3.67)</f>
        <v>3.67</v>
      </c>
      <c r="G4787" s="9">
        <f>IFERROR(__xludf.DUMMYFUNCTION("""COMPUTED_VALUE"""),3.67)</f>
        <v>3.67</v>
      </c>
      <c r="H4787" s="9">
        <f>IFERROR(__xludf.DUMMYFUNCTION("""COMPUTED_VALUE"""),1.0)</f>
        <v>1</v>
      </c>
      <c r="I4787" s="9"/>
      <c r="J4787" s="9"/>
      <c r="K4787" s="9"/>
      <c r="L4787" s="9"/>
      <c r="M4787" s="9"/>
      <c r="N4787" s="9"/>
      <c r="O4787" s="9"/>
      <c r="P4787" s="9"/>
      <c r="Q4787" s="9"/>
      <c r="R4787" s="9"/>
      <c r="S4787" s="9"/>
      <c r="T4787" s="9"/>
    </row>
    <row r="4788" ht="15.75" customHeight="1">
      <c r="A4788" s="11">
        <f>IFERROR(__xludf.DUMMYFUNCTION("""COMPUTED_VALUE"""),44471.0)</f>
        <v>44471</v>
      </c>
      <c r="B4788" s="9">
        <f>IFERROR(__xludf.DUMMYFUNCTION("""COMPUTED_VALUE"""),1003970.0)</f>
        <v>1003970</v>
      </c>
      <c r="C4788" s="9">
        <f>IFERROR(__xludf.DUMMYFUNCTION("""COMPUTED_VALUE"""),88215.0)</f>
        <v>88215</v>
      </c>
      <c r="D4788" s="9"/>
      <c r="E4788" s="9"/>
      <c r="F4788" s="9">
        <f>IFERROR(__xludf.DUMMYFUNCTION("""COMPUTED_VALUE"""),3.08)</f>
        <v>3.08</v>
      </c>
      <c r="G4788" s="9">
        <f>IFERROR(__xludf.DUMMYFUNCTION("""COMPUTED_VALUE"""),3.08)</f>
        <v>3.08</v>
      </c>
      <c r="H4788" s="9">
        <f>IFERROR(__xludf.DUMMYFUNCTION("""COMPUTED_VALUE"""),1.0)</f>
        <v>1</v>
      </c>
      <c r="I4788" s="9"/>
      <c r="J4788" s="9"/>
      <c r="K4788" s="9"/>
      <c r="L4788" s="9"/>
      <c r="M4788" s="9"/>
      <c r="N4788" s="9"/>
      <c r="O4788" s="9"/>
      <c r="P4788" s="9"/>
      <c r="Q4788" s="9"/>
      <c r="R4788" s="9"/>
      <c r="S4788" s="9"/>
      <c r="T4788" s="9"/>
    </row>
    <row r="4789" ht="15.75" customHeight="1">
      <c r="A4789" s="11">
        <f>IFERROR(__xludf.DUMMYFUNCTION("""COMPUTED_VALUE"""),44471.0)</f>
        <v>44471</v>
      </c>
      <c r="B4789" s="9">
        <f>IFERROR(__xludf.DUMMYFUNCTION("""COMPUTED_VALUE"""),1003970.0)</f>
        <v>1003970</v>
      </c>
      <c r="C4789" s="9">
        <f>IFERROR(__xludf.DUMMYFUNCTION("""COMPUTED_VALUE"""),5869.0)</f>
        <v>5869</v>
      </c>
      <c r="D4789" s="9"/>
      <c r="E4789" s="9"/>
      <c r="F4789" s="9">
        <f>IFERROR(__xludf.DUMMYFUNCTION("""COMPUTED_VALUE"""),2.85)</f>
        <v>2.85</v>
      </c>
      <c r="G4789" s="9">
        <f>IFERROR(__xludf.DUMMYFUNCTION("""COMPUTED_VALUE"""),2.85)</f>
        <v>2.85</v>
      </c>
      <c r="H4789" s="9">
        <f>IFERROR(__xludf.DUMMYFUNCTION("""COMPUTED_VALUE"""),1.0)</f>
        <v>1</v>
      </c>
      <c r="I4789" s="9"/>
      <c r="J4789" s="9"/>
      <c r="K4789" s="9"/>
      <c r="L4789" s="9"/>
      <c r="M4789" s="9"/>
      <c r="N4789" s="9"/>
      <c r="O4789" s="9"/>
      <c r="P4789" s="9"/>
      <c r="Q4789" s="9"/>
      <c r="R4789" s="9"/>
      <c r="S4789" s="9"/>
      <c r="T4789" s="9"/>
    </row>
    <row r="4790" ht="15.75" customHeight="1">
      <c r="A4790" s="11">
        <f>IFERROR(__xludf.DUMMYFUNCTION("""COMPUTED_VALUE"""),44471.0)</f>
        <v>44471</v>
      </c>
      <c r="B4790" s="9">
        <f>IFERROR(__xludf.DUMMYFUNCTION("""COMPUTED_VALUE"""),1003970.0)</f>
        <v>1003970</v>
      </c>
      <c r="C4790" s="9">
        <f>IFERROR(__xludf.DUMMYFUNCTION("""COMPUTED_VALUE"""),77481.0)</f>
        <v>77481</v>
      </c>
      <c r="D4790" s="9"/>
      <c r="E4790" s="9"/>
      <c r="F4790" s="9">
        <f>IFERROR(__xludf.DUMMYFUNCTION("""COMPUTED_VALUE"""),3.24)</f>
        <v>3.24</v>
      </c>
      <c r="G4790" s="9">
        <f>IFERROR(__xludf.DUMMYFUNCTION("""COMPUTED_VALUE"""),3.24)</f>
        <v>3.24</v>
      </c>
      <c r="H4790" s="9">
        <f>IFERROR(__xludf.DUMMYFUNCTION("""COMPUTED_VALUE"""),1.0)</f>
        <v>1</v>
      </c>
      <c r="I4790" s="9"/>
      <c r="J4790" s="9"/>
      <c r="K4790" s="9"/>
      <c r="L4790" s="9"/>
      <c r="M4790" s="9"/>
      <c r="N4790" s="9"/>
      <c r="O4790" s="9"/>
      <c r="P4790" s="9"/>
      <c r="Q4790" s="9"/>
      <c r="R4790" s="9"/>
      <c r="S4790" s="9"/>
      <c r="T4790" s="9"/>
    </row>
    <row r="4791" ht="15.75" customHeight="1">
      <c r="A4791" s="11">
        <f>IFERROR(__xludf.DUMMYFUNCTION("""COMPUTED_VALUE"""),44471.0)</f>
        <v>44471</v>
      </c>
      <c r="B4791" s="9">
        <f>IFERROR(__xludf.DUMMYFUNCTION("""COMPUTED_VALUE"""),1003970.0)</f>
        <v>1003970</v>
      </c>
      <c r="C4791" s="9">
        <f>IFERROR(__xludf.DUMMYFUNCTION("""COMPUTED_VALUE"""),121802.0)</f>
        <v>121802</v>
      </c>
      <c r="D4791" s="9"/>
      <c r="E4791" s="9"/>
      <c r="F4791" s="9">
        <f>IFERROR(__xludf.DUMMYFUNCTION("""COMPUTED_VALUE"""),3.39)</f>
        <v>3.39</v>
      </c>
      <c r="G4791" s="9">
        <f>IFERROR(__xludf.DUMMYFUNCTION("""COMPUTED_VALUE"""),3.39)</f>
        <v>3.39</v>
      </c>
      <c r="H4791" s="9">
        <f>IFERROR(__xludf.DUMMYFUNCTION("""COMPUTED_VALUE"""),2.0)</f>
        <v>2</v>
      </c>
      <c r="I4791" s="9"/>
      <c r="J4791" s="9"/>
      <c r="K4791" s="9"/>
      <c r="L4791" s="9"/>
      <c r="M4791" s="9"/>
      <c r="N4791" s="9"/>
      <c r="O4791" s="9"/>
      <c r="P4791" s="9"/>
      <c r="Q4791" s="9"/>
      <c r="R4791" s="9"/>
      <c r="S4791" s="9"/>
      <c r="T4791" s="9"/>
    </row>
    <row r="4792" ht="15.75" customHeight="1">
      <c r="A4792" s="11">
        <f>IFERROR(__xludf.DUMMYFUNCTION("""COMPUTED_VALUE"""),44471.0)</f>
        <v>44471</v>
      </c>
      <c r="B4792" s="9">
        <f>IFERROR(__xludf.DUMMYFUNCTION("""COMPUTED_VALUE"""),1003970.0)</f>
        <v>1003970</v>
      </c>
      <c r="C4792" s="9">
        <f>IFERROR(__xludf.DUMMYFUNCTION("""COMPUTED_VALUE"""),117247.0)</f>
        <v>117247</v>
      </c>
      <c r="D4792" s="9"/>
      <c r="E4792" s="9"/>
      <c r="F4792" s="9">
        <f>IFERROR(__xludf.DUMMYFUNCTION("""COMPUTED_VALUE"""),4.94)</f>
        <v>4.94</v>
      </c>
      <c r="G4792" s="9">
        <f>IFERROR(__xludf.DUMMYFUNCTION("""COMPUTED_VALUE"""),4.94)</f>
        <v>4.94</v>
      </c>
      <c r="H4792" s="9">
        <f>IFERROR(__xludf.DUMMYFUNCTION("""COMPUTED_VALUE"""),2.0)</f>
        <v>2</v>
      </c>
      <c r="I4792" s="9"/>
      <c r="J4792" s="9"/>
      <c r="K4792" s="9"/>
      <c r="L4792" s="9"/>
      <c r="M4792" s="9"/>
      <c r="N4792" s="9"/>
      <c r="O4792" s="9"/>
      <c r="P4792" s="9"/>
      <c r="Q4792" s="9"/>
      <c r="R4792" s="9"/>
      <c r="S4792" s="9"/>
      <c r="T4792" s="9"/>
    </row>
    <row r="4793" ht="15.75" customHeight="1">
      <c r="A4793" s="11">
        <f>IFERROR(__xludf.DUMMYFUNCTION("""COMPUTED_VALUE"""),44471.0)</f>
        <v>44471</v>
      </c>
      <c r="B4793" s="9">
        <f>IFERROR(__xludf.DUMMYFUNCTION("""COMPUTED_VALUE"""),1003971.0)</f>
        <v>1003971</v>
      </c>
      <c r="C4793" s="9">
        <f>IFERROR(__xludf.DUMMYFUNCTION("""COMPUTED_VALUE"""),113963.0)</f>
        <v>113963</v>
      </c>
      <c r="D4793" s="9"/>
      <c r="E4793" s="9"/>
      <c r="F4793" s="9">
        <f>IFERROR(__xludf.DUMMYFUNCTION("""COMPUTED_VALUE"""),19.52)</f>
        <v>19.52</v>
      </c>
      <c r="G4793" s="9">
        <f>IFERROR(__xludf.DUMMYFUNCTION("""COMPUTED_VALUE"""),19.52)</f>
        <v>19.52</v>
      </c>
      <c r="H4793" s="9">
        <f>IFERROR(__xludf.DUMMYFUNCTION("""COMPUTED_VALUE"""),1.0)</f>
        <v>1</v>
      </c>
      <c r="I4793" s="9"/>
      <c r="J4793" s="9"/>
      <c r="K4793" s="9"/>
      <c r="L4793" s="9"/>
      <c r="M4793" s="9"/>
      <c r="N4793" s="9"/>
      <c r="O4793" s="9"/>
      <c r="P4793" s="9"/>
      <c r="Q4793" s="9"/>
      <c r="R4793" s="9"/>
      <c r="S4793" s="9"/>
      <c r="T4793" s="9"/>
    </row>
    <row r="4794" ht="15.75" customHeight="1">
      <c r="A4794" s="11">
        <f>IFERROR(__xludf.DUMMYFUNCTION("""COMPUTED_VALUE"""),44471.0)</f>
        <v>44471</v>
      </c>
      <c r="B4794" s="9">
        <f>IFERROR(__xludf.DUMMYFUNCTION("""COMPUTED_VALUE"""),1003972.0)</f>
        <v>1003972</v>
      </c>
      <c r="C4794" s="9">
        <f>IFERROR(__xludf.DUMMYFUNCTION("""COMPUTED_VALUE"""),13364.0)</f>
        <v>13364</v>
      </c>
      <c r="D4794" s="9"/>
      <c r="E4794" s="9"/>
      <c r="F4794" s="9">
        <f>IFERROR(__xludf.DUMMYFUNCTION("""COMPUTED_VALUE"""),7.85)</f>
        <v>7.85</v>
      </c>
      <c r="G4794" s="9">
        <f>IFERROR(__xludf.DUMMYFUNCTION("""COMPUTED_VALUE"""),7.85)</f>
        <v>7.85</v>
      </c>
      <c r="H4794" s="9">
        <f>IFERROR(__xludf.DUMMYFUNCTION("""COMPUTED_VALUE"""),2.0)</f>
        <v>2</v>
      </c>
      <c r="I4794" s="9"/>
      <c r="J4794" s="9"/>
      <c r="K4794" s="9"/>
      <c r="L4794" s="9"/>
      <c r="M4794" s="9"/>
      <c r="N4794" s="9"/>
      <c r="O4794" s="9"/>
      <c r="P4794" s="9"/>
      <c r="Q4794" s="9"/>
      <c r="R4794" s="9"/>
      <c r="S4794" s="9"/>
      <c r="T4794" s="9"/>
    </row>
    <row r="4795" ht="15.75" customHeight="1">
      <c r="A4795" s="11">
        <f>IFERROR(__xludf.DUMMYFUNCTION("""COMPUTED_VALUE"""),44471.0)</f>
        <v>44471</v>
      </c>
      <c r="B4795" s="9">
        <f>IFERROR(__xludf.DUMMYFUNCTION("""COMPUTED_VALUE"""),1003972.0)</f>
        <v>1003972</v>
      </c>
      <c r="C4795" s="9">
        <f>IFERROR(__xludf.DUMMYFUNCTION("""COMPUTED_VALUE"""),13361.0)</f>
        <v>13361</v>
      </c>
      <c r="D4795" s="10" t="str">
        <f>IFERROR(__xludf.DUMMYFUNCTION("""COMPUTED_VALUE"""),"Vive le bio")</f>
        <v>Vive le bio</v>
      </c>
      <c r="E4795" s="10"/>
      <c r="F4795" s="9">
        <f>IFERROR(__xludf.DUMMYFUNCTION("""COMPUTED_VALUE"""),7.83333333333333)</f>
        <v>7.833333333</v>
      </c>
      <c r="G4795" s="9">
        <f>IFERROR(__xludf.DUMMYFUNCTION("""COMPUTED_VALUE"""),7.05)</f>
        <v>7.05</v>
      </c>
      <c r="H4795" s="9">
        <f>IFERROR(__xludf.DUMMYFUNCTION("""COMPUTED_VALUE"""),3.0)</f>
        <v>3</v>
      </c>
      <c r="I4795" s="9"/>
      <c r="J4795" s="9"/>
      <c r="K4795" s="9"/>
      <c r="L4795" s="9"/>
      <c r="M4795" s="9"/>
      <c r="N4795" s="9"/>
      <c r="O4795" s="9"/>
      <c r="P4795" s="9"/>
      <c r="Q4795" s="9"/>
      <c r="R4795" s="9"/>
      <c r="S4795" s="9"/>
      <c r="T4795" s="9"/>
    </row>
    <row r="4796" ht="15.75" customHeight="1">
      <c r="A4796" s="11">
        <f>IFERROR(__xludf.DUMMYFUNCTION("""COMPUTED_VALUE"""),44471.0)</f>
        <v>44471</v>
      </c>
      <c r="B4796" s="9">
        <f>IFERROR(__xludf.DUMMYFUNCTION("""COMPUTED_VALUE"""),1003972.0)</f>
        <v>1003972</v>
      </c>
      <c r="C4796" s="9">
        <f>IFERROR(__xludf.DUMMYFUNCTION("""COMPUTED_VALUE"""),118310.0)</f>
        <v>118310</v>
      </c>
      <c r="D4796" s="9"/>
      <c r="E4796" s="9"/>
      <c r="F4796" s="9">
        <f>IFERROR(__xludf.DUMMYFUNCTION("""COMPUTED_VALUE"""),5.16)</f>
        <v>5.16</v>
      </c>
      <c r="G4796" s="9">
        <f>IFERROR(__xludf.DUMMYFUNCTION("""COMPUTED_VALUE"""),5.16)</f>
        <v>5.16</v>
      </c>
      <c r="H4796" s="9">
        <f>IFERROR(__xludf.DUMMYFUNCTION("""COMPUTED_VALUE"""),3.0)</f>
        <v>3</v>
      </c>
      <c r="I4796" s="9"/>
      <c r="J4796" s="9"/>
      <c r="K4796" s="9"/>
      <c r="L4796" s="9"/>
      <c r="M4796" s="9"/>
      <c r="N4796" s="9"/>
      <c r="O4796" s="9"/>
      <c r="P4796" s="9"/>
      <c r="Q4796" s="9"/>
      <c r="R4796" s="9"/>
      <c r="S4796" s="9"/>
      <c r="T4796" s="9"/>
    </row>
    <row r="4797" ht="15.75" customHeight="1">
      <c r="A4797" s="11">
        <f>IFERROR(__xludf.DUMMYFUNCTION("""COMPUTED_VALUE"""),44471.0)</f>
        <v>44471</v>
      </c>
      <c r="B4797" s="9">
        <f>IFERROR(__xludf.DUMMYFUNCTION("""COMPUTED_VALUE"""),1003972.0)</f>
        <v>1003972</v>
      </c>
      <c r="C4797" s="9">
        <f>IFERROR(__xludf.DUMMYFUNCTION("""COMPUTED_VALUE"""),81235.0)</f>
        <v>81235</v>
      </c>
      <c r="D4797" s="9"/>
      <c r="E4797" s="9"/>
      <c r="F4797" s="9">
        <f>IFERROR(__xludf.DUMMYFUNCTION("""COMPUTED_VALUE"""),19.3)</f>
        <v>19.3</v>
      </c>
      <c r="G4797" s="9">
        <f>IFERROR(__xludf.DUMMYFUNCTION("""COMPUTED_VALUE"""),19.3)</f>
        <v>19.3</v>
      </c>
      <c r="H4797" s="9">
        <f>IFERROR(__xludf.DUMMYFUNCTION("""COMPUTED_VALUE"""),3.0)</f>
        <v>3</v>
      </c>
      <c r="I4797" s="9"/>
      <c r="J4797" s="9"/>
      <c r="K4797" s="9"/>
      <c r="L4797" s="9"/>
      <c r="M4797" s="9"/>
      <c r="N4797" s="9"/>
      <c r="O4797" s="9"/>
      <c r="P4797" s="9"/>
      <c r="Q4797" s="9"/>
      <c r="R4797" s="9"/>
      <c r="S4797" s="9"/>
      <c r="T4797" s="9"/>
    </row>
    <row r="4798" ht="15.75" customHeight="1">
      <c r="A4798" s="11">
        <f>IFERROR(__xludf.DUMMYFUNCTION("""COMPUTED_VALUE"""),44471.0)</f>
        <v>44471</v>
      </c>
      <c r="B4798" s="9">
        <f>IFERROR(__xludf.DUMMYFUNCTION("""COMPUTED_VALUE"""),1003972.0)</f>
        <v>1003972</v>
      </c>
      <c r="C4798" s="9">
        <f>IFERROR(__xludf.DUMMYFUNCTION("""COMPUTED_VALUE"""),112464.0)</f>
        <v>112464</v>
      </c>
      <c r="D4798" s="10" t="str">
        <f>IFERROR(__xludf.DUMMYFUNCTION("""COMPUTED_VALUE"""),"Offre speciale")</f>
        <v>Offre speciale</v>
      </c>
      <c r="E4798" s="10"/>
      <c r="F4798" s="9">
        <f>IFERROR(__xludf.DUMMYFUNCTION("""COMPUTED_VALUE"""),10.0941176470588)</f>
        <v>10.09411765</v>
      </c>
      <c r="G4798" s="9">
        <f>IFERROR(__xludf.DUMMYFUNCTION("""COMPUTED_VALUE"""),8.58)</f>
        <v>8.58</v>
      </c>
      <c r="H4798" s="9">
        <f>IFERROR(__xludf.DUMMYFUNCTION("""COMPUTED_VALUE"""),6.0)</f>
        <v>6</v>
      </c>
      <c r="I4798" s="9"/>
      <c r="J4798" s="9"/>
      <c r="K4798" s="9"/>
      <c r="L4798" s="9"/>
      <c r="M4798" s="9"/>
      <c r="N4798" s="9"/>
      <c r="O4798" s="9"/>
      <c r="P4798" s="9"/>
      <c r="Q4798" s="9"/>
      <c r="R4798" s="9"/>
      <c r="S4798" s="9"/>
      <c r="T4798" s="9"/>
    </row>
    <row r="4799" ht="15.75" customHeight="1">
      <c r="A4799" s="11">
        <f>IFERROR(__xludf.DUMMYFUNCTION("""COMPUTED_VALUE"""),44471.0)</f>
        <v>44471</v>
      </c>
      <c r="B4799" s="9">
        <f>IFERROR(__xludf.DUMMYFUNCTION("""COMPUTED_VALUE"""),1003972.0)</f>
        <v>1003972</v>
      </c>
      <c r="C4799" s="9">
        <f>IFERROR(__xludf.DUMMYFUNCTION("""COMPUTED_VALUE"""),5636.0)</f>
        <v>5636</v>
      </c>
      <c r="D4799" s="9"/>
      <c r="E4799" s="9"/>
      <c r="F4799" s="9">
        <f>IFERROR(__xludf.DUMMYFUNCTION("""COMPUTED_VALUE"""),10.96)</f>
        <v>10.96</v>
      </c>
      <c r="G4799" s="9">
        <f>IFERROR(__xludf.DUMMYFUNCTION("""COMPUTED_VALUE"""),10.96)</f>
        <v>10.96</v>
      </c>
      <c r="H4799" s="9">
        <f>IFERROR(__xludf.DUMMYFUNCTION("""COMPUTED_VALUE"""),6.0)</f>
        <v>6</v>
      </c>
      <c r="I4799" s="9"/>
      <c r="J4799" s="9"/>
      <c r="K4799" s="9"/>
      <c r="L4799" s="9"/>
      <c r="M4799" s="9"/>
      <c r="N4799" s="9"/>
      <c r="O4799" s="9"/>
      <c r="P4799" s="9"/>
      <c r="Q4799" s="9"/>
      <c r="R4799" s="9"/>
      <c r="S4799" s="9"/>
      <c r="T4799" s="9"/>
    </row>
    <row r="4800" ht="15.75" customHeight="1">
      <c r="A4800" s="11">
        <f>IFERROR(__xludf.DUMMYFUNCTION("""COMPUTED_VALUE"""),44471.0)</f>
        <v>44471</v>
      </c>
      <c r="B4800" s="9">
        <f>IFERROR(__xludf.DUMMYFUNCTION("""COMPUTED_VALUE"""),1003972.0)</f>
        <v>1003972</v>
      </c>
      <c r="C4800" s="9">
        <f>IFERROR(__xludf.DUMMYFUNCTION("""COMPUTED_VALUE"""),5639.0)</f>
        <v>5639</v>
      </c>
      <c r="D4800" s="9"/>
      <c r="E4800" s="9"/>
      <c r="F4800" s="9">
        <f>IFERROR(__xludf.DUMMYFUNCTION("""COMPUTED_VALUE"""),15.66)</f>
        <v>15.66</v>
      </c>
      <c r="G4800" s="9">
        <f>IFERROR(__xludf.DUMMYFUNCTION("""COMPUTED_VALUE"""),15.66)</f>
        <v>15.66</v>
      </c>
      <c r="H4800" s="9">
        <f>IFERROR(__xludf.DUMMYFUNCTION("""COMPUTED_VALUE"""),12.0)</f>
        <v>12</v>
      </c>
      <c r="I4800" s="9"/>
      <c r="J4800" s="9"/>
      <c r="K4800" s="9"/>
      <c r="L4800" s="9"/>
      <c r="M4800" s="9"/>
      <c r="N4800" s="9"/>
      <c r="O4800" s="9"/>
      <c r="P4800" s="9"/>
      <c r="Q4800" s="9"/>
      <c r="R4800" s="9"/>
      <c r="S4800" s="9"/>
      <c r="T4800" s="9"/>
    </row>
    <row r="4801" ht="15.75" customHeight="1">
      <c r="A4801" s="11">
        <f>IFERROR(__xludf.DUMMYFUNCTION("""COMPUTED_VALUE"""),44471.0)</f>
        <v>44471</v>
      </c>
      <c r="B4801" s="9">
        <f>IFERROR(__xludf.DUMMYFUNCTION("""COMPUTED_VALUE"""),1003973.0)</f>
        <v>1003973</v>
      </c>
      <c r="C4801" s="9">
        <f>IFERROR(__xludf.DUMMYFUNCTION("""COMPUTED_VALUE"""),109412.0)</f>
        <v>109412</v>
      </c>
      <c r="D4801" s="9"/>
      <c r="E4801" s="9"/>
      <c r="F4801" s="9">
        <f>IFERROR(__xludf.DUMMYFUNCTION("""COMPUTED_VALUE"""),3.64)</f>
        <v>3.64</v>
      </c>
      <c r="G4801" s="9">
        <f>IFERROR(__xludf.DUMMYFUNCTION("""COMPUTED_VALUE"""),3.64)</f>
        <v>3.64</v>
      </c>
      <c r="H4801" s="9">
        <f>IFERROR(__xludf.DUMMYFUNCTION("""COMPUTED_VALUE"""),1.0)</f>
        <v>1</v>
      </c>
      <c r="I4801" s="9"/>
      <c r="J4801" s="9"/>
      <c r="K4801" s="9"/>
      <c r="L4801" s="9"/>
      <c r="M4801" s="9"/>
      <c r="N4801" s="9"/>
      <c r="O4801" s="9"/>
      <c r="P4801" s="9"/>
      <c r="Q4801" s="9"/>
      <c r="R4801" s="9"/>
      <c r="S4801" s="9"/>
      <c r="T4801" s="9"/>
    </row>
    <row r="4802" ht="15.75" customHeight="1">
      <c r="A4802" s="11">
        <f>IFERROR(__xludf.DUMMYFUNCTION("""COMPUTED_VALUE"""),44471.0)</f>
        <v>44471</v>
      </c>
      <c r="B4802" s="9">
        <f>IFERROR(__xludf.DUMMYFUNCTION("""COMPUTED_VALUE"""),1003973.0)</f>
        <v>1003973</v>
      </c>
      <c r="C4802" s="9">
        <f>IFERROR(__xludf.DUMMYFUNCTION("""COMPUTED_VALUE"""),107915.0)</f>
        <v>107915</v>
      </c>
      <c r="D4802" s="9"/>
      <c r="E4802" s="9"/>
      <c r="F4802" s="9">
        <f>IFERROR(__xludf.DUMMYFUNCTION("""COMPUTED_VALUE"""),2.27)</f>
        <v>2.27</v>
      </c>
      <c r="G4802" s="9">
        <f>IFERROR(__xludf.DUMMYFUNCTION("""COMPUTED_VALUE"""),2.27)</f>
        <v>2.27</v>
      </c>
      <c r="H4802" s="9">
        <f>IFERROR(__xludf.DUMMYFUNCTION("""COMPUTED_VALUE"""),1.0)</f>
        <v>1</v>
      </c>
      <c r="I4802" s="9"/>
      <c r="J4802" s="9"/>
      <c r="K4802" s="9"/>
      <c r="L4802" s="9"/>
      <c r="M4802" s="9"/>
      <c r="N4802" s="9"/>
      <c r="O4802" s="9"/>
      <c r="P4802" s="9"/>
      <c r="Q4802" s="9"/>
      <c r="R4802" s="9"/>
      <c r="S4802" s="9"/>
      <c r="T4802" s="9"/>
    </row>
    <row r="4803" ht="15.75" customHeight="1">
      <c r="A4803" s="11">
        <f>IFERROR(__xludf.DUMMYFUNCTION("""COMPUTED_VALUE"""),44471.0)</f>
        <v>44471</v>
      </c>
      <c r="B4803" s="9">
        <f>IFERROR(__xludf.DUMMYFUNCTION("""COMPUTED_VALUE"""),1003973.0)</f>
        <v>1003973</v>
      </c>
      <c r="C4803" s="9">
        <f>IFERROR(__xludf.DUMMYFUNCTION("""COMPUTED_VALUE"""),11818.0)</f>
        <v>11818</v>
      </c>
      <c r="D4803" s="10" t="str">
        <f>IFERROR(__xludf.DUMMYFUNCTION("""COMPUTED_VALUE"""),"Offre Speciale")</f>
        <v>Offre Speciale</v>
      </c>
      <c r="E4803" s="10"/>
      <c r="F4803" s="9">
        <f>IFERROR(__xludf.DUMMYFUNCTION("""COMPUTED_VALUE"""),7.0379746835443)</f>
        <v>7.037974684</v>
      </c>
      <c r="G4803" s="9">
        <f>IFERROR(__xludf.DUMMYFUNCTION("""COMPUTED_VALUE"""),5.56)</f>
        <v>5.56</v>
      </c>
      <c r="H4803" s="9">
        <f>IFERROR(__xludf.DUMMYFUNCTION("""COMPUTED_VALUE"""),1.0)</f>
        <v>1</v>
      </c>
      <c r="I4803" s="9"/>
      <c r="J4803" s="9"/>
      <c r="K4803" s="9"/>
      <c r="L4803" s="9"/>
      <c r="M4803" s="9"/>
      <c r="N4803" s="9"/>
      <c r="O4803" s="9"/>
      <c r="P4803" s="9"/>
      <c r="Q4803" s="9"/>
      <c r="R4803" s="9"/>
      <c r="S4803" s="9"/>
      <c r="T4803" s="9"/>
    </row>
    <row r="4804" ht="15.75" customHeight="1">
      <c r="A4804" s="11">
        <f>IFERROR(__xludf.DUMMYFUNCTION("""COMPUTED_VALUE"""),44471.0)</f>
        <v>44471</v>
      </c>
      <c r="B4804" s="9">
        <f>IFERROR(__xludf.DUMMYFUNCTION("""COMPUTED_VALUE"""),1003973.0)</f>
        <v>1003973</v>
      </c>
      <c r="C4804" s="9">
        <f>IFERROR(__xludf.DUMMYFUNCTION("""COMPUTED_VALUE"""),72089.0)</f>
        <v>72089</v>
      </c>
      <c r="D4804" s="10" t="str">
        <f>IFERROR(__xludf.DUMMYFUNCTION("""COMPUTED_VALUE"""),"Offre Speciale")</f>
        <v>Offre Speciale</v>
      </c>
      <c r="E4804" s="10"/>
      <c r="F4804" s="9">
        <f>IFERROR(__xludf.DUMMYFUNCTION("""COMPUTED_VALUE"""),6.58823529411764)</f>
        <v>6.588235294</v>
      </c>
      <c r="G4804" s="9">
        <f>IFERROR(__xludf.DUMMYFUNCTION("""COMPUTED_VALUE"""),5.6)</f>
        <v>5.6</v>
      </c>
      <c r="H4804" s="9">
        <f>IFERROR(__xludf.DUMMYFUNCTION("""COMPUTED_VALUE"""),1.0)</f>
        <v>1</v>
      </c>
      <c r="I4804" s="9"/>
      <c r="J4804" s="9"/>
      <c r="K4804" s="9"/>
      <c r="L4804" s="9"/>
      <c r="M4804" s="9"/>
      <c r="N4804" s="9"/>
      <c r="O4804" s="9"/>
      <c r="P4804" s="9"/>
      <c r="Q4804" s="9"/>
      <c r="R4804" s="9"/>
      <c r="S4804" s="9"/>
      <c r="T4804" s="9"/>
    </row>
    <row r="4805" ht="15.75" customHeight="1">
      <c r="A4805" s="11">
        <f>IFERROR(__xludf.DUMMYFUNCTION("""COMPUTED_VALUE"""),44471.0)</f>
        <v>44471</v>
      </c>
      <c r="B4805" s="9">
        <f>IFERROR(__xludf.DUMMYFUNCTION("""COMPUTED_VALUE"""),1003973.0)</f>
        <v>1003973</v>
      </c>
      <c r="C4805" s="9">
        <f>IFERROR(__xludf.DUMMYFUNCTION("""COMPUTED_VALUE"""),121868.0)</f>
        <v>121868</v>
      </c>
      <c r="D4805" s="9"/>
      <c r="E4805" s="9"/>
      <c r="F4805" s="9">
        <f>IFERROR(__xludf.DUMMYFUNCTION("""COMPUTED_VALUE"""),6.37)</f>
        <v>6.37</v>
      </c>
      <c r="G4805" s="9">
        <f>IFERROR(__xludf.DUMMYFUNCTION("""COMPUTED_VALUE"""),6.37)</f>
        <v>6.37</v>
      </c>
      <c r="H4805" s="9">
        <f>IFERROR(__xludf.DUMMYFUNCTION("""COMPUTED_VALUE"""),1.0)</f>
        <v>1</v>
      </c>
      <c r="I4805" s="9"/>
      <c r="J4805" s="9"/>
      <c r="K4805" s="9"/>
      <c r="L4805" s="9"/>
      <c r="M4805" s="9"/>
      <c r="N4805" s="9"/>
      <c r="O4805" s="9"/>
      <c r="P4805" s="9"/>
      <c r="Q4805" s="9"/>
      <c r="R4805" s="9"/>
      <c r="S4805" s="9"/>
      <c r="T4805" s="9"/>
    </row>
    <row r="4806" ht="15.75" customHeight="1">
      <c r="A4806" s="11">
        <f>IFERROR(__xludf.DUMMYFUNCTION("""COMPUTED_VALUE"""),44471.0)</f>
        <v>44471</v>
      </c>
      <c r="B4806" s="9">
        <f>IFERROR(__xludf.DUMMYFUNCTION("""COMPUTED_VALUE"""),1003973.0)</f>
        <v>1003973</v>
      </c>
      <c r="C4806" s="9">
        <f>IFERROR(__xludf.DUMMYFUNCTION("""COMPUTED_VALUE"""),80044.0)</f>
        <v>80044</v>
      </c>
      <c r="D4806" s="10" t="str">
        <f>IFERROR(__xludf.DUMMYFUNCTION("""COMPUTED_VALUE"""),"Offre speciale")</f>
        <v>Offre speciale</v>
      </c>
      <c r="E4806" s="10"/>
      <c r="F4806" s="9">
        <f>IFERROR(__xludf.DUMMYFUNCTION("""COMPUTED_VALUE"""),3.81333333333333)</f>
        <v>3.813333333</v>
      </c>
      <c r="G4806" s="9">
        <f>IFERROR(__xludf.DUMMYFUNCTION("""COMPUTED_VALUE"""),2.86)</f>
        <v>2.86</v>
      </c>
      <c r="H4806" s="9">
        <f>IFERROR(__xludf.DUMMYFUNCTION("""COMPUTED_VALUE"""),1.0)</f>
        <v>1</v>
      </c>
      <c r="I4806" s="9"/>
      <c r="J4806" s="9"/>
      <c r="K4806" s="9"/>
      <c r="L4806" s="9"/>
      <c r="M4806" s="9"/>
      <c r="N4806" s="9"/>
      <c r="O4806" s="9"/>
      <c r="P4806" s="9"/>
      <c r="Q4806" s="9"/>
      <c r="R4806" s="9"/>
      <c r="S4806" s="9"/>
      <c r="T4806" s="9"/>
    </row>
    <row r="4807" ht="15.75" customHeight="1">
      <c r="A4807" s="11">
        <f>IFERROR(__xludf.DUMMYFUNCTION("""COMPUTED_VALUE"""),44471.0)</f>
        <v>44471</v>
      </c>
      <c r="B4807" s="9">
        <f>IFERROR(__xludf.DUMMYFUNCTION("""COMPUTED_VALUE"""),1003973.0)</f>
        <v>1003973</v>
      </c>
      <c r="C4807" s="9">
        <f>IFERROR(__xludf.DUMMYFUNCTION("""COMPUTED_VALUE"""),80043.0)</f>
        <v>80043</v>
      </c>
      <c r="D4807" s="10" t="str">
        <f>IFERROR(__xludf.DUMMYFUNCTION("""COMPUTED_VALUE"""),"Offre speciale")</f>
        <v>Offre speciale</v>
      </c>
      <c r="E4807" s="10"/>
      <c r="F4807" s="9">
        <f>IFERROR(__xludf.DUMMYFUNCTION("""COMPUTED_VALUE"""),3.81333333333333)</f>
        <v>3.813333333</v>
      </c>
      <c r="G4807" s="9">
        <f>IFERROR(__xludf.DUMMYFUNCTION("""COMPUTED_VALUE"""),2.86)</f>
        <v>2.86</v>
      </c>
      <c r="H4807" s="9">
        <f>IFERROR(__xludf.DUMMYFUNCTION("""COMPUTED_VALUE"""),1.0)</f>
        <v>1</v>
      </c>
      <c r="I4807" s="9"/>
      <c r="J4807" s="9"/>
      <c r="K4807" s="9"/>
      <c r="L4807" s="9"/>
      <c r="M4807" s="9"/>
      <c r="N4807" s="9"/>
      <c r="O4807" s="9"/>
      <c r="P4807" s="9"/>
      <c r="Q4807" s="9"/>
      <c r="R4807" s="9"/>
      <c r="S4807" s="9"/>
      <c r="T4807" s="9"/>
    </row>
    <row r="4808" ht="15.75" customHeight="1">
      <c r="A4808" s="11">
        <f>IFERROR(__xludf.DUMMYFUNCTION("""COMPUTED_VALUE"""),44471.0)</f>
        <v>44471</v>
      </c>
      <c r="B4808" s="9">
        <f>IFERROR(__xludf.DUMMYFUNCTION("""COMPUTED_VALUE"""),1003973.0)</f>
        <v>1003973</v>
      </c>
      <c r="C4808" s="9">
        <f>IFERROR(__xludf.DUMMYFUNCTION("""COMPUTED_VALUE"""),69114.0)</f>
        <v>69114</v>
      </c>
      <c r="D4808" s="9"/>
      <c r="E4808" s="9"/>
      <c r="F4808" s="9">
        <f>IFERROR(__xludf.DUMMYFUNCTION("""COMPUTED_VALUE"""),2.46)</f>
        <v>2.46</v>
      </c>
      <c r="G4808" s="9">
        <f>IFERROR(__xludf.DUMMYFUNCTION("""COMPUTED_VALUE"""),2.46)</f>
        <v>2.46</v>
      </c>
      <c r="H4808" s="9">
        <f>IFERROR(__xludf.DUMMYFUNCTION("""COMPUTED_VALUE"""),1.0)</f>
        <v>1</v>
      </c>
      <c r="I4808" s="9"/>
      <c r="J4808" s="9"/>
      <c r="K4808" s="9"/>
      <c r="L4808" s="9"/>
      <c r="M4808" s="9"/>
      <c r="N4808" s="9"/>
      <c r="O4808" s="9"/>
      <c r="P4808" s="9"/>
      <c r="Q4808" s="9"/>
      <c r="R4808" s="9"/>
      <c r="S4808" s="9"/>
      <c r="T4808" s="9"/>
    </row>
    <row r="4809" ht="15.75" customHeight="1">
      <c r="A4809" s="11">
        <f>IFERROR(__xludf.DUMMYFUNCTION("""COMPUTED_VALUE"""),44471.0)</f>
        <v>44471</v>
      </c>
      <c r="B4809" s="9">
        <f>IFERROR(__xludf.DUMMYFUNCTION("""COMPUTED_VALUE"""),1003973.0)</f>
        <v>1003973</v>
      </c>
      <c r="C4809" s="9">
        <f>IFERROR(__xludf.DUMMYFUNCTION("""COMPUTED_VALUE"""),107070.0)</f>
        <v>107070</v>
      </c>
      <c r="D4809" s="9"/>
      <c r="E4809" s="9"/>
      <c r="F4809" s="9">
        <f>IFERROR(__xludf.DUMMYFUNCTION("""COMPUTED_VALUE"""),7.93)</f>
        <v>7.93</v>
      </c>
      <c r="G4809" s="9">
        <f>IFERROR(__xludf.DUMMYFUNCTION("""COMPUTED_VALUE"""),7.93)</f>
        <v>7.93</v>
      </c>
      <c r="H4809" s="9">
        <f>IFERROR(__xludf.DUMMYFUNCTION("""COMPUTED_VALUE"""),1.0)</f>
        <v>1</v>
      </c>
      <c r="I4809" s="9"/>
      <c r="J4809" s="9"/>
      <c r="K4809" s="9"/>
      <c r="L4809" s="9"/>
      <c r="M4809" s="9"/>
      <c r="N4809" s="9"/>
      <c r="O4809" s="9"/>
      <c r="P4809" s="9"/>
      <c r="Q4809" s="9"/>
      <c r="R4809" s="9"/>
      <c r="S4809" s="9"/>
      <c r="T4809" s="9"/>
    </row>
    <row r="4810" ht="15.75" customHeight="1">
      <c r="A4810" s="11">
        <f>IFERROR(__xludf.DUMMYFUNCTION("""COMPUTED_VALUE"""),44471.0)</f>
        <v>44471</v>
      </c>
      <c r="B4810" s="9">
        <f>IFERROR(__xludf.DUMMYFUNCTION("""COMPUTED_VALUE"""),1003973.0)</f>
        <v>1003973</v>
      </c>
      <c r="C4810" s="9">
        <f>IFERROR(__xludf.DUMMYFUNCTION("""COMPUTED_VALUE"""),9616.0)</f>
        <v>9616</v>
      </c>
      <c r="D4810" s="9"/>
      <c r="E4810" s="9"/>
      <c r="F4810" s="9">
        <f>IFERROR(__xludf.DUMMYFUNCTION("""COMPUTED_VALUE"""),2.22)</f>
        <v>2.22</v>
      </c>
      <c r="G4810" s="9">
        <f>IFERROR(__xludf.DUMMYFUNCTION("""COMPUTED_VALUE"""),2.22)</f>
        <v>2.22</v>
      </c>
      <c r="H4810" s="9">
        <f>IFERROR(__xludf.DUMMYFUNCTION("""COMPUTED_VALUE"""),1.0)</f>
        <v>1</v>
      </c>
      <c r="I4810" s="9"/>
      <c r="J4810" s="9"/>
      <c r="K4810" s="9"/>
      <c r="L4810" s="9"/>
      <c r="M4810" s="9"/>
      <c r="N4810" s="9"/>
      <c r="O4810" s="9"/>
      <c r="P4810" s="9"/>
      <c r="Q4810" s="9"/>
      <c r="R4810" s="9"/>
      <c r="S4810" s="9"/>
      <c r="T4810" s="9"/>
    </row>
    <row r="4811" ht="15.75" customHeight="1">
      <c r="A4811" s="11">
        <f>IFERROR(__xludf.DUMMYFUNCTION("""COMPUTED_VALUE"""),44471.0)</f>
        <v>44471</v>
      </c>
      <c r="B4811" s="9">
        <f>IFERROR(__xludf.DUMMYFUNCTION("""COMPUTED_VALUE"""),1003973.0)</f>
        <v>1003973</v>
      </c>
      <c r="C4811" s="9">
        <f>IFERROR(__xludf.DUMMYFUNCTION("""COMPUTED_VALUE"""),27765.0)</f>
        <v>27765</v>
      </c>
      <c r="D4811" s="9"/>
      <c r="E4811" s="9"/>
      <c r="F4811" s="9">
        <f>IFERROR(__xludf.DUMMYFUNCTION("""COMPUTED_VALUE"""),7.44)</f>
        <v>7.44</v>
      </c>
      <c r="G4811" s="9">
        <f>IFERROR(__xludf.DUMMYFUNCTION("""COMPUTED_VALUE"""),7.44)</f>
        <v>7.44</v>
      </c>
      <c r="H4811" s="9">
        <f>IFERROR(__xludf.DUMMYFUNCTION("""COMPUTED_VALUE"""),1.0)</f>
        <v>1</v>
      </c>
      <c r="I4811" s="9"/>
      <c r="J4811" s="9"/>
      <c r="K4811" s="9"/>
      <c r="L4811" s="9"/>
      <c r="M4811" s="9"/>
      <c r="N4811" s="9"/>
      <c r="O4811" s="9"/>
      <c r="P4811" s="9"/>
      <c r="Q4811" s="9"/>
      <c r="R4811" s="9"/>
      <c r="S4811" s="9"/>
      <c r="T4811" s="9"/>
    </row>
    <row r="4812" ht="15.75" customHeight="1">
      <c r="A4812" s="11">
        <f>IFERROR(__xludf.DUMMYFUNCTION("""COMPUTED_VALUE"""),44471.0)</f>
        <v>44471</v>
      </c>
      <c r="B4812" s="9">
        <f>IFERROR(__xludf.DUMMYFUNCTION("""COMPUTED_VALUE"""),1003975.0)</f>
        <v>1003975</v>
      </c>
      <c r="C4812" s="9">
        <f>IFERROR(__xludf.DUMMYFUNCTION("""COMPUTED_VALUE"""),122311.0)</f>
        <v>122311</v>
      </c>
      <c r="D4812" s="9"/>
      <c r="E4812" s="10" t="str">
        <f>IFERROR(__xludf.DUMMYFUNCTION("""COMPUTED_VALUE"""),"PREMIERE")</f>
        <v>PREMIERE</v>
      </c>
      <c r="F4812" s="10">
        <f>IFERROR(__xludf.DUMMYFUNCTION("""COMPUTED_VALUE"""),5.5)</f>
        <v>5.5</v>
      </c>
      <c r="G4812" s="9">
        <f>IFERROR(__xludf.DUMMYFUNCTION("""COMPUTED_VALUE"""),5.5)</f>
        <v>5.5</v>
      </c>
      <c r="H4812" s="9">
        <f>IFERROR(__xludf.DUMMYFUNCTION("""COMPUTED_VALUE"""),1.0)</f>
        <v>1</v>
      </c>
      <c r="I4812" s="9"/>
      <c r="J4812" s="9"/>
      <c r="K4812" s="9"/>
      <c r="L4812" s="9"/>
      <c r="M4812" s="9"/>
      <c r="N4812" s="9"/>
      <c r="O4812" s="9"/>
      <c r="P4812" s="9"/>
      <c r="Q4812" s="9"/>
      <c r="R4812" s="9"/>
      <c r="S4812" s="9"/>
      <c r="T4812" s="9"/>
    </row>
    <row r="4813" ht="15.75" customHeight="1">
      <c r="A4813" s="11">
        <f>IFERROR(__xludf.DUMMYFUNCTION("""COMPUTED_VALUE"""),44471.0)</f>
        <v>44471</v>
      </c>
      <c r="B4813" s="9">
        <f>IFERROR(__xludf.DUMMYFUNCTION("""COMPUTED_VALUE"""),1003975.0)</f>
        <v>1003975</v>
      </c>
      <c r="C4813" s="9">
        <f>IFERROR(__xludf.DUMMYFUNCTION("""COMPUTED_VALUE"""),100441.0)</f>
        <v>100441</v>
      </c>
      <c r="D4813" s="9"/>
      <c r="E4813" s="10" t="str">
        <f>IFERROR(__xludf.DUMMYFUNCTION("""COMPUTED_VALUE"""),"PREMIERE")</f>
        <v>PREMIERE</v>
      </c>
      <c r="F4813" s="10">
        <f>IFERROR(__xludf.DUMMYFUNCTION("""COMPUTED_VALUE"""),7.27)</f>
        <v>7.27</v>
      </c>
      <c r="G4813" s="9">
        <f>IFERROR(__xludf.DUMMYFUNCTION("""COMPUTED_VALUE"""),7.27)</f>
        <v>7.27</v>
      </c>
      <c r="H4813" s="9">
        <f>IFERROR(__xludf.DUMMYFUNCTION("""COMPUTED_VALUE"""),1.0)</f>
        <v>1</v>
      </c>
      <c r="I4813" s="9"/>
      <c r="J4813" s="9"/>
      <c r="K4813" s="9"/>
      <c r="L4813" s="9"/>
      <c r="M4813" s="9"/>
      <c r="N4813" s="9"/>
      <c r="O4813" s="9"/>
      <c r="P4813" s="9"/>
      <c r="Q4813" s="9"/>
      <c r="R4813" s="9"/>
      <c r="S4813" s="9"/>
      <c r="T4813" s="9"/>
    </row>
    <row r="4814" ht="15.75" customHeight="1">
      <c r="A4814" s="11">
        <f>IFERROR(__xludf.DUMMYFUNCTION("""COMPUTED_VALUE"""),44471.0)</f>
        <v>44471</v>
      </c>
      <c r="B4814" s="9">
        <f>IFERROR(__xludf.DUMMYFUNCTION("""COMPUTED_VALUE"""),1003975.0)</f>
        <v>1003975</v>
      </c>
      <c r="C4814" s="9">
        <f>IFERROR(__xludf.DUMMYFUNCTION("""COMPUTED_VALUE"""),129420.0)</f>
        <v>129420</v>
      </c>
      <c r="D4814" s="10" t="str">
        <f>IFERROR(__xludf.DUMMYFUNCTION("""COMPUTED_VALUE"""),"Vive le bio")</f>
        <v>Vive le bio</v>
      </c>
      <c r="E4814" s="10" t="str">
        <f>IFERROR(__xludf.DUMMYFUNCTION("""COMPUTED_VALUE"""),"PREMIERE")</f>
        <v>PREMIERE</v>
      </c>
      <c r="F4814" s="10">
        <f>IFERROR(__xludf.DUMMYFUNCTION("""COMPUTED_VALUE"""),12.5111111111111)</f>
        <v>12.51111111</v>
      </c>
      <c r="G4814" s="9">
        <f>IFERROR(__xludf.DUMMYFUNCTION("""COMPUTED_VALUE"""),11.26)</f>
        <v>11.26</v>
      </c>
      <c r="H4814" s="9">
        <f>IFERROR(__xludf.DUMMYFUNCTION("""COMPUTED_VALUE"""),1.0)</f>
        <v>1</v>
      </c>
      <c r="I4814" s="9"/>
      <c r="J4814" s="9"/>
      <c r="K4814" s="9"/>
      <c r="L4814" s="9"/>
      <c r="M4814" s="9"/>
      <c r="N4814" s="9"/>
      <c r="O4814" s="9"/>
      <c r="P4814" s="9"/>
      <c r="Q4814" s="9"/>
      <c r="R4814" s="9"/>
      <c r="S4814" s="9"/>
      <c r="T4814" s="9"/>
    </row>
    <row r="4815" ht="15.75" customHeight="1">
      <c r="A4815" s="11">
        <f>IFERROR(__xludf.DUMMYFUNCTION("""COMPUTED_VALUE"""),44471.0)</f>
        <v>44471</v>
      </c>
      <c r="B4815" s="9">
        <f>IFERROR(__xludf.DUMMYFUNCTION("""COMPUTED_VALUE"""),1003975.0)</f>
        <v>1003975</v>
      </c>
      <c r="C4815" s="9">
        <f>IFERROR(__xludf.DUMMYFUNCTION("""COMPUTED_VALUE"""),109273.0)</f>
        <v>109273</v>
      </c>
      <c r="D4815" s="10" t="str">
        <f>IFERROR(__xludf.DUMMYFUNCTION("""COMPUTED_VALUE"""),"Offre Speciale")</f>
        <v>Offre Speciale</v>
      </c>
      <c r="E4815" s="10" t="str">
        <f>IFERROR(__xludf.DUMMYFUNCTION("""COMPUTED_VALUE"""),"PREMIERE")</f>
        <v>PREMIERE</v>
      </c>
      <c r="F4815" s="10">
        <f>IFERROR(__xludf.DUMMYFUNCTION("""COMPUTED_VALUE"""),7.46666666666666)</f>
        <v>7.466666667</v>
      </c>
      <c r="G4815" s="9">
        <f>IFERROR(__xludf.DUMMYFUNCTION("""COMPUTED_VALUE"""),6.72)</f>
        <v>6.72</v>
      </c>
      <c r="H4815" s="9">
        <f>IFERROR(__xludf.DUMMYFUNCTION("""COMPUTED_VALUE"""),2.0)</f>
        <v>2</v>
      </c>
      <c r="I4815" s="9"/>
      <c r="J4815" s="9"/>
      <c r="K4815" s="9"/>
      <c r="L4815" s="9"/>
      <c r="M4815" s="9"/>
      <c r="N4815" s="9"/>
      <c r="O4815" s="9"/>
      <c r="P4815" s="9"/>
      <c r="Q4815" s="9"/>
      <c r="R4815" s="9"/>
      <c r="S4815" s="9"/>
      <c r="T4815" s="9"/>
    </row>
    <row r="4816" ht="15.75" customHeight="1">
      <c r="A4816" s="11">
        <f>IFERROR(__xludf.DUMMYFUNCTION("""COMPUTED_VALUE"""),44471.0)</f>
        <v>44471</v>
      </c>
      <c r="B4816" s="9">
        <f>IFERROR(__xludf.DUMMYFUNCTION("""COMPUTED_VALUE"""),1003975.0)</f>
        <v>1003975</v>
      </c>
      <c r="C4816" s="9">
        <f>IFERROR(__xludf.DUMMYFUNCTION("""COMPUTED_VALUE"""),109971.0)</f>
        <v>109971</v>
      </c>
      <c r="D4816" s="10" t="str">
        <f>IFERROR(__xludf.DUMMYFUNCTION("""COMPUTED_VALUE"""),"Carryboo soin bebe 2021")</f>
        <v>Carryboo soin bebe 2021</v>
      </c>
      <c r="E4816" s="10" t="str">
        <f>IFERROR(__xludf.DUMMYFUNCTION("""COMPUTED_VALUE"""),"PREMIERE")</f>
        <v>PREMIERE</v>
      </c>
      <c r="F4816" s="10">
        <f>IFERROR(__xludf.DUMMYFUNCTION("""COMPUTED_VALUE"""),11.96)</f>
        <v>11.96</v>
      </c>
      <c r="G4816" s="9">
        <f>IFERROR(__xludf.DUMMYFUNCTION("""COMPUTED_VALUE"""),8.97)</f>
        <v>8.97</v>
      </c>
      <c r="H4816" s="9">
        <f>IFERROR(__xludf.DUMMYFUNCTION("""COMPUTED_VALUE"""),2.0)</f>
        <v>2</v>
      </c>
      <c r="I4816" s="9"/>
      <c r="J4816" s="9"/>
      <c r="K4816" s="9"/>
      <c r="L4816" s="9"/>
      <c r="M4816" s="9"/>
      <c r="N4816" s="9"/>
      <c r="O4816" s="9"/>
      <c r="P4816" s="9"/>
      <c r="Q4816" s="9"/>
      <c r="R4816" s="9"/>
      <c r="S4816" s="9"/>
      <c r="T4816" s="9"/>
    </row>
    <row r="4817" ht="15.75" customHeight="1">
      <c r="A4817" s="11">
        <f>IFERROR(__xludf.DUMMYFUNCTION("""COMPUTED_VALUE"""),44471.0)</f>
        <v>44471</v>
      </c>
      <c r="B4817" s="9">
        <f>IFERROR(__xludf.DUMMYFUNCTION("""COMPUTED_VALUE"""),1003976.0)</f>
        <v>1003976</v>
      </c>
      <c r="C4817" s="9">
        <f>IFERROR(__xludf.DUMMYFUNCTION("""COMPUTED_VALUE"""),1636.0)</f>
        <v>1636</v>
      </c>
      <c r="D4817" s="9"/>
      <c r="E4817" s="10" t="str">
        <f>IFERROR(__xludf.DUMMYFUNCTION("""COMPUTED_VALUE"""),"PREMIERE")</f>
        <v>PREMIERE</v>
      </c>
      <c r="F4817" s="10">
        <f>IFERROR(__xludf.DUMMYFUNCTION("""COMPUTED_VALUE"""),2.75)</f>
        <v>2.75</v>
      </c>
      <c r="G4817" s="9">
        <f>IFERROR(__xludf.DUMMYFUNCTION("""COMPUTED_VALUE"""),2.75)</f>
        <v>2.75</v>
      </c>
      <c r="H4817" s="9">
        <f>IFERROR(__xludf.DUMMYFUNCTION("""COMPUTED_VALUE"""),1.0)</f>
        <v>1</v>
      </c>
      <c r="I4817" s="9"/>
      <c r="J4817" s="9"/>
      <c r="K4817" s="9"/>
      <c r="L4817" s="9"/>
      <c r="M4817" s="9"/>
      <c r="N4817" s="9"/>
      <c r="O4817" s="9"/>
      <c r="P4817" s="9"/>
      <c r="Q4817" s="9"/>
      <c r="R4817" s="9"/>
      <c r="S4817" s="9"/>
      <c r="T4817" s="9"/>
    </row>
    <row r="4818" ht="15.75" customHeight="1">
      <c r="A4818" s="11">
        <f>IFERROR(__xludf.DUMMYFUNCTION("""COMPUTED_VALUE"""),44471.0)</f>
        <v>44471</v>
      </c>
      <c r="B4818" s="9">
        <f>IFERROR(__xludf.DUMMYFUNCTION("""COMPUTED_VALUE"""),1003976.0)</f>
        <v>1003976</v>
      </c>
      <c r="C4818" s="9">
        <f>IFERROR(__xludf.DUMMYFUNCTION("""COMPUTED_VALUE"""),112169.0)</f>
        <v>112169</v>
      </c>
      <c r="D4818" s="9"/>
      <c r="E4818" s="10" t="str">
        <f>IFERROR(__xludf.DUMMYFUNCTION("""COMPUTED_VALUE"""),"PREMIERE")</f>
        <v>PREMIERE</v>
      </c>
      <c r="F4818" s="10">
        <f>IFERROR(__xludf.DUMMYFUNCTION("""COMPUTED_VALUE"""),1.63)</f>
        <v>1.63</v>
      </c>
      <c r="G4818" s="9">
        <f>IFERROR(__xludf.DUMMYFUNCTION("""COMPUTED_VALUE"""),1.63)</f>
        <v>1.63</v>
      </c>
      <c r="H4818" s="9">
        <f>IFERROR(__xludf.DUMMYFUNCTION("""COMPUTED_VALUE"""),1.0)</f>
        <v>1</v>
      </c>
      <c r="I4818" s="9"/>
      <c r="J4818" s="9"/>
      <c r="K4818" s="9"/>
      <c r="L4818" s="9"/>
      <c r="M4818" s="9"/>
      <c r="N4818" s="9"/>
      <c r="O4818" s="9"/>
      <c r="P4818" s="9"/>
      <c r="Q4818" s="9"/>
      <c r="R4818" s="9"/>
      <c r="S4818" s="9"/>
      <c r="T4818" s="9"/>
    </row>
    <row r="4819" ht="15.75" customHeight="1">
      <c r="A4819" s="11">
        <f>IFERROR(__xludf.DUMMYFUNCTION("""COMPUTED_VALUE"""),44471.0)</f>
        <v>44471</v>
      </c>
      <c r="B4819" s="9">
        <f>IFERROR(__xludf.DUMMYFUNCTION("""COMPUTED_VALUE"""),1003976.0)</f>
        <v>1003976</v>
      </c>
      <c r="C4819" s="9">
        <f>IFERROR(__xludf.DUMMYFUNCTION("""COMPUTED_VALUE"""),78420.0)</f>
        <v>78420</v>
      </c>
      <c r="D4819" s="9"/>
      <c r="E4819" s="10" t="str">
        <f>IFERROR(__xludf.DUMMYFUNCTION("""COMPUTED_VALUE"""),"PREMIERE")</f>
        <v>PREMIERE</v>
      </c>
      <c r="F4819" s="10">
        <f>IFERROR(__xludf.DUMMYFUNCTION("""COMPUTED_VALUE"""),3.4)</f>
        <v>3.4</v>
      </c>
      <c r="G4819" s="9">
        <f>IFERROR(__xludf.DUMMYFUNCTION("""COMPUTED_VALUE"""),3.4)</f>
        <v>3.4</v>
      </c>
      <c r="H4819" s="9">
        <f>IFERROR(__xludf.DUMMYFUNCTION("""COMPUTED_VALUE"""),1.0)</f>
        <v>1</v>
      </c>
      <c r="I4819" s="9"/>
      <c r="J4819" s="9"/>
      <c r="K4819" s="9"/>
      <c r="L4819" s="9"/>
      <c r="M4819" s="9"/>
      <c r="N4819" s="9"/>
      <c r="O4819" s="9"/>
      <c r="P4819" s="9"/>
      <c r="Q4819" s="9"/>
      <c r="R4819" s="9"/>
      <c r="S4819" s="9"/>
      <c r="T4819" s="9"/>
    </row>
    <row r="4820" ht="15.75" customHeight="1">
      <c r="A4820" s="11">
        <f>IFERROR(__xludf.DUMMYFUNCTION("""COMPUTED_VALUE"""),44471.0)</f>
        <v>44471</v>
      </c>
      <c r="B4820" s="9">
        <f>IFERROR(__xludf.DUMMYFUNCTION("""COMPUTED_VALUE"""),1003976.0)</f>
        <v>1003976</v>
      </c>
      <c r="C4820" s="9">
        <f>IFERROR(__xludf.DUMMYFUNCTION("""COMPUTED_VALUE"""),68941.0)</f>
        <v>68941</v>
      </c>
      <c r="D4820" s="9"/>
      <c r="E4820" s="10" t="str">
        <f>IFERROR(__xludf.DUMMYFUNCTION("""COMPUTED_VALUE"""),"PREMIERE")</f>
        <v>PREMIERE</v>
      </c>
      <c r="F4820" s="10">
        <f>IFERROR(__xludf.DUMMYFUNCTION("""COMPUTED_VALUE"""),2.46)</f>
        <v>2.46</v>
      </c>
      <c r="G4820" s="9">
        <f>IFERROR(__xludf.DUMMYFUNCTION("""COMPUTED_VALUE"""),2.46)</f>
        <v>2.46</v>
      </c>
      <c r="H4820" s="9">
        <f>IFERROR(__xludf.DUMMYFUNCTION("""COMPUTED_VALUE"""),1.0)</f>
        <v>1</v>
      </c>
      <c r="I4820" s="9"/>
      <c r="J4820" s="9"/>
      <c r="K4820" s="9"/>
      <c r="L4820" s="9"/>
      <c r="M4820" s="9"/>
      <c r="N4820" s="9"/>
      <c r="O4820" s="9"/>
      <c r="P4820" s="9"/>
      <c r="Q4820" s="9"/>
      <c r="R4820" s="9"/>
      <c r="S4820" s="9"/>
      <c r="T4820" s="9"/>
    </row>
    <row r="4821" ht="15.75" customHeight="1">
      <c r="A4821" s="11">
        <f>IFERROR(__xludf.DUMMYFUNCTION("""COMPUTED_VALUE"""),44471.0)</f>
        <v>44471</v>
      </c>
      <c r="B4821" s="9">
        <f>IFERROR(__xludf.DUMMYFUNCTION("""COMPUTED_VALUE"""),1003976.0)</f>
        <v>1003976</v>
      </c>
      <c r="C4821" s="9">
        <f>IFERROR(__xludf.DUMMYFUNCTION("""COMPUTED_VALUE"""),109240.0)</f>
        <v>109240</v>
      </c>
      <c r="D4821" s="10" t="str">
        <f>IFERROR(__xludf.DUMMYFUNCTION("""COMPUTED_VALUE"""),"Vive le bio")</f>
        <v>Vive le bio</v>
      </c>
      <c r="E4821" s="10" t="str">
        <f>IFERROR(__xludf.DUMMYFUNCTION("""COMPUTED_VALUE"""),"PREMIERE")</f>
        <v>PREMIERE</v>
      </c>
      <c r="F4821" s="10">
        <f>IFERROR(__xludf.DUMMYFUNCTION("""COMPUTED_VALUE"""),4.85555555555555)</f>
        <v>4.855555556</v>
      </c>
      <c r="G4821" s="9">
        <f>IFERROR(__xludf.DUMMYFUNCTION("""COMPUTED_VALUE"""),4.37)</f>
        <v>4.37</v>
      </c>
      <c r="H4821" s="9">
        <f>IFERROR(__xludf.DUMMYFUNCTION("""COMPUTED_VALUE"""),1.0)</f>
        <v>1</v>
      </c>
      <c r="I4821" s="9"/>
      <c r="J4821" s="9"/>
      <c r="K4821" s="9"/>
      <c r="L4821" s="9"/>
      <c r="M4821" s="9"/>
      <c r="N4821" s="9"/>
      <c r="O4821" s="9"/>
      <c r="P4821" s="9"/>
      <c r="Q4821" s="9"/>
      <c r="R4821" s="9"/>
      <c r="S4821" s="9"/>
      <c r="T4821" s="9"/>
    </row>
    <row r="4822" ht="15.75" customHeight="1">
      <c r="A4822" s="11">
        <f>IFERROR(__xludf.DUMMYFUNCTION("""COMPUTED_VALUE"""),44471.0)</f>
        <v>44471</v>
      </c>
      <c r="B4822" s="9">
        <f>IFERROR(__xludf.DUMMYFUNCTION("""COMPUTED_VALUE"""),1003976.0)</f>
        <v>1003976</v>
      </c>
      <c r="C4822" s="9">
        <f>IFERROR(__xludf.DUMMYFUNCTION("""COMPUTED_VALUE"""),116320.0)</f>
        <v>116320</v>
      </c>
      <c r="D4822" s="9"/>
      <c r="E4822" s="10" t="str">
        <f>IFERROR(__xludf.DUMMYFUNCTION("""COMPUTED_VALUE"""),"PREMIERE")</f>
        <v>PREMIERE</v>
      </c>
      <c r="F4822" s="10">
        <f>IFERROR(__xludf.DUMMYFUNCTION("""COMPUTED_VALUE"""),1.61)</f>
        <v>1.61</v>
      </c>
      <c r="G4822" s="9">
        <f>IFERROR(__xludf.DUMMYFUNCTION("""COMPUTED_VALUE"""),1.61)</f>
        <v>1.61</v>
      </c>
      <c r="H4822" s="9">
        <f>IFERROR(__xludf.DUMMYFUNCTION("""COMPUTED_VALUE"""),1.0)</f>
        <v>1</v>
      </c>
      <c r="I4822" s="9"/>
      <c r="J4822" s="9"/>
      <c r="K4822" s="9"/>
      <c r="L4822" s="9"/>
      <c r="M4822" s="9"/>
      <c r="N4822" s="9"/>
      <c r="O4822" s="9"/>
      <c r="P4822" s="9"/>
      <c r="Q4822" s="9"/>
      <c r="R4822" s="9"/>
      <c r="S4822" s="9"/>
      <c r="T4822" s="9"/>
    </row>
    <row r="4823" ht="15.75" customHeight="1">
      <c r="A4823" s="11">
        <f>IFERROR(__xludf.DUMMYFUNCTION("""COMPUTED_VALUE"""),44471.0)</f>
        <v>44471</v>
      </c>
      <c r="B4823" s="9">
        <f>IFERROR(__xludf.DUMMYFUNCTION("""COMPUTED_VALUE"""),1003976.0)</f>
        <v>1003976</v>
      </c>
      <c r="C4823" s="9">
        <f>IFERROR(__xludf.DUMMYFUNCTION("""COMPUTED_VALUE"""),78515.0)</f>
        <v>78515</v>
      </c>
      <c r="D4823" s="9"/>
      <c r="E4823" s="10" t="str">
        <f>IFERROR(__xludf.DUMMYFUNCTION("""COMPUTED_VALUE"""),"PREMIERE")</f>
        <v>PREMIERE</v>
      </c>
      <c r="F4823" s="10">
        <f>IFERROR(__xludf.DUMMYFUNCTION("""COMPUTED_VALUE"""),2.12)</f>
        <v>2.12</v>
      </c>
      <c r="G4823" s="9">
        <f>IFERROR(__xludf.DUMMYFUNCTION("""COMPUTED_VALUE"""),2.12)</f>
        <v>2.12</v>
      </c>
      <c r="H4823" s="9">
        <f>IFERROR(__xludf.DUMMYFUNCTION("""COMPUTED_VALUE"""),1.0)</f>
        <v>1</v>
      </c>
      <c r="I4823" s="9"/>
      <c r="J4823" s="9"/>
      <c r="K4823" s="9"/>
      <c r="L4823" s="9"/>
      <c r="M4823" s="9"/>
      <c r="N4823" s="9"/>
      <c r="O4823" s="9"/>
      <c r="P4823" s="9"/>
      <c r="Q4823" s="9"/>
      <c r="R4823" s="9"/>
      <c r="S4823" s="9"/>
      <c r="T4823" s="9"/>
    </row>
    <row r="4824" ht="15.75" customHeight="1">
      <c r="A4824" s="11">
        <f>IFERROR(__xludf.DUMMYFUNCTION("""COMPUTED_VALUE"""),44471.0)</f>
        <v>44471</v>
      </c>
      <c r="B4824" s="9">
        <f>IFERROR(__xludf.DUMMYFUNCTION("""COMPUTED_VALUE"""),1003976.0)</f>
        <v>1003976</v>
      </c>
      <c r="C4824" s="9">
        <f>IFERROR(__xludf.DUMMYFUNCTION("""COMPUTED_VALUE"""),127039.0)</f>
        <v>127039</v>
      </c>
      <c r="D4824" s="9"/>
      <c r="E4824" s="10" t="str">
        <f>IFERROR(__xludf.DUMMYFUNCTION("""COMPUTED_VALUE"""),"PREMIERE")</f>
        <v>PREMIERE</v>
      </c>
      <c r="F4824" s="10">
        <f>IFERROR(__xludf.DUMMYFUNCTION("""COMPUTED_VALUE"""),4.49)</f>
        <v>4.49</v>
      </c>
      <c r="G4824" s="9">
        <f>IFERROR(__xludf.DUMMYFUNCTION("""COMPUTED_VALUE"""),4.49)</f>
        <v>4.49</v>
      </c>
      <c r="H4824" s="9">
        <f>IFERROR(__xludf.DUMMYFUNCTION("""COMPUTED_VALUE"""),1.0)</f>
        <v>1</v>
      </c>
      <c r="I4824" s="9"/>
      <c r="J4824" s="9"/>
      <c r="K4824" s="9"/>
      <c r="L4824" s="9"/>
      <c r="M4824" s="9"/>
      <c r="N4824" s="9"/>
      <c r="O4824" s="9"/>
      <c r="P4824" s="9"/>
      <c r="Q4824" s="9"/>
      <c r="R4824" s="9"/>
      <c r="S4824" s="9"/>
      <c r="T4824" s="9"/>
    </row>
    <row r="4825" ht="15.75" customHeight="1">
      <c r="A4825" s="11">
        <f>IFERROR(__xludf.DUMMYFUNCTION("""COMPUTED_VALUE"""),44471.0)</f>
        <v>44471</v>
      </c>
      <c r="B4825" s="9">
        <f>IFERROR(__xludf.DUMMYFUNCTION("""COMPUTED_VALUE"""),1003976.0)</f>
        <v>1003976</v>
      </c>
      <c r="C4825" s="9">
        <f>IFERROR(__xludf.DUMMYFUNCTION("""COMPUTED_VALUE"""),121675.0)</f>
        <v>121675</v>
      </c>
      <c r="D4825" s="9"/>
      <c r="E4825" s="10" t="str">
        <f>IFERROR(__xludf.DUMMYFUNCTION("""COMPUTED_VALUE"""),"PREMIERE")</f>
        <v>PREMIERE</v>
      </c>
      <c r="F4825" s="10">
        <f>IFERROR(__xludf.DUMMYFUNCTION("""COMPUTED_VALUE"""),10.67)</f>
        <v>10.67</v>
      </c>
      <c r="G4825" s="9">
        <f>IFERROR(__xludf.DUMMYFUNCTION("""COMPUTED_VALUE"""),10.67)</f>
        <v>10.67</v>
      </c>
      <c r="H4825" s="9">
        <f>IFERROR(__xludf.DUMMYFUNCTION("""COMPUTED_VALUE"""),4.0)</f>
        <v>4</v>
      </c>
      <c r="I4825" s="9"/>
      <c r="J4825" s="9"/>
      <c r="K4825" s="9"/>
      <c r="L4825" s="9"/>
      <c r="M4825" s="9"/>
      <c r="N4825" s="9"/>
      <c r="O4825" s="9"/>
      <c r="P4825" s="9"/>
      <c r="Q4825" s="9"/>
      <c r="R4825" s="9"/>
      <c r="S4825" s="9"/>
      <c r="T4825" s="9"/>
    </row>
    <row r="4826" ht="15.75" customHeight="1">
      <c r="A4826" s="11">
        <f>IFERROR(__xludf.DUMMYFUNCTION("""COMPUTED_VALUE"""),44471.0)</f>
        <v>44471</v>
      </c>
      <c r="B4826" s="9">
        <f>IFERROR(__xludf.DUMMYFUNCTION("""COMPUTED_VALUE"""),1003976.0)</f>
        <v>1003976</v>
      </c>
      <c r="C4826" s="9">
        <f>IFERROR(__xludf.DUMMYFUNCTION("""COMPUTED_VALUE"""),90374.0)</f>
        <v>90374</v>
      </c>
      <c r="D4826" s="9"/>
      <c r="E4826" s="10" t="str">
        <f>IFERROR(__xludf.DUMMYFUNCTION("""COMPUTED_VALUE"""),"PREMIERE")</f>
        <v>PREMIERE</v>
      </c>
      <c r="F4826" s="10">
        <f>IFERROR(__xludf.DUMMYFUNCTION("""COMPUTED_VALUE"""),12.98)</f>
        <v>12.98</v>
      </c>
      <c r="G4826" s="9">
        <f>IFERROR(__xludf.DUMMYFUNCTION("""COMPUTED_VALUE"""),12.98)</f>
        <v>12.98</v>
      </c>
      <c r="H4826" s="9">
        <f>IFERROR(__xludf.DUMMYFUNCTION("""COMPUTED_VALUE"""),6.0)</f>
        <v>6</v>
      </c>
      <c r="I4826" s="9"/>
      <c r="J4826" s="9"/>
      <c r="K4826" s="9"/>
      <c r="L4826" s="9"/>
      <c r="M4826" s="9"/>
      <c r="N4826" s="9"/>
      <c r="O4826" s="9"/>
      <c r="P4826" s="9"/>
      <c r="Q4826" s="9"/>
      <c r="R4826" s="9"/>
      <c r="S4826" s="9"/>
      <c r="T4826" s="9"/>
    </row>
    <row r="4827" ht="15.75" customHeight="1">
      <c r="A4827" s="11">
        <f>IFERROR(__xludf.DUMMYFUNCTION("""COMPUTED_VALUE"""),44471.0)</f>
        <v>44471</v>
      </c>
      <c r="B4827" s="9">
        <f>IFERROR(__xludf.DUMMYFUNCTION("""COMPUTED_VALUE"""),1003977.0)</f>
        <v>1003977</v>
      </c>
      <c r="C4827" s="9">
        <f>IFERROR(__xludf.DUMMYFUNCTION("""COMPUTED_VALUE"""),194997.0)</f>
        <v>194997</v>
      </c>
      <c r="D4827" s="9"/>
      <c r="E4827" s="9"/>
      <c r="F4827" s="9">
        <f>IFERROR(__xludf.DUMMYFUNCTION("""COMPUTED_VALUE"""),4.54)</f>
        <v>4.54</v>
      </c>
      <c r="G4827" s="9">
        <f>IFERROR(__xludf.DUMMYFUNCTION("""COMPUTED_VALUE"""),4.54)</f>
        <v>4.54</v>
      </c>
      <c r="H4827" s="9">
        <f>IFERROR(__xludf.DUMMYFUNCTION("""COMPUTED_VALUE"""),1.0)</f>
        <v>1</v>
      </c>
      <c r="I4827" s="9"/>
      <c r="J4827" s="9"/>
      <c r="K4827" s="9"/>
      <c r="L4827" s="9"/>
      <c r="M4827" s="9"/>
      <c r="N4827" s="9"/>
      <c r="O4827" s="9"/>
      <c r="P4827" s="9"/>
      <c r="Q4827" s="9"/>
      <c r="R4827" s="9"/>
      <c r="S4827" s="9"/>
      <c r="T4827" s="9"/>
    </row>
    <row r="4828" ht="15.75" customHeight="1">
      <c r="A4828" s="11">
        <f>IFERROR(__xludf.DUMMYFUNCTION("""COMPUTED_VALUE"""),44471.0)</f>
        <v>44471</v>
      </c>
      <c r="B4828" s="9">
        <f>IFERROR(__xludf.DUMMYFUNCTION("""COMPUTED_VALUE"""),1003977.0)</f>
        <v>1003977</v>
      </c>
      <c r="C4828" s="9">
        <f>IFERROR(__xludf.DUMMYFUNCTION("""COMPUTED_VALUE"""),77419.0)</f>
        <v>77419</v>
      </c>
      <c r="D4828" s="9"/>
      <c r="E4828" s="9"/>
      <c r="F4828" s="9">
        <f>IFERROR(__xludf.DUMMYFUNCTION("""COMPUTED_VALUE"""),3.28)</f>
        <v>3.28</v>
      </c>
      <c r="G4828" s="9">
        <f>IFERROR(__xludf.DUMMYFUNCTION("""COMPUTED_VALUE"""),3.28)</f>
        <v>3.28</v>
      </c>
      <c r="H4828" s="9">
        <f>IFERROR(__xludf.DUMMYFUNCTION("""COMPUTED_VALUE"""),1.0)</f>
        <v>1</v>
      </c>
      <c r="I4828" s="9"/>
      <c r="J4828" s="9"/>
      <c r="K4828" s="9"/>
      <c r="L4828" s="9"/>
      <c r="M4828" s="9"/>
      <c r="N4828" s="9"/>
      <c r="O4828" s="9"/>
      <c r="P4828" s="9"/>
      <c r="Q4828" s="9"/>
      <c r="R4828" s="9"/>
      <c r="S4828" s="9"/>
      <c r="T4828" s="9"/>
    </row>
    <row r="4829" ht="15.75" customHeight="1">
      <c r="A4829" s="11">
        <f>IFERROR(__xludf.DUMMYFUNCTION("""COMPUTED_VALUE"""),44471.0)</f>
        <v>44471</v>
      </c>
      <c r="B4829" s="9">
        <f>IFERROR(__xludf.DUMMYFUNCTION("""COMPUTED_VALUE"""),1003977.0)</f>
        <v>1003977</v>
      </c>
      <c r="C4829" s="9">
        <f>IFERROR(__xludf.DUMMYFUNCTION("""COMPUTED_VALUE"""),112246.0)</f>
        <v>112246</v>
      </c>
      <c r="D4829" s="9"/>
      <c r="E4829" s="9"/>
      <c r="F4829" s="9">
        <f>IFERROR(__xludf.DUMMYFUNCTION("""COMPUTED_VALUE"""),1.73)</f>
        <v>1.73</v>
      </c>
      <c r="G4829" s="9">
        <f>IFERROR(__xludf.DUMMYFUNCTION("""COMPUTED_VALUE"""),1.73)</f>
        <v>1.73</v>
      </c>
      <c r="H4829" s="9">
        <f>IFERROR(__xludf.DUMMYFUNCTION("""COMPUTED_VALUE"""),1.0)</f>
        <v>1</v>
      </c>
      <c r="I4829" s="9"/>
      <c r="J4829" s="9"/>
      <c r="K4829" s="9"/>
      <c r="L4829" s="9"/>
      <c r="M4829" s="9"/>
      <c r="N4829" s="9"/>
      <c r="O4829" s="9"/>
      <c r="P4829" s="9"/>
      <c r="Q4829" s="9"/>
      <c r="R4829" s="9"/>
      <c r="S4829" s="9"/>
      <c r="T4829" s="9"/>
    </row>
    <row r="4830" ht="15.75" customHeight="1">
      <c r="A4830" s="11">
        <f>IFERROR(__xludf.DUMMYFUNCTION("""COMPUTED_VALUE"""),44471.0)</f>
        <v>44471</v>
      </c>
      <c r="B4830" s="9">
        <f>IFERROR(__xludf.DUMMYFUNCTION("""COMPUTED_VALUE"""),1003977.0)</f>
        <v>1003977</v>
      </c>
      <c r="C4830" s="9">
        <f>IFERROR(__xludf.DUMMYFUNCTION("""COMPUTED_VALUE"""),87126.0)</f>
        <v>87126</v>
      </c>
      <c r="D4830" s="10" t="str">
        <f>IFERROR(__xludf.DUMMYFUNCTION("""COMPUTED_VALUE"""),"Vive le bio")</f>
        <v>Vive le bio</v>
      </c>
      <c r="E4830" s="10"/>
      <c r="F4830" s="9">
        <f>IFERROR(__xludf.DUMMYFUNCTION("""COMPUTED_VALUE"""),4.87777777777777)</f>
        <v>4.877777778</v>
      </c>
      <c r="G4830" s="9">
        <f>IFERROR(__xludf.DUMMYFUNCTION("""COMPUTED_VALUE"""),4.39)</f>
        <v>4.39</v>
      </c>
      <c r="H4830" s="9">
        <f>IFERROR(__xludf.DUMMYFUNCTION("""COMPUTED_VALUE"""),2.0)</f>
        <v>2</v>
      </c>
      <c r="I4830" s="9"/>
      <c r="J4830" s="9"/>
      <c r="K4830" s="9"/>
      <c r="L4830" s="9"/>
      <c r="M4830" s="9"/>
      <c r="N4830" s="9"/>
      <c r="O4830" s="9"/>
      <c r="P4830" s="9"/>
      <c r="Q4830" s="9"/>
      <c r="R4830" s="9"/>
      <c r="S4830" s="9"/>
      <c r="T4830" s="9"/>
    </row>
    <row r="4831" ht="15.75" customHeight="1">
      <c r="A4831" s="11">
        <f>IFERROR(__xludf.DUMMYFUNCTION("""COMPUTED_VALUE"""),44471.0)</f>
        <v>44471</v>
      </c>
      <c r="B4831" s="9">
        <f>IFERROR(__xludf.DUMMYFUNCTION("""COMPUTED_VALUE"""),1003977.0)</f>
        <v>1003977</v>
      </c>
      <c r="C4831" s="9">
        <f>IFERROR(__xludf.DUMMYFUNCTION("""COMPUTED_VALUE"""),76364.0)</f>
        <v>76364</v>
      </c>
      <c r="D4831" s="9"/>
      <c r="E4831" s="9"/>
      <c r="F4831" s="9">
        <f>IFERROR(__xludf.DUMMYFUNCTION("""COMPUTED_VALUE"""),2.06)</f>
        <v>2.06</v>
      </c>
      <c r="G4831" s="9">
        <f>IFERROR(__xludf.DUMMYFUNCTION("""COMPUTED_VALUE"""),2.06)</f>
        <v>2.06</v>
      </c>
      <c r="H4831" s="9">
        <f>IFERROR(__xludf.DUMMYFUNCTION("""COMPUTED_VALUE"""),2.0)</f>
        <v>2</v>
      </c>
      <c r="I4831" s="9"/>
      <c r="J4831" s="9"/>
      <c r="K4831" s="9"/>
      <c r="L4831" s="9"/>
      <c r="M4831" s="9"/>
      <c r="N4831" s="9"/>
      <c r="O4831" s="9"/>
      <c r="P4831" s="9"/>
      <c r="Q4831" s="9"/>
      <c r="R4831" s="9"/>
      <c r="S4831" s="9"/>
      <c r="T4831" s="9"/>
    </row>
    <row r="4832" ht="15.75" customHeight="1">
      <c r="A4832" s="11">
        <f>IFERROR(__xludf.DUMMYFUNCTION("""COMPUTED_VALUE"""),44471.0)</f>
        <v>44471</v>
      </c>
      <c r="B4832" s="9">
        <f>IFERROR(__xludf.DUMMYFUNCTION("""COMPUTED_VALUE"""),1003977.0)</f>
        <v>1003977</v>
      </c>
      <c r="C4832" s="9">
        <f>IFERROR(__xludf.DUMMYFUNCTION("""COMPUTED_VALUE"""),121868.0)</f>
        <v>121868</v>
      </c>
      <c r="D4832" s="9"/>
      <c r="E4832" s="9"/>
      <c r="F4832" s="9">
        <f>IFERROR(__xludf.DUMMYFUNCTION("""COMPUTED_VALUE"""),12.74)</f>
        <v>12.74</v>
      </c>
      <c r="G4832" s="9">
        <f>IFERROR(__xludf.DUMMYFUNCTION("""COMPUTED_VALUE"""),12.74)</f>
        <v>12.74</v>
      </c>
      <c r="H4832" s="9">
        <f>IFERROR(__xludf.DUMMYFUNCTION("""COMPUTED_VALUE"""),2.0)</f>
        <v>2</v>
      </c>
      <c r="I4832" s="9"/>
      <c r="J4832" s="9"/>
      <c r="K4832" s="9"/>
      <c r="L4832" s="9"/>
      <c r="M4832" s="9"/>
      <c r="N4832" s="9"/>
      <c r="O4832" s="9"/>
      <c r="P4832" s="9"/>
      <c r="Q4832" s="9"/>
      <c r="R4832" s="9"/>
      <c r="S4832" s="9"/>
      <c r="T4832" s="9"/>
    </row>
    <row r="4833" ht="15.75" customHeight="1">
      <c r="A4833" s="11">
        <f>IFERROR(__xludf.DUMMYFUNCTION("""COMPUTED_VALUE"""),44471.0)</f>
        <v>44471</v>
      </c>
      <c r="B4833" s="9">
        <f>IFERROR(__xludf.DUMMYFUNCTION("""COMPUTED_VALUE"""),1003977.0)</f>
        <v>1003977</v>
      </c>
      <c r="C4833" s="9">
        <f>IFERROR(__xludf.DUMMYFUNCTION("""COMPUTED_VALUE"""),90923.0)</f>
        <v>90923</v>
      </c>
      <c r="D4833" s="10" t="str">
        <f>IFERROR(__xludf.DUMMYFUNCTION("""COMPUTED_VALUE"""),"Offre speciale")</f>
        <v>Offre speciale</v>
      </c>
      <c r="E4833" s="10"/>
      <c r="F4833" s="9">
        <f>IFERROR(__xludf.DUMMYFUNCTION("""COMPUTED_VALUE"""),8.02272727272727)</f>
        <v>8.022727273</v>
      </c>
      <c r="G4833" s="9">
        <f>IFERROR(__xludf.DUMMYFUNCTION("""COMPUTED_VALUE"""),7.06)</f>
        <v>7.06</v>
      </c>
      <c r="H4833" s="9">
        <f>IFERROR(__xludf.DUMMYFUNCTION("""COMPUTED_VALUE"""),2.0)</f>
        <v>2</v>
      </c>
      <c r="I4833" s="9"/>
      <c r="J4833" s="9"/>
      <c r="K4833" s="9"/>
      <c r="L4833" s="9"/>
      <c r="M4833" s="9"/>
      <c r="N4833" s="9"/>
      <c r="O4833" s="9"/>
      <c r="P4833" s="9"/>
      <c r="Q4833" s="9"/>
      <c r="R4833" s="9"/>
      <c r="S4833" s="9"/>
      <c r="T4833" s="9"/>
    </row>
    <row r="4834" ht="15.75" customHeight="1">
      <c r="A4834" s="11">
        <f>IFERROR(__xludf.DUMMYFUNCTION("""COMPUTED_VALUE"""),44471.0)</f>
        <v>44471</v>
      </c>
      <c r="B4834" s="9">
        <f>IFERROR(__xludf.DUMMYFUNCTION("""COMPUTED_VALUE"""),1003977.0)</f>
        <v>1003977</v>
      </c>
      <c r="C4834" s="9">
        <f>IFERROR(__xludf.DUMMYFUNCTION("""COMPUTED_VALUE"""),109185.0)</f>
        <v>109185</v>
      </c>
      <c r="D4834" s="9"/>
      <c r="E4834" s="9"/>
      <c r="F4834" s="9">
        <f>IFERROR(__xludf.DUMMYFUNCTION("""COMPUTED_VALUE"""),19.34)</f>
        <v>19.34</v>
      </c>
      <c r="G4834" s="9">
        <f>IFERROR(__xludf.DUMMYFUNCTION("""COMPUTED_VALUE"""),19.34)</f>
        <v>19.34</v>
      </c>
      <c r="H4834" s="9">
        <f>IFERROR(__xludf.DUMMYFUNCTION("""COMPUTED_VALUE"""),2.0)</f>
        <v>2</v>
      </c>
      <c r="I4834" s="9"/>
      <c r="J4834" s="9"/>
      <c r="K4834" s="9"/>
      <c r="L4834" s="9"/>
      <c r="M4834" s="9"/>
      <c r="N4834" s="9"/>
      <c r="O4834" s="9"/>
      <c r="P4834" s="9"/>
      <c r="Q4834" s="9"/>
      <c r="R4834" s="9"/>
      <c r="S4834" s="9"/>
      <c r="T4834" s="9"/>
    </row>
    <row r="4835" ht="15.75" customHeight="1">
      <c r="A4835" s="11">
        <f>IFERROR(__xludf.DUMMYFUNCTION("""COMPUTED_VALUE"""),44471.0)</f>
        <v>44471</v>
      </c>
      <c r="B4835" s="9">
        <f>IFERROR(__xludf.DUMMYFUNCTION("""COMPUTED_VALUE"""),1003977.0)</f>
        <v>1003977</v>
      </c>
      <c r="C4835" s="9">
        <f>IFERROR(__xludf.DUMMYFUNCTION("""COMPUTED_VALUE"""),76466.0)</f>
        <v>76466</v>
      </c>
      <c r="D4835" s="9"/>
      <c r="E4835" s="9"/>
      <c r="F4835" s="9">
        <f>IFERROR(__xludf.DUMMYFUNCTION("""COMPUTED_VALUE"""),11.31)</f>
        <v>11.31</v>
      </c>
      <c r="G4835" s="9">
        <f>IFERROR(__xludf.DUMMYFUNCTION("""COMPUTED_VALUE"""),11.31)</f>
        <v>11.31</v>
      </c>
      <c r="H4835" s="9">
        <f>IFERROR(__xludf.DUMMYFUNCTION("""COMPUTED_VALUE"""),3.0)</f>
        <v>3</v>
      </c>
      <c r="I4835" s="9"/>
      <c r="J4835" s="9"/>
      <c r="K4835" s="9"/>
      <c r="L4835" s="9"/>
      <c r="M4835" s="9"/>
      <c r="N4835" s="9"/>
      <c r="O4835" s="9"/>
      <c r="P4835" s="9"/>
      <c r="Q4835" s="9"/>
      <c r="R4835" s="9"/>
      <c r="S4835" s="9"/>
      <c r="T4835" s="9"/>
    </row>
    <row r="4836" ht="15.75" customHeight="1">
      <c r="A4836" s="11">
        <f>IFERROR(__xludf.DUMMYFUNCTION("""COMPUTED_VALUE"""),44471.0)</f>
        <v>44471</v>
      </c>
      <c r="B4836" s="9">
        <f>IFERROR(__xludf.DUMMYFUNCTION("""COMPUTED_VALUE"""),1003977.0)</f>
        <v>1003977</v>
      </c>
      <c r="C4836" s="9">
        <f>IFERROR(__xludf.DUMMYFUNCTION("""COMPUTED_VALUE"""),76366.0)</f>
        <v>76366</v>
      </c>
      <c r="D4836" s="10" t="str">
        <f>IFERROR(__xludf.DUMMYFUNCTION("""COMPUTED_VALUE"""),"Vive le bio")</f>
        <v>Vive le bio</v>
      </c>
      <c r="E4836" s="10"/>
      <c r="F4836" s="9">
        <f>IFERROR(__xludf.DUMMYFUNCTION("""COMPUTED_VALUE"""),8.65555555555555)</f>
        <v>8.655555556</v>
      </c>
      <c r="G4836" s="9">
        <f>IFERROR(__xludf.DUMMYFUNCTION("""COMPUTED_VALUE"""),7.79)</f>
        <v>7.79</v>
      </c>
      <c r="H4836" s="9">
        <f>IFERROR(__xludf.DUMMYFUNCTION("""COMPUTED_VALUE"""),3.0)</f>
        <v>3</v>
      </c>
      <c r="I4836" s="9"/>
      <c r="J4836" s="9"/>
      <c r="K4836" s="9"/>
      <c r="L4836" s="9"/>
      <c r="M4836" s="9"/>
      <c r="N4836" s="9"/>
      <c r="O4836" s="9"/>
      <c r="P4836" s="9"/>
      <c r="Q4836" s="9"/>
      <c r="R4836" s="9"/>
      <c r="S4836" s="9"/>
      <c r="T4836" s="9"/>
    </row>
    <row r="4837" ht="15.75" customHeight="1">
      <c r="A4837" s="11">
        <f>IFERROR(__xludf.DUMMYFUNCTION("""COMPUTED_VALUE"""),44471.0)</f>
        <v>44471</v>
      </c>
      <c r="B4837" s="9">
        <f>IFERROR(__xludf.DUMMYFUNCTION("""COMPUTED_VALUE"""),1003977.0)</f>
        <v>1003977</v>
      </c>
      <c r="C4837" s="9">
        <f>IFERROR(__xludf.DUMMYFUNCTION("""COMPUTED_VALUE"""),77318.0)</f>
        <v>77318</v>
      </c>
      <c r="D4837" s="10" t="str">
        <f>IFERROR(__xludf.DUMMYFUNCTION("""COMPUTED_VALUE"""),"Vive le bio")</f>
        <v>Vive le bio</v>
      </c>
      <c r="E4837" s="10"/>
      <c r="F4837" s="9">
        <f>IFERROR(__xludf.DUMMYFUNCTION("""COMPUTED_VALUE"""),23.9888888888888)</f>
        <v>23.98888889</v>
      </c>
      <c r="G4837" s="9">
        <f>IFERROR(__xludf.DUMMYFUNCTION("""COMPUTED_VALUE"""),21.59)</f>
        <v>21.59</v>
      </c>
      <c r="H4837" s="9">
        <f>IFERROR(__xludf.DUMMYFUNCTION("""COMPUTED_VALUE"""),8.0)</f>
        <v>8</v>
      </c>
      <c r="I4837" s="9"/>
      <c r="J4837" s="9"/>
      <c r="K4837" s="9"/>
      <c r="L4837" s="9"/>
      <c r="M4837" s="9"/>
      <c r="N4837" s="9"/>
      <c r="O4837" s="9"/>
      <c r="P4837" s="9"/>
      <c r="Q4837" s="9"/>
      <c r="R4837" s="9"/>
      <c r="S4837" s="9"/>
      <c r="T4837" s="9"/>
    </row>
    <row r="4838" ht="15.75" customHeight="1">
      <c r="A4838" s="11">
        <f>IFERROR(__xludf.DUMMYFUNCTION("""COMPUTED_VALUE"""),44471.0)</f>
        <v>44471</v>
      </c>
      <c r="B4838" s="9">
        <f>IFERROR(__xludf.DUMMYFUNCTION("""COMPUTED_VALUE"""),1003977.0)</f>
        <v>1003977</v>
      </c>
      <c r="C4838" s="9">
        <f>IFERROR(__xludf.DUMMYFUNCTION("""COMPUTED_VALUE"""),121475.0)</f>
        <v>121475</v>
      </c>
      <c r="D4838" s="9"/>
      <c r="E4838" s="9"/>
      <c r="F4838" s="9">
        <f>IFERROR(__xludf.DUMMYFUNCTION("""COMPUTED_VALUE"""),9.91)</f>
        <v>9.91</v>
      </c>
      <c r="G4838" s="9">
        <f>IFERROR(__xludf.DUMMYFUNCTION("""COMPUTED_VALUE"""),9.91)</f>
        <v>9.91</v>
      </c>
      <c r="H4838" s="9">
        <f>IFERROR(__xludf.DUMMYFUNCTION("""COMPUTED_VALUE"""),12.0)</f>
        <v>12</v>
      </c>
      <c r="I4838" s="9"/>
      <c r="J4838" s="9"/>
      <c r="K4838" s="9"/>
      <c r="L4838" s="9"/>
      <c r="M4838" s="9"/>
      <c r="N4838" s="9"/>
      <c r="O4838" s="9"/>
      <c r="P4838" s="9"/>
      <c r="Q4838" s="9"/>
      <c r="R4838" s="9"/>
      <c r="S4838" s="9"/>
      <c r="T4838" s="9"/>
    </row>
    <row r="4839" ht="15.75" customHeight="1">
      <c r="A4839" s="11">
        <f>IFERROR(__xludf.DUMMYFUNCTION("""COMPUTED_VALUE"""),44471.0)</f>
        <v>44471</v>
      </c>
      <c r="B4839" s="9">
        <f>IFERROR(__xludf.DUMMYFUNCTION("""COMPUTED_VALUE"""),1003977.0)</f>
        <v>1003977</v>
      </c>
      <c r="C4839" s="9">
        <f>IFERROR(__xludf.DUMMYFUNCTION("""COMPUTED_VALUE"""),120797.0)</f>
        <v>120797</v>
      </c>
      <c r="D4839" s="9"/>
      <c r="E4839" s="9"/>
      <c r="F4839" s="9">
        <f>IFERROR(__xludf.DUMMYFUNCTION("""COMPUTED_VALUE"""),19.83)</f>
        <v>19.83</v>
      </c>
      <c r="G4839" s="9">
        <f>IFERROR(__xludf.DUMMYFUNCTION("""COMPUTED_VALUE"""),19.83)</f>
        <v>19.83</v>
      </c>
      <c r="H4839" s="9">
        <f>IFERROR(__xludf.DUMMYFUNCTION("""COMPUTED_VALUE"""),24.0)</f>
        <v>24</v>
      </c>
      <c r="I4839" s="9"/>
      <c r="J4839" s="9"/>
      <c r="K4839" s="9"/>
      <c r="L4839" s="9"/>
      <c r="M4839" s="9"/>
      <c r="N4839" s="9"/>
      <c r="O4839" s="9"/>
      <c r="P4839" s="9"/>
      <c r="Q4839" s="9"/>
      <c r="R4839" s="9"/>
      <c r="S4839" s="9"/>
      <c r="T4839" s="9"/>
    </row>
    <row r="4840" ht="15.75" customHeight="1">
      <c r="A4840" s="11">
        <f>IFERROR(__xludf.DUMMYFUNCTION("""COMPUTED_VALUE"""),44471.0)</f>
        <v>44471</v>
      </c>
      <c r="B4840" s="9">
        <f>IFERROR(__xludf.DUMMYFUNCTION("""COMPUTED_VALUE"""),1003978.0)</f>
        <v>1003978</v>
      </c>
      <c r="C4840" s="9">
        <f>IFERROR(__xludf.DUMMYFUNCTION("""COMPUTED_VALUE"""),106401.0)</f>
        <v>106401</v>
      </c>
      <c r="D4840" s="10" t="str">
        <f>IFERROR(__xludf.DUMMYFUNCTION("""COMPUTED_VALUE"""),"Vive le bio")</f>
        <v>Vive le bio</v>
      </c>
      <c r="E4840" s="10"/>
      <c r="F4840" s="9">
        <f>IFERROR(__xludf.DUMMYFUNCTION("""COMPUTED_VALUE"""),8.87777777777777)</f>
        <v>8.877777778</v>
      </c>
      <c r="G4840" s="9">
        <f>IFERROR(__xludf.DUMMYFUNCTION("""COMPUTED_VALUE"""),7.99)</f>
        <v>7.99</v>
      </c>
      <c r="H4840" s="9">
        <f>IFERROR(__xludf.DUMMYFUNCTION("""COMPUTED_VALUE"""),1.0)</f>
        <v>1</v>
      </c>
      <c r="I4840" s="9"/>
      <c r="J4840" s="9"/>
      <c r="K4840" s="9"/>
      <c r="L4840" s="9"/>
      <c r="M4840" s="9"/>
      <c r="N4840" s="9"/>
      <c r="O4840" s="9"/>
      <c r="P4840" s="9"/>
      <c r="Q4840" s="9"/>
      <c r="R4840" s="9"/>
      <c r="S4840" s="9"/>
      <c r="T4840" s="9"/>
    </row>
    <row r="4841" ht="15.75" customHeight="1">
      <c r="A4841" s="11">
        <f>IFERROR(__xludf.DUMMYFUNCTION("""COMPUTED_VALUE"""),44471.0)</f>
        <v>44471</v>
      </c>
      <c r="B4841" s="9">
        <f>IFERROR(__xludf.DUMMYFUNCTION("""COMPUTED_VALUE"""),1003978.0)</f>
        <v>1003978</v>
      </c>
      <c r="C4841" s="9">
        <f>IFERROR(__xludf.DUMMYFUNCTION("""COMPUTED_VALUE"""),101535.0)</f>
        <v>101535</v>
      </c>
      <c r="D4841" s="9"/>
      <c r="E4841" s="9"/>
      <c r="F4841" s="9">
        <f>IFERROR(__xludf.DUMMYFUNCTION("""COMPUTED_VALUE"""),2.39)</f>
        <v>2.39</v>
      </c>
      <c r="G4841" s="9">
        <f>IFERROR(__xludf.DUMMYFUNCTION("""COMPUTED_VALUE"""),2.39)</f>
        <v>2.39</v>
      </c>
      <c r="H4841" s="9">
        <f>IFERROR(__xludf.DUMMYFUNCTION("""COMPUTED_VALUE"""),1.0)</f>
        <v>1</v>
      </c>
      <c r="I4841" s="9"/>
      <c r="J4841" s="9"/>
      <c r="K4841" s="9"/>
      <c r="L4841" s="9"/>
      <c r="M4841" s="9"/>
      <c r="N4841" s="9"/>
      <c r="O4841" s="9"/>
      <c r="P4841" s="9"/>
      <c r="Q4841" s="9"/>
      <c r="R4841" s="9"/>
      <c r="S4841" s="9"/>
      <c r="T4841" s="9"/>
    </row>
    <row r="4842" ht="15.75" customHeight="1">
      <c r="A4842" s="11">
        <f>IFERROR(__xludf.DUMMYFUNCTION("""COMPUTED_VALUE"""),44471.0)</f>
        <v>44471</v>
      </c>
      <c r="B4842" s="9">
        <f>IFERROR(__xludf.DUMMYFUNCTION("""COMPUTED_VALUE"""),1003978.0)</f>
        <v>1003978</v>
      </c>
      <c r="C4842" s="9">
        <f>IFERROR(__xludf.DUMMYFUNCTION("""COMPUTED_VALUE"""),101534.0)</f>
        <v>101534</v>
      </c>
      <c r="D4842" s="9"/>
      <c r="E4842" s="9"/>
      <c r="F4842" s="9">
        <f>IFERROR(__xludf.DUMMYFUNCTION("""COMPUTED_VALUE"""),2.39)</f>
        <v>2.39</v>
      </c>
      <c r="G4842" s="9">
        <f>IFERROR(__xludf.DUMMYFUNCTION("""COMPUTED_VALUE"""),2.39)</f>
        <v>2.39</v>
      </c>
      <c r="H4842" s="9">
        <f>IFERROR(__xludf.DUMMYFUNCTION("""COMPUTED_VALUE"""),1.0)</f>
        <v>1</v>
      </c>
      <c r="I4842" s="9"/>
      <c r="J4842" s="9"/>
      <c r="K4842" s="9"/>
      <c r="L4842" s="9"/>
      <c r="M4842" s="9"/>
      <c r="N4842" s="9"/>
      <c r="O4842" s="9"/>
      <c r="P4842" s="9"/>
      <c r="Q4842" s="9"/>
      <c r="R4842" s="9"/>
      <c r="S4842" s="9"/>
      <c r="T4842" s="9"/>
    </row>
    <row r="4843" ht="15.75" customHeight="1">
      <c r="A4843" s="11">
        <f>IFERROR(__xludf.DUMMYFUNCTION("""COMPUTED_VALUE"""),44471.0)</f>
        <v>44471</v>
      </c>
      <c r="B4843" s="9">
        <f>IFERROR(__xludf.DUMMYFUNCTION("""COMPUTED_VALUE"""),1003978.0)</f>
        <v>1003978</v>
      </c>
      <c r="C4843" s="9">
        <f>IFERROR(__xludf.DUMMYFUNCTION("""COMPUTED_VALUE"""),101536.0)</f>
        <v>101536</v>
      </c>
      <c r="D4843" s="9"/>
      <c r="E4843" s="9"/>
      <c r="F4843" s="9">
        <f>IFERROR(__xludf.DUMMYFUNCTION("""COMPUTED_VALUE"""),2.67)</f>
        <v>2.67</v>
      </c>
      <c r="G4843" s="9">
        <f>IFERROR(__xludf.DUMMYFUNCTION("""COMPUTED_VALUE"""),2.67)</f>
        <v>2.67</v>
      </c>
      <c r="H4843" s="9">
        <f>IFERROR(__xludf.DUMMYFUNCTION("""COMPUTED_VALUE"""),1.0)</f>
        <v>1</v>
      </c>
      <c r="I4843" s="9"/>
      <c r="J4843" s="9"/>
      <c r="K4843" s="9"/>
      <c r="L4843" s="9"/>
      <c r="M4843" s="9"/>
      <c r="N4843" s="9"/>
      <c r="O4843" s="9"/>
      <c r="P4843" s="9"/>
      <c r="Q4843" s="9"/>
      <c r="R4843" s="9"/>
      <c r="S4843" s="9"/>
      <c r="T4843" s="9"/>
    </row>
    <row r="4844" ht="15.75" customHeight="1">
      <c r="A4844" s="11">
        <f>IFERROR(__xludf.DUMMYFUNCTION("""COMPUTED_VALUE"""),44471.0)</f>
        <v>44471</v>
      </c>
      <c r="B4844" s="9">
        <f>IFERROR(__xludf.DUMMYFUNCTION("""COMPUTED_VALUE"""),1003978.0)</f>
        <v>1003978</v>
      </c>
      <c r="C4844" s="9">
        <f>IFERROR(__xludf.DUMMYFUNCTION("""COMPUTED_VALUE"""),121125.0)</f>
        <v>121125</v>
      </c>
      <c r="D4844" s="9"/>
      <c r="E4844" s="9"/>
      <c r="F4844" s="9">
        <f>IFERROR(__xludf.DUMMYFUNCTION("""COMPUTED_VALUE"""),8.74)</f>
        <v>8.74</v>
      </c>
      <c r="G4844" s="9">
        <f>IFERROR(__xludf.DUMMYFUNCTION("""COMPUTED_VALUE"""),8.74)</f>
        <v>8.74</v>
      </c>
      <c r="H4844" s="9">
        <f>IFERROR(__xludf.DUMMYFUNCTION("""COMPUTED_VALUE"""),1.0)</f>
        <v>1</v>
      </c>
      <c r="I4844" s="9"/>
      <c r="J4844" s="9"/>
      <c r="K4844" s="9"/>
      <c r="L4844" s="9"/>
      <c r="M4844" s="9"/>
      <c r="N4844" s="9"/>
      <c r="O4844" s="9"/>
      <c r="P4844" s="9"/>
      <c r="Q4844" s="9"/>
      <c r="R4844" s="9"/>
      <c r="S4844" s="9"/>
      <c r="T4844" s="9"/>
    </row>
    <row r="4845" ht="15.75" customHeight="1">
      <c r="A4845" s="11">
        <f>IFERROR(__xludf.DUMMYFUNCTION("""COMPUTED_VALUE"""),44471.0)</f>
        <v>44471</v>
      </c>
      <c r="B4845" s="9">
        <f>IFERROR(__xludf.DUMMYFUNCTION("""COMPUTED_VALUE"""),1003979.0)</f>
        <v>1003979</v>
      </c>
      <c r="C4845" s="9">
        <f>IFERROR(__xludf.DUMMYFUNCTION("""COMPUTED_VALUE"""),103456.0)</f>
        <v>103456</v>
      </c>
      <c r="D4845" s="9"/>
      <c r="E4845" s="10" t="str">
        <f>IFERROR(__xludf.DUMMYFUNCTION("""COMPUTED_VALUE"""),"GREENRELAIS")</f>
        <v>GREENRELAIS</v>
      </c>
      <c r="F4845" s="10">
        <f>IFERROR(__xludf.DUMMYFUNCTION("""COMPUTED_VALUE"""),4.28)</f>
        <v>4.28</v>
      </c>
      <c r="G4845" s="9">
        <f>IFERROR(__xludf.DUMMYFUNCTION("""COMPUTED_VALUE"""),4.28)</f>
        <v>4.28</v>
      </c>
      <c r="H4845" s="9">
        <f>IFERROR(__xludf.DUMMYFUNCTION("""COMPUTED_VALUE"""),1.0)</f>
        <v>1</v>
      </c>
      <c r="I4845" s="9"/>
      <c r="J4845" s="9"/>
      <c r="K4845" s="9"/>
      <c r="L4845" s="9"/>
      <c r="M4845" s="9"/>
      <c r="N4845" s="9"/>
      <c r="O4845" s="9"/>
      <c r="P4845" s="9"/>
      <c r="Q4845" s="9"/>
      <c r="R4845" s="9"/>
      <c r="S4845" s="9"/>
      <c r="T4845" s="9"/>
    </row>
    <row r="4846" ht="15.75" customHeight="1">
      <c r="A4846" s="11">
        <f>IFERROR(__xludf.DUMMYFUNCTION("""COMPUTED_VALUE"""),44471.0)</f>
        <v>44471</v>
      </c>
      <c r="B4846" s="9">
        <f>IFERROR(__xludf.DUMMYFUNCTION("""COMPUTED_VALUE"""),1003979.0)</f>
        <v>1003979</v>
      </c>
      <c r="C4846" s="9">
        <f>IFERROR(__xludf.DUMMYFUNCTION("""COMPUTED_VALUE"""),60366.0)</f>
        <v>60366</v>
      </c>
      <c r="D4846" s="9"/>
      <c r="E4846" s="10" t="str">
        <f>IFERROR(__xludf.DUMMYFUNCTION("""COMPUTED_VALUE"""),"GREENRELAIS")</f>
        <v>GREENRELAIS</v>
      </c>
      <c r="F4846" s="10">
        <f>IFERROR(__xludf.DUMMYFUNCTION("""COMPUTED_VALUE"""),2.9)</f>
        <v>2.9</v>
      </c>
      <c r="G4846" s="9">
        <f>IFERROR(__xludf.DUMMYFUNCTION("""COMPUTED_VALUE"""),2.9)</f>
        <v>2.9</v>
      </c>
      <c r="H4846" s="9">
        <f>IFERROR(__xludf.DUMMYFUNCTION("""COMPUTED_VALUE"""),1.0)</f>
        <v>1</v>
      </c>
      <c r="I4846" s="9"/>
      <c r="J4846" s="9"/>
      <c r="K4846" s="9"/>
      <c r="L4846" s="9"/>
      <c r="M4846" s="9"/>
      <c r="N4846" s="9"/>
      <c r="O4846" s="9"/>
      <c r="P4846" s="9"/>
      <c r="Q4846" s="9"/>
      <c r="R4846" s="9"/>
      <c r="S4846" s="9"/>
      <c r="T4846" s="9"/>
    </row>
    <row r="4847" ht="15.75" customHeight="1">
      <c r="A4847" s="11">
        <f>IFERROR(__xludf.DUMMYFUNCTION("""COMPUTED_VALUE"""),44471.0)</f>
        <v>44471</v>
      </c>
      <c r="B4847" s="9">
        <f>IFERROR(__xludf.DUMMYFUNCTION("""COMPUTED_VALUE"""),1003979.0)</f>
        <v>1003979</v>
      </c>
      <c r="C4847" s="9">
        <f>IFERROR(__xludf.DUMMYFUNCTION("""COMPUTED_VALUE"""),70402.0)</f>
        <v>70402</v>
      </c>
      <c r="D4847" s="9"/>
      <c r="E4847" s="10" t="str">
        <f>IFERROR(__xludf.DUMMYFUNCTION("""COMPUTED_VALUE"""),"GREENRELAIS")</f>
        <v>GREENRELAIS</v>
      </c>
      <c r="F4847" s="10">
        <f>IFERROR(__xludf.DUMMYFUNCTION("""COMPUTED_VALUE"""),3.18)</f>
        <v>3.18</v>
      </c>
      <c r="G4847" s="9">
        <f>IFERROR(__xludf.DUMMYFUNCTION("""COMPUTED_VALUE"""),3.18)</f>
        <v>3.18</v>
      </c>
      <c r="H4847" s="9">
        <f>IFERROR(__xludf.DUMMYFUNCTION("""COMPUTED_VALUE"""),1.0)</f>
        <v>1</v>
      </c>
      <c r="I4847" s="9"/>
      <c r="J4847" s="9"/>
      <c r="K4847" s="9"/>
      <c r="L4847" s="9"/>
      <c r="M4847" s="9"/>
      <c r="N4847" s="9"/>
      <c r="O4847" s="9"/>
      <c r="P4847" s="9"/>
      <c r="Q4847" s="9"/>
      <c r="R4847" s="9"/>
      <c r="S4847" s="9"/>
      <c r="T4847" s="9"/>
    </row>
    <row r="4848" ht="15.75" customHeight="1">
      <c r="A4848" s="11">
        <f>IFERROR(__xludf.DUMMYFUNCTION("""COMPUTED_VALUE"""),44471.0)</f>
        <v>44471</v>
      </c>
      <c r="B4848" s="9">
        <f>IFERROR(__xludf.DUMMYFUNCTION("""COMPUTED_VALUE"""),1003979.0)</f>
        <v>1003979</v>
      </c>
      <c r="C4848" s="9">
        <f>IFERROR(__xludf.DUMMYFUNCTION("""COMPUTED_VALUE"""),48476.0)</f>
        <v>48476</v>
      </c>
      <c r="D4848" s="9"/>
      <c r="E4848" s="10" t="str">
        <f>IFERROR(__xludf.DUMMYFUNCTION("""COMPUTED_VALUE"""),"GREENRELAIS")</f>
        <v>GREENRELAIS</v>
      </c>
      <c r="F4848" s="10">
        <f>IFERROR(__xludf.DUMMYFUNCTION("""COMPUTED_VALUE"""),3.18)</f>
        <v>3.18</v>
      </c>
      <c r="G4848" s="9">
        <f>IFERROR(__xludf.DUMMYFUNCTION("""COMPUTED_VALUE"""),3.18)</f>
        <v>3.18</v>
      </c>
      <c r="H4848" s="9">
        <f>IFERROR(__xludf.DUMMYFUNCTION("""COMPUTED_VALUE"""),1.0)</f>
        <v>1</v>
      </c>
      <c r="I4848" s="9"/>
      <c r="J4848" s="9"/>
      <c r="K4848" s="9"/>
      <c r="L4848" s="9"/>
      <c r="M4848" s="9"/>
      <c r="N4848" s="9"/>
      <c r="O4848" s="9"/>
      <c r="P4848" s="9"/>
      <c r="Q4848" s="9"/>
      <c r="R4848" s="9"/>
      <c r="S4848" s="9"/>
      <c r="T4848" s="9"/>
    </row>
    <row r="4849" ht="15.75" customHeight="1">
      <c r="A4849" s="11">
        <f>IFERROR(__xludf.DUMMYFUNCTION("""COMPUTED_VALUE"""),44471.0)</f>
        <v>44471</v>
      </c>
      <c r="B4849" s="9">
        <f>IFERROR(__xludf.DUMMYFUNCTION("""COMPUTED_VALUE"""),1003979.0)</f>
        <v>1003979</v>
      </c>
      <c r="C4849" s="9">
        <f>IFERROR(__xludf.DUMMYFUNCTION("""COMPUTED_VALUE"""),139295.0)</f>
        <v>139295</v>
      </c>
      <c r="D4849" s="10" t="str">
        <f>IFERROR(__xludf.DUMMYFUNCTION("""COMPUTED_VALUE"""),"Good gout PP 2021 nouveautes")</f>
        <v>Good gout PP 2021 nouveautes</v>
      </c>
      <c r="E4849" s="10" t="str">
        <f>IFERROR(__xludf.DUMMYFUNCTION("""COMPUTED_VALUE"""),"GREENRELAIS")</f>
        <v>GREENRELAIS</v>
      </c>
      <c r="F4849" s="10">
        <f>IFERROR(__xludf.DUMMYFUNCTION("""COMPUTED_VALUE"""),4.94444444444444)</f>
        <v>4.944444444</v>
      </c>
      <c r="G4849" s="9">
        <f>IFERROR(__xludf.DUMMYFUNCTION("""COMPUTED_VALUE"""),4.45)</f>
        <v>4.45</v>
      </c>
      <c r="H4849" s="9">
        <f>IFERROR(__xludf.DUMMYFUNCTION("""COMPUTED_VALUE"""),1.0)</f>
        <v>1</v>
      </c>
      <c r="I4849" s="9"/>
      <c r="J4849" s="9"/>
      <c r="K4849" s="9"/>
      <c r="L4849" s="9"/>
      <c r="M4849" s="9"/>
      <c r="N4849" s="9"/>
      <c r="O4849" s="9"/>
      <c r="P4849" s="9"/>
      <c r="Q4849" s="9"/>
      <c r="R4849" s="9"/>
      <c r="S4849" s="9"/>
      <c r="T4849" s="9"/>
    </row>
    <row r="4850" ht="15.75" customHeight="1">
      <c r="A4850" s="11">
        <f>IFERROR(__xludf.DUMMYFUNCTION("""COMPUTED_VALUE"""),44471.0)</f>
        <v>44471</v>
      </c>
      <c r="B4850" s="9">
        <f>IFERROR(__xludf.DUMMYFUNCTION("""COMPUTED_VALUE"""),1003979.0)</f>
        <v>1003979</v>
      </c>
      <c r="C4850" s="9">
        <f>IFERROR(__xludf.DUMMYFUNCTION("""COMPUTED_VALUE"""),86485.0)</f>
        <v>86485</v>
      </c>
      <c r="D4850" s="9"/>
      <c r="E4850" s="10" t="str">
        <f>IFERROR(__xludf.DUMMYFUNCTION("""COMPUTED_VALUE"""),"GREENRELAIS")</f>
        <v>GREENRELAIS</v>
      </c>
      <c r="F4850" s="10">
        <f>IFERROR(__xludf.DUMMYFUNCTION("""COMPUTED_VALUE"""),2.81)</f>
        <v>2.81</v>
      </c>
      <c r="G4850" s="9">
        <f>IFERROR(__xludf.DUMMYFUNCTION("""COMPUTED_VALUE"""),2.81)</f>
        <v>2.81</v>
      </c>
      <c r="H4850" s="9">
        <f>IFERROR(__xludf.DUMMYFUNCTION("""COMPUTED_VALUE"""),1.0)</f>
        <v>1</v>
      </c>
      <c r="I4850" s="9"/>
      <c r="J4850" s="9"/>
      <c r="K4850" s="9"/>
      <c r="L4850" s="9"/>
      <c r="M4850" s="9"/>
      <c r="N4850" s="9"/>
      <c r="O4850" s="9"/>
      <c r="P4850" s="9"/>
      <c r="Q4850" s="9"/>
      <c r="R4850" s="9"/>
      <c r="S4850" s="9"/>
      <c r="T4850" s="9"/>
    </row>
    <row r="4851" ht="15.75" customHeight="1">
      <c r="A4851" s="11">
        <f>IFERROR(__xludf.DUMMYFUNCTION("""COMPUTED_VALUE"""),44471.0)</f>
        <v>44471</v>
      </c>
      <c r="B4851" s="9">
        <f>IFERROR(__xludf.DUMMYFUNCTION("""COMPUTED_VALUE"""),1003979.0)</f>
        <v>1003979</v>
      </c>
      <c r="C4851" s="9">
        <f>IFERROR(__xludf.DUMMYFUNCTION("""COMPUTED_VALUE"""),17066.0)</f>
        <v>17066</v>
      </c>
      <c r="D4851" s="9"/>
      <c r="E4851" s="10" t="str">
        <f>IFERROR(__xludf.DUMMYFUNCTION("""COMPUTED_VALUE"""),"GREENRELAIS")</f>
        <v>GREENRELAIS</v>
      </c>
      <c r="F4851" s="10">
        <f>IFERROR(__xludf.DUMMYFUNCTION("""COMPUTED_VALUE"""),4.01)</f>
        <v>4.01</v>
      </c>
      <c r="G4851" s="9">
        <f>IFERROR(__xludf.DUMMYFUNCTION("""COMPUTED_VALUE"""),4.01)</f>
        <v>4.01</v>
      </c>
      <c r="H4851" s="9">
        <f>IFERROR(__xludf.DUMMYFUNCTION("""COMPUTED_VALUE"""),2.0)</f>
        <v>2</v>
      </c>
      <c r="I4851" s="9"/>
      <c r="J4851" s="9"/>
      <c r="K4851" s="9"/>
      <c r="L4851" s="9"/>
      <c r="M4851" s="9"/>
      <c r="N4851" s="9"/>
      <c r="O4851" s="9"/>
      <c r="P4851" s="9"/>
      <c r="Q4851" s="9"/>
      <c r="R4851" s="9"/>
      <c r="S4851" s="9"/>
      <c r="T4851" s="9"/>
    </row>
    <row r="4852" ht="15.75" customHeight="1">
      <c r="A4852" s="11">
        <f>IFERROR(__xludf.DUMMYFUNCTION("""COMPUTED_VALUE"""),44471.0)</f>
        <v>44471</v>
      </c>
      <c r="B4852" s="9">
        <f>IFERROR(__xludf.DUMMYFUNCTION("""COMPUTED_VALUE"""),1003979.0)</f>
        <v>1003979</v>
      </c>
      <c r="C4852" s="9">
        <f>IFERROR(__xludf.DUMMYFUNCTION("""COMPUTED_VALUE"""),17812.0)</f>
        <v>17812</v>
      </c>
      <c r="D4852" s="9"/>
      <c r="E4852" s="10" t="str">
        <f>IFERROR(__xludf.DUMMYFUNCTION("""COMPUTED_VALUE"""),"GREENRELAIS")</f>
        <v>GREENRELAIS</v>
      </c>
      <c r="F4852" s="10">
        <f>IFERROR(__xludf.DUMMYFUNCTION("""COMPUTED_VALUE"""),5.15)</f>
        <v>5.15</v>
      </c>
      <c r="G4852" s="9">
        <f>IFERROR(__xludf.DUMMYFUNCTION("""COMPUTED_VALUE"""),5.15)</f>
        <v>5.15</v>
      </c>
      <c r="H4852" s="9">
        <f>IFERROR(__xludf.DUMMYFUNCTION("""COMPUTED_VALUE"""),2.0)</f>
        <v>2</v>
      </c>
      <c r="I4852" s="9"/>
      <c r="J4852" s="9"/>
      <c r="K4852" s="9"/>
      <c r="L4852" s="9"/>
      <c r="M4852" s="9"/>
      <c r="N4852" s="9"/>
      <c r="O4852" s="9"/>
      <c r="P4852" s="9"/>
      <c r="Q4852" s="9"/>
      <c r="R4852" s="9"/>
      <c r="S4852" s="9"/>
      <c r="T4852" s="9"/>
    </row>
    <row r="4853" ht="15.75" customHeight="1">
      <c r="A4853" s="11">
        <f>IFERROR(__xludf.DUMMYFUNCTION("""COMPUTED_VALUE"""),44471.0)</f>
        <v>44471</v>
      </c>
      <c r="B4853" s="9">
        <f>IFERROR(__xludf.DUMMYFUNCTION("""COMPUTED_VALUE"""),1003979.0)</f>
        <v>1003979</v>
      </c>
      <c r="C4853" s="9">
        <f>IFERROR(__xludf.DUMMYFUNCTION("""COMPUTED_VALUE"""),70429.0)</f>
        <v>70429</v>
      </c>
      <c r="D4853" s="9"/>
      <c r="E4853" s="10" t="str">
        <f>IFERROR(__xludf.DUMMYFUNCTION("""COMPUTED_VALUE"""),"GREENRELAIS")</f>
        <v>GREENRELAIS</v>
      </c>
      <c r="F4853" s="10">
        <f>IFERROR(__xludf.DUMMYFUNCTION("""COMPUTED_VALUE"""),6.84)</f>
        <v>6.84</v>
      </c>
      <c r="G4853" s="9">
        <f>IFERROR(__xludf.DUMMYFUNCTION("""COMPUTED_VALUE"""),6.84)</f>
        <v>6.84</v>
      </c>
      <c r="H4853" s="9">
        <f>IFERROR(__xludf.DUMMYFUNCTION("""COMPUTED_VALUE"""),3.0)</f>
        <v>3</v>
      </c>
      <c r="I4853" s="9"/>
      <c r="J4853" s="9"/>
      <c r="K4853" s="9"/>
      <c r="L4853" s="9"/>
      <c r="M4853" s="9"/>
      <c r="N4853" s="9"/>
      <c r="O4853" s="9"/>
      <c r="P4853" s="9"/>
      <c r="Q4853" s="9"/>
      <c r="R4853" s="9"/>
      <c r="S4853" s="9"/>
      <c r="T4853" s="9"/>
    </row>
    <row r="4854" ht="15.75" customHeight="1">
      <c r="A4854" s="11">
        <f>IFERROR(__xludf.DUMMYFUNCTION("""COMPUTED_VALUE"""),44471.0)</f>
        <v>44471</v>
      </c>
      <c r="B4854" s="9">
        <f>IFERROR(__xludf.DUMMYFUNCTION("""COMPUTED_VALUE"""),1003979.0)</f>
        <v>1003979</v>
      </c>
      <c r="C4854" s="9">
        <f>IFERROR(__xludf.DUMMYFUNCTION("""COMPUTED_VALUE"""),70426.0)</f>
        <v>70426</v>
      </c>
      <c r="D4854" s="9"/>
      <c r="E4854" s="10" t="str">
        <f>IFERROR(__xludf.DUMMYFUNCTION("""COMPUTED_VALUE"""),"GREENRELAIS")</f>
        <v>GREENRELAIS</v>
      </c>
      <c r="F4854" s="10">
        <f>IFERROR(__xludf.DUMMYFUNCTION("""COMPUTED_VALUE"""),7.4)</f>
        <v>7.4</v>
      </c>
      <c r="G4854" s="9">
        <f>IFERROR(__xludf.DUMMYFUNCTION("""COMPUTED_VALUE"""),7.4)</f>
        <v>7.4</v>
      </c>
      <c r="H4854" s="9">
        <f>IFERROR(__xludf.DUMMYFUNCTION("""COMPUTED_VALUE"""),3.0)</f>
        <v>3</v>
      </c>
      <c r="I4854" s="9"/>
      <c r="J4854" s="9"/>
      <c r="K4854" s="9"/>
      <c r="L4854" s="9"/>
      <c r="M4854" s="9"/>
      <c r="N4854" s="9"/>
      <c r="O4854" s="9"/>
      <c r="P4854" s="9"/>
      <c r="Q4854" s="9"/>
      <c r="R4854" s="9"/>
      <c r="S4854" s="9"/>
      <c r="T4854" s="9"/>
    </row>
    <row r="4855" ht="15.75" customHeight="1">
      <c r="A4855" s="11">
        <f>IFERROR(__xludf.DUMMYFUNCTION("""COMPUTED_VALUE"""),44471.0)</f>
        <v>44471</v>
      </c>
      <c r="B4855" s="9">
        <f>IFERROR(__xludf.DUMMYFUNCTION("""COMPUTED_VALUE"""),1003979.0)</f>
        <v>1003979</v>
      </c>
      <c r="C4855" s="9">
        <f>IFERROR(__xludf.DUMMYFUNCTION("""COMPUTED_VALUE"""),70428.0)</f>
        <v>70428</v>
      </c>
      <c r="D4855" s="9"/>
      <c r="E4855" s="10" t="str">
        <f>IFERROR(__xludf.DUMMYFUNCTION("""COMPUTED_VALUE"""),"GREENRELAIS")</f>
        <v>GREENRELAIS</v>
      </c>
      <c r="F4855" s="10">
        <f>IFERROR(__xludf.DUMMYFUNCTION("""COMPUTED_VALUE"""),7.4)</f>
        <v>7.4</v>
      </c>
      <c r="G4855" s="9">
        <f>IFERROR(__xludf.DUMMYFUNCTION("""COMPUTED_VALUE"""),7.4)</f>
        <v>7.4</v>
      </c>
      <c r="H4855" s="9">
        <f>IFERROR(__xludf.DUMMYFUNCTION("""COMPUTED_VALUE"""),3.0)</f>
        <v>3</v>
      </c>
      <c r="I4855" s="9"/>
      <c r="J4855" s="9"/>
      <c r="K4855" s="9"/>
      <c r="L4855" s="9"/>
      <c r="M4855" s="9"/>
      <c r="N4855" s="9"/>
      <c r="O4855" s="9"/>
      <c r="P4855" s="9"/>
      <c r="Q4855" s="9"/>
      <c r="R4855" s="9"/>
      <c r="S4855" s="9"/>
      <c r="T4855" s="9"/>
    </row>
    <row r="4856" ht="15.75" customHeight="1">
      <c r="A4856" s="11">
        <f>IFERROR(__xludf.DUMMYFUNCTION("""COMPUTED_VALUE"""),44471.0)</f>
        <v>44471</v>
      </c>
      <c r="B4856" s="9">
        <f>IFERROR(__xludf.DUMMYFUNCTION("""COMPUTED_VALUE"""),1003979.0)</f>
        <v>1003979</v>
      </c>
      <c r="C4856" s="9">
        <f>IFERROR(__xludf.DUMMYFUNCTION("""COMPUTED_VALUE"""),99038.0)</f>
        <v>99038</v>
      </c>
      <c r="D4856" s="9"/>
      <c r="E4856" s="10" t="str">
        <f>IFERROR(__xludf.DUMMYFUNCTION("""COMPUTED_VALUE"""),"GREENRELAIS")</f>
        <v>GREENRELAIS</v>
      </c>
      <c r="F4856" s="10">
        <f>IFERROR(__xludf.DUMMYFUNCTION("""COMPUTED_VALUE"""),7.7)</f>
        <v>7.7</v>
      </c>
      <c r="G4856" s="9">
        <f>IFERROR(__xludf.DUMMYFUNCTION("""COMPUTED_VALUE"""),7.7)</f>
        <v>7.7</v>
      </c>
      <c r="H4856" s="9">
        <f>IFERROR(__xludf.DUMMYFUNCTION("""COMPUTED_VALUE"""),3.0)</f>
        <v>3</v>
      </c>
      <c r="I4856" s="9"/>
      <c r="J4856" s="9"/>
      <c r="K4856" s="9"/>
      <c r="L4856" s="9"/>
      <c r="M4856" s="9"/>
      <c r="N4856" s="9"/>
      <c r="O4856" s="9"/>
      <c r="P4856" s="9"/>
      <c r="Q4856" s="9"/>
      <c r="R4856" s="9"/>
      <c r="S4856" s="9"/>
      <c r="T4856" s="9"/>
    </row>
    <row r="4857" ht="15.75" customHeight="1">
      <c r="A4857" s="11">
        <f>IFERROR(__xludf.DUMMYFUNCTION("""COMPUTED_VALUE"""),44471.0)</f>
        <v>44471</v>
      </c>
      <c r="B4857" s="9">
        <f>IFERROR(__xludf.DUMMYFUNCTION("""COMPUTED_VALUE"""),1003980.0)</f>
        <v>1003980</v>
      </c>
      <c r="C4857" s="9">
        <f>IFERROR(__xludf.DUMMYFUNCTION("""COMPUTED_VALUE"""),80997.0)</f>
        <v>80997</v>
      </c>
      <c r="D4857" s="10" t="str">
        <f>IFERROR(__xludf.DUMMYFUNCTION("""COMPUTED_VALUE"""),"Offre Speciale")</f>
        <v>Offre Speciale</v>
      </c>
      <c r="E4857" s="10"/>
      <c r="F4857" s="9">
        <f>IFERROR(__xludf.DUMMYFUNCTION("""COMPUTED_VALUE"""),17.3777777777777)</f>
        <v>17.37777778</v>
      </c>
      <c r="G4857" s="9">
        <f>IFERROR(__xludf.DUMMYFUNCTION("""COMPUTED_VALUE"""),15.64)</f>
        <v>15.64</v>
      </c>
      <c r="H4857" s="9">
        <f>IFERROR(__xludf.DUMMYFUNCTION("""COMPUTED_VALUE"""),1.0)</f>
        <v>1</v>
      </c>
      <c r="I4857" s="9"/>
      <c r="J4857" s="9"/>
      <c r="K4857" s="9"/>
      <c r="L4857" s="9"/>
      <c r="M4857" s="9"/>
      <c r="N4857" s="9"/>
      <c r="O4857" s="9"/>
      <c r="P4857" s="9"/>
      <c r="Q4857" s="9"/>
      <c r="R4857" s="9"/>
      <c r="S4857" s="9"/>
      <c r="T4857" s="9"/>
    </row>
    <row r="4858" ht="15.75" customHeight="1">
      <c r="A4858" s="11">
        <f>IFERROR(__xludf.DUMMYFUNCTION("""COMPUTED_VALUE"""),44471.0)</f>
        <v>44471</v>
      </c>
      <c r="B4858" s="9">
        <f>IFERROR(__xludf.DUMMYFUNCTION("""COMPUTED_VALUE"""),1003980.0)</f>
        <v>1003980</v>
      </c>
      <c r="C4858" s="9">
        <f>IFERROR(__xludf.DUMMYFUNCTION("""COMPUTED_VALUE"""),29530.0)</f>
        <v>29530</v>
      </c>
      <c r="D4858" s="9"/>
      <c r="E4858" s="9"/>
      <c r="F4858" s="9">
        <f>IFERROR(__xludf.DUMMYFUNCTION("""COMPUTED_VALUE"""),1.64)</f>
        <v>1.64</v>
      </c>
      <c r="G4858" s="9">
        <f>IFERROR(__xludf.DUMMYFUNCTION("""COMPUTED_VALUE"""),1.64)</f>
        <v>1.64</v>
      </c>
      <c r="H4858" s="9">
        <f>IFERROR(__xludf.DUMMYFUNCTION("""COMPUTED_VALUE"""),1.0)</f>
        <v>1</v>
      </c>
      <c r="I4858" s="9"/>
      <c r="J4858" s="9"/>
      <c r="K4858" s="9"/>
      <c r="L4858" s="9"/>
      <c r="M4858" s="9"/>
      <c r="N4858" s="9"/>
      <c r="O4858" s="9"/>
      <c r="P4858" s="9"/>
      <c r="Q4858" s="9"/>
      <c r="R4858" s="9"/>
      <c r="S4858" s="9"/>
      <c r="T4858" s="9"/>
    </row>
    <row r="4859" ht="15.75" customHeight="1">
      <c r="A4859" s="11">
        <f>IFERROR(__xludf.DUMMYFUNCTION("""COMPUTED_VALUE"""),44471.0)</f>
        <v>44471</v>
      </c>
      <c r="B4859" s="9">
        <f>IFERROR(__xludf.DUMMYFUNCTION("""COMPUTED_VALUE"""),1003980.0)</f>
        <v>1003980</v>
      </c>
      <c r="C4859" s="9">
        <f>IFERROR(__xludf.DUMMYFUNCTION("""COMPUTED_VALUE"""),10517.0)</f>
        <v>10517</v>
      </c>
      <c r="D4859" s="9"/>
      <c r="E4859" s="9"/>
      <c r="F4859" s="9">
        <f>IFERROR(__xludf.DUMMYFUNCTION("""COMPUTED_VALUE"""),5.33)</f>
        <v>5.33</v>
      </c>
      <c r="G4859" s="9">
        <f>IFERROR(__xludf.DUMMYFUNCTION("""COMPUTED_VALUE"""),5.33)</f>
        <v>5.33</v>
      </c>
      <c r="H4859" s="9">
        <f>IFERROR(__xludf.DUMMYFUNCTION("""COMPUTED_VALUE"""),1.0)</f>
        <v>1</v>
      </c>
      <c r="I4859" s="9"/>
      <c r="J4859" s="9"/>
      <c r="K4859" s="9"/>
      <c r="L4859" s="9"/>
      <c r="M4859" s="9"/>
      <c r="N4859" s="9"/>
      <c r="O4859" s="9"/>
      <c r="P4859" s="9"/>
      <c r="Q4859" s="9"/>
      <c r="R4859" s="9"/>
      <c r="S4859" s="9"/>
      <c r="T4859" s="9"/>
    </row>
    <row r="4860" ht="15.75" customHeight="1">
      <c r="A4860" s="11">
        <f>IFERROR(__xludf.DUMMYFUNCTION("""COMPUTED_VALUE"""),44471.0)</f>
        <v>44471</v>
      </c>
      <c r="B4860" s="9">
        <f>IFERROR(__xludf.DUMMYFUNCTION("""COMPUTED_VALUE"""),1003980.0)</f>
        <v>1003980</v>
      </c>
      <c r="C4860" s="9">
        <f>IFERROR(__xludf.DUMMYFUNCTION("""COMPUTED_VALUE"""),100436.0)</f>
        <v>100436</v>
      </c>
      <c r="D4860" s="9"/>
      <c r="E4860" s="9"/>
      <c r="F4860" s="9">
        <f>IFERROR(__xludf.DUMMYFUNCTION("""COMPUTED_VALUE"""),4.17)</f>
        <v>4.17</v>
      </c>
      <c r="G4860" s="9">
        <f>IFERROR(__xludf.DUMMYFUNCTION("""COMPUTED_VALUE"""),4.17)</f>
        <v>4.17</v>
      </c>
      <c r="H4860" s="9">
        <f>IFERROR(__xludf.DUMMYFUNCTION("""COMPUTED_VALUE"""),1.0)</f>
        <v>1</v>
      </c>
      <c r="I4860" s="9"/>
      <c r="J4860" s="9"/>
      <c r="K4860" s="9"/>
      <c r="L4860" s="9"/>
      <c r="M4860" s="9"/>
      <c r="N4860" s="9"/>
      <c r="O4860" s="9"/>
      <c r="P4860" s="9"/>
      <c r="Q4860" s="9"/>
      <c r="R4860" s="9"/>
      <c r="S4860" s="9"/>
      <c r="T4860" s="9"/>
    </row>
    <row r="4861" ht="15.75" customHeight="1">
      <c r="A4861" s="11">
        <f>IFERROR(__xludf.DUMMYFUNCTION("""COMPUTED_VALUE"""),44471.0)</f>
        <v>44471</v>
      </c>
      <c r="B4861" s="9">
        <f>IFERROR(__xludf.DUMMYFUNCTION("""COMPUTED_VALUE"""),1003980.0)</f>
        <v>1003980</v>
      </c>
      <c r="C4861" s="9">
        <f>IFERROR(__xludf.DUMMYFUNCTION("""COMPUTED_VALUE"""),7357.0)</f>
        <v>7357</v>
      </c>
      <c r="D4861" s="9"/>
      <c r="E4861" s="9"/>
      <c r="F4861" s="9">
        <f>IFERROR(__xludf.DUMMYFUNCTION("""COMPUTED_VALUE"""),13.79)</f>
        <v>13.79</v>
      </c>
      <c r="G4861" s="9">
        <f>IFERROR(__xludf.DUMMYFUNCTION("""COMPUTED_VALUE"""),13.79)</f>
        <v>13.79</v>
      </c>
      <c r="H4861" s="9">
        <f>IFERROR(__xludf.DUMMYFUNCTION("""COMPUTED_VALUE"""),2.0)</f>
        <v>2</v>
      </c>
      <c r="I4861" s="9"/>
      <c r="J4861" s="9"/>
      <c r="K4861" s="9"/>
      <c r="L4861" s="9"/>
      <c r="M4861" s="9"/>
      <c r="N4861" s="9"/>
      <c r="O4861" s="9"/>
      <c r="P4861" s="9"/>
      <c r="Q4861" s="9"/>
      <c r="R4861" s="9"/>
      <c r="S4861" s="9"/>
      <c r="T4861" s="9"/>
    </row>
    <row r="4862" ht="15.75" customHeight="1">
      <c r="A4862" s="11">
        <f>IFERROR(__xludf.DUMMYFUNCTION("""COMPUTED_VALUE"""),44471.0)</f>
        <v>44471</v>
      </c>
      <c r="B4862" s="9">
        <f>IFERROR(__xludf.DUMMYFUNCTION("""COMPUTED_VALUE"""),1003980.0)</f>
        <v>1003980</v>
      </c>
      <c r="C4862" s="9">
        <f>IFERROR(__xludf.DUMMYFUNCTION("""COMPUTED_VALUE"""),86454.0)</f>
        <v>86454</v>
      </c>
      <c r="D4862" s="9"/>
      <c r="E4862" s="9"/>
      <c r="F4862" s="9">
        <f>IFERROR(__xludf.DUMMYFUNCTION("""COMPUTED_VALUE"""),8.12)</f>
        <v>8.12</v>
      </c>
      <c r="G4862" s="9">
        <f>IFERROR(__xludf.DUMMYFUNCTION("""COMPUTED_VALUE"""),8.12)</f>
        <v>8.12</v>
      </c>
      <c r="H4862" s="9">
        <f>IFERROR(__xludf.DUMMYFUNCTION("""COMPUTED_VALUE"""),2.0)</f>
        <v>2</v>
      </c>
      <c r="I4862" s="9"/>
      <c r="J4862" s="9"/>
      <c r="K4862" s="9"/>
      <c r="L4862" s="9"/>
      <c r="M4862" s="9"/>
      <c r="N4862" s="9"/>
      <c r="O4862" s="9"/>
      <c r="P4862" s="9"/>
      <c r="Q4862" s="9"/>
      <c r="R4862" s="9"/>
      <c r="S4862" s="9"/>
      <c r="T4862" s="9"/>
    </row>
    <row r="4863" ht="15.75" customHeight="1">
      <c r="A4863" s="11">
        <f>IFERROR(__xludf.DUMMYFUNCTION("""COMPUTED_VALUE"""),44471.0)</f>
        <v>44471</v>
      </c>
      <c r="B4863" s="9">
        <f>IFERROR(__xludf.DUMMYFUNCTION("""COMPUTED_VALUE"""),1003980.0)</f>
        <v>1003980</v>
      </c>
      <c r="C4863" s="9">
        <f>IFERROR(__xludf.DUMMYFUNCTION("""COMPUTED_VALUE"""),79810.0)</f>
        <v>79810</v>
      </c>
      <c r="D4863" s="9"/>
      <c r="E4863" s="9"/>
      <c r="F4863" s="9">
        <f>IFERROR(__xludf.DUMMYFUNCTION("""COMPUTED_VALUE"""),4.42)</f>
        <v>4.42</v>
      </c>
      <c r="G4863" s="9">
        <f>IFERROR(__xludf.DUMMYFUNCTION("""COMPUTED_VALUE"""),4.42)</f>
        <v>4.42</v>
      </c>
      <c r="H4863" s="9">
        <f>IFERROR(__xludf.DUMMYFUNCTION("""COMPUTED_VALUE"""),2.0)</f>
        <v>2</v>
      </c>
      <c r="I4863" s="9"/>
      <c r="J4863" s="9"/>
      <c r="K4863" s="9"/>
      <c r="L4863" s="9"/>
      <c r="M4863" s="9"/>
      <c r="N4863" s="9"/>
      <c r="O4863" s="9"/>
      <c r="P4863" s="9"/>
      <c r="Q4863" s="9"/>
      <c r="R4863" s="9"/>
      <c r="S4863" s="9"/>
      <c r="T4863" s="9"/>
    </row>
    <row r="4864" ht="15.75" customHeight="1">
      <c r="A4864" s="11">
        <f>IFERROR(__xludf.DUMMYFUNCTION("""COMPUTED_VALUE"""),44471.0)</f>
        <v>44471</v>
      </c>
      <c r="B4864" s="9">
        <f>IFERROR(__xludf.DUMMYFUNCTION("""COMPUTED_VALUE"""),1003980.0)</f>
        <v>1003980</v>
      </c>
      <c r="C4864" s="9">
        <f>IFERROR(__xludf.DUMMYFUNCTION("""COMPUTED_VALUE"""),108896.0)</f>
        <v>108896</v>
      </c>
      <c r="D4864" s="9"/>
      <c r="E4864" s="9"/>
      <c r="F4864" s="9">
        <f>IFERROR(__xludf.DUMMYFUNCTION("""COMPUTED_VALUE"""),5.18)</f>
        <v>5.18</v>
      </c>
      <c r="G4864" s="9">
        <f>IFERROR(__xludf.DUMMYFUNCTION("""COMPUTED_VALUE"""),5.18)</f>
        <v>5.18</v>
      </c>
      <c r="H4864" s="9">
        <f>IFERROR(__xludf.DUMMYFUNCTION("""COMPUTED_VALUE"""),2.0)</f>
        <v>2</v>
      </c>
      <c r="I4864" s="9"/>
      <c r="J4864" s="9"/>
      <c r="K4864" s="9"/>
      <c r="L4864" s="9"/>
      <c r="M4864" s="9"/>
      <c r="N4864" s="9"/>
      <c r="O4864" s="9"/>
      <c r="P4864" s="9"/>
      <c r="Q4864" s="9"/>
      <c r="R4864" s="9"/>
      <c r="S4864" s="9"/>
      <c r="T4864" s="9"/>
    </row>
    <row r="4865" ht="15.75" customHeight="1">
      <c r="A4865" s="11">
        <f>IFERROR(__xludf.DUMMYFUNCTION("""COMPUTED_VALUE"""),44471.0)</f>
        <v>44471</v>
      </c>
      <c r="B4865" s="9">
        <f>IFERROR(__xludf.DUMMYFUNCTION("""COMPUTED_VALUE"""),1003980.0)</f>
        <v>1003980</v>
      </c>
      <c r="C4865" s="9">
        <f>IFERROR(__xludf.DUMMYFUNCTION("""COMPUTED_VALUE"""),28590.0)</f>
        <v>28590</v>
      </c>
      <c r="D4865" s="9"/>
      <c r="E4865" s="9"/>
      <c r="F4865" s="9">
        <f>IFERROR(__xludf.DUMMYFUNCTION("""COMPUTED_VALUE"""),12.9)</f>
        <v>12.9</v>
      </c>
      <c r="G4865" s="9">
        <f>IFERROR(__xludf.DUMMYFUNCTION("""COMPUTED_VALUE"""),12.9)</f>
        <v>12.9</v>
      </c>
      <c r="H4865" s="9">
        <f>IFERROR(__xludf.DUMMYFUNCTION("""COMPUTED_VALUE"""),2.0)</f>
        <v>2</v>
      </c>
      <c r="I4865" s="9"/>
      <c r="J4865" s="9"/>
      <c r="K4865" s="9"/>
      <c r="L4865" s="9"/>
      <c r="M4865" s="9"/>
      <c r="N4865" s="9"/>
      <c r="O4865" s="9"/>
      <c r="P4865" s="9"/>
      <c r="Q4865" s="9"/>
      <c r="R4865" s="9"/>
      <c r="S4865" s="9"/>
      <c r="T4865" s="9"/>
    </row>
    <row r="4866" ht="15.75" customHeight="1">
      <c r="A4866" s="11">
        <f>IFERROR(__xludf.DUMMYFUNCTION("""COMPUTED_VALUE"""),44471.0)</f>
        <v>44471</v>
      </c>
      <c r="B4866" s="9">
        <f>IFERROR(__xludf.DUMMYFUNCTION("""COMPUTED_VALUE"""),1003980.0)</f>
        <v>1003980</v>
      </c>
      <c r="C4866" s="9">
        <f>IFERROR(__xludf.DUMMYFUNCTION("""COMPUTED_VALUE"""),90294.0)</f>
        <v>90294</v>
      </c>
      <c r="D4866" s="9"/>
      <c r="E4866" s="9"/>
      <c r="F4866" s="9">
        <f>IFERROR(__xludf.DUMMYFUNCTION("""COMPUTED_VALUE"""),19.3)</f>
        <v>19.3</v>
      </c>
      <c r="G4866" s="9">
        <f>IFERROR(__xludf.DUMMYFUNCTION("""COMPUTED_VALUE"""),19.3)</f>
        <v>19.3</v>
      </c>
      <c r="H4866" s="9">
        <f>IFERROR(__xludf.DUMMYFUNCTION("""COMPUTED_VALUE"""),3.0)</f>
        <v>3</v>
      </c>
      <c r="I4866" s="9"/>
      <c r="J4866" s="9"/>
      <c r="K4866" s="9"/>
      <c r="L4866" s="9"/>
      <c r="M4866" s="9"/>
      <c r="N4866" s="9"/>
      <c r="O4866" s="9"/>
      <c r="P4866" s="9"/>
      <c r="Q4866" s="9"/>
      <c r="R4866" s="9"/>
      <c r="S4866" s="9"/>
      <c r="T4866" s="9"/>
    </row>
    <row r="4867" ht="15.75" customHeight="1">
      <c r="A4867" s="11">
        <f>IFERROR(__xludf.DUMMYFUNCTION("""COMPUTED_VALUE"""),44471.0)</f>
        <v>44471</v>
      </c>
      <c r="B4867" s="9">
        <f>IFERROR(__xludf.DUMMYFUNCTION("""COMPUTED_VALUE"""),1003980.0)</f>
        <v>1003980</v>
      </c>
      <c r="C4867" s="9">
        <f>IFERROR(__xludf.DUMMYFUNCTION("""COMPUTED_VALUE"""),117218.0)</f>
        <v>117218</v>
      </c>
      <c r="D4867" s="9"/>
      <c r="E4867" s="9"/>
      <c r="F4867" s="9">
        <f>IFERROR(__xludf.DUMMYFUNCTION("""COMPUTED_VALUE"""),12.97)</f>
        <v>12.97</v>
      </c>
      <c r="G4867" s="9">
        <f>IFERROR(__xludf.DUMMYFUNCTION("""COMPUTED_VALUE"""),12.97)</f>
        <v>12.97</v>
      </c>
      <c r="H4867" s="9">
        <f>IFERROR(__xludf.DUMMYFUNCTION("""COMPUTED_VALUE"""),4.0)</f>
        <v>4</v>
      </c>
      <c r="I4867" s="9"/>
      <c r="J4867" s="9"/>
      <c r="K4867" s="9"/>
      <c r="L4867" s="9"/>
      <c r="M4867" s="9"/>
      <c r="N4867" s="9"/>
      <c r="O4867" s="9"/>
      <c r="P4867" s="9"/>
      <c r="Q4867" s="9"/>
      <c r="R4867" s="9"/>
      <c r="S4867" s="9"/>
      <c r="T4867" s="9"/>
    </row>
    <row r="4868" ht="15.75" customHeight="1">
      <c r="A4868" s="11">
        <f>IFERROR(__xludf.DUMMYFUNCTION("""COMPUTED_VALUE"""),44471.0)</f>
        <v>44471</v>
      </c>
      <c r="B4868" s="9">
        <f>IFERROR(__xludf.DUMMYFUNCTION("""COMPUTED_VALUE"""),1003980.0)</f>
        <v>1003980</v>
      </c>
      <c r="C4868" s="9">
        <f>IFERROR(__xludf.DUMMYFUNCTION("""COMPUTED_VALUE"""),87242.0)</f>
        <v>87242</v>
      </c>
      <c r="D4868" s="10" t="str">
        <f>IFERROR(__xludf.DUMMYFUNCTION("""COMPUTED_VALUE"""),"Vive le bio")</f>
        <v>Vive le bio</v>
      </c>
      <c r="E4868" s="10"/>
      <c r="F4868" s="9">
        <f>IFERROR(__xludf.DUMMYFUNCTION("""COMPUTED_VALUE"""),23.2888888888888)</f>
        <v>23.28888889</v>
      </c>
      <c r="G4868" s="9">
        <f>IFERROR(__xludf.DUMMYFUNCTION("""COMPUTED_VALUE"""),20.96)</f>
        <v>20.96</v>
      </c>
      <c r="H4868" s="9">
        <f>IFERROR(__xludf.DUMMYFUNCTION("""COMPUTED_VALUE"""),4.0)</f>
        <v>4</v>
      </c>
      <c r="I4868" s="9"/>
      <c r="J4868" s="9"/>
      <c r="K4868" s="9"/>
      <c r="L4868" s="9"/>
      <c r="M4868" s="9"/>
      <c r="N4868" s="9"/>
      <c r="O4868" s="9"/>
      <c r="P4868" s="9"/>
      <c r="Q4868" s="9"/>
      <c r="R4868" s="9"/>
      <c r="S4868" s="9"/>
      <c r="T4868" s="9"/>
    </row>
    <row r="4869" ht="15.75" customHeight="1">
      <c r="A4869" s="11">
        <f>IFERROR(__xludf.DUMMYFUNCTION("""COMPUTED_VALUE"""),44471.0)</f>
        <v>44471</v>
      </c>
      <c r="B4869" s="9">
        <f>IFERROR(__xludf.DUMMYFUNCTION("""COMPUTED_VALUE"""),1003981.0)</f>
        <v>1003981</v>
      </c>
      <c r="C4869" s="9">
        <f>IFERROR(__xludf.DUMMYFUNCTION("""COMPUTED_VALUE"""),79005.0)</f>
        <v>79005</v>
      </c>
      <c r="D4869" s="9"/>
      <c r="E4869" s="10" t="str">
        <f>IFERROR(__xludf.DUMMYFUNCTION("""COMPUTED_VALUE"""),"GREENRELAIS")</f>
        <v>GREENRELAIS</v>
      </c>
      <c r="F4869" s="10">
        <f>IFERROR(__xludf.DUMMYFUNCTION("""COMPUTED_VALUE"""),3.5)</f>
        <v>3.5</v>
      </c>
      <c r="G4869" s="9">
        <f>IFERROR(__xludf.DUMMYFUNCTION("""COMPUTED_VALUE"""),3.5)</f>
        <v>3.5</v>
      </c>
      <c r="H4869" s="9">
        <f>IFERROR(__xludf.DUMMYFUNCTION("""COMPUTED_VALUE"""),1.0)</f>
        <v>1</v>
      </c>
      <c r="I4869" s="9"/>
      <c r="J4869" s="9"/>
      <c r="K4869" s="9"/>
      <c r="L4869" s="9"/>
      <c r="M4869" s="9"/>
      <c r="N4869" s="9"/>
      <c r="O4869" s="9"/>
      <c r="P4869" s="9"/>
      <c r="Q4869" s="9"/>
      <c r="R4869" s="9"/>
      <c r="S4869" s="9"/>
      <c r="T4869" s="9"/>
    </row>
    <row r="4870" ht="15.75" customHeight="1">
      <c r="A4870" s="11">
        <f>IFERROR(__xludf.DUMMYFUNCTION("""COMPUTED_VALUE"""),44471.0)</f>
        <v>44471</v>
      </c>
      <c r="B4870" s="9">
        <f>IFERROR(__xludf.DUMMYFUNCTION("""COMPUTED_VALUE"""),1003981.0)</f>
        <v>1003981</v>
      </c>
      <c r="C4870" s="9">
        <f>IFERROR(__xludf.DUMMYFUNCTION("""COMPUTED_VALUE"""),7358.0)</f>
        <v>7358</v>
      </c>
      <c r="D4870" s="9"/>
      <c r="E4870" s="10" t="str">
        <f>IFERROR(__xludf.DUMMYFUNCTION("""COMPUTED_VALUE"""),"GREENRELAIS")</f>
        <v>GREENRELAIS</v>
      </c>
      <c r="F4870" s="10">
        <f>IFERROR(__xludf.DUMMYFUNCTION("""COMPUTED_VALUE"""),4.25)</f>
        <v>4.25</v>
      </c>
      <c r="G4870" s="9">
        <f>IFERROR(__xludf.DUMMYFUNCTION("""COMPUTED_VALUE"""),4.25)</f>
        <v>4.25</v>
      </c>
      <c r="H4870" s="9">
        <f>IFERROR(__xludf.DUMMYFUNCTION("""COMPUTED_VALUE"""),1.0)</f>
        <v>1</v>
      </c>
      <c r="I4870" s="9"/>
      <c r="J4870" s="9"/>
      <c r="K4870" s="9"/>
      <c r="L4870" s="9"/>
      <c r="M4870" s="9"/>
      <c r="N4870" s="9"/>
      <c r="O4870" s="9"/>
      <c r="P4870" s="9"/>
      <c r="Q4870" s="9"/>
      <c r="R4870" s="9"/>
      <c r="S4870" s="9"/>
      <c r="T4870" s="9"/>
    </row>
    <row r="4871" ht="15.75" customHeight="1">
      <c r="A4871" s="11">
        <f>IFERROR(__xludf.DUMMYFUNCTION("""COMPUTED_VALUE"""),44471.0)</f>
        <v>44471</v>
      </c>
      <c r="B4871" s="9">
        <f>IFERROR(__xludf.DUMMYFUNCTION("""COMPUTED_VALUE"""),1003981.0)</f>
        <v>1003981</v>
      </c>
      <c r="C4871" s="9">
        <f>IFERROR(__xludf.DUMMYFUNCTION("""COMPUTED_VALUE"""),45524.0)</f>
        <v>45524</v>
      </c>
      <c r="D4871" s="9"/>
      <c r="E4871" s="10" t="str">
        <f>IFERROR(__xludf.DUMMYFUNCTION("""COMPUTED_VALUE"""),"GREENRELAIS")</f>
        <v>GREENRELAIS</v>
      </c>
      <c r="F4871" s="10">
        <f>IFERROR(__xludf.DUMMYFUNCTION("""COMPUTED_VALUE"""),7.27)</f>
        <v>7.27</v>
      </c>
      <c r="G4871" s="9">
        <f>IFERROR(__xludf.DUMMYFUNCTION("""COMPUTED_VALUE"""),7.27)</f>
        <v>7.27</v>
      </c>
      <c r="H4871" s="9">
        <f>IFERROR(__xludf.DUMMYFUNCTION("""COMPUTED_VALUE"""),1.0)</f>
        <v>1</v>
      </c>
      <c r="I4871" s="9"/>
      <c r="J4871" s="9"/>
      <c r="K4871" s="9"/>
      <c r="L4871" s="9"/>
      <c r="M4871" s="9"/>
      <c r="N4871" s="9"/>
      <c r="O4871" s="9"/>
      <c r="P4871" s="9"/>
      <c r="Q4871" s="9"/>
      <c r="R4871" s="9"/>
      <c r="S4871" s="9"/>
      <c r="T4871" s="9"/>
    </row>
    <row r="4872" ht="15.75" customHeight="1">
      <c r="A4872" s="11">
        <f>IFERROR(__xludf.DUMMYFUNCTION("""COMPUTED_VALUE"""),44471.0)</f>
        <v>44471</v>
      </c>
      <c r="B4872" s="9">
        <f>IFERROR(__xludf.DUMMYFUNCTION("""COMPUTED_VALUE"""),1003981.0)</f>
        <v>1003981</v>
      </c>
      <c r="C4872" s="9">
        <f>IFERROR(__xludf.DUMMYFUNCTION("""COMPUTED_VALUE"""),117204.0)</f>
        <v>117204</v>
      </c>
      <c r="D4872" s="10" t="str">
        <f>IFERROR(__xludf.DUMMYFUNCTION("""COMPUTED_VALUE"""),"Vive le bio")</f>
        <v>Vive le bio</v>
      </c>
      <c r="E4872" s="10" t="str">
        <f>IFERROR(__xludf.DUMMYFUNCTION("""COMPUTED_VALUE"""),"GREENRELAIS")</f>
        <v>GREENRELAIS</v>
      </c>
      <c r="F4872" s="10">
        <f>IFERROR(__xludf.DUMMYFUNCTION("""COMPUTED_VALUE"""),25.2555555555555)</f>
        <v>25.25555556</v>
      </c>
      <c r="G4872" s="9">
        <f>IFERROR(__xludf.DUMMYFUNCTION("""COMPUTED_VALUE"""),22.73)</f>
        <v>22.73</v>
      </c>
      <c r="H4872" s="9">
        <f>IFERROR(__xludf.DUMMYFUNCTION("""COMPUTED_VALUE"""),1.0)</f>
        <v>1</v>
      </c>
      <c r="I4872" s="9"/>
      <c r="J4872" s="9"/>
      <c r="K4872" s="9"/>
      <c r="L4872" s="9"/>
      <c r="M4872" s="9"/>
      <c r="N4872" s="9"/>
      <c r="O4872" s="9"/>
      <c r="P4872" s="9"/>
      <c r="Q4872" s="9"/>
      <c r="R4872" s="9"/>
      <c r="S4872" s="9"/>
      <c r="T4872" s="9"/>
    </row>
    <row r="4873" ht="15.75" customHeight="1">
      <c r="A4873" s="11">
        <f>IFERROR(__xludf.DUMMYFUNCTION("""COMPUTED_VALUE"""),44471.0)</f>
        <v>44471</v>
      </c>
      <c r="B4873" s="9">
        <f>IFERROR(__xludf.DUMMYFUNCTION("""COMPUTED_VALUE"""),1003981.0)</f>
        <v>1003981</v>
      </c>
      <c r="C4873" s="9">
        <f>IFERROR(__xludf.DUMMYFUNCTION("""COMPUTED_VALUE"""),89246.0)</f>
        <v>89246</v>
      </c>
      <c r="D4873" s="9"/>
      <c r="E4873" s="10" t="str">
        <f>IFERROR(__xludf.DUMMYFUNCTION("""COMPUTED_VALUE"""),"GREENRELAIS")</f>
        <v>GREENRELAIS</v>
      </c>
      <c r="F4873" s="10">
        <f>IFERROR(__xludf.DUMMYFUNCTION("""COMPUTED_VALUE"""),6.34)</f>
        <v>6.34</v>
      </c>
      <c r="G4873" s="9">
        <f>IFERROR(__xludf.DUMMYFUNCTION("""COMPUTED_VALUE"""),6.34)</f>
        <v>6.34</v>
      </c>
      <c r="H4873" s="9">
        <f>IFERROR(__xludf.DUMMYFUNCTION("""COMPUTED_VALUE"""),1.0)</f>
        <v>1</v>
      </c>
      <c r="I4873" s="9"/>
      <c r="J4873" s="9"/>
      <c r="K4873" s="9"/>
      <c r="L4873" s="9"/>
      <c r="M4873" s="9"/>
      <c r="N4873" s="9"/>
      <c r="O4873" s="9"/>
      <c r="P4873" s="9"/>
      <c r="Q4873" s="9"/>
      <c r="R4873" s="9"/>
      <c r="S4873" s="9"/>
      <c r="T4873" s="9"/>
    </row>
    <row r="4874" ht="15.75" customHeight="1">
      <c r="A4874" s="11">
        <f>IFERROR(__xludf.DUMMYFUNCTION("""COMPUTED_VALUE"""),44471.0)</f>
        <v>44471</v>
      </c>
      <c r="B4874" s="9">
        <f>IFERROR(__xludf.DUMMYFUNCTION("""COMPUTED_VALUE"""),1003981.0)</f>
        <v>1003981</v>
      </c>
      <c r="C4874" s="9">
        <f>IFERROR(__xludf.DUMMYFUNCTION("""COMPUTED_VALUE"""),120733.0)</f>
        <v>120733</v>
      </c>
      <c r="D4874" s="9"/>
      <c r="E4874" s="10" t="str">
        <f>IFERROR(__xludf.DUMMYFUNCTION("""COMPUTED_VALUE"""),"GREENRELAIS")</f>
        <v>GREENRELAIS</v>
      </c>
      <c r="F4874" s="10">
        <f>IFERROR(__xludf.DUMMYFUNCTION("""COMPUTED_VALUE"""),5.13)</f>
        <v>5.13</v>
      </c>
      <c r="G4874" s="9">
        <f>IFERROR(__xludf.DUMMYFUNCTION("""COMPUTED_VALUE"""),5.13)</f>
        <v>5.13</v>
      </c>
      <c r="H4874" s="9">
        <f>IFERROR(__xludf.DUMMYFUNCTION("""COMPUTED_VALUE"""),1.0)</f>
        <v>1</v>
      </c>
      <c r="I4874" s="9"/>
      <c r="J4874" s="9"/>
      <c r="K4874" s="9"/>
      <c r="L4874" s="9"/>
      <c r="M4874" s="9"/>
      <c r="N4874" s="9"/>
      <c r="O4874" s="9"/>
      <c r="P4874" s="9"/>
      <c r="Q4874" s="9"/>
      <c r="R4874" s="9"/>
      <c r="S4874" s="9"/>
      <c r="T4874" s="9"/>
    </row>
    <row r="4875" ht="15.75" customHeight="1">
      <c r="A4875" s="11">
        <f>IFERROR(__xludf.DUMMYFUNCTION("""COMPUTED_VALUE"""),44471.0)</f>
        <v>44471</v>
      </c>
      <c r="B4875" s="9">
        <f>IFERROR(__xludf.DUMMYFUNCTION("""COMPUTED_VALUE"""),1003981.0)</f>
        <v>1003981</v>
      </c>
      <c r="C4875" s="9">
        <f>IFERROR(__xludf.DUMMYFUNCTION("""COMPUTED_VALUE"""),116803.0)</f>
        <v>116803</v>
      </c>
      <c r="D4875" s="10" t="str">
        <f>IFERROR(__xludf.DUMMYFUNCTION("""COMPUTED_VALUE"""),"Vive le bio")</f>
        <v>Vive le bio</v>
      </c>
      <c r="E4875" s="10" t="str">
        <f>IFERROR(__xludf.DUMMYFUNCTION("""COMPUTED_VALUE"""),"GREENRELAIS")</f>
        <v>GREENRELAIS</v>
      </c>
      <c r="F4875" s="10">
        <f>IFERROR(__xludf.DUMMYFUNCTION("""COMPUTED_VALUE"""),3.77777777777777)</f>
        <v>3.777777778</v>
      </c>
      <c r="G4875" s="9">
        <f>IFERROR(__xludf.DUMMYFUNCTION("""COMPUTED_VALUE"""),3.4)</f>
        <v>3.4</v>
      </c>
      <c r="H4875" s="9">
        <f>IFERROR(__xludf.DUMMYFUNCTION("""COMPUTED_VALUE"""),1.0)</f>
        <v>1</v>
      </c>
      <c r="I4875" s="9"/>
      <c r="J4875" s="9"/>
      <c r="K4875" s="9"/>
      <c r="L4875" s="9"/>
      <c r="M4875" s="9"/>
      <c r="N4875" s="9"/>
      <c r="O4875" s="9"/>
      <c r="P4875" s="9"/>
      <c r="Q4875" s="9"/>
      <c r="R4875" s="9"/>
      <c r="S4875" s="9"/>
      <c r="T4875" s="9"/>
    </row>
    <row r="4876" ht="15.75" customHeight="1">
      <c r="A4876" s="11">
        <f>IFERROR(__xludf.DUMMYFUNCTION("""COMPUTED_VALUE"""),44471.0)</f>
        <v>44471</v>
      </c>
      <c r="B4876" s="9">
        <f>IFERROR(__xludf.DUMMYFUNCTION("""COMPUTED_VALUE"""),1003981.0)</f>
        <v>1003981</v>
      </c>
      <c r="C4876" s="9">
        <f>IFERROR(__xludf.DUMMYFUNCTION("""COMPUTED_VALUE"""),82463.0)</f>
        <v>82463</v>
      </c>
      <c r="D4876" s="9"/>
      <c r="E4876" s="10" t="str">
        <f>IFERROR(__xludf.DUMMYFUNCTION("""COMPUTED_VALUE"""),"GREENRELAIS")</f>
        <v>GREENRELAIS</v>
      </c>
      <c r="F4876" s="10">
        <f>IFERROR(__xludf.DUMMYFUNCTION("""COMPUTED_VALUE"""),4.44)</f>
        <v>4.44</v>
      </c>
      <c r="G4876" s="9">
        <f>IFERROR(__xludf.DUMMYFUNCTION("""COMPUTED_VALUE"""),4.44)</f>
        <v>4.44</v>
      </c>
      <c r="H4876" s="9">
        <f>IFERROR(__xludf.DUMMYFUNCTION("""COMPUTED_VALUE"""),1.0)</f>
        <v>1</v>
      </c>
      <c r="I4876" s="9"/>
      <c r="J4876" s="9"/>
      <c r="K4876" s="9"/>
      <c r="L4876" s="9"/>
      <c r="M4876" s="9"/>
      <c r="N4876" s="9"/>
      <c r="O4876" s="9"/>
      <c r="P4876" s="9"/>
      <c r="Q4876" s="9"/>
      <c r="R4876" s="9"/>
      <c r="S4876" s="9"/>
      <c r="T4876" s="9"/>
    </row>
    <row r="4877" ht="15.75" customHeight="1">
      <c r="A4877" s="11">
        <f>IFERROR(__xludf.DUMMYFUNCTION("""COMPUTED_VALUE"""),44471.0)</f>
        <v>44471</v>
      </c>
      <c r="B4877" s="9">
        <f>IFERROR(__xludf.DUMMYFUNCTION("""COMPUTED_VALUE"""),1003981.0)</f>
        <v>1003981</v>
      </c>
      <c r="C4877" s="9">
        <f>IFERROR(__xludf.DUMMYFUNCTION("""COMPUTED_VALUE"""),120734.0)</f>
        <v>120734</v>
      </c>
      <c r="D4877" s="9"/>
      <c r="E4877" s="10" t="str">
        <f>IFERROR(__xludf.DUMMYFUNCTION("""COMPUTED_VALUE"""),"GREENRELAIS")</f>
        <v>GREENRELAIS</v>
      </c>
      <c r="F4877" s="10">
        <f>IFERROR(__xludf.DUMMYFUNCTION("""COMPUTED_VALUE"""),18.3)</f>
        <v>18.3</v>
      </c>
      <c r="G4877" s="9">
        <f>IFERROR(__xludf.DUMMYFUNCTION("""COMPUTED_VALUE"""),18.3)</f>
        <v>18.3</v>
      </c>
      <c r="H4877" s="9">
        <f>IFERROR(__xludf.DUMMYFUNCTION("""COMPUTED_VALUE"""),1.0)</f>
        <v>1</v>
      </c>
      <c r="I4877" s="9"/>
      <c r="J4877" s="9"/>
      <c r="K4877" s="9"/>
      <c r="L4877" s="9"/>
      <c r="M4877" s="9"/>
      <c r="N4877" s="9"/>
      <c r="O4877" s="9"/>
      <c r="P4877" s="9"/>
      <c r="Q4877" s="9"/>
      <c r="R4877" s="9"/>
      <c r="S4877" s="9"/>
      <c r="T4877" s="9"/>
    </row>
    <row r="4878" ht="15.75" customHeight="1">
      <c r="A4878" s="11">
        <f>IFERROR(__xludf.DUMMYFUNCTION("""COMPUTED_VALUE"""),44471.0)</f>
        <v>44471</v>
      </c>
      <c r="B4878" s="9">
        <f>IFERROR(__xludf.DUMMYFUNCTION("""COMPUTED_VALUE"""),1003981.0)</f>
        <v>1003981</v>
      </c>
      <c r="C4878" s="9">
        <f>IFERROR(__xludf.DUMMYFUNCTION("""COMPUTED_VALUE"""),128834.0)</f>
        <v>128834</v>
      </c>
      <c r="D4878" s="10" t="str">
        <f>IFERROR(__xludf.DUMMYFUNCTION("""COMPUTED_VALUE"""),"Zero Dechet")</f>
        <v>Zero Dechet</v>
      </c>
      <c r="E4878" s="10" t="str">
        <f>IFERROR(__xludf.DUMMYFUNCTION("""COMPUTED_VALUE"""),"GREENRELAIS")</f>
        <v>GREENRELAIS</v>
      </c>
      <c r="F4878" s="10">
        <f>IFERROR(__xludf.DUMMYFUNCTION("""COMPUTED_VALUE"""),23.675)</f>
        <v>23.675</v>
      </c>
      <c r="G4878" s="9">
        <f>IFERROR(__xludf.DUMMYFUNCTION("""COMPUTED_VALUE"""),18.94)</f>
        <v>18.94</v>
      </c>
      <c r="H4878" s="9">
        <f>IFERROR(__xludf.DUMMYFUNCTION("""COMPUTED_VALUE"""),1.0)</f>
        <v>1</v>
      </c>
      <c r="I4878" s="9"/>
      <c r="J4878" s="9"/>
      <c r="K4878" s="9"/>
      <c r="L4878" s="9"/>
      <c r="M4878" s="9"/>
      <c r="N4878" s="9"/>
      <c r="O4878" s="9"/>
      <c r="P4878" s="9"/>
      <c r="Q4878" s="9"/>
      <c r="R4878" s="9"/>
      <c r="S4878" s="9"/>
      <c r="T4878" s="9"/>
    </row>
    <row r="4879" ht="15.75" customHeight="1">
      <c r="A4879" s="11">
        <f>IFERROR(__xludf.DUMMYFUNCTION("""COMPUTED_VALUE"""),44471.0)</f>
        <v>44471</v>
      </c>
      <c r="B4879" s="9">
        <f>IFERROR(__xludf.DUMMYFUNCTION("""COMPUTED_VALUE"""),1003981.0)</f>
        <v>1003981</v>
      </c>
      <c r="C4879" s="9">
        <f>IFERROR(__xludf.DUMMYFUNCTION("""COMPUTED_VALUE"""),135180.0)</f>
        <v>135180</v>
      </c>
      <c r="D4879" s="10" t="str">
        <f>IFERROR(__xludf.DUMMYFUNCTION("""COMPUTED_VALUE"""),"Zero Dechet")</f>
        <v>Zero Dechet</v>
      </c>
      <c r="E4879" s="10" t="str">
        <f>IFERROR(__xludf.DUMMYFUNCTION("""COMPUTED_VALUE"""),"GREENRELAIS")</f>
        <v>GREENRELAIS</v>
      </c>
      <c r="F4879" s="10">
        <f>IFERROR(__xludf.DUMMYFUNCTION("""COMPUTED_VALUE"""),23.675)</f>
        <v>23.675</v>
      </c>
      <c r="G4879" s="9">
        <f>IFERROR(__xludf.DUMMYFUNCTION("""COMPUTED_VALUE"""),18.94)</f>
        <v>18.94</v>
      </c>
      <c r="H4879" s="9">
        <f>IFERROR(__xludf.DUMMYFUNCTION("""COMPUTED_VALUE"""),1.0)</f>
        <v>1</v>
      </c>
      <c r="I4879" s="9"/>
      <c r="J4879" s="9"/>
      <c r="K4879" s="9"/>
      <c r="L4879" s="9"/>
      <c r="M4879" s="9"/>
      <c r="N4879" s="9"/>
      <c r="O4879" s="9"/>
      <c r="P4879" s="9"/>
      <c r="Q4879" s="9"/>
      <c r="R4879" s="9"/>
      <c r="S4879" s="9"/>
      <c r="T4879" s="9"/>
    </row>
    <row r="4880" ht="15.75" customHeight="1">
      <c r="A4880" s="11">
        <f>IFERROR(__xludf.DUMMYFUNCTION("""COMPUTED_VALUE"""),44471.0)</f>
        <v>44471</v>
      </c>
      <c r="B4880" s="9">
        <f>IFERROR(__xludf.DUMMYFUNCTION("""COMPUTED_VALUE"""),1003981.0)</f>
        <v>1003981</v>
      </c>
      <c r="C4880" s="9">
        <f>IFERROR(__xludf.DUMMYFUNCTION("""COMPUTED_VALUE"""),117684.0)</f>
        <v>117684</v>
      </c>
      <c r="D4880" s="9"/>
      <c r="E4880" s="10" t="str">
        <f>IFERROR(__xludf.DUMMYFUNCTION("""COMPUTED_VALUE"""),"GREENRELAIS")</f>
        <v>GREENRELAIS</v>
      </c>
      <c r="F4880" s="10">
        <f>IFERROR(__xludf.DUMMYFUNCTION("""COMPUTED_VALUE"""),8.46)</f>
        <v>8.46</v>
      </c>
      <c r="G4880" s="9">
        <f>IFERROR(__xludf.DUMMYFUNCTION("""COMPUTED_VALUE"""),8.46)</f>
        <v>8.46</v>
      </c>
      <c r="H4880" s="9">
        <f>IFERROR(__xludf.DUMMYFUNCTION("""COMPUTED_VALUE"""),1.0)</f>
        <v>1</v>
      </c>
      <c r="I4880" s="9"/>
      <c r="J4880" s="9"/>
      <c r="K4880" s="9"/>
      <c r="L4880" s="9"/>
      <c r="M4880" s="9"/>
      <c r="N4880" s="9"/>
      <c r="O4880" s="9"/>
      <c r="P4880" s="9"/>
      <c r="Q4880" s="9"/>
      <c r="R4880" s="9"/>
      <c r="S4880" s="9"/>
      <c r="T4880" s="9"/>
    </row>
    <row r="4881" ht="15.75" customHeight="1">
      <c r="A4881" s="11">
        <f>IFERROR(__xludf.DUMMYFUNCTION("""COMPUTED_VALUE"""),44471.0)</f>
        <v>44471</v>
      </c>
      <c r="B4881" s="9">
        <f>IFERROR(__xludf.DUMMYFUNCTION("""COMPUTED_VALUE"""),1003981.0)</f>
        <v>1003981</v>
      </c>
      <c r="C4881" s="9">
        <f>IFERROR(__xludf.DUMMYFUNCTION("""COMPUTED_VALUE"""),127016.0)</f>
        <v>127016</v>
      </c>
      <c r="D4881" s="10" t="str">
        <f>IFERROR(__xludf.DUMMYFUNCTION("""COMPUTED_VALUE"""),"Carryboo coton 2021")</f>
        <v>Carryboo coton 2021</v>
      </c>
      <c r="E4881" s="10" t="str">
        <f>IFERROR(__xludf.DUMMYFUNCTION("""COMPUTED_VALUE"""),"GREENRELAIS")</f>
        <v>GREENRELAIS</v>
      </c>
      <c r="F4881" s="10">
        <f>IFERROR(__xludf.DUMMYFUNCTION("""COMPUTED_VALUE"""),8.57333333333333)</f>
        <v>8.573333333</v>
      </c>
      <c r="G4881" s="9">
        <f>IFERROR(__xludf.DUMMYFUNCTION("""COMPUTED_VALUE"""),6.43)</f>
        <v>6.43</v>
      </c>
      <c r="H4881" s="9">
        <f>IFERROR(__xludf.DUMMYFUNCTION("""COMPUTED_VALUE"""),2.0)</f>
        <v>2</v>
      </c>
      <c r="I4881" s="9"/>
      <c r="J4881" s="9"/>
      <c r="K4881" s="9"/>
      <c r="L4881" s="9"/>
      <c r="M4881" s="9"/>
      <c r="N4881" s="9"/>
      <c r="O4881" s="9"/>
      <c r="P4881" s="9"/>
      <c r="Q4881" s="9"/>
      <c r="R4881" s="9"/>
      <c r="S4881" s="9"/>
      <c r="T4881" s="9"/>
    </row>
    <row r="4882" ht="15.75" customHeight="1">
      <c r="A4882" s="11">
        <f>IFERROR(__xludf.DUMMYFUNCTION("""COMPUTED_VALUE"""),44471.0)</f>
        <v>44471</v>
      </c>
      <c r="B4882" s="9">
        <f>IFERROR(__xludf.DUMMYFUNCTION("""COMPUTED_VALUE"""),1003981.0)</f>
        <v>1003981</v>
      </c>
      <c r="C4882" s="9">
        <f>IFERROR(__xludf.DUMMYFUNCTION("""COMPUTED_VALUE"""),12451.0)</f>
        <v>12451</v>
      </c>
      <c r="D4882" s="10" t="str">
        <f>IFERROR(__xludf.DUMMYFUNCTION("""COMPUTED_VALUE"""),"Vive le bio")</f>
        <v>Vive le bio</v>
      </c>
      <c r="E4882" s="10" t="str">
        <f>IFERROR(__xludf.DUMMYFUNCTION("""COMPUTED_VALUE"""),"GREENRELAIS")</f>
        <v>GREENRELAIS</v>
      </c>
      <c r="F4882" s="10">
        <f>IFERROR(__xludf.DUMMYFUNCTION("""COMPUTED_VALUE"""),7.67368421052631)</f>
        <v>7.673684211</v>
      </c>
      <c r="G4882" s="9">
        <f>IFERROR(__xludf.DUMMYFUNCTION("""COMPUTED_VALUE"""),7.29)</f>
        <v>7.29</v>
      </c>
      <c r="H4882" s="9">
        <f>IFERROR(__xludf.DUMMYFUNCTION("""COMPUTED_VALUE"""),4.0)</f>
        <v>4</v>
      </c>
      <c r="I4882" s="9"/>
      <c r="J4882" s="9"/>
      <c r="K4882" s="9"/>
      <c r="L4882" s="9"/>
      <c r="M4882" s="9"/>
      <c r="N4882" s="9"/>
      <c r="O4882" s="9"/>
      <c r="P4882" s="9"/>
      <c r="Q4882" s="9"/>
      <c r="R4882" s="9"/>
      <c r="S4882" s="9"/>
      <c r="T4882" s="9"/>
    </row>
    <row r="4883" ht="15.75" customHeight="1">
      <c r="A4883" s="11">
        <f>IFERROR(__xludf.DUMMYFUNCTION("""COMPUTED_VALUE"""),44471.0)</f>
        <v>44471</v>
      </c>
      <c r="B4883" s="9">
        <f>IFERROR(__xludf.DUMMYFUNCTION("""COMPUTED_VALUE"""),1003981.0)</f>
        <v>1003981</v>
      </c>
      <c r="C4883" s="9">
        <f>IFERROR(__xludf.DUMMYFUNCTION("""COMPUTED_VALUE"""),122026.0)</f>
        <v>122026</v>
      </c>
      <c r="D4883" s="10" t="str">
        <f>IFERROR(__xludf.DUMMYFUNCTION("""COMPUTED_VALUE"""),"Love &amp; Green Couches et Culottes sept 2021")</f>
        <v>Love &amp; Green Couches et Culottes sept 2021</v>
      </c>
      <c r="E4883" s="10" t="str">
        <f>IFERROR(__xludf.DUMMYFUNCTION("""COMPUTED_VALUE"""),"GREENRELAIS")</f>
        <v>GREENRELAIS</v>
      </c>
      <c r="F4883" s="10">
        <f>IFERROR(__xludf.DUMMYFUNCTION("""COMPUTED_VALUE"""),39.6714285714285)</f>
        <v>39.67142857</v>
      </c>
      <c r="G4883" s="9">
        <f>IFERROR(__xludf.DUMMYFUNCTION("""COMPUTED_VALUE"""),27.77)</f>
        <v>27.77</v>
      </c>
      <c r="H4883" s="9">
        <f>IFERROR(__xludf.DUMMYFUNCTION("""COMPUTED_VALUE"""),4.0)</f>
        <v>4</v>
      </c>
      <c r="I4883" s="9"/>
      <c r="J4883" s="9"/>
      <c r="K4883" s="9"/>
      <c r="L4883" s="9"/>
      <c r="M4883" s="9"/>
      <c r="N4883" s="9"/>
      <c r="O4883" s="9"/>
      <c r="P4883" s="9"/>
      <c r="Q4883" s="9"/>
      <c r="R4883" s="9"/>
      <c r="S4883" s="9"/>
      <c r="T4883" s="9"/>
    </row>
    <row r="4884" ht="15.75" customHeight="1">
      <c r="A4884" s="11">
        <f>IFERROR(__xludf.DUMMYFUNCTION("""COMPUTED_VALUE"""),44471.0)</f>
        <v>44471</v>
      </c>
      <c r="B4884" s="9">
        <f>IFERROR(__xludf.DUMMYFUNCTION("""COMPUTED_VALUE"""),1003981.0)</f>
        <v>1003981</v>
      </c>
      <c r="C4884" s="9">
        <f>IFERROR(__xludf.DUMMYFUNCTION("""COMPUTED_VALUE"""),122029.0)</f>
        <v>122029</v>
      </c>
      <c r="D4884" s="10" t="str">
        <f>IFERROR(__xludf.DUMMYFUNCTION("""COMPUTED_VALUE"""),"Love &amp; Green Couches et Culottes sept 2021")</f>
        <v>Love &amp; Green Couches et Culottes sept 2021</v>
      </c>
      <c r="E4884" s="10" t="str">
        <f>IFERROR(__xludf.DUMMYFUNCTION("""COMPUTED_VALUE"""),"GREENRELAIS")</f>
        <v>GREENRELAIS</v>
      </c>
      <c r="F4884" s="10">
        <f>IFERROR(__xludf.DUMMYFUNCTION("""COMPUTED_VALUE"""),50.2428571428571)</f>
        <v>50.24285714</v>
      </c>
      <c r="G4884" s="9">
        <f>IFERROR(__xludf.DUMMYFUNCTION("""COMPUTED_VALUE"""),35.17)</f>
        <v>35.17</v>
      </c>
      <c r="H4884" s="9">
        <f>IFERROR(__xludf.DUMMYFUNCTION("""COMPUTED_VALUE"""),4.0)</f>
        <v>4</v>
      </c>
      <c r="I4884" s="9"/>
      <c r="J4884" s="9"/>
      <c r="K4884" s="9"/>
      <c r="L4884" s="9"/>
      <c r="M4884" s="9"/>
      <c r="N4884" s="9"/>
      <c r="O4884" s="9"/>
      <c r="P4884" s="9"/>
      <c r="Q4884" s="9"/>
      <c r="R4884" s="9"/>
      <c r="S4884" s="9"/>
      <c r="T4884" s="9"/>
    </row>
    <row r="4885" ht="15.75" customHeight="1">
      <c r="A4885" s="11">
        <f>IFERROR(__xludf.DUMMYFUNCTION("""COMPUTED_VALUE"""),44471.0)</f>
        <v>44471</v>
      </c>
      <c r="B4885" s="9">
        <f>IFERROR(__xludf.DUMMYFUNCTION("""COMPUTED_VALUE"""),1003982.0)</f>
        <v>1003982</v>
      </c>
      <c r="C4885" s="9">
        <f>IFERROR(__xludf.DUMMYFUNCTION("""COMPUTED_VALUE"""),121477.0)</f>
        <v>121477</v>
      </c>
      <c r="D4885" s="9"/>
      <c r="E4885" s="10" t="str">
        <f>IFERROR(__xludf.DUMMYFUNCTION("""COMPUTED_VALUE"""),"PREMIERE")</f>
        <v>PREMIERE</v>
      </c>
      <c r="F4885" s="10">
        <f>IFERROR(__xludf.DUMMYFUNCTION("""COMPUTED_VALUE"""),13.34)</f>
        <v>13.34</v>
      </c>
      <c r="G4885" s="9">
        <f>IFERROR(__xludf.DUMMYFUNCTION("""COMPUTED_VALUE"""),13.34)</f>
        <v>13.34</v>
      </c>
      <c r="H4885" s="9">
        <f>IFERROR(__xludf.DUMMYFUNCTION("""COMPUTED_VALUE"""),6.0)</f>
        <v>6</v>
      </c>
      <c r="I4885" s="9"/>
      <c r="J4885" s="9"/>
      <c r="K4885" s="9"/>
      <c r="L4885" s="9"/>
      <c r="M4885" s="9"/>
      <c r="N4885" s="9"/>
      <c r="O4885" s="9"/>
      <c r="P4885" s="9"/>
      <c r="Q4885" s="9"/>
      <c r="R4885" s="9"/>
      <c r="S4885" s="9"/>
      <c r="T4885" s="9"/>
    </row>
    <row r="4886" ht="15.75" customHeight="1">
      <c r="A4886" s="11">
        <f>IFERROR(__xludf.DUMMYFUNCTION("""COMPUTED_VALUE"""),44471.0)</f>
        <v>44471</v>
      </c>
      <c r="B4886" s="9">
        <f>IFERROR(__xludf.DUMMYFUNCTION("""COMPUTED_VALUE"""),1003982.0)</f>
        <v>1003982</v>
      </c>
      <c r="C4886" s="9">
        <f>IFERROR(__xludf.DUMMYFUNCTION("""COMPUTED_VALUE"""),87128.0)</f>
        <v>87128</v>
      </c>
      <c r="D4886" s="10" t="str">
        <f>IFERROR(__xludf.DUMMYFUNCTION("""COMPUTED_VALUE"""),"Vive le bio")</f>
        <v>Vive le bio</v>
      </c>
      <c r="E4886" s="10" t="str">
        <f>IFERROR(__xludf.DUMMYFUNCTION("""COMPUTED_VALUE"""),"PREMIERE")</f>
        <v>PREMIERE</v>
      </c>
      <c r="F4886" s="10">
        <f>IFERROR(__xludf.DUMMYFUNCTION("""COMPUTED_VALUE"""),28.7222222222222)</f>
        <v>28.72222222</v>
      </c>
      <c r="G4886" s="9">
        <f>IFERROR(__xludf.DUMMYFUNCTION("""COMPUTED_VALUE"""),25.85)</f>
        <v>25.85</v>
      </c>
      <c r="H4886" s="9">
        <f>IFERROR(__xludf.DUMMYFUNCTION("""COMPUTED_VALUE"""),11.0)</f>
        <v>11</v>
      </c>
      <c r="I4886" s="9"/>
      <c r="J4886" s="9"/>
      <c r="K4886" s="9"/>
      <c r="L4886" s="9"/>
      <c r="M4886" s="9"/>
      <c r="N4886" s="9"/>
      <c r="O4886" s="9"/>
      <c r="P4886" s="9"/>
      <c r="Q4886" s="9"/>
      <c r="R4886" s="9"/>
      <c r="S4886" s="9"/>
      <c r="T4886" s="9"/>
    </row>
    <row r="4887" ht="15.75" customHeight="1">
      <c r="A4887" s="11">
        <f>IFERROR(__xludf.DUMMYFUNCTION("""COMPUTED_VALUE"""),44471.0)</f>
        <v>44471</v>
      </c>
      <c r="B4887" s="9">
        <f>IFERROR(__xludf.DUMMYFUNCTION("""COMPUTED_VALUE"""),1003983.0)</f>
        <v>1003983</v>
      </c>
      <c r="C4887" s="9">
        <f>IFERROR(__xludf.DUMMYFUNCTION("""COMPUTED_VALUE"""),116943.0)</f>
        <v>116943</v>
      </c>
      <c r="D4887" s="9"/>
      <c r="E4887" s="9"/>
      <c r="F4887" s="9">
        <f>IFERROR(__xludf.DUMMYFUNCTION("""COMPUTED_VALUE"""),3.64)</f>
        <v>3.64</v>
      </c>
      <c r="G4887" s="9">
        <f>IFERROR(__xludf.DUMMYFUNCTION("""COMPUTED_VALUE"""),3.64)</f>
        <v>3.64</v>
      </c>
      <c r="H4887" s="9">
        <f>IFERROR(__xludf.DUMMYFUNCTION("""COMPUTED_VALUE"""),1.0)</f>
        <v>1</v>
      </c>
      <c r="I4887" s="9"/>
      <c r="J4887" s="9"/>
      <c r="K4887" s="9"/>
      <c r="L4887" s="9"/>
      <c r="M4887" s="9"/>
      <c r="N4887" s="9"/>
      <c r="O4887" s="9"/>
      <c r="P4887" s="9"/>
      <c r="Q4887" s="9"/>
      <c r="R4887" s="9"/>
      <c r="S4887" s="9"/>
      <c r="T4887" s="9"/>
    </row>
    <row r="4888" ht="15.75" customHeight="1">
      <c r="A4888" s="11">
        <f>IFERROR(__xludf.DUMMYFUNCTION("""COMPUTED_VALUE"""),44471.0)</f>
        <v>44471</v>
      </c>
      <c r="B4888" s="9">
        <f>IFERROR(__xludf.DUMMYFUNCTION("""COMPUTED_VALUE"""),1003983.0)</f>
        <v>1003983</v>
      </c>
      <c r="C4888" s="9">
        <f>IFERROR(__xludf.DUMMYFUNCTION("""COMPUTED_VALUE"""),105302.0)</f>
        <v>105302</v>
      </c>
      <c r="D4888" s="10" t="str">
        <f>IFERROR(__xludf.DUMMYFUNCTION("""COMPUTED_VALUE"""),"Vive le bio")</f>
        <v>Vive le bio</v>
      </c>
      <c r="E4888" s="10"/>
      <c r="F4888" s="9">
        <f>IFERROR(__xludf.DUMMYFUNCTION("""COMPUTED_VALUE"""),4.53333333333333)</f>
        <v>4.533333333</v>
      </c>
      <c r="G4888" s="9">
        <f>IFERROR(__xludf.DUMMYFUNCTION("""COMPUTED_VALUE"""),4.08)</f>
        <v>4.08</v>
      </c>
      <c r="H4888" s="9">
        <f>IFERROR(__xludf.DUMMYFUNCTION("""COMPUTED_VALUE"""),1.0)</f>
        <v>1</v>
      </c>
      <c r="I4888" s="9"/>
      <c r="J4888" s="9"/>
      <c r="K4888" s="9"/>
      <c r="L4888" s="9"/>
      <c r="M4888" s="9"/>
      <c r="N4888" s="9"/>
      <c r="O4888" s="9"/>
      <c r="P4888" s="9"/>
      <c r="Q4888" s="9"/>
      <c r="R4888" s="9"/>
      <c r="S4888" s="9"/>
      <c r="T4888" s="9"/>
    </row>
    <row r="4889" ht="15.75" customHeight="1">
      <c r="A4889" s="11">
        <f>IFERROR(__xludf.DUMMYFUNCTION("""COMPUTED_VALUE"""),44471.0)</f>
        <v>44471</v>
      </c>
      <c r="B4889" s="9">
        <f>IFERROR(__xludf.DUMMYFUNCTION("""COMPUTED_VALUE"""),1003983.0)</f>
        <v>1003983</v>
      </c>
      <c r="C4889" s="9">
        <f>IFERROR(__xludf.DUMMYFUNCTION("""COMPUTED_VALUE"""),87759.0)</f>
        <v>87759</v>
      </c>
      <c r="D4889" s="10" t="str">
        <f>IFERROR(__xludf.DUMMYFUNCTION("""COMPUTED_VALUE"""),"Zero Dechet")</f>
        <v>Zero Dechet</v>
      </c>
      <c r="E4889" s="10"/>
      <c r="F4889" s="9">
        <f>IFERROR(__xludf.DUMMYFUNCTION("""COMPUTED_VALUE"""),3.67058823529411)</f>
        <v>3.670588235</v>
      </c>
      <c r="G4889" s="9">
        <f>IFERROR(__xludf.DUMMYFUNCTION("""COMPUTED_VALUE"""),3.12)</f>
        <v>3.12</v>
      </c>
      <c r="H4889" s="9">
        <f>IFERROR(__xludf.DUMMYFUNCTION("""COMPUTED_VALUE"""),1.0)</f>
        <v>1</v>
      </c>
      <c r="I4889" s="9"/>
      <c r="J4889" s="9"/>
      <c r="K4889" s="9"/>
      <c r="L4889" s="9"/>
      <c r="M4889" s="9"/>
      <c r="N4889" s="9"/>
      <c r="O4889" s="9"/>
      <c r="P4889" s="9"/>
      <c r="Q4889" s="9"/>
      <c r="R4889" s="9"/>
      <c r="S4889" s="9"/>
      <c r="T4889" s="9"/>
    </row>
    <row r="4890" ht="15.75" customHeight="1">
      <c r="A4890" s="11">
        <f>IFERROR(__xludf.DUMMYFUNCTION("""COMPUTED_VALUE"""),44471.0)</f>
        <v>44471</v>
      </c>
      <c r="B4890" s="9">
        <f>IFERROR(__xludf.DUMMYFUNCTION("""COMPUTED_VALUE"""),1003983.0)</f>
        <v>1003983</v>
      </c>
      <c r="C4890" s="9">
        <f>IFERROR(__xludf.DUMMYFUNCTION("""COMPUTED_VALUE"""),96238.0)</f>
        <v>96238</v>
      </c>
      <c r="D4890" s="9"/>
      <c r="E4890" s="9"/>
      <c r="F4890" s="9">
        <f>IFERROR(__xludf.DUMMYFUNCTION("""COMPUTED_VALUE"""),45.6)</f>
        <v>45.6</v>
      </c>
      <c r="G4890" s="9">
        <f>IFERROR(__xludf.DUMMYFUNCTION("""COMPUTED_VALUE"""),45.6)</f>
        <v>45.6</v>
      </c>
      <c r="H4890" s="9">
        <f>IFERROR(__xludf.DUMMYFUNCTION("""COMPUTED_VALUE"""),6.0)</f>
        <v>6</v>
      </c>
      <c r="I4890" s="9"/>
      <c r="J4890" s="9"/>
      <c r="K4890" s="9"/>
      <c r="L4890" s="9"/>
      <c r="M4890" s="9"/>
      <c r="N4890" s="9"/>
      <c r="O4890" s="9"/>
      <c r="P4890" s="9"/>
      <c r="Q4890" s="9"/>
      <c r="R4890" s="9"/>
      <c r="S4890" s="9"/>
      <c r="T4890" s="9"/>
    </row>
    <row r="4891" ht="15.75" customHeight="1">
      <c r="A4891" s="11">
        <f>IFERROR(__xludf.DUMMYFUNCTION("""COMPUTED_VALUE"""),44471.0)</f>
        <v>44471</v>
      </c>
      <c r="B4891" s="9">
        <f>IFERROR(__xludf.DUMMYFUNCTION("""COMPUTED_VALUE"""),1003984.0)</f>
        <v>1003984</v>
      </c>
      <c r="C4891" s="9">
        <f>IFERROR(__xludf.DUMMYFUNCTION("""COMPUTED_VALUE"""),118590.0)</f>
        <v>118590</v>
      </c>
      <c r="D4891" s="9"/>
      <c r="E4891" s="9"/>
      <c r="F4891" s="9">
        <f>IFERROR(__xludf.DUMMYFUNCTION("""COMPUTED_VALUE"""),2.13)</f>
        <v>2.13</v>
      </c>
      <c r="G4891" s="9">
        <f>IFERROR(__xludf.DUMMYFUNCTION("""COMPUTED_VALUE"""),2.13)</f>
        <v>2.13</v>
      </c>
      <c r="H4891" s="9">
        <f>IFERROR(__xludf.DUMMYFUNCTION("""COMPUTED_VALUE"""),1.0)</f>
        <v>1</v>
      </c>
      <c r="I4891" s="9"/>
      <c r="J4891" s="9"/>
      <c r="K4891" s="9"/>
      <c r="L4891" s="9"/>
      <c r="M4891" s="9"/>
      <c r="N4891" s="9"/>
      <c r="O4891" s="9"/>
      <c r="P4891" s="9"/>
      <c r="Q4891" s="9"/>
      <c r="R4891" s="9"/>
      <c r="S4891" s="9"/>
      <c r="T4891" s="9"/>
    </row>
    <row r="4892" ht="15.75" customHeight="1">
      <c r="A4892" s="11">
        <f>IFERROR(__xludf.DUMMYFUNCTION("""COMPUTED_VALUE"""),44471.0)</f>
        <v>44471</v>
      </c>
      <c r="B4892" s="9">
        <f>IFERROR(__xludf.DUMMYFUNCTION("""COMPUTED_VALUE"""),1003984.0)</f>
        <v>1003984</v>
      </c>
      <c r="C4892" s="9">
        <f>IFERROR(__xludf.DUMMYFUNCTION("""COMPUTED_VALUE"""),118594.0)</f>
        <v>118594</v>
      </c>
      <c r="D4892" s="9"/>
      <c r="E4892" s="9"/>
      <c r="F4892" s="9">
        <f>IFERROR(__xludf.DUMMYFUNCTION("""COMPUTED_VALUE"""),2.13)</f>
        <v>2.13</v>
      </c>
      <c r="G4892" s="9">
        <f>IFERROR(__xludf.DUMMYFUNCTION("""COMPUTED_VALUE"""),2.13)</f>
        <v>2.13</v>
      </c>
      <c r="H4892" s="9">
        <f>IFERROR(__xludf.DUMMYFUNCTION("""COMPUTED_VALUE"""),1.0)</f>
        <v>1</v>
      </c>
      <c r="I4892" s="9"/>
      <c r="J4892" s="9"/>
      <c r="K4892" s="9"/>
      <c r="L4892" s="9"/>
      <c r="M4892" s="9"/>
      <c r="N4892" s="9"/>
      <c r="O4892" s="9"/>
      <c r="P4892" s="9"/>
      <c r="Q4892" s="9"/>
      <c r="R4892" s="9"/>
      <c r="S4892" s="9"/>
      <c r="T4892" s="9"/>
    </row>
    <row r="4893" ht="15.75" customHeight="1">
      <c r="A4893" s="11">
        <f>IFERROR(__xludf.DUMMYFUNCTION("""COMPUTED_VALUE"""),44471.0)</f>
        <v>44471</v>
      </c>
      <c r="B4893" s="9">
        <f>IFERROR(__xludf.DUMMYFUNCTION("""COMPUTED_VALUE"""),1003984.0)</f>
        <v>1003984</v>
      </c>
      <c r="C4893" s="9">
        <f>IFERROR(__xludf.DUMMYFUNCTION("""COMPUTED_VALUE"""),48508.0)</f>
        <v>48508</v>
      </c>
      <c r="D4893" s="9"/>
      <c r="E4893" s="9"/>
      <c r="F4893" s="9">
        <f>IFERROR(__xludf.DUMMYFUNCTION("""COMPUTED_VALUE"""),4.26)</f>
        <v>4.26</v>
      </c>
      <c r="G4893" s="9">
        <f>IFERROR(__xludf.DUMMYFUNCTION("""COMPUTED_VALUE"""),4.26)</f>
        <v>4.26</v>
      </c>
      <c r="H4893" s="9">
        <f>IFERROR(__xludf.DUMMYFUNCTION("""COMPUTED_VALUE"""),1.0)</f>
        <v>1</v>
      </c>
      <c r="I4893" s="9"/>
      <c r="J4893" s="9"/>
      <c r="K4893" s="9"/>
      <c r="L4893" s="9"/>
      <c r="M4893" s="9"/>
      <c r="N4893" s="9"/>
      <c r="O4893" s="9"/>
      <c r="P4893" s="9"/>
      <c r="Q4893" s="9"/>
      <c r="R4893" s="9"/>
      <c r="S4893" s="9"/>
      <c r="T4893" s="9"/>
    </row>
    <row r="4894" ht="15.75" customHeight="1">
      <c r="A4894" s="11">
        <f>IFERROR(__xludf.DUMMYFUNCTION("""COMPUTED_VALUE"""),44471.0)</f>
        <v>44471</v>
      </c>
      <c r="B4894" s="9">
        <f>IFERROR(__xludf.DUMMYFUNCTION("""COMPUTED_VALUE"""),1003984.0)</f>
        <v>1003984</v>
      </c>
      <c r="C4894" s="9">
        <f>IFERROR(__xludf.DUMMYFUNCTION("""COMPUTED_VALUE"""),80185.0)</f>
        <v>80185</v>
      </c>
      <c r="D4894" s="10" t="str">
        <f>IFERROR(__xludf.DUMMYFUNCTION("""COMPUTED_VALUE"""),"Vive le bio")</f>
        <v>Vive le bio</v>
      </c>
      <c r="E4894" s="10"/>
      <c r="F4894" s="9">
        <f>IFERROR(__xludf.DUMMYFUNCTION("""COMPUTED_VALUE"""),2.54736842105263)</f>
        <v>2.547368421</v>
      </c>
      <c r="G4894" s="9">
        <f>IFERROR(__xludf.DUMMYFUNCTION("""COMPUTED_VALUE"""),2.42)</f>
        <v>2.42</v>
      </c>
      <c r="H4894" s="9">
        <f>IFERROR(__xludf.DUMMYFUNCTION("""COMPUTED_VALUE"""),1.0)</f>
        <v>1</v>
      </c>
      <c r="I4894" s="9"/>
      <c r="J4894" s="9"/>
      <c r="K4894" s="9"/>
      <c r="L4894" s="9"/>
      <c r="M4894" s="9"/>
      <c r="N4894" s="9"/>
      <c r="O4894" s="9"/>
      <c r="P4894" s="9"/>
      <c r="Q4894" s="9"/>
      <c r="R4894" s="9"/>
      <c r="S4894" s="9"/>
      <c r="T4894" s="9"/>
    </row>
    <row r="4895" ht="15.75" customHeight="1">
      <c r="A4895" s="11">
        <f>IFERROR(__xludf.DUMMYFUNCTION("""COMPUTED_VALUE"""),44471.0)</f>
        <v>44471</v>
      </c>
      <c r="B4895" s="9">
        <f>IFERROR(__xludf.DUMMYFUNCTION("""COMPUTED_VALUE"""),1003984.0)</f>
        <v>1003984</v>
      </c>
      <c r="C4895" s="9">
        <f>IFERROR(__xludf.DUMMYFUNCTION("""COMPUTED_VALUE"""),75788.0)</f>
        <v>75788</v>
      </c>
      <c r="D4895" s="9"/>
      <c r="E4895" s="9"/>
      <c r="F4895" s="9">
        <f>IFERROR(__xludf.DUMMYFUNCTION("""COMPUTED_VALUE"""),6.79)</f>
        <v>6.79</v>
      </c>
      <c r="G4895" s="9">
        <f>IFERROR(__xludf.DUMMYFUNCTION("""COMPUTED_VALUE"""),6.79)</f>
        <v>6.79</v>
      </c>
      <c r="H4895" s="9">
        <f>IFERROR(__xludf.DUMMYFUNCTION("""COMPUTED_VALUE"""),1.0)</f>
        <v>1</v>
      </c>
      <c r="I4895" s="9"/>
      <c r="J4895" s="9"/>
      <c r="K4895" s="9"/>
      <c r="L4895" s="9"/>
      <c r="M4895" s="9"/>
      <c r="N4895" s="9"/>
      <c r="O4895" s="9"/>
      <c r="P4895" s="9"/>
      <c r="Q4895" s="9"/>
      <c r="R4895" s="9"/>
      <c r="S4895" s="9"/>
      <c r="T4895" s="9"/>
    </row>
    <row r="4896" ht="15.75" customHeight="1">
      <c r="A4896" s="11">
        <f>IFERROR(__xludf.DUMMYFUNCTION("""COMPUTED_VALUE"""),44471.0)</f>
        <v>44471</v>
      </c>
      <c r="B4896" s="9">
        <f>IFERROR(__xludf.DUMMYFUNCTION("""COMPUTED_VALUE"""),1003984.0)</f>
        <v>1003984</v>
      </c>
      <c r="C4896" s="9">
        <f>IFERROR(__xludf.DUMMYFUNCTION("""COMPUTED_VALUE"""),80634.0)</f>
        <v>80634</v>
      </c>
      <c r="D4896" s="10" t="str">
        <f>IFERROR(__xludf.DUMMYFUNCTION("""COMPUTED_VALUE"""),"Vive le bio")</f>
        <v>Vive le bio</v>
      </c>
      <c r="E4896" s="10"/>
      <c r="F4896" s="9">
        <f>IFERROR(__xludf.DUMMYFUNCTION("""COMPUTED_VALUE"""),5.56666666666666)</f>
        <v>5.566666667</v>
      </c>
      <c r="G4896" s="9">
        <f>IFERROR(__xludf.DUMMYFUNCTION("""COMPUTED_VALUE"""),5.01)</f>
        <v>5.01</v>
      </c>
      <c r="H4896" s="9">
        <f>IFERROR(__xludf.DUMMYFUNCTION("""COMPUTED_VALUE"""),1.0)</f>
        <v>1</v>
      </c>
      <c r="I4896" s="9"/>
      <c r="J4896" s="9"/>
      <c r="K4896" s="9"/>
      <c r="L4896" s="9"/>
      <c r="M4896" s="9"/>
      <c r="N4896" s="9"/>
      <c r="O4896" s="9"/>
      <c r="P4896" s="9"/>
      <c r="Q4896" s="9"/>
      <c r="R4896" s="9"/>
      <c r="S4896" s="9"/>
      <c r="T4896" s="9"/>
    </row>
    <row r="4897" ht="15.75" customHeight="1">
      <c r="A4897" s="11">
        <f>IFERROR(__xludf.DUMMYFUNCTION("""COMPUTED_VALUE"""),44471.0)</f>
        <v>44471</v>
      </c>
      <c r="B4897" s="9">
        <f>IFERROR(__xludf.DUMMYFUNCTION("""COMPUTED_VALUE"""),1003984.0)</f>
        <v>1003984</v>
      </c>
      <c r="C4897" s="9">
        <f>IFERROR(__xludf.DUMMYFUNCTION("""COMPUTED_VALUE"""),9759.0)</f>
        <v>9759</v>
      </c>
      <c r="D4897" s="9"/>
      <c r="E4897" s="9"/>
      <c r="F4897" s="9">
        <f>IFERROR(__xludf.DUMMYFUNCTION("""COMPUTED_VALUE"""),3.91)</f>
        <v>3.91</v>
      </c>
      <c r="G4897" s="9">
        <f>IFERROR(__xludf.DUMMYFUNCTION("""COMPUTED_VALUE"""),3.91)</f>
        <v>3.91</v>
      </c>
      <c r="H4897" s="9">
        <f>IFERROR(__xludf.DUMMYFUNCTION("""COMPUTED_VALUE"""),1.0)</f>
        <v>1</v>
      </c>
      <c r="I4897" s="9"/>
      <c r="J4897" s="9"/>
      <c r="K4897" s="9"/>
      <c r="L4897" s="9"/>
      <c r="M4897" s="9"/>
      <c r="N4897" s="9"/>
      <c r="O4897" s="9"/>
      <c r="P4897" s="9"/>
      <c r="Q4897" s="9"/>
      <c r="R4897" s="9"/>
      <c r="S4897" s="9"/>
      <c r="T4897" s="9"/>
    </row>
    <row r="4898" ht="15.75" customHeight="1">
      <c r="A4898" s="11">
        <f>IFERROR(__xludf.DUMMYFUNCTION("""COMPUTED_VALUE"""),44471.0)</f>
        <v>44471</v>
      </c>
      <c r="B4898" s="9">
        <f>IFERROR(__xludf.DUMMYFUNCTION("""COMPUTED_VALUE"""),1003984.0)</f>
        <v>1003984</v>
      </c>
      <c r="C4898" s="9">
        <f>IFERROR(__xludf.DUMMYFUNCTION("""COMPUTED_VALUE"""),109194.0)</f>
        <v>109194</v>
      </c>
      <c r="D4898" s="9"/>
      <c r="E4898" s="9"/>
      <c r="F4898" s="9">
        <f>IFERROR(__xludf.DUMMYFUNCTION("""COMPUTED_VALUE"""),12.47)</f>
        <v>12.47</v>
      </c>
      <c r="G4898" s="9">
        <f>IFERROR(__xludf.DUMMYFUNCTION("""COMPUTED_VALUE"""),12.47)</f>
        <v>12.47</v>
      </c>
      <c r="H4898" s="9">
        <f>IFERROR(__xludf.DUMMYFUNCTION("""COMPUTED_VALUE"""),1.0)</f>
        <v>1</v>
      </c>
      <c r="I4898" s="9"/>
      <c r="J4898" s="9"/>
      <c r="K4898" s="9"/>
      <c r="L4898" s="9"/>
      <c r="M4898" s="9"/>
      <c r="N4898" s="9"/>
      <c r="O4898" s="9"/>
      <c r="P4898" s="9"/>
      <c r="Q4898" s="9"/>
      <c r="R4898" s="9"/>
      <c r="S4898" s="9"/>
      <c r="T4898" s="9"/>
    </row>
    <row r="4899" ht="15.75" customHeight="1">
      <c r="A4899" s="11">
        <f>IFERROR(__xludf.DUMMYFUNCTION("""COMPUTED_VALUE"""),44471.0)</f>
        <v>44471</v>
      </c>
      <c r="B4899" s="9">
        <f>IFERROR(__xludf.DUMMYFUNCTION("""COMPUTED_VALUE"""),1003984.0)</f>
        <v>1003984</v>
      </c>
      <c r="C4899" s="9">
        <f>IFERROR(__xludf.DUMMYFUNCTION("""COMPUTED_VALUE"""),78855.0)</f>
        <v>78855</v>
      </c>
      <c r="D4899" s="10" t="str">
        <f>IFERROR(__xludf.DUMMYFUNCTION("""COMPUTED_VALUE"""),"Vive le bio")</f>
        <v>Vive le bio</v>
      </c>
      <c r="E4899" s="10"/>
      <c r="F4899" s="9">
        <f>IFERROR(__xludf.DUMMYFUNCTION("""COMPUTED_VALUE"""),3.33333333333333)</f>
        <v>3.333333333</v>
      </c>
      <c r="G4899" s="9">
        <f>IFERROR(__xludf.DUMMYFUNCTION("""COMPUTED_VALUE"""),3.0)</f>
        <v>3</v>
      </c>
      <c r="H4899" s="9">
        <f>IFERROR(__xludf.DUMMYFUNCTION("""COMPUTED_VALUE"""),1.0)</f>
        <v>1</v>
      </c>
      <c r="I4899" s="9"/>
      <c r="J4899" s="9"/>
      <c r="K4899" s="9"/>
      <c r="L4899" s="9"/>
      <c r="M4899" s="9"/>
      <c r="N4899" s="9"/>
      <c r="O4899" s="9"/>
      <c r="P4899" s="9"/>
      <c r="Q4899" s="9"/>
      <c r="R4899" s="9"/>
      <c r="S4899" s="9"/>
      <c r="T4899" s="9"/>
    </row>
    <row r="4900" ht="15.75" customHeight="1">
      <c r="A4900" s="11">
        <f>IFERROR(__xludf.DUMMYFUNCTION("""COMPUTED_VALUE"""),44471.0)</f>
        <v>44471</v>
      </c>
      <c r="B4900" s="9">
        <f>IFERROR(__xludf.DUMMYFUNCTION("""COMPUTED_VALUE"""),1003984.0)</f>
        <v>1003984</v>
      </c>
      <c r="C4900" s="9">
        <f>IFERROR(__xludf.DUMMYFUNCTION("""COMPUTED_VALUE"""),78421.0)</f>
        <v>78421</v>
      </c>
      <c r="D4900" s="9"/>
      <c r="E4900" s="9"/>
      <c r="F4900" s="9">
        <f>IFERROR(__xludf.DUMMYFUNCTION("""COMPUTED_VALUE"""),2.34)</f>
        <v>2.34</v>
      </c>
      <c r="G4900" s="9">
        <f>IFERROR(__xludf.DUMMYFUNCTION("""COMPUTED_VALUE"""),2.34)</f>
        <v>2.34</v>
      </c>
      <c r="H4900" s="9">
        <f>IFERROR(__xludf.DUMMYFUNCTION("""COMPUTED_VALUE"""),1.0)</f>
        <v>1</v>
      </c>
      <c r="I4900" s="9"/>
      <c r="J4900" s="9"/>
      <c r="K4900" s="9"/>
      <c r="L4900" s="9"/>
      <c r="M4900" s="9"/>
      <c r="N4900" s="9"/>
      <c r="O4900" s="9"/>
      <c r="P4900" s="9"/>
      <c r="Q4900" s="9"/>
      <c r="R4900" s="9"/>
      <c r="S4900" s="9"/>
      <c r="T4900" s="9"/>
    </row>
    <row r="4901" ht="15.75" customHeight="1">
      <c r="A4901" s="11">
        <f>IFERROR(__xludf.DUMMYFUNCTION("""COMPUTED_VALUE"""),44471.0)</f>
        <v>44471</v>
      </c>
      <c r="B4901" s="9">
        <f>IFERROR(__xludf.DUMMYFUNCTION("""COMPUTED_VALUE"""),1003984.0)</f>
        <v>1003984</v>
      </c>
      <c r="C4901" s="9">
        <f>IFERROR(__xludf.DUMMYFUNCTION("""COMPUTED_VALUE"""),104316.0)</f>
        <v>104316</v>
      </c>
      <c r="D4901" s="9"/>
      <c r="E4901" s="9"/>
      <c r="F4901" s="9">
        <f>IFERROR(__xludf.DUMMYFUNCTION("""COMPUTED_VALUE"""),3.09)</f>
        <v>3.09</v>
      </c>
      <c r="G4901" s="9">
        <f>IFERROR(__xludf.DUMMYFUNCTION("""COMPUTED_VALUE"""),3.09)</f>
        <v>3.09</v>
      </c>
      <c r="H4901" s="9">
        <f>IFERROR(__xludf.DUMMYFUNCTION("""COMPUTED_VALUE"""),1.0)</f>
        <v>1</v>
      </c>
      <c r="I4901" s="9"/>
      <c r="J4901" s="9"/>
      <c r="K4901" s="9"/>
      <c r="L4901" s="9"/>
      <c r="M4901" s="9"/>
      <c r="N4901" s="9"/>
      <c r="O4901" s="9"/>
      <c r="P4901" s="9"/>
      <c r="Q4901" s="9"/>
      <c r="R4901" s="9"/>
      <c r="S4901" s="9"/>
      <c r="T4901" s="9"/>
    </row>
    <row r="4902" ht="15.75" customHeight="1">
      <c r="A4902" s="11">
        <f>IFERROR(__xludf.DUMMYFUNCTION("""COMPUTED_VALUE"""),44471.0)</f>
        <v>44471</v>
      </c>
      <c r="B4902" s="9">
        <f>IFERROR(__xludf.DUMMYFUNCTION("""COMPUTED_VALUE"""),1003984.0)</f>
        <v>1003984</v>
      </c>
      <c r="C4902" s="9">
        <f>IFERROR(__xludf.DUMMYFUNCTION("""COMPUTED_VALUE"""),80299.0)</f>
        <v>80299</v>
      </c>
      <c r="D4902" s="10" t="str">
        <f>IFERROR(__xludf.DUMMYFUNCTION("""COMPUTED_VALUE"""),"DLC courtes")</f>
        <v>DLC courtes</v>
      </c>
      <c r="E4902" s="10"/>
      <c r="F4902" s="9">
        <f>IFERROR(__xludf.DUMMYFUNCTION("""COMPUTED_VALUE"""),6.68)</f>
        <v>6.68</v>
      </c>
      <c r="G4902" s="9">
        <f>IFERROR(__xludf.DUMMYFUNCTION("""COMPUTED_VALUE"""),3.34)</f>
        <v>3.34</v>
      </c>
      <c r="H4902" s="9">
        <f>IFERROR(__xludf.DUMMYFUNCTION("""COMPUTED_VALUE"""),1.0)</f>
        <v>1</v>
      </c>
      <c r="I4902" s="9"/>
      <c r="J4902" s="9"/>
      <c r="K4902" s="9"/>
      <c r="L4902" s="9"/>
      <c r="M4902" s="9"/>
      <c r="N4902" s="9"/>
      <c r="O4902" s="9"/>
      <c r="P4902" s="9"/>
      <c r="Q4902" s="9"/>
      <c r="R4902" s="9"/>
      <c r="S4902" s="9"/>
      <c r="T4902" s="9"/>
    </row>
    <row r="4903" ht="15.75" customHeight="1">
      <c r="A4903" s="11">
        <f>IFERROR(__xludf.DUMMYFUNCTION("""COMPUTED_VALUE"""),44471.0)</f>
        <v>44471</v>
      </c>
      <c r="B4903" s="9">
        <f>IFERROR(__xludf.DUMMYFUNCTION("""COMPUTED_VALUE"""),1003984.0)</f>
        <v>1003984</v>
      </c>
      <c r="C4903" s="9">
        <f>IFERROR(__xludf.DUMMYFUNCTION("""COMPUTED_VALUE"""),10572.0)</f>
        <v>10572</v>
      </c>
      <c r="D4903" s="9"/>
      <c r="E4903" s="9"/>
      <c r="F4903" s="9">
        <f>IFERROR(__xludf.DUMMYFUNCTION("""COMPUTED_VALUE"""),3.22)</f>
        <v>3.22</v>
      </c>
      <c r="G4903" s="9">
        <f>IFERROR(__xludf.DUMMYFUNCTION("""COMPUTED_VALUE"""),3.22)</f>
        <v>3.22</v>
      </c>
      <c r="H4903" s="9">
        <f>IFERROR(__xludf.DUMMYFUNCTION("""COMPUTED_VALUE"""),1.0)</f>
        <v>1</v>
      </c>
      <c r="I4903" s="9"/>
      <c r="J4903" s="9"/>
      <c r="K4903" s="9"/>
      <c r="L4903" s="9"/>
      <c r="M4903" s="9"/>
      <c r="N4903" s="9"/>
      <c r="O4903" s="9"/>
      <c r="P4903" s="9"/>
      <c r="Q4903" s="9"/>
      <c r="R4903" s="9"/>
      <c r="S4903" s="9"/>
      <c r="T4903" s="9"/>
    </row>
    <row r="4904" ht="15.75" customHeight="1">
      <c r="A4904" s="11">
        <f>IFERROR(__xludf.DUMMYFUNCTION("""COMPUTED_VALUE"""),44471.0)</f>
        <v>44471</v>
      </c>
      <c r="B4904" s="9">
        <f>IFERROR(__xludf.DUMMYFUNCTION("""COMPUTED_VALUE"""),1003984.0)</f>
        <v>1003984</v>
      </c>
      <c r="C4904" s="9">
        <f>IFERROR(__xludf.DUMMYFUNCTION("""COMPUTED_VALUE"""),27765.0)</f>
        <v>27765</v>
      </c>
      <c r="D4904" s="9"/>
      <c r="E4904" s="9"/>
      <c r="F4904" s="9">
        <f>IFERROR(__xludf.DUMMYFUNCTION("""COMPUTED_VALUE"""),7.44)</f>
        <v>7.44</v>
      </c>
      <c r="G4904" s="9">
        <f>IFERROR(__xludf.DUMMYFUNCTION("""COMPUTED_VALUE"""),7.44)</f>
        <v>7.44</v>
      </c>
      <c r="H4904" s="9">
        <f>IFERROR(__xludf.DUMMYFUNCTION("""COMPUTED_VALUE"""),1.0)</f>
        <v>1</v>
      </c>
      <c r="I4904" s="9"/>
      <c r="J4904" s="9"/>
      <c r="K4904" s="9"/>
      <c r="L4904" s="9"/>
      <c r="M4904" s="9"/>
      <c r="N4904" s="9"/>
      <c r="O4904" s="9"/>
      <c r="P4904" s="9"/>
      <c r="Q4904" s="9"/>
      <c r="R4904" s="9"/>
      <c r="S4904" s="9"/>
      <c r="T4904" s="9"/>
    </row>
    <row r="4905" ht="15.75" customHeight="1">
      <c r="A4905" s="11">
        <f>IFERROR(__xludf.DUMMYFUNCTION("""COMPUTED_VALUE"""),44471.0)</f>
        <v>44471</v>
      </c>
      <c r="B4905" s="9">
        <f>IFERROR(__xludf.DUMMYFUNCTION("""COMPUTED_VALUE"""),1003984.0)</f>
        <v>1003984</v>
      </c>
      <c r="C4905" s="9">
        <f>IFERROR(__xludf.DUMMYFUNCTION("""COMPUTED_VALUE"""),72319.0)</f>
        <v>72319</v>
      </c>
      <c r="D4905" s="9"/>
      <c r="E4905" s="9"/>
      <c r="F4905" s="9">
        <f>IFERROR(__xludf.DUMMYFUNCTION("""COMPUTED_VALUE"""),8.65)</f>
        <v>8.65</v>
      </c>
      <c r="G4905" s="9">
        <f>IFERROR(__xludf.DUMMYFUNCTION("""COMPUTED_VALUE"""),8.65)</f>
        <v>8.65</v>
      </c>
      <c r="H4905" s="9">
        <f>IFERROR(__xludf.DUMMYFUNCTION("""COMPUTED_VALUE"""),1.0)</f>
        <v>1</v>
      </c>
      <c r="I4905" s="9"/>
      <c r="J4905" s="9"/>
      <c r="K4905" s="9"/>
      <c r="L4905" s="9"/>
      <c r="M4905" s="9"/>
      <c r="N4905" s="9"/>
      <c r="O4905" s="9"/>
      <c r="P4905" s="9"/>
      <c r="Q4905" s="9"/>
      <c r="R4905" s="9"/>
      <c r="S4905" s="9"/>
      <c r="T4905" s="9"/>
    </row>
    <row r="4906" ht="15.75" customHeight="1">
      <c r="A4906" s="11">
        <f>IFERROR(__xludf.DUMMYFUNCTION("""COMPUTED_VALUE"""),44471.0)</f>
        <v>44471</v>
      </c>
      <c r="B4906" s="9">
        <f>IFERROR(__xludf.DUMMYFUNCTION("""COMPUTED_VALUE"""),1003984.0)</f>
        <v>1003984</v>
      </c>
      <c r="C4906" s="9">
        <f>IFERROR(__xludf.DUMMYFUNCTION("""COMPUTED_VALUE"""),103037.0)</f>
        <v>103037</v>
      </c>
      <c r="D4906" s="9"/>
      <c r="E4906" s="9"/>
      <c r="F4906" s="9">
        <f>IFERROR(__xludf.DUMMYFUNCTION("""COMPUTED_VALUE"""),3.6)</f>
        <v>3.6</v>
      </c>
      <c r="G4906" s="9">
        <f>IFERROR(__xludf.DUMMYFUNCTION("""COMPUTED_VALUE"""),3.6)</f>
        <v>3.6</v>
      </c>
      <c r="H4906" s="9">
        <f>IFERROR(__xludf.DUMMYFUNCTION("""COMPUTED_VALUE"""),1.0)</f>
        <v>1</v>
      </c>
      <c r="I4906" s="9"/>
      <c r="J4906" s="9"/>
      <c r="K4906" s="9"/>
      <c r="L4906" s="9"/>
      <c r="M4906" s="9"/>
      <c r="N4906" s="9"/>
      <c r="O4906" s="9"/>
      <c r="P4906" s="9"/>
      <c r="Q4906" s="9"/>
      <c r="R4906" s="9"/>
      <c r="S4906" s="9"/>
      <c r="T4906" s="9"/>
    </row>
    <row r="4907" ht="15.75" customHeight="1">
      <c r="A4907" s="11">
        <f>IFERROR(__xludf.DUMMYFUNCTION("""COMPUTED_VALUE"""),44471.0)</f>
        <v>44471</v>
      </c>
      <c r="B4907" s="9">
        <f>IFERROR(__xludf.DUMMYFUNCTION("""COMPUTED_VALUE"""),1003984.0)</f>
        <v>1003984</v>
      </c>
      <c r="C4907" s="9">
        <f>IFERROR(__xludf.DUMMYFUNCTION("""COMPUTED_VALUE"""),77310.0)</f>
        <v>77310</v>
      </c>
      <c r="D4907" s="9"/>
      <c r="E4907" s="9"/>
      <c r="F4907" s="9">
        <f>IFERROR(__xludf.DUMMYFUNCTION("""COMPUTED_VALUE"""),4.45)</f>
        <v>4.45</v>
      </c>
      <c r="G4907" s="9">
        <f>IFERROR(__xludf.DUMMYFUNCTION("""COMPUTED_VALUE"""),4.45)</f>
        <v>4.45</v>
      </c>
      <c r="H4907" s="9">
        <f>IFERROR(__xludf.DUMMYFUNCTION("""COMPUTED_VALUE"""),1.0)</f>
        <v>1</v>
      </c>
      <c r="I4907" s="9"/>
      <c r="J4907" s="9"/>
      <c r="K4907" s="9"/>
      <c r="L4907" s="9"/>
      <c r="M4907" s="9"/>
      <c r="N4907" s="9"/>
      <c r="O4907" s="9"/>
      <c r="P4907" s="9"/>
      <c r="Q4907" s="9"/>
      <c r="R4907" s="9"/>
      <c r="S4907" s="9"/>
      <c r="T4907" s="9"/>
    </row>
    <row r="4908" ht="15.75" customHeight="1">
      <c r="A4908" s="11">
        <f>IFERROR(__xludf.DUMMYFUNCTION("""COMPUTED_VALUE"""),44471.0)</f>
        <v>44471</v>
      </c>
      <c r="B4908" s="9">
        <f>IFERROR(__xludf.DUMMYFUNCTION("""COMPUTED_VALUE"""),1003984.0)</f>
        <v>1003984</v>
      </c>
      <c r="C4908" s="9">
        <f>IFERROR(__xludf.DUMMYFUNCTION("""COMPUTED_VALUE"""),111283.0)</f>
        <v>111283</v>
      </c>
      <c r="D4908" s="9"/>
      <c r="E4908" s="9"/>
      <c r="F4908" s="9">
        <f>IFERROR(__xludf.DUMMYFUNCTION("""COMPUTED_VALUE"""),5.22)</f>
        <v>5.22</v>
      </c>
      <c r="G4908" s="9">
        <f>IFERROR(__xludf.DUMMYFUNCTION("""COMPUTED_VALUE"""),5.22)</f>
        <v>5.22</v>
      </c>
      <c r="H4908" s="9">
        <f>IFERROR(__xludf.DUMMYFUNCTION("""COMPUTED_VALUE"""),1.0)</f>
        <v>1</v>
      </c>
      <c r="I4908" s="9"/>
      <c r="J4908" s="9"/>
      <c r="K4908" s="9"/>
      <c r="L4908" s="9"/>
      <c r="M4908" s="9"/>
      <c r="N4908" s="9"/>
      <c r="O4908" s="9"/>
      <c r="P4908" s="9"/>
      <c r="Q4908" s="9"/>
      <c r="R4908" s="9"/>
      <c r="S4908" s="9"/>
      <c r="T4908" s="9"/>
    </row>
    <row r="4909" ht="15.75" customHeight="1">
      <c r="A4909" s="11">
        <f>IFERROR(__xludf.DUMMYFUNCTION("""COMPUTED_VALUE"""),44471.0)</f>
        <v>44471</v>
      </c>
      <c r="B4909" s="9">
        <f>IFERROR(__xludf.DUMMYFUNCTION("""COMPUTED_VALUE"""),1003984.0)</f>
        <v>1003984</v>
      </c>
      <c r="C4909" s="9">
        <f>IFERROR(__xludf.DUMMYFUNCTION("""COMPUTED_VALUE"""),8696.0)</f>
        <v>8696</v>
      </c>
      <c r="D4909" s="9"/>
      <c r="E4909" s="9"/>
      <c r="F4909" s="9">
        <f>IFERROR(__xludf.DUMMYFUNCTION("""COMPUTED_VALUE"""),3.99)</f>
        <v>3.99</v>
      </c>
      <c r="G4909" s="9">
        <f>IFERROR(__xludf.DUMMYFUNCTION("""COMPUTED_VALUE"""),3.99)</f>
        <v>3.99</v>
      </c>
      <c r="H4909" s="9">
        <f>IFERROR(__xludf.DUMMYFUNCTION("""COMPUTED_VALUE"""),1.0)</f>
        <v>1</v>
      </c>
      <c r="I4909" s="9"/>
      <c r="J4909" s="9"/>
      <c r="K4909" s="9"/>
      <c r="L4909" s="9"/>
      <c r="M4909" s="9"/>
      <c r="N4909" s="9"/>
      <c r="O4909" s="9"/>
      <c r="P4909" s="9"/>
      <c r="Q4909" s="9"/>
      <c r="R4909" s="9"/>
      <c r="S4909" s="9"/>
      <c r="T4909" s="9"/>
    </row>
    <row r="4910" ht="15.75" customHeight="1">
      <c r="A4910" s="11">
        <f>IFERROR(__xludf.DUMMYFUNCTION("""COMPUTED_VALUE"""),44471.0)</f>
        <v>44471</v>
      </c>
      <c r="B4910" s="9">
        <f>IFERROR(__xludf.DUMMYFUNCTION("""COMPUTED_VALUE"""),1003984.0)</f>
        <v>1003984</v>
      </c>
      <c r="C4910" s="9">
        <f>IFERROR(__xludf.DUMMYFUNCTION("""COMPUTED_VALUE"""),78859.0)</f>
        <v>78859</v>
      </c>
      <c r="D4910" s="9"/>
      <c r="E4910" s="9"/>
      <c r="F4910" s="9">
        <f>IFERROR(__xludf.DUMMYFUNCTION("""COMPUTED_VALUE"""),5.61)</f>
        <v>5.61</v>
      </c>
      <c r="G4910" s="9">
        <f>IFERROR(__xludf.DUMMYFUNCTION("""COMPUTED_VALUE"""),5.61)</f>
        <v>5.61</v>
      </c>
      <c r="H4910" s="9">
        <f>IFERROR(__xludf.DUMMYFUNCTION("""COMPUTED_VALUE"""),2.0)</f>
        <v>2</v>
      </c>
      <c r="I4910" s="9"/>
      <c r="J4910" s="9"/>
      <c r="K4910" s="9"/>
      <c r="L4910" s="9"/>
      <c r="M4910" s="9"/>
      <c r="N4910" s="9"/>
      <c r="O4910" s="9"/>
      <c r="P4910" s="9"/>
      <c r="Q4910" s="9"/>
      <c r="R4910" s="9"/>
      <c r="S4910" s="9"/>
      <c r="T4910" s="9"/>
    </row>
    <row r="4911" ht="15.75" customHeight="1">
      <c r="A4911" s="11">
        <f>IFERROR(__xludf.DUMMYFUNCTION("""COMPUTED_VALUE"""),44471.0)</f>
        <v>44471</v>
      </c>
      <c r="B4911" s="9">
        <f>IFERROR(__xludf.DUMMYFUNCTION("""COMPUTED_VALUE"""),1003984.0)</f>
        <v>1003984</v>
      </c>
      <c r="C4911" s="9">
        <f>IFERROR(__xludf.DUMMYFUNCTION("""COMPUTED_VALUE"""),104317.0)</f>
        <v>104317</v>
      </c>
      <c r="D4911" s="9"/>
      <c r="E4911" s="9"/>
      <c r="F4911" s="9">
        <f>IFERROR(__xludf.DUMMYFUNCTION("""COMPUTED_VALUE"""),6.67)</f>
        <v>6.67</v>
      </c>
      <c r="G4911" s="9">
        <f>IFERROR(__xludf.DUMMYFUNCTION("""COMPUTED_VALUE"""),6.67)</f>
        <v>6.67</v>
      </c>
      <c r="H4911" s="9">
        <f>IFERROR(__xludf.DUMMYFUNCTION("""COMPUTED_VALUE"""),2.0)</f>
        <v>2</v>
      </c>
      <c r="I4911" s="9"/>
      <c r="J4911" s="9"/>
      <c r="K4911" s="9"/>
      <c r="L4911" s="9"/>
      <c r="M4911" s="9"/>
      <c r="N4911" s="9"/>
      <c r="O4911" s="9"/>
      <c r="P4911" s="9"/>
      <c r="Q4911" s="9"/>
      <c r="R4911" s="9"/>
      <c r="S4911" s="9"/>
      <c r="T4911" s="9"/>
    </row>
    <row r="4912" ht="15.75" customHeight="1">
      <c r="A4912" s="11">
        <f>IFERROR(__xludf.DUMMYFUNCTION("""COMPUTED_VALUE"""),44471.0)</f>
        <v>44471</v>
      </c>
      <c r="B4912" s="9">
        <f>IFERROR(__xludf.DUMMYFUNCTION("""COMPUTED_VALUE"""),1003984.0)</f>
        <v>1003984</v>
      </c>
      <c r="C4912" s="9">
        <f>IFERROR(__xludf.DUMMYFUNCTION("""COMPUTED_VALUE"""),68867.0)</f>
        <v>68867</v>
      </c>
      <c r="D4912" s="9"/>
      <c r="E4912" s="9"/>
      <c r="F4912" s="9">
        <f>IFERROR(__xludf.DUMMYFUNCTION("""COMPUTED_VALUE"""),5.22)</f>
        <v>5.22</v>
      </c>
      <c r="G4912" s="9">
        <f>IFERROR(__xludf.DUMMYFUNCTION("""COMPUTED_VALUE"""),5.22)</f>
        <v>5.22</v>
      </c>
      <c r="H4912" s="9">
        <f>IFERROR(__xludf.DUMMYFUNCTION("""COMPUTED_VALUE"""),2.0)</f>
        <v>2</v>
      </c>
      <c r="I4912" s="9"/>
      <c r="J4912" s="9"/>
      <c r="K4912" s="9"/>
      <c r="L4912" s="9"/>
      <c r="M4912" s="9"/>
      <c r="N4912" s="9"/>
      <c r="O4912" s="9"/>
      <c r="P4912" s="9"/>
      <c r="Q4912" s="9"/>
      <c r="R4912" s="9"/>
      <c r="S4912" s="9"/>
      <c r="T4912" s="9"/>
    </row>
    <row r="4913" ht="15.75" customHeight="1">
      <c r="A4913" s="11">
        <f>IFERROR(__xludf.DUMMYFUNCTION("""COMPUTED_VALUE"""),44471.0)</f>
        <v>44471</v>
      </c>
      <c r="B4913" s="9">
        <f>IFERROR(__xludf.DUMMYFUNCTION("""COMPUTED_VALUE"""),1003984.0)</f>
        <v>1003984</v>
      </c>
      <c r="C4913" s="9">
        <f>IFERROR(__xludf.DUMMYFUNCTION("""COMPUTED_VALUE"""),71191.0)</f>
        <v>71191</v>
      </c>
      <c r="D4913" s="10" t="str">
        <f>IFERROR(__xludf.DUMMYFUNCTION("""COMPUTED_VALUE"""),"Vive le bio")</f>
        <v>Vive le bio</v>
      </c>
      <c r="E4913" s="10"/>
      <c r="F4913" s="9">
        <f>IFERROR(__xludf.DUMMYFUNCTION("""COMPUTED_VALUE"""),18.1111111111111)</f>
        <v>18.11111111</v>
      </c>
      <c r="G4913" s="9">
        <f>IFERROR(__xludf.DUMMYFUNCTION("""COMPUTED_VALUE"""),16.3)</f>
        <v>16.3</v>
      </c>
      <c r="H4913" s="9">
        <f>IFERROR(__xludf.DUMMYFUNCTION("""COMPUTED_VALUE"""),5.0)</f>
        <v>5</v>
      </c>
      <c r="I4913" s="9"/>
      <c r="J4913" s="9"/>
      <c r="K4913" s="9"/>
      <c r="L4913" s="9"/>
      <c r="M4913" s="9"/>
      <c r="N4913" s="9"/>
      <c r="O4913" s="9"/>
      <c r="P4913" s="9"/>
      <c r="Q4913" s="9"/>
      <c r="R4913" s="9"/>
      <c r="S4913" s="9"/>
      <c r="T4913" s="9"/>
    </row>
    <row r="4914" ht="15.75" customHeight="1">
      <c r="A4914" s="11">
        <f>IFERROR(__xludf.DUMMYFUNCTION("""COMPUTED_VALUE"""),44471.0)</f>
        <v>44471</v>
      </c>
      <c r="B4914" s="9">
        <f>IFERROR(__xludf.DUMMYFUNCTION("""COMPUTED_VALUE"""),1003984.0)</f>
        <v>1003984</v>
      </c>
      <c r="C4914" s="9">
        <f>IFERROR(__xludf.DUMMYFUNCTION("""COMPUTED_VALUE"""),101380.0)</f>
        <v>101380</v>
      </c>
      <c r="D4914" s="9"/>
      <c r="E4914" s="9"/>
      <c r="F4914" s="9">
        <f>IFERROR(__xludf.DUMMYFUNCTION("""COMPUTED_VALUE"""),19.71)</f>
        <v>19.71</v>
      </c>
      <c r="G4914" s="9">
        <f>IFERROR(__xludf.DUMMYFUNCTION("""COMPUTED_VALUE"""),19.71)</f>
        <v>19.71</v>
      </c>
      <c r="H4914" s="9">
        <f>IFERROR(__xludf.DUMMYFUNCTION("""COMPUTED_VALUE"""),12.0)</f>
        <v>12</v>
      </c>
      <c r="I4914" s="9"/>
      <c r="J4914" s="9"/>
      <c r="K4914" s="9"/>
      <c r="L4914" s="9"/>
      <c r="M4914" s="9"/>
      <c r="N4914" s="9"/>
      <c r="O4914" s="9"/>
      <c r="P4914" s="9"/>
      <c r="Q4914" s="9"/>
      <c r="R4914" s="9"/>
      <c r="S4914" s="9"/>
      <c r="T4914" s="9"/>
    </row>
    <row r="4915" ht="15.75" customHeight="1">
      <c r="A4915" s="11">
        <f>IFERROR(__xludf.DUMMYFUNCTION("""COMPUTED_VALUE"""),44471.0)</f>
        <v>44471</v>
      </c>
      <c r="B4915" s="9">
        <f>IFERROR(__xludf.DUMMYFUNCTION("""COMPUTED_VALUE"""),1003985.0)</f>
        <v>1003985</v>
      </c>
      <c r="C4915" s="9">
        <f>IFERROR(__xludf.DUMMYFUNCTION("""COMPUTED_VALUE"""),114663.0)</f>
        <v>114663</v>
      </c>
      <c r="D4915" s="9"/>
      <c r="E4915" s="10" t="str">
        <f>IFERROR(__xludf.DUMMYFUNCTION("""COMPUTED_VALUE"""),"PREMIERE")</f>
        <v>PREMIERE</v>
      </c>
      <c r="F4915" s="10">
        <f>IFERROR(__xludf.DUMMYFUNCTION("""COMPUTED_VALUE"""),3.38)</f>
        <v>3.38</v>
      </c>
      <c r="G4915" s="9">
        <f>IFERROR(__xludf.DUMMYFUNCTION("""COMPUTED_VALUE"""),3.38)</f>
        <v>3.38</v>
      </c>
      <c r="H4915" s="9">
        <f>IFERROR(__xludf.DUMMYFUNCTION("""COMPUTED_VALUE"""),1.0)</f>
        <v>1</v>
      </c>
      <c r="I4915" s="9"/>
      <c r="J4915" s="9"/>
      <c r="K4915" s="9"/>
      <c r="L4915" s="9"/>
      <c r="M4915" s="9"/>
      <c r="N4915" s="9"/>
      <c r="O4915" s="9"/>
      <c r="P4915" s="9"/>
      <c r="Q4915" s="9"/>
      <c r="R4915" s="9"/>
      <c r="S4915" s="9"/>
      <c r="T4915" s="9"/>
    </row>
    <row r="4916" ht="15.75" customHeight="1">
      <c r="A4916" s="11">
        <f>IFERROR(__xludf.DUMMYFUNCTION("""COMPUTED_VALUE"""),44471.0)</f>
        <v>44471</v>
      </c>
      <c r="B4916" s="9">
        <f>IFERROR(__xludf.DUMMYFUNCTION("""COMPUTED_VALUE"""),1003985.0)</f>
        <v>1003985</v>
      </c>
      <c r="C4916" s="9">
        <f>IFERROR(__xludf.DUMMYFUNCTION("""COMPUTED_VALUE"""),28590.0)</f>
        <v>28590</v>
      </c>
      <c r="D4916" s="9"/>
      <c r="E4916" s="10" t="str">
        <f>IFERROR(__xludf.DUMMYFUNCTION("""COMPUTED_VALUE"""),"PREMIERE")</f>
        <v>PREMIERE</v>
      </c>
      <c r="F4916" s="10">
        <f>IFERROR(__xludf.DUMMYFUNCTION("""COMPUTED_VALUE"""),6.52)</f>
        <v>6.52</v>
      </c>
      <c r="G4916" s="9">
        <f>IFERROR(__xludf.DUMMYFUNCTION("""COMPUTED_VALUE"""),6.52)</f>
        <v>6.52</v>
      </c>
      <c r="H4916" s="9">
        <f>IFERROR(__xludf.DUMMYFUNCTION("""COMPUTED_VALUE"""),1.0)</f>
        <v>1</v>
      </c>
      <c r="I4916" s="9"/>
      <c r="J4916" s="9"/>
      <c r="K4916" s="9"/>
      <c r="L4916" s="9"/>
      <c r="M4916" s="9"/>
      <c r="N4916" s="9"/>
      <c r="O4916" s="9"/>
      <c r="P4916" s="9"/>
      <c r="Q4916" s="9"/>
      <c r="R4916" s="9"/>
      <c r="S4916" s="9"/>
      <c r="T4916" s="9"/>
    </row>
    <row r="4917" ht="15.75" customHeight="1">
      <c r="A4917" s="11">
        <f>IFERROR(__xludf.DUMMYFUNCTION("""COMPUTED_VALUE"""),44471.0)</f>
        <v>44471</v>
      </c>
      <c r="B4917" s="9">
        <f>IFERROR(__xludf.DUMMYFUNCTION("""COMPUTED_VALUE"""),1003985.0)</f>
        <v>1003985</v>
      </c>
      <c r="C4917" s="9">
        <f>IFERROR(__xludf.DUMMYFUNCTION("""COMPUTED_VALUE"""),122599.0)</f>
        <v>122599</v>
      </c>
      <c r="D4917" s="10" t="str">
        <f>IFERROR(__xludf.DUMMYFUNCTION("""COMPUTED_VALUE"""),"Zero Dechet")</f>
        <v>Zero Dechet</v>
      </c>
      <c r="E4917" s="10" t="str">
        <f>IFERROR(__xludf.DUMMYFUNCTION("""COMPUTED_VALUE"""),"PREMIERE")</f>
        <v>PREMIERE</v>
      </c>
      <c r="F4917" s="10">
        <f>IFERROR(__xludf.DUMMYFUNCTION("""COMPUTED_VALUE"""),8.61176470588235)</f>
        <v>8.611764706</v>
      </c>
      <c r="G4917" s="9">
        <f>IFERROR(__xludf.DUMMYFUNCTION("""COMPUTED_VALUE"""),7.32)</f>
        <v>7.32</v>
      </c>
      <c r="H4917" s="9">
        <f>IFERROR(__xludf.DUMMYFUNCTION("""COMPUTED_VALUE"""),1.0)</f>
        <v>1</v>
      </c>
      <c r="I4917" s="9"/>
      <c r="J4917" s="9"/>
      <c r="K4917" s="9"/>
      <c r="L4917" s="9"/>
      <c r="M4917" s="9"/>
      <c r="N4917" s="9"/>
      <c r="O4917" s="9"/>
      <c r="P4917" s="9"/>
      <c r="Q4917" s="9"/>
      <c r="R4917" s="9"/>
      <c r="S4917" s="9"/>
      <c r="T4917" s="9"/>
    </row>
    <row r="4918" ht="15.75" customHeight="1">
      <c r="A4918" s="11">
        <f>IFERROR(__xludf.DUMMYFUNCTION("""COMPUTED_VALUE"""),44471.0)</f>
        <v>44471</v>
      </c>
      <c r="B4918" s="9">
        <f>IFERROR(__xludf.DUMMYFUNCTION("""COMPUTED_VALUE"""),1003985.0)</f>
        <v>1003985</v>
      </c>
      <c r="C4918" s="9">
        <f>IFERROR(__xludf.DUMMYFUNCTION("""COMPUTED_VALUE"""),121068.0)</f>
        <v>121068</v>
      </c>
      <c r="D4918" s="10" t="str">
        <f>IFERROR(__xludf.DUMMYFUNCTION("""COMPUTED_VALUE"""),"Zero Dechet")</f>
        <v>Zero Dechet</v>
      </c>
      <c r="E4918" s="10" t="str">
        <f>IFERROR(__xludf.DUMMYFUNCTION("""COMPUTED_VALUE"""),"PREMIERE")</f>
        <v>PREMIERE</v>
      </c>
      <c r="F4918" s="10">
        <f>IFERROR(__xludf.DUMMYFUNCTION("""COMPUTED_VALUE"""),12.6705882352941)</f>
        <v>12.67058824</v>
      </c>
      <c r="G4918" s="9">
        <f>IFERROR(__xludf.DUMMYFUNCTION("""COMPUTED_VALUE"""),10.77)</f>
        <v>10.77</v>
      </c>
      <c r="H4918" s="9">
        <f>IFERROR(__xludf.DUMMYFUNCTION("""COMPUTED_VALUE"""),1.0)</f>
        <v>1</v>
      </c>
      <c r="I4918" s="9"/>
      <c r="J4918" s="9"/>
      <c r="K4918" s="9"/>
      <c r="L4918" s="9"/>
      <c r="M4918" s="9"/>
      <c r="N4918" s="9"/>
      <c r="O4918" s="9"/>
      <c r="P4918" s="9"/>
      <c r="Q4918" s="9"/>
      <c r="R4918" s="9"/>
      <c r="S4918" s="9"/>
      <c r="T4918" s="9"/>
    </row>
    <row r="4919" ht="15.75" customHeight="1">
      <c r="A4919" s="11">
        <f>IFERROR(__xludf.DUMMYFUNCTION("""COMPUTED_VALUE"""),44471.0)</f>
        <v>44471</v>
      </c>
      <c r="B4919" s="9">
        <f>IFERROR(__xludf.DUMMYFUNCTION("""COMPUTED_VALUE"""),1003985.0)</f>
        <v>1003985</v>
      </c>
      <c r="C4919" s="9">
        <f>IFERROR(__xludf.DUMMYFUNCTION("""COMPUTED_VALUE"""),69500.0)</f>
        <v>69500</v>
      </c>
      <c r="D4919" s="10" t="str">
        <f>IFERROR(__xludf.DUMMYFUNCTION("""COMPUTED_VALUE"""),"Vive le bio")</f>
        <v>Vive le bio</v>
      </c>
      <c r="E4919" s="10" t="str">
        <f>IFERROR(__xludf.DUMMYFUNCTION("""COMPUTED_VALUE"""),"PREMIERE")</f>
        <v>PREMIERE</v>
      </c>
      <c r="F4919" s="10">
        <f>IFERROR(__xludf.DUMMYFUNCTION("""COMPUTED_VALUE"""),5.89999999999999)</f>
        <v>5.9</v>
      </c>
      <c r="G4919" s="9">
        <f>IFERROR(__xludf.DUMMYFUNCTION("""COMPUTED_VALUE"""),5.31)</f>
        <v>5.31</v>
      </c>
      <c r="H4919" s="9">
        <f>IFERROR(__xludf.DUMMYFUNCTION("""COMPUTED_VALUE"""),1.0)</f>
        <v>1</v>
      </c>
      <c r="I4919" s="9"/>
      <c r="J4919" s="9"/>
      <c r="K4919" s="9"/>
      <c r="L4919" s="9"/>
      <c r="M4919" s="9"/>
      <c r="N4919" s="9"/>
      <c r="O4919" s="9"/>
      <c r="P4919" s="9"/>
      <c r="Q4919" s="9"/>
      <c r="R4919" s="9"/>
      <c r="S4919" s="9"/>
      <c r="T4919" s="9"/>
    </row>
    <row r="4920" ht="15.75" customHeight="1">
      <c r="A4920" s="11">
        <f>IFERROR(__xludf.DUMMYFUNCTION("""COMPUTED_VALUE"""),44471.0)</f>
        <v>44471</v>
      </c>
      <c r="B4920" s="9">
        <f>IFERROR(__xludf.DUMMYFUNCTION("""COMPUTED_VALUE"""),1003985.0)</f>
        <v>1003985</v>
      </c>
      <c r="C4920" s="9">
        <f>IFERROR(__xludf.DUMMYFUNCTION("""COMPUTED_VALUE"""),111842.0)</f>
        <v>111842</v>
      </c>
      <c r="D4920" s="10" t="str">
        <f>IFERROR(__xludf.DUMMYFUNCTION("""COMPUTED_VALUE"""),"Vive le bio")</f>
        <v>Vive le bio</v>
      </c>
      <c r="E4920" s="10" t="str">
        <f>IFERROR(__xludf.DUMMYFUNCTION("""COMPUTED_VALUE"""),"PREMIERE")</f>
        <v>PREMIERE</v>
      </c>
      <c r="F4920" s="10">
        <f>IFERROR(__xludf.DUMMYFUNCTION("""COMPUTED_VALUE"""),4.24444444444444)</f>
        <v>4.244444444</v>
      </c>
      <c r="G4920" s="9">
        <f>IFERROR(__xludf.DUMMYFUNCTION("""COMPUTED_VALUE"""),3.82)</f>
        <v>3.82</v>
      </c>
      <c r="H4920" s="9">
        <f>IFERROR(__xludf.DUMMYFUNCTION("""COMPUTED_VALUE"""),1.0)</f>
        <v>1</v>
      </c>
      <c r="I4920" s="9"/>
      <c r="J4920" s="9"/>
      <c r="K4920" s="9"/>
      <c r="L4920" s="9"/>
      <c r="M4920" s="9"/>
      <c r="N4920" s="9"/>
      <c r="O4920" s="9"/>
      <c r="P4920" s="9"/>
      <c r="Q4920" s="9"/>
      <c r="R4920" s="9"/>
      <c r="S4920" s="9"/>
      <c r="T4920" s="9"/>
    </row>
    <row r="4921" ht="15.75" customHeight="1">
      <c r="A4921" s="11">
        <f>IFERROR(__xludf.DUMMYFUNCTION("""COMPUTED_VALUE"""),44471.0)</f>
        <v>44471</v>
      </c>
      <c r="B4921" s="9">
        <f>IFERROR(__xludf.DUMMYFUNCTION("""COMPUTED_VALUE"""),1003985.0)</f>
        <v>1003985</v>
      </c>
      <c r="C4921" s="9">
        <f>IFERROR(__xludf.DUMMYFUNCTION("""COMPUTED_VALUE"""),121519.0)</f>
        <v>121519</v>
      </c>
      <c r="D4921" s="9"/>
      <c r="E4921" s="10" t="str">
        <f>IFERROR(__xludf.DUMMYFUNCTION("""COMPUTED_VALUE"""),"PREMIERE")</f>
        <v>PREMIERE</v>
      </c>
      <c r="F4921" s="10">
        <f>IFERROR(__xludf.DUMMYFUNCTION("""COMPUTED_VALUE"""),6.99)</f>
        <v>6.99</v>
      </c>
      <c r="G4921" s="9">
        <f>IFERROR(__xludf.DUMMYFUNCTION("""COMPUTED_VALUE"""),6.99)</f>
        <v>6.99</v>
      </c>
      <c r="H4921" s="9">
        <f>IFERROR(__xludf.DUMMYFUNCTION("""COMPUTED_VALUE"""),1.0)</f>
        <v>1</v>
      </c>
      <c r="I4921" s="9"/>
      <c r="J4921" s="9"/>
      <c r="K4921" s="9"/>
      <c r="L4921" s="9"/>
      <c r="M4921" s="9"/>
      <c r="N4921" s="9"/>
      <c r="O4921" s="9"/>
      <c r="P4921" s="9"/>
      <c r="Q4921" s="9"/>
      <c r="R4921" s="9"/>
      <c r="S4921" s="9"/>
      <c r="T4921" s="9"/>
    </row>
    <row r="4922" ht="15.75" customHeight="1">
      <c r="A4922" s="11">
        <f>IFERROR(__xludf.DUMMYFUNCTION("""COMPUTED_VALUE"""),44471.0)</f>
        <v>44471</v>
      </c>
      <c r="B4922" s="9">
        <f>IFERROR(__xludf.DUMMYFUNCTION("""COMPUTED_VALUE"""),1003985.0)</f>
        <v>1003985</v>
      </c>
      <c r="C4922" s="9">
        <f>IFERROR(__xludf.DUMMYFUNCTION("""COMPUTED_VALUE"""),80785.0)</f>
        <v>80785</v>
      </c>
      <c r="D4922" s="9"/>
      <c r="E4922" s="10" t="str">
        <f>IFERROR(__xludf.DUMMYFUNCTION("""COMPUTED_VALUE"""),"PREMIERE")</f>
        <v>PREMIERE</v>
      </c>
      <c r="F4922" s="10">
        <f>IFERROR(__xludf.DUMMYFUNCTION("""COMPUTED_VALUE"""),2.98)</f>
        <v>2.98</v>
      </c>
      <c r="G4922" s="9">
        <f>IFERROR(__xludf.DUMMYFUNCTION("""COMPUTED_VALUE"""),2.98)</f>
        <v>2.98</v>
      </c>
      <c r="H4922" s="9">
        <f>IFERROR(__xludf.DUMMYFUNCTION("""COMPUTED_VALUE"""),2.0)</f>
        <v>2</v>
      </c>
      <c r="I4922" s="9"/>
      <c r="J4922" s="9"/>
      <c r="K4922" s="9"/>
      <c r="L4922" s="9"/>
      <c r="M4922" s="9"/>
      <c r="N4922" s="9"/>
      <c r="O4922" s="9"/>
      <c r="P4922" s="9"/>
      <c r="Q4922" s="9"/>
      <c r="R4922" s="9"/>
      <c r="S4922" s="9"/>
      <c r="T4922" s="9"/>
    </row>
    <row r="4923" ht="15.75" customHeight="1">
      <c r="A4923" s="11">
        <f>IFERROR(__xludf.DUMMYFUNCTION("""COMPUTED_VALUE"""),44471.0)</f>
        <v>44471</v>
      </c>
      <c r="B4923" s="9">
        <f>IFERROR(__xludf.DUMMYFUNCTION("""COMPUTED_VALUE"""),1003986.0)</f>
        <v>1003986</v>
      </c>
      <c r="C4923" s="9">
        <f>IFERROR(__xludf.DUMMYFUNCTION("""COMPUTED_VALUE"""),127018.0)</f>
        <v>127018</v>
      </c>
      <c r="D4923" s="9"/>
      <c r="E4923" s="9"/>
      <c r="F4923" s="9">
        <f>IFERROR(__xludf.DUMMYFUNCTION("""COMPUTED_VALUE"""),11.52)</f>
        <v>11.52</v>
      </c>
      <c r="G4923" s="9">
        <f>IFERROR(__xludf.DUMMYFUNCTION("""COMPUTED_VALUE"""),11.52)</f>
        <v>11.52</v>
      </c>
      <c r="H4923" s="9">
        <f>IFERROR(__xludf.DUMMYFUNCTION("""COMPUTED_VALUE"""),1.0)</f>
        <v>1</v>
      </c>
      <c r="I4923" s="9"/>
      <c r="J4923" s="9"/>
      <c r="K4923" s="9"/>
      <c r="L4923" s="9"/>
      <c r="M4923" s="9"/>
      <c r="N4923" s="9"/>
      <c r="O4923" s="9"/>
      <c r="P4923" s="9"/>
      <c r="Q4923" s="9"/>
      <c r="R4923" s="9"/>
      <c r="S4923" s="9"/>
      <c r="T4923" s="9"/>
    </row>
    <row r="4924" ht="15.75" customHeight="1">
      <c r="A4924" s="11">
        <f>IFERROR(__xludf.DUMMYFUNCTION("""COMPUTED_VALUE"""),44471.0)</f>
        <v>44471</v>
      </c>
      <c r="B4924" s="9">
        <f>IFERROR(__xludf.DUMMYFUNCTION("""COMPUTED_VALUE"""),1003986.0)</f>
        <v>1003986</v>
      </c>
      <c r="C4924" s="9">
        <f>IFERROR(__xludf.DUMMYFUNCTION("""COMPUTED_VALUE"""),70414.0)</f>
        <v>70414</v>
      </c>
      <c r="D4924" s="9"/>
      <c r="E4924" s="9"/>
      <c r="F4924" s="9">
        <f>IFERROR(__xludf.DUMMYFUNCTION("""COMPUTED_VALUE"""),1.94)</f>
        <v>1.94</v>
      </c>
      <c r="G4924" s="9">
        <f>IFERROR(__xludf.DUMMYFUNCTION("""COMPUTED_VALUE"""),1.94)</f>
        <v>1.94</v>
      </c>
      <c r="H4924" s="9">
        <f>IFERROR(__xludf.DUMMYFUNCTION("""COMPUTED_VALUE"""),1.0)</f>
        <v>1</v>
      </c>
      <c r="I4924" s="9"/>
      <c r="J4924" s="9"/>
      <c r="K4924" s="9"/>
      <c r="L4924" s="9"/>
      <c r="M4924" s="9"/>
      <c r="N4924" s="9"/>
      <c r="O4924" s="9"/>
      <c r="P4924" s="9"/>
      <c r="Q4924" s="9"/>
      <c r="R4924" s="9"/>
      <c r="S4924" s="9"/>
      <c r="T4924" s="9"/>
    </row>
    <row r="4925" ht="15.75" customHeight="1">
      <c r="A4925" s="11">
        <f>IFERROR(__xludf.DUMMYFUNCTION("""COMPUTED_VALUE"""),44471.0)</f>
        <v>44471</v>
      </c>
      <c r="B4925" s="9">
        <f>IFERROR(__xludf.DUMMYFUNCTION("""COMPUTED_VALUE"""),1003986.0)</f>
        <v>1003986</v>
      </c>
      <c r="C4925" s="9">
        <f>IFERROR(__xludf.DUMMYFUNCTION("""COMPUTED_VALUE"""),9671.0)</f>
        <v>9671</v>
      </c>
      <c r="D4925" s="9"/>
      <c r="E4925" s="9"/>
      <c r="F4925" s="9">
        <f>IFERROR(__xludf.DUMMYFUNCTION("""COMPUTED_VALUE"""),1.88)</f>
        <v>1.88</v>
      </c>
      <c r="G4925" s="9">
        <f>IFERROR(__xludf.DUMMYFUNCTION("""COMPUTED_VALUE"""),1.88)</f>
        <v>1.88</v>
      </c>
      <c r="H4925" s="9">
        <f>IFERROR(__xludf.DUMMYFUNCTION("""COMPUTED_VALUE"""),1.0)</f>
        <v>1</v>
      </c>
      <c r="I4925" s="9"/>
      <c r="J4925" s="9"/>
      <c r="K4925" s="9"/>
      <c r="L4925" s="9"/>
      <c r="M4925" s="9"/>
      <c r="N4925" s="9"/>
      <c r="O4925" s="9"/>
      <c r="P4925" s="9"/>
      <c r="Q4925" s="9"/>
      <c r="R4925" s="9"/>
      <c r="S4925" s="9"/>
      <c r="T4925" s="9"/>
    </row>
    <row r="4926" ht="15.75" customHeight="1">
      <c r="A4926" s="11">
        <f>IFERROR(__xludf.DUMMYFUNCTION("""COMPUTED_VALUE"""),44471.0)</f>
        <v>44471</v>
      </c>
      <c r="B4926" s="9">
        <f>IFERROR(__xludf.DUMMYFUNCTION("""COMPUTED_VALUE"""),1003986.0)</f>
        <v>1003986</v>
      </c>
      <c r="C4926" s="9">
        <f>IFERROR(__xludf.DUMMYFUNCTION("""COMPUTED_VALUE"""),79423.0)</f>
        <v>79423</v>
      </c>
      <c r="D4926" s="9"/>
      <c r="E4926" s="9"/>
      <c r="F4926" s="9">
        <f>IFERROR(__xludf.DUMMYFUNCTION("""COMPUTED_VALUE"""),1.88)</f>
        <v>1.88</v>
      </c>
      <c r="G4926" s="9">
        <f>IFERROR(__xludf.DUMMYFUNCTION("""COMPUTED_VALUE"""),1.88)</f>
        <v>1.88</v>
      </c>
      <c r="H4926" s="9">
        <f>IFERROR(__xludf.DUMMYFUNCTION("""COMPUTED_VALUE"""),1.0)</f>
        <v>1</v>
      </c>
      <c r="I4926" s="9"/>
      <c r="J4926" s="9"/>
      <c r="K4926" s="9"/>
      <c r="L4926" s="9"/>
      <c r="M4926" s="9"/>
      <c r="N4926" s="9"/>
      <c r="O4926" s="9"/>
      <c r="P4926" s="9"/>
      <c r="Q4926" s="9"/>
      <c r="R4926" s="9"/>
      <c r="S4926" s="9"/>
      <c r="T4926" s="9"/>
    </row>
    <row r="4927" ht="15.75" customHeight="1">
      <c r="A4927" s="11">
        <f>IFERROR(__xludf.DUMMYFUNCTION("""COMPUTED_VALUE"""),44471.0)</f>
        <v>44471</v>
      </c>
      <c r="B4927" s="9">
        <f>IFERROR(__xludf.DUMMYFUNCTION("""COMPUTED_VALUE"""),1003986.0)</f>
        <v>1003986</v>
      </c>
      <c r="C4927" s="9">
        <f>IFERROR(__xludf.DUMMYFUNCTION("""COMPUTED_VALUE"""),2148.0)</f>
        <v>2148</v>
      </c>
      <c r="D4927" s="9"/>
      <c r="E4927" s="9"/>
      <c r="F4927" s="9">
        <f>IFERROR(__xludf.DUMMYFUNCTION("""COMPUTED_VALUE"""),5.03)</f>
        <v>5.03</v>
      </c>
      <c r="G4927" s="9">
        <f>IFERROR(__xludf.DUMMYFUNCTION("""COMPUTED_VALUE"""),5.03)</f>
        <v>5.03</v>
      </c>
      <c r="H4927" s="9">
        <f>IFERROR(__xludf.DUMMYFUNCTION("""COMPUTED_VALUE"""),1.0)</f>
        <v>1</v>
      </c>
      <c r="I4927" s="9"/>
      <c r="J4927" s="9"/>
      <c r="K4927" s="9"/>
      <c r="L4927" s="9"/>
      <c r="M4927" s="9"/>
      <c r="N4927" s="9"/>
      <c r="O4927" s="9"/>
      <c r="P4927" s="9"/>
      <c r="Q4927" s="9"/>
      <c r="R4927" s="9"/>
      <c r="S4927" s="9"/>
      <c r="T4927" s="9"/>
    </row>
    <row r="4928" ht="15.75" customHeight="1">
      <c r="A4928" s="11">
        <f>IFERROR(__xludf.DUMMYFUNCTION("""COMPUTED_VALUE"""),44471.0)</f>
        <v>44471</v>
      </c>
      <c r="B4928" s="9">
        <f>IFERROR(__xludf.DUMMYFUNCTION("""COMPUTED_VALUE"""),1003986.0)</f>
        <v>1003986</v>
      </c>
      <c r="C4928" s="9">
        <f>IFERROR(__xludf.DUMMYFUNCTION("""COMPUTED_VALUE"""),85156.0)</f>
        <v>85156</v>
      </c>
      <c r="D4928" s="9"/>
      <c r="E4928" s="9"/>
      <c r="F4928" s="9">
        <f>IFERROR(__xludf.DUMMYFUNCTION("""COMPUTED_VALUE"""),3.41)</f>
        <v>3.41</v>
      </c>
      <c r="G4928" s="9">
        <f>IFERROR(__xludf.DUMMYFUNCTION("""COMPUTED_VALUE"""),3.41)</f>
        <v>3.41</v>
      </c>
      <c r="H4928" s="9">
        <f>IFERROR(__xludf.DUMMYFUNCTION("""COMPUTED_VALUE"""),1.0)</f>
        <v>1</v>
      </c>
      <c r="I4928" s="9"/>
      <c r="J4928" s="9"/>
      <c r="K4928" s="9"/>
      <c r="L4928" s="9"/>
      <c r="M4928" s="9"/>
      <c r="N4928" s="9"/>
      <c r="O4928" s="9"/>
      <c r="P4928" s="9"/>
      <c r="Q4928" s="9"/>
      <c r="R4928" s="9"/>
      <c r="S4928" s="9"/>
      <c r="T4928" s="9"/>
    </row>
    <row r="4929" ht="15.75" customHeight="1">
      <c r="A4929" s="11">
        <f>IFERROR(__xludf.DUMMYFUNCTION("""COMPUTED_VALUE"""),44471.0)</f>
        <v>44471</v>
      </c>
      <c r="B4929" s="9">
        <f>IFERROR(__xludf.DUMMYFUNCTION("""COMPUTED_VALUE"""),1003986.0)</f>
        <v>1003986</v>
      </c>
      <c r="C4929" s="9">
        <f>IFERROR(__xludf.DUMMYFUNCTION("""COMPUTED_VALUE"""),4261.0)</f>
        <v>4261</v>
      </c>
      <c r="D4929" s="9"/>
      <c r="E4929" s="9"/>
      <c r="F4929" s="9">
        <f>IFERROR(__xludf.DUMMYFUNCTION("""COMPUTED_VALUE"""),2.54)</f>
        <v>2.54</v>
      </c>
      <c r="G4929" s="9">
        <f>IFERROR(__xludf.DUMMYFUNCTION("""COMPUTED_VALUE"""),2.54)</f>
        <v>2.54</v>
      </c>
      <c r="H4929" s="9">
        <f>IFERROR(__xludf.DUMMYFUNCTION("""COMPUTED_VALUE"""),1.0)</f>
        <v>1</v>
      </c>
      <c r="I4929" s="9"/>
      <c r="J4929" s="9"/>
      <c r="K4929" s="9"/>
      <c r="L4929" s="9"/>
      <c r="M4929" s="9"/>
      <c r="N4929" s="9"/>
      <c r="O4929" s="9"/>
      <c r="P4929" s="9"/>
      <c r="Q4929" s="9"/>
      <c r="R4929" s="9"/>
      <c r="S4929" s="9"/>
      <c r="T4929" s="9"/>
    </row>
    <row r="4930" ht="15.75" customHeight="1">
      <c r="A4930" s="11">
        <f>IFERROR(__xludf.DUMMYFUNCTION("""COMPUTED_VALUE"""),44471.0)</f>
        <v>44471</v>
      </c>
      <c r="B4930" s="9">
        <f>IFERROR(__xludf.DUMMYFUNCTION("""COMPUTED_VALUE"""),1003986.0)</f>
        <v>1003986</v>
      </c>
      <c r="C4930" s="9">
        <f>IFERROR(__xludf.DUMMYFUNCTION("""COMPUTED_VALUE"""),200354.0)</f>
        <v>200354</v>
      </c>
      <c r="D4930" s="9"/>
      <c r="E4930" s="9"/>
      <c r="F4930" s="9">
        <f>IFERROR(__xludf.DUMMYFUNCTION("""COMPUTED_VALUE"""),6.83)</f>
        <v>6.83</v>
      </c>
      <c r="G4930" s="9">
        <f>IFERROR(__xludf.DUMMYFUNCTION("""COMPUTED_VALUE"""),6.83)</f>
        <v>6.83</v>
      </c>
      <c r="H4930" s="9">
        <f>IFERROR(__xludf.DUMMYFUNCTION("""COMPUTED_VALUE"""),1.0)</f>
        <v>1</v>
      </c>
      <c r="I4930" s="9"/>
      <c r="J4930" s="9"/>
      <c r="K4930" s="9"/>
      <c r="L4930" s="9"/>
      <c r="M4930" s="9"/>
      <c r="N4930" s="9"/>
      <c r="O4930" s="9"/>
      <c r="P4930" s="9"/>
      <c r="Q4930" s="9"/>
      <c r="R4930" s="9"/>
      <c r="S4930" s="9"/>
      <c r="T4930" s="9"/>
    </row>
    <row r="4931" ht="15.75" customHeight="1">
      <c r="A4931" s="11">
        <f>IFERROR(__xludf.DUMMYFUNCTION("""COMPUTED_VALUE"""),44471.0)</f>
        <v>44471</v>
      </c>
      <c r="B4931" s="9">
        <f>IFERROR(__xludf.DUMMYFUNCTION("""COMPUTED_VALUE"""),1003986.0)</f>
        <v>1003986</v>
      </c>
      <c r="C4931" s="9">
        <f>IFERROR(__xludf.DUMMYFUNCTION("""COMPUTED_VALUE"""),111147.0)</f>
        <v>111147</v>
      </c>
      <c r="D4931" s="9"/>
      <c r="E4931" s="9"/>
      <c r="F4931" s="9">
        <f>IFERROR(__xludf.DUMMYFUNCTION("""COMPUTED_VALUE"""),2.17)</f>
        <v>2.17</v>
      </c>
      <c r="G4931" s="9">
        <f>IFERROR(__xludf.DUMMYFUNCTION("""COMPUTED_VALUE"""),2.17)</f>
        <v>2.17</v>
      </c>
      <c r="H4931" s="9">
        <f>IFERROR(__xludf.DUMMYFUNCTION("""COMPUTED_VALUE"""),1.0)</f>
        <v>1</v>
      </c>
      <c r="I4931" s="9"/>
      <c r="J4931" s="9"/>
      <c r="K4931" s="9"/>
      <c r="L4931" s="9"/>
      <c r="M4931" s="9"/>
      <c r="N4931" s="9"/>
      <c r="O4931" s="9"/>
      <c r="P4931" s="9"/>
      <c r="Q4931" s="9"/>
      <c r="R4931" s="9"/>
      <c r="S4931" s="9"/>
      <c r="T4931" s="9"/>
    </row>
    <row r="4932" ht="15.75" customHeight="1">
      <c r="A4932" s="11">
        <f>IFERROR(__xludf.DUMMYFUNCTION("""COMPUTED_VALUE"""),44471.0)</f>
        <v>44471</v>
      </c>
      <c r="B4932" s="9">
        <f>IFERROR(__xludf.DUMMYFUNCTION("""COMPUTED_VALUE"""),1003986.0)</f>
        <v>1003986</v>
      </c>
      <c r="C4932" s="9">
        <f>IFERROR(__xludf.DUMMYFUNCTION("""COMPUTED_VALUE"""),108071.0)</f>
        <v>108071</v>
      </c>
      <c r="D4932" s="9"/>
      <c r="E4932" s="9"/>
      <c r="F4932" s="9">
        <f>IFERROR(__xludf.DUMMYFUNCTION("""COMPUTED_VALUE"""),1.65)</f>
        <v>1.65</v>
      </c>
      <c r="G4932" s="9">
        <f>IFERROR(__xludf.DUMMYFUNCTION("""COMPUTED_VALUE"""),1.65)</f>
        <v>1.65</v>
      </c>
      <c r="H4932" s="9">
        <f>IFERROR(__xludf.DUMMYFUNCTION("""COMPUTED_VALUE"""),1.0)</f>
        <v>1</v>
      </c>
      <c r="I4932" s="9"/>
      <c r="J4932" s="9"/>
      <c r="K4932" s="9"/>
      <c r="L4932" s="9"/>
      <c r="M4932" s="9"/>
      <c r="N4932" s="9"/>
      <c r="O4932" s="9"/>
      <c r="P4932" s="9"/>
      <c r="Q4932" s="9"/>
      <c r="R4932" s="9"/>
      <c r="S4932" s="9"/>
      <c r="T4932" s="9"/>
    </row>
    <row r="4933" ht="15.75" customHeight="1">
      <c r="A4933" s="11">
        <f>IFERROR(__xludf.DUMMYFUNCTION("""COMPUTED_VALUE"""),44471.0)</f>
        <v>44471</v>
      </c>
      <c r="B4933" s="9">
        <f>IFERROR(__xludf.DUMMYFUNCTION("""COMPUTED_VALUE"""),1003986.0)</f>
        <v>1003986</v>
      </c>
      <c r="C4933" s="9">
        <f>IFERROR(__xludf.DUMMYFUNCTION("""COMPUTED_VALUE"""),46771.0)</f>
        <v>46771</v>
      </c>
      <c r="D4933" s="9"/>
      <c r="E4933" s="9"/>
      <c r="F4933" s="9">
        <f>IFERROR(__xludf.DUMMYFUNCTION("""COMPUTED_VALUE"""),8.22)</f>
        <v>8.22</v>
      </c>
      <c r="G4933" s="9">
        <f>IFERROR(__xludf.DUMMYFUNCTION("""COMPUTED_VALUE"""),8.22)</f>
        <v>8.22</v>
      </c>
      <c r="H4933" s="9">
        <f>IFERROR(__xludf.DUMMYFUNCTION("""COMPUTED_VALUE"""),1.0)</f>
        <v>1</v>
      </c>
      <c r="I4933" s="9"/>
      <c r="J4933" s="9"/>
      <c r="K4933" s="9"/>
      <c r="L4933" s="9"/>
      <c r="M4933" s="9"/>
      <c r="N4933" s="9"/>
      <c r="O4933" s="9"/>
      <c r="P4933" s="9"/>
      <c r="Q4933" s="9"/>
      <c r="R4933" s="9"/>
      <c r="S4933" s="9"/>
      <c r="T4933" s="9"/>
    </row>
    <row r="4934" ht="15.75" customHeight="1">
      <c r="A4934" s="11">
        <f>IFERROR(__xludf.DUMMYFUNCTION("""COMPUTED_VALUE"""),44471.0)</f>
        <v>44471</v>
      </c>
      <c r="B4934" s="9">
        <f>IFERROR(__xludf.DUMMYFUNCTION("""COMPUTED_VALUE"""),1003986.0)</f>
        <v>1003986</v>
      </c>
      <c r="C4934" s="9">
        <f>IFERROR(__xludf.DUMMYFUNCTION("""COMPUTED_VALUE"""),200323.0)</f>
        <v>200323</v>
      </c>
      <c r="D4934" s="9"/>
      <c r="E4934" s="9"/>
      <c r="F4934" s="9">
        <f>IFERROR(__xludf.DUMMYFUNCTION("""COMPUTED_VALUE"""),8.97)</f>
        <v>8.97</v>
      </c>
      <c r="G4934" s="9">
        <f>IFERROR(__xludf.DUMMYFUNCTION("""COMPUTED_VALUE"""),8.97)</f>
        <v>8.97</v>
      </c>
      <c r="H4934" s="9">
        <f>IFERROR(__xludf.DUMMYFUNCTION("""COMPUTED_VALUE"""),1.0)</f>
        <v>1</v>
      </c>
      <c r="I4934" s="9"/>
      <c r="J4934" s="9"/>
      <c r="K4934" s="9"/>
      <c r="L4934" s="9"/>
      <c r="M4934" s="9"/>
      <c r="N4934" s="9"/>
      <c r="O4934" s="9"/>
      <c r="P4934" s="9"/>
      <c r="Q4934" s="9"/>
      <c r="R4934" s="9"/>
      <c r="S4934" s="9"/>
      <c r="T4934" s="9"/>
    </row>
    <row r="4935" ht="15.75" customHeight="1">
      <c r="A4935" s="11">
        <f>IFERROR(__xludf.DUMMYFUNCTION("""COMPUTED_VALUE"""),44471.0)</f>
        <v>44471</v>
      </c>
      <c r="B4935" s="9">
        <f>IFERROR(__xludf.DUMMYFUNCTION("""COMPUTED_VALUE"""),1003986.0)</f>
        <v>1003986</v>
      </c>
      <c r="C4935" s="9">
        <f>IFERROR(__xludf.DUMMYFUNCTION("""COMPUTED_VALUE"""),117618.0)</f>
        <v>117618</v>
      </c>
      <c r="D4935" s="10" t="str">
        <f>IFERROR(__xludf.DUMMYFUNCTION("""COMPUTED_VALUE"""),"Vive le bio")</f>
        <v>Vive le bio</v>
      </c>
      <c r="E4935" s="10"/>
      <c r="F4935" s="9">
        <f>IFERROR(__xludf.DUMMYFUNCTION("""COMPUTED_VALUE"""),3.83157894736842)</f>
        <v>3.831578947</v>
      </c>
      <c r="G4935" s="9">
        <f>IFERROR(__xludf.DUMMYFUNCTION("""COMPUTED_VALUE"""),3.64)</f>
        <v>3.64</v>
      </c>
      <c r="H4935" s="9">
        <f>IFERROR(__xludf.DUMMYFUNCTION("""COMPUTED_VALUE"""),1.0)</f>
        <v>1</v>
      </c>
      <c r="I4935" s="9"/>
      <c r="J4935" s="9"/>
      <c r="K4935" s="9"/>
      <c r="L4935" s="9"/>
      <c r="M4935" s="9"/>
      <c r="N4935" s="9"/>
      <c r="O4935" s="9"/>
      <c r="P4935" s="9"/>
      <c r="Q4935" s="9"/>
      <c r="R4935" s="9"/>
      <c r="S4935" s="9"/>
      <c r="T4935" s="9"/>
    </row>
    <row r="4936" ht="15.75" customHeight="1">
      <c r="A4936" s="11">
        <f>IFERROR(__xludf.DUMMYFUNCTION("""COMPUTED_VALUE"""),44471.0)</f>
        <v>44471</v>
      </c>
      <c r="B4936" s="9">
        <f>IFERROR(__xludf.DUMMYFUNCTION("""COMPUTED_VALUE"""),1003986.0)</f>
        <v>1003986</v>
      </c>
      <c r="C4936" s="9">
        <f>IFERROR(__xludf.DUMMYFUNCTION("""COMPUTED_VALUE"""),93899.0)</f>
        <v>93899</v>
      </c>
      <c r="D4936" s="9"/>
      <c r="E4936" s="9"/>
      <c r="F4936" s="9">
        <f>IFERROR(__xludf.DUMMYFUNCTION("""COMPUTED_VALUE"""),2.31)</f>
        <v>2.31</v>
      </c>
      <c r="G4936" s="9">
        <f>IFERROR(__xludf.DUMMYFUNCTION("""COMPUTED_VALUE"""),2.31)</f>
        <v>2.31</v>
      </c>
      <c r="H4936" s="9">
        <f>IFERROR(__xludf.DUMMYFUNCTION("""COMPUTED_VALUE"""),1.0)</f>
        <v>1</v>
      </c>
      <c r="I4936" s="9"/>
      <c r="J4936" s="9"/>
      <c r="K4936" s="9"/>
      <c r="L4936" s="9"/>
      <c r="M4936" s="9"/>
      <c r="N4936" s="9"/>
      <c r="O4936" s="9"/>
      <c r="P4936" s="9"/>
      <c r="Q4936" s="9"/>
      <c r="R4936" s="9"/>
      <c r="S4936" s="9"/>
      <c r="T4936" s="9"/>
    </row>
    <row r="4937" ht="15.75" customHeight="1">
      <c r="A4937" s="11">
        <f>IFERROR(__xludf.DUMMYFUNCTION("""COMPUTED_VALUE"""),44471.0)</f>
        <v>44471</v>
      </c>
      <c r="B4937" s="9">
        <f>IFERROR(__xludf.DUMMYFUNCTION("""COMPUTED_VALUE"""),1003986.0)</f>
        <v>1003986</v>
      </c>
      <c r="C4937" s="9">
        <f>IFERROR(__xludf.DUMMYFUNCTION("""COMPUTED_VALUE"""),9660.0)</f>
        <v>9660</v>
      </c>
      <c r="D4937" s="9"/>
      <c r="E4937" s="9"/>
      <c r="F4937" s="9">
        <f>IFERROR(__xludf.DUMMYFUNCTION("""COMPUTED_VALUE"""),2.44)</f>
        <v>2.44</v>
      </c>
      <c r="G4937" s="9">
        <f>IFERROR(__xludf.DUMMYFUNCTION("""COMPUTED_VALUE"""),2.44)</f>
        <v>2.44</v>
      </c>
      <c r="H4937" s="9">
        <f>IFERROR(__xludf.DUMMYFUNCTION("""COMPUTED_VALUE"""),1.0)</f>
        <v>1</v>
      </c>
      <c r="I4937" s="9"/>
      <c r="J4937" s="9"/>
      <c r="K4937" s="9"/>
      <c r="L4937" s="9"/>
      <c r="M4937" s="9"/>
      <c r="N4937" s="9"/>
      <c r="O4937" s="9"/>
      <c r="P4937" s="9"/>
      <c r="Q4937" s="9"/>
      <c r="R4937" s="9"/>
      <c r="S4937" s="9"/>
      <c r="T4937" s="9"/>
    </row>
    <row r="4938" ht="15.75" customHeight="1">
      <c r="A4938" s="11">
        <f>IFERROR(__xludf.DUMMYFUNCTION("""COMPUTED_VALUE"""),44471.0)</f>
        <v>44471</v>
      </c>
      <c r="B4938" s="9">
        <f>IFERROR(__xludf.DUMMYFUNCTION("""COMPUTED_VALUE"""),1003986.0)</f>
        <v>1003986</v>
      </c>
      <c r="C4938" s="9">
        <f>IFERROR(__xludf.DUMMYFUNCTION("""COMPUTED_VALUE"""),86005.0)</f>
        <v>86005</v>
      </c>
      <c r="D4938" s="9"/>
      <c r="E4938" s="9"/>
      <c r="F4938" s="9">
        <f>IFERROR(__xludf.DUMMYFUNCTION("""COMPUTED_VALUE"""),5.66)</f>
        <v>5.66</v>
      </c>
      <c r="G4938" s="9">
        <f>IFERROR(__xludf.DUMMYFUNCTION("""COMPUTED_VALUE"""),5.66)</f>
        <v>5.66</v>
      </c>
      <c r="H4938" s="9">
        <f>IFERROR(__xludf.DUMMYFUNCTION("""COMPUTED_VALUE"""),1.0)</f>
        <v>1</v>
      </c>
      <c r="I4938" s="9"/>
      <c r="J4938" s="9"/>
      <c r="K4938" s="9"/>
      <c r="L4938" s="9"/>
      <c r="M4938" s="9"/>
      <c r="N4938" s="9"/>
      <c r="O4938" s="9"/>
      <c r="P4938" s="9"/>
      <c r="Q4938" s="9"/>
      <c r="R4938" s="9"/>
      <c r="S4938" s="9"/>
      <c r="T4938" s="9"/>
    </row>
    <row r="4939" ht="15.75" customHeight="1">
      <c r="A4939" s="11">
        <f>IFERROR(__xludf.DUMMYFUNCTION("""COMPUTED_VALUE"""),44471.0)</f>
        <v>44471</v>
      </c>
      <c r="B4939" s="9">
        <f>IFERROR(__xludf.DUMMYFUNCTION("""COMPUTED_VALUE"""),1003986.0)</f>
        <v>1003986</v>
      </c>
      <c r="C4939" s="9">
        <f>IFERROR(__xludf.DUMMYFUNCTION("""COMPUTED_VALUE"""),108077.0)</f>
        <v>108077</v>
      </c>
      <c r="D4939" s="9"/>
      <c r="E4939" s="9"/>
      <c r="F4939" s="9">
        <f>IFERROR(__xludf.DUMMYFUNCTION("""COMPUTED_VALUE"""),0.99)</f>
        <v>0.99</v>
      </c>
      <c r="G4939" s="9">
        <f>IFERROR(__xludf.DUMMYFUNCTION("""COMPUTED_VALUE"""),0.99)</f>
        <v>0.99</v>
      </c>
      <c r="H4939" s="9">
        <f>IFERROR(__xludf.DUMMYFUNCTION("""COMPUTED_VALUE"""),1.0)</f>
        <v>1</v>
      </c>
      <c r="I4939" s="9"/>
      <c r="J4939" s="9"/>
      <c r="K4939" s="9"/>
      <c r="L4939" s="9"/>
      <c r="M4939" s="9"/>
      <c r="N4939" s="9"/>
      <c r="O4939" s="9"/>
      <c r="P4939" s="9"/>
      <c r="Q4939" s="9"/>
      <c r="R4939" s="9"/>
      <c r="S4939" s="9"/>
      <c r="T4939" s="9"/>
    </row>
    <row r="4940" ht="15.75" customHeight="1">
      <c r="A4940" s="11">
        <f>IFERROR(__xludf.DUMMYFUNCTION("""COMPUTED_VALUE"""),44471.0)</f>
        <v>44471</v>
      </c>
      <c r="B4940" s="9">
        <f>IFERROR(__xludf.DUMMYFUNCTION("""COMPUTED_VALUE"""),1003986.0)</f>
        <v>1003986</v>
      </c>
      <c r="C4940" s="9">
        <f>IFERROR(__xludf.DUMMYFUNCTION("""COMPUTED_VALUE"""),9681.0)</f>
        <v>9681</v>
      </c>
      <c r="D4940" s="9"/>
      <c r="E4940" s="9"/>
      <c r="F4940" s="9">
        <f>IFERROR(__xludf.DUMMYFUNCTION("""COMPUTED_VALUE"""),1.73)</f>
        <v>1.73</v>
      </c>
      <c r="G4940" s="9">
        <f>IFERROR(__xludf.DUMMYFUNCTION("""COMPUTED_VALUE"""),1.73)</f>
        <v>1.73</v>
      </c>
      <c r="H4940" s="9">
        <f>IFERROR(__xludf.DUMMYFUNCTION("""COMPUTED_VALUE"""),1.0)</f>
        <v>1</v>
      </c>
      <c r="I4940" s="9"/>
      <c r="J4940" s="9"/>
      <c r="K4940" s="9"/>
      <c r="L4940" s="9"/>
      <c r="M4940" s="9"/>
      <c r="N4940" s="9"/>
      <c r="O4940" s="9"/>
      <c r="P4940" s="9"/>
      <c r="Q4940" s="9"/>
      <c r="R4940" s="9"/>
      <c r="S4940" s="9"/>
      <c r="T4940" s="9"/>
    </row>
    <row r="4941" ht="15.75" customHeight="1">
      <c r="A4941" s="11">
        <f>IFERROR(__xludf.DUMMYFUNCTION("""COMPUTED_VALUE"""),44471.0)</f>
        <v>44471</v>
      </c>
      <c r="B4941" s="9">
        <f>IFERROR(__xludf.DUMMYFUNCTION("""COMPUTED_VALUE"""),1003986.0)</f>
        <v>1003986</v>
      </c>
      <c r="C4941" s="9">
        <f>IFERROR(__xludf.DUMMYFUNCTION("""COMPUTED_VALUE"""),9664.0)</f>
        <v>9664</v>
      </c>
      <c r="D4941" s="9"/>
      <c r="E4941" s="9"/>
      <c r="F4941" s="9">
        <f>IFERROR(__xludf.DUMMYFUNCTION("""COMPUTED_VALUE"""),1.73)</f>
        <v>1.73</v>
      </c>
      <c r="G4941" s="9">
        <f>IFERROR(__xludf.DUMMYFUNCTION("""COMPUTED_VALUE"""),1.73)</f>
        <v>1.73</v>
      </c>
      <c r="H4941" s="9">
        <f>IFERROR(__xludf.DUMMYFUNCTION("""COMPUTED_VALUE"""),1.0)</f>
        <v>1</v>
      </c>
      <c r="I4941" s="9"/>
      <c r="J4941" s="9"/>
      <c r="K4941" s="9"/>
      <c r="L4941" s="9"/>
      <c r="M4941" s="9"/>
      <c r="N4941" s="9"/>
      <c r="O4941" s="9"/>
      <c r="P4941" s="9"/>
      <c r="Q4941" s="9"/>
      <c r="R4941" s="9"/>
      <c r="S4941" s="9"/>
      <c r="T4941" s="9"/>
    </row>
    <row r="4942" ht="15.75" customHeight="1">
      <c r="A4942" s="11">
        <f>IFERROR(__xludf.DUMMYFUNCTION("""COMPUTED_VALUE"""),44471.0)</f>
        <v>44471</v>
      </c>
      <c r="B4942" s="9">
        <f>IFERROR(__xludf.DUMMYFUNCTION("""COMPUTED_VALUE"""),1003986.0)</f>
        <v>1003986</v>
      </c>
      <c r="C4942" s="9">
        <f>IFERROR(__xludf.DUMMYFUNCTION("""COMPUTED_VALUE"""),108081.0)</f>
        <v>108081</v>
      </c>
      <c r="D4942" s="9"/>
      <c r="E4942" s="9"/>
      <c r="F4942" s="9">
        <f>IFERROR(__xludf.DUMMYFUNCTION("""COMPUTED_VALUE"""),2.09)</f>
        <v>2.09</v>
      </c>
      <c r="G4942" s="9">
        <f>IFERROR(__xludf.DUMMYFUNCTION("""COMPUTED_VALUE"""),2.09)</f>
        <v>2.09</v>
      </c>
      <c r="H4942" s="9">
        <f>IFERROR(__xludf.DUMMYFUNCTION("""COMPUTED_VALUE"""),1.0)</f>
        <v>1</v>
      </c>
      <c r="I4942" s="9"/>
      <c r="J4942" s="9"/>
      <c r="K4942" s="9"/>
      <c r="L4942" s="9"/>
      <c r="M4942" s="9"/>
      <c r="N4942" s="9"/>
      <c r="O4942" s="9"/>
      <c r="P4942" s="9"/>
      <c r="Q4942" s="9"/>
      <c r="R4942" s="9"/>
      <c r="S4942" s="9"/>
      <c r="T4942" s="9"/>
    </row>
    <row r="4943" ht="15.75" customHeight="1">
      <c r="A4943" s="11">
        <f>IFERROR(__xludf.DUMMYFUNCTION("""COMPUTED_VALUE"""),44471.0)</f>
        <v>44471</v>
      </c>
      <c r="B4943" s="9">
        <f>IFERROR(__xludf.DUMMYFUNCTION("""COMPUTED_VALUE"""),1003986.0)</f>
        <v>1003986</v>
      </c>
      <c r="C4943" s="9">
        <f>IFERROR(__xludf.DUMMYFUNCTION("""COMPUTED_VALUE"""),79421.0)</f>
        <v>79421</v>
      </c>
      <c r="D4943" s="9"/>
      <c r="E4943" s="9"/>
      <c r="F4943" s="9">
        <f>IFERROR(__xludf.DUMMYFUNCTION("""COMPUTED_VALUE"""),2.09)</f>
        <v>2.09</v>
      </c>
      <c r="G4943" s="9">
        <f>IFERROR(__xludf.DUMMYFUNCTION("""COMPUTED_VALUE"""),2.09)</f>
        <v>2.09</v>
      </c>
      <c r="H4943" s="9">
        <f>IFERROR(__xludf.DUMMYFUNCTION("""COMPUTED_VALUE"""),1.0)</f>
        <v>1</v>
      </c>
      <c r="I4943" s="9"/>
      <c r="J4943" s="9"/>
      <c r="K4943" s="9"/>
      <c r="L4943" s="9"/>
      <c r="M4943" s="9"/>
      <c r="N4943" s="9"/>
      <c r="O4943" s="9"/>
      <c r="P4943" s="9"/>
      <c r="Q4943" s="9"/>
      <c r="R4943" s="9"/>
      <c r="S4943" s="9"/>
      <c r="T4943" s="9"/>
    </row>
    <row r="4944" ht="15.75" customHeight="1">
      <c r="A4944" s="11">
        <f>IFERROR(__xludf.DUMMYFUNCTION("""COMPUTED_VALUE"""),44471.0)</f>
        <v>44471</v>
      </c>
      <c r="B4944" s="9">
        <f>IFERROR(__xludf.DUMMYFUNCTION("""COMPUTED_VALUE"""),1003986.0)</f>
        <v>1003986</v>
      </c>
      <c r="C4944" s="9">
        <f>IFERROR(__xludf.DUMMYFUNCTION("""COMPUTED_VALUE"""),117614.0)</f>
        <v>117614</v>
      </c>
      <c r="D4944" s="9"/>
      <c r="E4944" s="9"/>
      <c r="F4944" s="9">
        <f>IFERROR(__xludf.DUMMYFUNCTION("""COMPUTED_VALUE"""),3.59)</f>
        <v>3.59</v>
      </c>
      <c r="G4944" s="9">
        <f>IFERROR(__xludf.DUMMYFUNCTION("""COMPUTED_VALUE"""),3.59)</f>
        <v>3.59</v>
      </c>
      <c r="H4944" s="9">
        <f>IFERROR(__xludf.DUMMYFUNCTION("""COMPUTED_VALUE"""),1.0)</f>
        <v>1</v>
      </c>
      <c r="I4944" s="9"/>
      <c r="J4944" s="9"/>
      <c r="K4944" s="9"/>
      <c r="L4944" s="9"/>
      <c r="M4944" s="9"/>
      <c r="N4944" s="9"/>
      <c r="O4944" s="9"/>
      <c r="P4944" s="9"/>
      <c r="Q4944" s="9"/>
      <c r="R4944" s="9"/>
      <c r="S4944" s="9"/>
      <c r="T4944" s="9"/>
    </row>
    <row r="4945" ht="15.75" customHeight="1">
      <c r="A4945" s="11">
        <f>IFERROR(__xludf.DUMMYFUNCTION("""COMPUTED_VALUE"""),44471.0)</f>
        <v>44471</v>
      </c>
      <c r="B4945" s="9">
        <f>IFERROR(__xludf.DUMMYFUNCTION("""COMPUTED_VALUE"""),1003986.0)</f>
        <v>1003986</v>
      </c>
      <c r="C4945" s="9">
        <f>IFERROR(__xludf.DUMMYFUNCTION("""COMPUTED_VALUE"""),9680.0)</f>
        <v>9680</v>
      </c>
      <c r="D4945" s="9"/>
      <c r="E4945" s="9"/>
      <c r="F4945" s="9">
        <f>IFERROR(__xludf.DUMMYFUNCTION("""COMPUTED_VALUE"""),2.1)</f>
        <v>2.1</v>
      </c>
      <c r="G4945" s="9">
        <f>IFERROR(__xludf.DUMMYFUNCTION("""COMPUTED_VALUE"""),2.1)</f>
        <v>2.1</v>
      </c>
      <c r="H4945" s="9">
        <f>IFERROR(__xludf.DUMMYFUNCTION("""COMPUTED_VALUE"""),1.0)</f>
        <v>1</v>
      </c>
      <c r="I4945" s="9"/>
      <c r="J4945" s="9"/>
      <c r="K4945" s="9"/>
      <c r="L4945" s="9"/>
      <c r="M4945" s="9"/>
      <c r="N4945" s="9"/>
      <c r="O4945" s="9"/>
      <c r="P4945" s="9"/>
      <c r="Q4945" s="9"/>
      <c r="R4945" s="9"/>
      <c r="S4945" s="9"/>
      <c r="T4945" s="9"/>
    </row>
    <row r="4946" ht="15.75" customHeight="1">
      <c r="A4946" s="11">
        <f>IFERROR(__xludf.DUMMYFUNCTION("""COMPUTED_VALUE"""),44471.0)</f>
        <v>44471</v>
      </c>
      <c r="B4946" s="9">
        <f>IFERROR(__xludf.DUMMYFUNCTION("""COMPUTED_VALUE"""),1003986.0)</f>
        <v>1003986</v>
      </c>
      <c r="C4946" s="9">
        <f>IFERROR(__xludf.DUMMYFUNCTION("""COMPUTED_VALUE"""),199547.0)</f>
        <v>199547</v>
      </c>
      <c r="D4946" s="9"/>
      <c r="E4946" s="9"/>
      <c r="F4946" s="9">
        <f>IFERROR(__xludf.DUMMYFUNCTION("""COMPUTED_VALUE"""),6.71)</f>
        <v>6.71</v>
      </c>
      <c r="G4946" s="9">
        <f>IFERROR(__xludf.DUMMYFUNCTION("""COMPUTED_VALUE"""),6.71)</f>
        <v>6.71</v>
      </c>
      <c r="H4946" s="9">
        <f>IFERROR(__xludf.DUMMYFUNCTION("""COMPUTED_VALUE"""),1.0)</f>
        <v>1</v>
      </c>
      <c r="I4946" s="9"/>
      <c r="J4946" s="9"/>
      <c r="K4946" s="9"/>
      <c r="L4946" s="9"/>
      <c r="M4946" s="9"/>
      <c r="N4946" s="9"/>
      <c r="O4946" s="9"/>
      <c r="P4946" s="9"/>
      <c r="Q4946" s="9"/>
      <c r="R4946" s="9"/>
      <c r="S4946" s="9"/>
      <c r="T4946" s="9"/>
    </row>
    <row r="4947" ht="15.75" customHeight="1">
      <c r="A4947" s="11">
        <f>IFERROR(__xludf.DUMMYFUNCTION("""COMPUTED_VALUE"""),44471.0)</f>
        <v>44471</v>
      </c>
      <c r="B4947" s="9">
        <f>IFERROR(__xludf.DUMMYFUNCTION("""COMPUTED_VALUE"""),1003986.0)</f>
        <v>1003986</v>
      </c>
      <c r="C4947" s="9">
        <f>IFERROR(__xludf.DUMMYFUNCTION("""COMPUTED_VALUE"""),108090.0)</f>
        <v>108090</v>
      </c>
      <c r="D4947" s="9"/>
      <c r="E4947" s="9"/>
      <c r="F4947" s="9">
        <f>IFERROR(__xludf.DUMMYFUNCTION("""COMPUTED_VALUE"""),1.49)</f>
        <v>1.49</v>
      </c>
      <c r="G4947" s="9">
        <f>IFERROR(__xludf.DUMMYFUNCTION("""COMPUTED_VALUE"""),1.49)</f>
        <v>1.49</v>
      </c>
      <c r="H4947" s="9">
        <f>IFERROR(__xludf.DUMMYFUNCTION("""COMPUTED_VALUE"""),1.0)</f>
        <v>1</v>
      </c>
      <c r="I4947" s="9"/>
      <c r="J4947" s="9"/>
      <c r="K4947" s="9"/>
      <c r="L4947" s="9"/>
      <c r="M4947" s="9"/>
      <c r="N4947" s="9"/>
      <c r="O4947" s="9"/>
      <c r="P4947" s="9"/>
      <c r="Q4947" s="9"/>
      <c r="R4947" s="9"/>
      <c r="S4947" s="9"/>
      <c r="T4947" s="9"/>
    </row>
    <row r="4948" ht="15.75" customHeight="1">
      <c r="A4948" s="11">
        <f>IFERROR(__xludf.DUMMYFUNCTION("""COMPUTED_VALUE"""),44471.0)</f>
        <v>44471</v>
      </c>
      <c r="B4948" s="9">
        <f>IFERROR(__xludf.DUMMYFUNCTION("""COMPUTED_VALUE"""),1003986.0)</f>
        <v>1003986</v>
      </c>
      <c r="C4948" s="9">
        <f>IFERROR(__xludf.DUMMYFUNCTION("""COMPUTED_VALUE"""),108085.0)</f>
        <v>108085</v>
      </c>
      <c r="D4948" s="9"/>
      <c r="E4948" s="9"/>
      <c r="F4948" s="9">
        <f>IFERROR(__xludf.DUMMYFUNCTION("""COMPUTED_VALUE"""),1.49)</f>
        <v>1.49</v>
      </c>
      <c r="G4948" s="9">
        <f>IFERROR(__xludf.DUMMYFUNCTION("""COMPUTED_VALUE"""),1.49)</f>
        <v>1.49</v>
      </c>
      <c r="H4948" s="9">
        <f>IFERROR(__xludf.DUMMYFUNCTION("""COMPUTED_VALUE"""),1.0)</f>
        <v>1</v>
      </c>
      <c r="I4948" s="9"/>
      <c r="J4948" s="9"/>
      <c r="K4948" s="9"/>
      <c r="L4948" s="9"/>
      <c r="M4948" s="9"/>
      <c r="N4948" s="9"/>
      <c r="O4948" s="9"/>
      <c r="P4948" s="9"/>
      <c r="Q4948" s="9"/>
      <c r="R4948" s="9"/>
      <c r="S4948" s="9"/>
      <c r="T4948" s="9"/>
    </row>
    <row r="4949" ht="15.75" customHeight="1">
      <c r="A4949" s="11">
        <f>IFERROR(__xludf.DUMMYFUNCTION("""COMPUTED_VALUE"""),44471.0)</f>
        <v>44471</v>
      </c>
      <c r="B4949" s="9">
        <f>IFERROR(__xludf.DUMMYFUNCTION("""COMPUTED_VALUE"""),1003986.0)</f>
        <v>1003986</v>
      </c>
      <c r="C4949" s="9">
        <f>IFERROR(__xludf.DUMMYFUNCTION("""COMPUTED_VALUE"""),70413.0)</f>
        <v>70413</v>
      </c>
      <c r="D4949" s="9"/>
      <c r="E4949" s="9"/>
      <c r="F4949" s="9">
        <f>IFERROR(__xludf.DUMMYFUNCTION("""COMPUTED_VALUE"""),1.74)</f>
        <v>1.74</v>
      </c>
      <c r="G4949" s="9">
        <f>IFERROR(__xludf.DUMMYFUNCTION("""COMPUTED_VALUE"""),1.74)</f>
        <v>1.74</v>
      </c>
      <c r="H4949" s="9">
        <f>IFERROR(__xludf.DUMMYFUNCTION("""COMPUTED_VALUE"""),1.0)</f>
        <v>1</v>
      </c>
      <c r="I4949" s="9"/>
      <c r="J4949" s="9"/>
      <c r="K4949" s="9"/>
      <c r="L4949" s="9"/>
      <c r="M4949" s="9"/>
      <c r="N4949" s="9"/>
      <c r="O4949" s="9"/>
      <c r="P4949" s="9"/>
      <c r="Q4949" s="9"/>
      <c r="R4949" s="9"/>
      <c r="S4949" s="9"/>
      <c r="T4949" s="9"/>
    </row>
    <row r="4950" ht="15.75" customHeight="1">
      <c r="A4950" s="11">
        <f>IFERROR(__xludf.DUMMYFUNCTION("""COMPUTED_VALUE"""),44471.0)</f>
        <v>44471</v>
      </c>
      <c r="B4950" s="9">
        <f>IFERROR(__xludf.DUMMYFUNCTION("""COMPUTED_VALUE"""),1003986.0)</f>
        <v>1003986</v>
      </c>
      <c r="C4950" s="9">
        <f>IFERROR(__xludf.DUMMYFUNCTION("""COMPUTED_VALUE"""),188156.0)</f>
        <v>188156</v>
      </c>
      <c r="D4950" s="9"/>
      <c r="E4950" s="9"/>
      <c r="F4950" s="9">
        <f>IFERROR(__xludf.DUMMYFUNCTION("""COMPUTED_VALUE"""),5.22)</f>
        <v>5.22</v>
      </c>
      <c r="G4950" s="9">
        <f>IFERROR(__xludf.DUMMYFUNCTION("""COMPUTED_VALUE"""),5.22)</f>
        <v>5.22</v>
      </c>
      <c r="H4950" s="9">
        <f>IFERROR(__xludf.DUMMYFUNCTION("""COMPUTED_VALUE"""),1.0)</f>
        <v>1</v>
      </c>
      <c r="I4950" s="9"/>
      <c r="J4950" s="9"/>
      <c r="K4950" s="9"/>
      <c r="L4950" s="9"/>
      <c r="M4950" s="9"/>
      <c r="N4950" s="9"/>
      <c r="O4950" s="9"/>
      <c r="P4950" s="9"/>
      <c r="Q4950" s="9"/>
      <c r="R4950" s="9"/>
      <c r="S4950" s="9"/>
      <c r="T4950" s="9"/>
    </row>
    <row r="4951" ht="15.75" customHeight="1">
      <c r="A4951" s="11">
        <f>IFERROR(__xludf.DUMMYFUNCTION("""COMPUTED_VALUE"""),44471.0)</f>
        <v>44471</v>
      </c>
      <c r="B4951" s="9">
        <f>IFERROR(__xludf.DUMMYFUNCTION("""COMPUTED_VALUE"""),1003986.0)</f>
        <v>1003986</v>
      </c>
      <c r="C4951" s="9">
        <f>IFERROR(__xludf.DUMMYFUNCTION("""COMPUTED_VALUE"""),117394.0)</f>
        <v>117394</v>
      </c>
      <c r="D4951" s="9"/>
      <c r="E4951" s="9"/>
      <c r="F4951" s="9">
        <f>IFERROR(__xludf.DUMMYFUNCTION("""COMPUTED_VALUE"""),8.44)</f>
        <v>8.44</v>
      </c>
      <c r="G4951" s="9">
        <f>IFERROR(__xludf.DUMMYFUNCTION("""COMPUTED_VALUE"""),8.44)</f>
        <v>8.44</v>
      </c>
      <c r="H4951" s="9">
        <f>IFERROR(__xludf.DUMMYFUNCTION("""COMPUTED_VALUE"""),1.0)</f>
        <v>1</v>
      </c>
      <c r="I4951" s="9"/>
      <c r="J4951" s="9"/>
      <c r="K4951" s="9"/>
      <c r="L4951" s="9"/>
      <c r="M4951" s="9"/>
      <c r="N4951" s="9"/>
      <c r="O4951" s="9"/>
      <c r="P4951" s="9"/>
      <c r="Q4951" s="9"/>
      <c r="R4951" s="9"/>
      <c r="S4951" s="9"/>
      <c r="T4951" s="9"/>
    </row>
    <row r="4952" ht="15.75" customHeight="1">
      <c r="A4952" s="11">
        <f>IFERROR(__xludf.DUMMYFUNCTION("""COMPUTED_VALUE"""),44471.0)</f>
        <v>44471</v>
      </c>
      <c r="B4952" s="9">
        <f>IFERROR(__xludf.DUMMYFUNCTION("""COMPUTED_VALUE"""),1003986.0)</f>
        <v>1003986</v>
      </c>
      <c r="C4952" s="9">
        <f>IFERROR(__xludf.DUMMYFUNCTION("""COMPUTED_VALUE"""),9668.0)</f>
        <v>9668</v>
      </c>
      <c r="D4952" s="9"/>
      <c r="E4952" s="9"/>
      <c r="F4952" s="9">
        <f>IFERROR(__xludf.DUMMYFUNCTION("""COMPUTED_VALUE"""),1.68)</f>
        <v>1.68</v>
      </c>
      <c r="G4952" s="9">
        <f>IFERROR(__xludf.DUMMYFUNCTION("""COMPUTED_VALUE"""),1.68)</f>
        <v>1.68</v>
      </c>
      <c r="H4952" s="9">
        <f>IFERROR(__xludf.DUMMYFUNCTION("""COMPUTED_VALUE"""),1.0)</f>
        <v>1</v>
      </c>
      <c r="I4952" s="9"/>
      <c r="J4952" s="9"/>
      <c r="K4952" s="9"/>
      <c r="L4952" s="9"/>
      <c r="M4952" s="9"/>
      <c r="N4952" s="9"/>
      <c r="O4952" s="9"/>
      <c r="P4952" s="9"/>
      <c r="Q4952" s="9"/>
      <c r="R4952" s="9"/>
      <c r="S4952" s="9"/>
      <c r="T4952" s="9"/>
    </row>
    <row r="4953" ht="15.75" customHeight="1">
      <c r="A4953" s="11">
        <f>IFERROR(__xludf.DUMMYFUNCTION("""COMPUTED_VALUE"""),44471.0)</f>
        <v>44471</v>
      </c>
      <c r="B4953" s="9">
        <f>IFERROR(__xludf.DUMMYFUNCTION("""COMPUTED_VALUE"""),1003986.0)</f>
        <v>1003986</v>
      </c>
      <c r="C4953" s="9">
        <f>IFERROR(__xludf.DUMMYFUNCTION("""COMPUTED_VALUE"""),9662.0)</f>
        <v>9662</v>
      </c>
      <c r="D4953" s="9"/>
      <c r="E4953" s="9"/>
      <c r="F4953" s="9">
        <f>IFERROR(__xludf.DUMMYFUNCTION("""COMPUTED_VALUE"""),1.68)</f>
        <v>1.68</v>
      </c>
      <c r="G4953" s="9">
        <f>IFERROR(__xludf.DUMMYFUNCTION("""COMPUTED_VALUE"""),1.68)</f>
        <v>1.68</v>
      </c>
      <c r="H4953" s="9">
        <f>IFERROR(__xludf.DUMMYFUNCTION("""COMPUTED_VALUE"""),1.0)</f>
        <v>1</v>
      </c>
      <c r="I4953" s="9"/>
      <c r="J4953" s="9"/>
      <c r="K4953" s="9"/>
      <c r="L4953" s="9"/>
      <c r="M4953" s="9"/>
      <c r="N4953" s="9"/>
      <c r="O4953" s="9"/>
      <c r="P4953" s="9"/>
      <c r="Q4953" s="9"/>
      <c r="R4953" s="9"/>
      <c r="S4953" s="9"/>
      <c r="T4953" s="9"/>
    </row>
    <row r="4954" ht="15.75" customHeight="1">
      <c r="A4954" s="11">
        <f>IFERROR(__xludf.DUMMYFUNCTION("""COMPUTED_VALUE"""),44471.0)</f>
        <v>44471</v>
      </c>
      <c r="B4954" s="9">
        <f>IFERROR(__xludf.DUMMYFUNCTION("""COMPUTED_VALUE"""),1003986.0)</f>
        <v>1003986</v>
      </c>
      <c r="C4954" s="9">
        <f>IFERROR(__xludf.DUMMYFUNCTION("""COMPUTED_VALUE"""),119106.0)</f>
        <v>119106</v>
      </c>
      <c r="D4954" s="9"/>
      <c r="E4954" s="9"/>
      <c r="F4954" s="9">
        <f>IFERROR(__xludf.DUMMYFUNCTION("""COMPUTED_VALUE"""),2.74)</f>
        <v>2.74</v>
      </c>
      <c r="G4954" s="9">
        <f>IFERROR(__xludf.DUMMYFUNCTION("""COMPUTED_VALUE"""),2.74)</f>
        <v>2.74</v>
      </c>
      <c r="H4954" s="9">
        <f>IFERROR(__xludf.DUMMYFUNCTION("""COMPUTED_VALUE"""),1.0)</f>
        <v>1</v>
      </c>
      <c r="I4954" s="9"/>
      <c r="J4954" s="9"/>
      <c r="K4954" s="9"/>
      <c r="L4954" s="9"/>
      <c r="M4954" s="9"/>
      <c r="N4954" s="9"/>
      <c r="O4954" s="9"/>
      <c r="P4954" s="9"/>
      <c r="Q4954" s="9"/>
      <c r="R4954" s="9"/>
      <c r="S4954" s="9"/>
      <c r="T4954" s="9"/>
    </row>
    <row r="4955" ht="15.75" customHeight="1">
      <c r="A4955" s="11">
        <f>IFERROR(__xludf.DUMMYFUNCTION("""COMPUTED_VALUE"""),44471.0)</f>
        <v>44471</v>
      </c>
      <c r="B4955" s="9">
        <f>IFERROR(__xludf.DUMMYFUNCTION("""COMPUTED_VALUE"""),1003986.0)</f>
        <v>1003986</v>
      </c>
      <c r="C4955" s="9">
        <f>IFERROR(__xludf.DUMMYFUNCTION("""COMPUTED_VALUE"""),128336.0)</f>
        <v>128336</v>
      </c>
      <c r="D4955" s="9"/>
      <c r="E4955" s="9"/>
      <c r="F4955" s="9">
        <f>IFERROR(__xludf.DUMMYFUNCTION("""COMPUTED_VALUE"""),2.74)</f>
        <v>2.74</v>
      </c>
      <c r="G4955" s="9">
        <f>IFERROR(__xludf.DUMMYFUNCTION("""COMPUTED_VALUE"""),2.74)</f>
        <v>2.74</v>
      </c>
      <c r="H4955" s="9">
        <f>IFERROR(__xludf.DUMMYFUNCTION("""COMPUTED_VALUE"""),1.0)</f>
        <v>1</v>
      </c>
      <c r="I4955" s="9"/>
      <c r="J4955" s="9"/>
      <c r="K4955" s="9"/>
      <c r="L4955" s="9"/>
      <c r="M4955" s="9"/>
      <c r="N4955" s="9"/>
      <c r="O4955" s="9"/>
      <c r="P4955" s="9"/>
      <c r="Q4955" s="9"/>
      <c r="R4955" s="9"/>
      <c r="S4955" s="9"/>
      <c r="T4955" s="9"/>
    </row>
    <row r="4956" ht="15.75" customHeight="1">
      <c r="A4956" s="11">
        <f>IFERROR(__xludf.DUMMYFUNCTION("""COMPUTED_VALUE"""),44471.0)</f>
        <v>44471</v>
      </c>
      <c r="B4956" s="9">
        <f>IFERROR(__xludf.DUMMYFUNCTION("""COMPUTED_VALUE"""),1003986.0)</f>
        <v>1003986</v>
      </c>
      <c r="C4956" s="9">
        <f>IFERROR(__xludf.DUMMYFUNCTION("""COMPUTED_VALUE"""),128344.0)</f>
        <v>128344</v>
      </c>
      <c r="D4956" s="9"/>
      <c r="E4956" s="9"/>
      <c r="F4956" s="9">
        <f>IFERROR(__xludf.DUMMYFUNCTION("""COMPUTED_VALUE"""),2.74)</f>
        <v>2.74</v>
      </c>
      <c r="G4956" s="9">
        <f>IFERROR(__xludf.DUMMYFUNCTION("""COMPUTED_VALUE"""),2.74)</f>
        <v>2.74</v>
      </c>
      <c r="H4956" s="9">
        <f>IFERROR(__xludf.DUMMYFUNCTION("""COMPUTED_VALUE"""),1.0)</f>
        <v>1</v>
      </c>
      <c r="I4956" s="9"/>
      <c r="J4956" s="9"/>
      <c r="K4956" s="9"/>
      <c r="L4956" s="9"/>
      <c r="M4956" s="9"/>
      <c r="N4956" s="9"/>
      <c r="O4956" s="9"/>
      <c r="P4956" s="9"/>
      <c r="Q4956" s="9"/>
      <c r="R4956" s="9"/>
      <c r="S4956" s="9"/>
      <c r="T4956" s="9"/>
    </row>
    <row r="4957" ht="15.75" customHeight="1">
      <c r="A4957" s="11">
        <f>IFERROR(__xludf.DUMMYFUNCTION("""COMPUTED_VALUE"""),44471.0)</f>
        <v>44471</v>
      </c>
      <c r="B4957" s="9">
        <f>IFERROR(__xludf.DUMMYFUNCTION("""COMPUTED_VALUE"""),1003986.0)</f>
        <v>1003986</v>
      </c>
      <c r="C4957" s="9">
        <f>IFERROR(__xludf.DUMMYFUNCTION("""COMPUTED_VALUE"""),120108.0)</f>
        <v>120108</v>
      </c>
      <c r="D4957" s="9"/>
      <c r="E4957" s="9"/>
      <c r="F4957" s="9">
        <f>IFERROR(__xludf.DUMMYFUNCTION("""COMPUTED_VALUE"""),7.23)</f>
        <v>7.23</v>
      </c>
      <c r="G4957" s="9">
        <f>IFERROR(__xludf.DUMMYFUNCTION("""COMPUTED_VALUE"""),7.23)</f>
        <v>7.23</v>
      </c>
      <c r="H4957" s="9">
        <f>IFERROR(__xludf.DUMMYFUNCTION("""COMPUTED_VALUE"""),1.0)</f>
        <v>1</v>
      </c>
      <c r="I4957" s="9"/>
      <c r="J4957" s="9"/>
      <c r="K4957" s="9"/>
      <c r="L4957" s="9"/>
      <c r="M4957" s="9"/>
      <c r="N4957" s="9"/>
      <c r="O4957" s="9"/>
      <c r="P4957" s="9"/>
      <c r="Q4957" s="9"/>
      <c r="R4957" s="9"/>
      <c r="S4957" s="9"/>
      <c r="T4957" s="9"/>
    </row>
    <row r="4958" ht="15.75" customHeight="1">
      <c r="A4958" s="11">
        <f>IFERROR(__xludf.DUMMYFUNCTION("""COMPUTED_VALUE"""),44471.0)</f>
        <v>44471</v>
      </c>
      <c r="B4958" s="9">
        <f>IFERROR(__xludf.DUMMYFUNCTION("""COMPUTED_VALUE"""),1003986.0)</f>
        <v>1003986</v>
      </c>
      <c r="C4958" s="9">
        <f>IFERROR(__xludf.DUMMYFUNCTION("""COMPUTED_VALUE"""),92613.0)</f>
        <v>92613</v>
      </c>
      <c r="D4958" s="9"/>
      <c r="E4958" s="9"/>
      <c r="F4958" s="9">
        <f>IFERROR(__xludf.DUMMYFUNCTION("""COMPUTED_VALUE"""),9.54)</f>
        <v>9.54</v>
      </c>
      <c r="G4958" s="9">
        <f>IFERROR(__xludf.DUMMYFUNCTION("""COMPUTED_VALUE"""),9.54)</f>
        <v>9.54</v>
      </c>
      <c r="H4958" s="9">
        <f>IFERROR(__xludf.DUMMYFUNCTION("""COMPUTED_VALUE"""),2.0)</f>
        <v>2</v>
      </c>
      <c r="I4958" s="9"/>
      <c r="J4958" s="9"/>
      <c r="K4958" s="9"/>
      <c r="L4958" s="9"/>
      <c r="M4958" s="9"/>
      <c r="N4958" s="9"/>
      <c r="O4958" s="9"/>
      <c r="P4958" s="9"/>
      <c r="Q4958" s="9"/>
      <c r="R4958" s="9"/>
      <c r="S4958" s="9"/>
      <c r="T4958" s="9"/>
    </row>
    <row r="4959" ht="15.75" customHeight="1">
      <c r="A4959" s="11">
        <f>IFERROR(__xludf.DUMMYFUNCTION("""COMPUTED_VALUE"""),44471.0)</f>
        <v>44471</v>
      </c>
      <c r="B4959" s="9">
        <f>IFERROR(__xludf.DUMMYFUNCTION("""COMPUTED_VALUE"""),1003986.0)</f>
        <v>1003986</v>
      </c>
      <c r="C4959" s="9">
        <f>IFERROR(__xludf.DUMMYFUNCTION("""COMPUTED_VALUE"""),9656.0)</f>
        <v>9656</v>
      </c>
      <c r="D4959" s="9"/>
      <c r="E4959" s="9"/>
      <c r="F4959" s="9">
        <f>IFERROR(__xludf.DUMMYFUNCTION("""COMPUTED_VALUE"""),4.87)</f>
        <v>4.87</v>
      </c>
      <c r="G4959" s="9">
        <f>IFERROR(__xludf.DUMMYFUNCTION("""COMPUTED_VALUE"""),4.87)</f>
        <v>4.87</v>
      </c>
      <c r="H4959" s="9">
        <f>IFERROR(__xludf.DUMMYFUNCTION("""COMPUTED_VALUE"""),2.0)</f>
        <v>2</v>
      </c>
      <c r="I4959" s="9"/>
      <c r="J4959" s="9"/>
      <c r="K4959" s="9"/>
      <c r="L4959" s="9"/>
      <c r="M4959" s="9"/>
      <c r="N4959" s="9"/>
      <c r="O4959" s="9"/>
      <c r="P4959" s="9"/>
      <c r="Q4959" s="9"/>
      <c r="R4959" s="9"/>
      <c r="S4959" s="9"/>
      <c r="T4959" s="9"/>
    </row>
    <row r="4960" ht="15.75" customHeight="1">
      <c r="A4960" s="11">
        <f>IFERROR(__xludf.DUMMYFUNCTION("""COMPUTED_VALUE"""),44471.0)</f>
        <v>44471</v>
      </c>
      <c r="B4960" s="9">
        <f>IFERROR(__xludf.DUMMYFUNCTION("""COMPUTED_VALUE"""),1003986.0)</f>
        <v>1003986</v>
      </c>
      <c r="C4960" s="9">
        <f>IFERROR(__xludf.DUMMYFUNCTION("""COMPUTED_VALUE"""),45176.0)</f>
        <v>45176</v>
      </c>
      <c r="D4960" s="10" t="str">
        <f>IFERROR(__xludf.DUMMYFUNCTION("""COMPUTED_VALUE"""),"Vive le bio")</f>
        <v>Vive le bio</v>
      </c>
      <c r="E4960" s="10"/>
      <c r="F4960" s="9">
        <f>IFERROR(__xludf.DUMMYFUNCTION("""COMPUTED_VALUE"""),2.56666666666666)</f>
        <v>2.566666667</v>
      </c>
      <c r="G4960" s="9">
        <f>IFERROR(__xludf.DUMMYFUNCTION("""COMPUTED_VALUE"""),2.31)</f>
        <v>2.31</v>
      </c>
      <c r="H4960" s="9">
        <f>IFERROR(__xludf.DUMMYFUNCTION("""COMPUTED_VALUE"""),2.0)</f>
        <v>2</v>
      </c>
      <c r="I4960" s="9"/>
      <c r="J4960" s="9"/>
      <c r="K4960" s="9"/>
      <c r="L4960" s="9"/>
      <c r="M4960" s="9"/>
      <c r="N4960" s="9"/>
      <c r="O4960" s="9"/>
      <c r="P4960" s="9"/>
      <c r="Q4960" s="9"/>
      <c r="R4960" s="9"/>
      <c r="S4960" s="9"/>
      <c r="T4960" s="9"/>
    </row>
    <row r="4961" ht="15.75" customHeight="1">
      <c r="A4961" s="11">
        <f>IFERROR(__xludf.DUMMYFUNCTION("""COMPUTED_VALUE"""),44471.0)</f>
        <v>44471</v>
      </c>
      <c r="B4961" s="9">
        <f>IFERROR(__xludf.DUMMYFUNCTION("""COMPUTED_VALUE"""),1003986.0)</f>
        <v>1003986</v>
      </c>
      <c r="C4961" s="9">
        <f>IFERROR(__xludf.DUMMYFUNCTION("""COMPUTED_VALUE"""),127016.0)</f>
        <v>127016</v>
      </c>
      <c r="D4961" s="10" t="str">
        <f>IFERROR(__xludf.DUMMYFUNCTION("""COMPUTED_VALUE"""),"Carryboo coton 2021")</f>
        <v>Carryboo coton 2021</v>
      </c>
      <c r="E4961" s="10"/>
      <c r="F4961" s="9">
        <f>IFERROR(__xludf.DUMMYFUNCTION("""COMPUTED_VALUE"""),12.8666666666666)</f>
        <v>12.86666667</v>
      </c>
      <c r="G4961" s="9">
        <f>IFERROR(__xludf.DUMMYFUNCTION("""COMPUTED_VALUE"""),9.65)</f>
        <v>9.65</v>
      </c>
      <c r="H4961" s="9">
        <f>IFERROR(__xludf.DUMMYFUNCTION("""COMPUTED_VALUE"""),3.0)</f>
        <v>3</v>
      </c>
      <c r="I4961" s="9"/>
      <c r="J4961" s="9"/>
      <c r="K4961" s="9"/>
      <c r="L4961" s="9"/>
      <c r="M4961" s="9"/>
      <c r="N4961" s="9"/>
      <c r="O4961" s="9"/>
      <c r="P4961" s="9"/>
      <c r="Q4961" s="9"/>
      <c r="R4961" s="9"/>
      <c r="S4961" s="9"/>
      <c r="T4961" s="9"/>
    </row>
    <row r="4962" ht="15.75" customHeight="1">
      <c r="A4962" s="11">
        <f>IFERROR(__xludf.DUMMYFUNCTION("""COMPUTED_VALUE"""),44471.0)</f>
        <v>44471</v>
      </c>
      <c r="B4962" s="9">
        <f>IFERROR(__xludf.DUMMYFUNCTION("""COMPUTED_VALUE"""),1003986.0)</f>
        <v>1003986</v>
      </c>
      <c r="C4962" s="9">
        <f>IFERROR(__xludf.DUMMYFUNCTION("""COMPUTED_VALUE"""),26652.0)</f>
        <v>26652</v>
      </c>
      <c r="D4962" s="9"/>
      <c r="E4962" s="9"/>
      <c r="F4962" s="9">
        <f>IFERROR(__xludf.DUMMYFUNCTION("""COMPUTED_VALUE"""),101.18)</f>
        <v>101.18</v>
      </c>
      <c r="G4962" s="9">
        <f>IFERROR(__xludf.DUMMYFUNCTION("""COMPUTED_VALUE"""),101.18)</f>
        <v>101.18</v>
      </c>
      <c r="H4962" s="9">
        <f>IFERROR(__xludf.DUMMYFUNCTION("""COMPUTED_VALUE"""),8.0)</f>
        <v>8</v>
      </c>
      <c r="I4962" s="9"/>
      <c r="J4962" s="9"/>
      <c r="K4962" s="9"/>
      <c r="L4962" s="9"/>
      <c r="M4962" s="9"/>
      <c r="N4962" s="9"/>
      <c r="O4962" s="9"/>
      <c r="P4962" s="9"/>
      <c r="Q4962" s="9"/>
      <c r="R4962" s="9"/>
      <c r="S4962" s="9"/>
      <c r="T4962" s="9"/>
    </row>
    <row r="4963" ht="15.75" customHeight="1">
      <c r="A4963" s="11">
        <f>IFERROR(__xludf.DUMMYFUNCTION("""COMPUTED_VALUE"""),44471.0)</f>
        <v>44471</v>
      </c>
      <c r="B4963" s="9">
        <f>IFERROR(__xludf.DUMMYFUNCTION("""COMPUTED_VALUE"""),1003987.0)</f>
        <v>1003987</v>
      </c>
      <c r="C4963" s="9">
        <f>IFERROR(__xludf.DUMMYFUNCTION("""COMPUTED_VALUE"""),96443.0)</f>
        <v>96443</v>
      </c>
      <c r="D4963" s="9"/>
      <c r="E4963" s="10" t="str">
        <f>IFERROR(__xludf.DUMMYFUNCTION("""COMPUTED_VALUE"""),"PREMIERE")</f>
        <v>PREMIERE</v>
      </c>
      <c r="F4963" s="10">
        <f>IFERROR(__xludf.DUMMYFUNCTION("""COMPUTED_VALUE"""),4.77)</f>
        <v>4.77</v>
      </c>
      <c r="G4963" s="9">
        <f>IFERROR(__xludf.DUMMYFUNCTION("""COMPUTED_VALUE"""),4.77)</f>
        <v>4.77</v>
      </c>
      <c r="H4963" s="9">
        <f>IFERROR(__xludf.DUMMYFUNCTION("""COMPUTED_VALUE"""),1.0)</f>
        <v>1</v>
      </c>
      <c r="I4963" s="9"/>
      <c r="J4963" s="9"/>
      <c r="K4963" s="9"/>
      <c r="L4963" s="9"/>
      <c r="M4963" s="9"/>
      <c r="N4963" s="9"/>
      <c r="O4963" s="9"/>
      <c r="P4963" s="9"/>
      <c r="Q4963" s="9"/>
      <c r="R4963" s="9"/>
      <c r="S4963" s="9"/>
      <c r="T4963" s="9"/>
    </row>
    <row r="4964" ht="15.75" customHeight="1">
      <c r="A4964" s="11">
        <f>IFERROR(__xludf.DUMMYFUNCTION("""COMPUTED_VALUE"""),44471.0)</f>
        <v>44471</v>
      </c>
      <c r="B4964" s="9">
        <f>IFERROR(__xludf.DUMMYFUNCTION("""COMPUTED_VALUE"""),1003987.0)</f>
        <v>1003987</v>
      </c>
      <c r="C4964" s="9">
        <f>IFERROR(__xludf.DUMMYFUNCTION("""COMPUTED_VALUE"""),96067.0)</f>
        <v>96067</v>
      </c>
      <c r="D4964" s="9"/>
      <c r="E4964" s="10" t="str">
        <f>IFERROR(__xludf.DUMMYFUNCTION("""COMPUTED_VALUE"""),"PREMIERE")</f>
        <v>PREMIERE</v>
      </c>
      <c r="F4964" s="10">
        <f>IFERROR(__xludf.DUMMYFUNCTION("""COMPUTED_VALUE"""),4.53)</f>
        <v>4.53</v>
      </c>
      <c r="G4964" s="9">
        <f>IFERROR(__xludf.DUMMYFUNCTION("""COMPUTED_VALUE"""),4.53)</f>
        <v>4.53</v>
      </c>
      <c r="H4964" s="9">
        <f>IFERROR(__xludf.DUMMYFUNCTION("""COMPUTED_VALUE"""),1.0)</f>
        <v>1</v>
      </c>
      <c r="I4964" s="9"/>
      <c r="J4964" s="9"/>
      <c r="K4964" s="9"/>
      <c r="L4964" s="9"/>
      <c r="M4964" s="9"/>
      <c r="N4964" s="9"/>
      <c r="O4964" s="9"/>
      <c r="P4964" s="9"/>
      <c r="Q4964" s="9"/>
      <c r="R4964" s="9"/>
      <c r="S4964" s="9"/>
      <c r="T4964" s="9"/>
    </row>
    <row r="4965" ht="15.75" customHeight="1">
      <c r="A4965" s="11">
        <f>IFERROR(__xludf.DUMMYFUNCTION("""COMPUTED_VALUE"""),44471.0)</f>
        <v>44471</v>
      </c>
      <c r="B4965" s="9">
        <f>IFERROR(__xludf.DUMMYFUNCTION("""COMPUTED_VALUE"""),1003987.0)</f>
        <v>1003987</v>
      </c>
      <c r="C4965" s="9">
        <f>IFERROR(__xludf.DUMMYFUNCTION("""COMPUTED_VALUE"""),18247.0)</f>
        <v>18247</v>
      </c>
      <c r="D4965" s="9"/>
      <c r="E4965" s="10" t="str">
        <f>IFERROR(__xludf.DUMMYFUNCTION("""COMPUTED_VALUE"""),"PREMIERE")</f>
        <v>PREMIERE</v>
      </c>
      <c r="F4965" s="10">
        <f>IFERROR(__xludf.DUMMYFUNCTION("""COMPUTED_VALUE"""),22.74)</f>
        <v>22.74</v>
      </c>
      <c r="G4965" s="9">
        <f>IFERROR(__xludf.DUMMYFUNCTION("""COMPUTED_VALUE"""),22.74)</f>
        <v>22.74</v>
      </c>
      <c r="H4965" s="9">
        <f>IFERROR(__xludf.DUMMYFUNCTION("""COMPUTED_VALUE"""),1.0)</f>
        <v>1</v>
      </c>
      <c r="I4965" s="9"/>
      <c r="J4965" s="9"/>
      <c r="K4965" s="9"/>
      <c r="L4965" s="9"/>
      <c r="M4965" s="9"/>
      <c r="N4965" s="9"/>
      <c r="O4965" s="9"/>
      <c r="P4965" s="9"/>
      <c r="Q4965" s="9"/>
      <c r="R4965" s="9"/>
      <c r="S4965" s="9"/>
      <c r="T4965" s="9"/>
    </row>
    <row r="4966" ht="15.75" customHeight="1">
      <c r="A4966" s="11">
        <f>IFERROR(__xludf.DUMMYFUNCTION("""COMPUTED_VALUE"""),44471.0)</f>
        <v>44471</v>
      </c>
      <c r="B4966" s="9">
        <f>IFERROR(__xludf.DUMMYFUNCTION("""COMPUTED_VALUE"""),1003987.0)</f>
        <v>1003987</v>
      </c>
      <c r="C4966" s="9">
        <f>IFERROR(__xludf.DUMMYFUNCTION("""COMPUTED_VALUE"""),118351.0)</f>
        <v>118351</v>
      </c>
      <c r="D4966" s="9"/>
      <c r="E4966" s="10" t="str">
        <f>IFERROR(__xludf.DUMMYFUNCTION("""COMPUTED_VALUE"""),"PREMIERE")</f>
        <v>PREMIERE</v>
      </c>
      <c r="F4966" s="10">
        <f>IFERROR(__xludf.DUMMYFUNCTION("""COMPUTED_VALUE"""),4.34)</f>
        <v>4.34</v>
      </c>
      <c r="G4966" s="9">
        <f>IFERROR(__xludf.DUMMYFUNCTION("""COMPUTED_VALUE"""),4.34)</f>
        <v>4.34</v>
      </c>
      <c r="H4966" s="9">
        <f>IFERROR(__xludf.DUMMYFUNCTION("""COMPUTED_VALUE"""),1.0)</f>
        <v>1</v>
      </c>
      <c r="I4966" s="9"/>
      <c r="J4966" s="9"/>
      <c r="K4966" s="9"/>
      <c r="L4966" s="9"/>
      <c r="M4966" s="9"/>
      <c r="N4966" s="9"/>
      <c r="O4966" s="9"/>
      <c r="P4966" s="9"/>
      <c r="Q4966" s="9"/>
      <c r="R4966" s="9"/>
      <c r="S4966" s="9"/>
      <c r="T4966" s="9"/>
    </row>
    <row r="4967" ht="15.75" customHeight="1">
      <c r="A4967" s="11">
        <f>IFERROR(__xludf.DUMMYFUNCTION("""COMPUTED_VALUE"""),44471.0)</f>
        <v>44471</v>
      </c>
      <c r="B4967" s="9">
        <f>IFERROR(__xludf.DUMMYFUNCTION("""COMPUTED_VALUE"""),1003987.0)</f>
        <v>1003987</v>
      </c>
      <c r="C4967" s="9">
        <f>IFERROR(__xludf.DUMMYFUNCTION("""COMPUTED_VALUE"""),128346.0)</f>
        <v>128346</v>
      </c>
      <c r="D4967" s="10" t="str">
        <f>IFERROR(__xludf.DUMMYFUNCTION("""COMPUTED_VALUE"""),"Vive le bio")</f>
        <v>Vive le bio</v>
      </c>
      <c r="E4967" s="10" t="str">
        <f>IFERROR(__xludf.DUMMYFUNCTION("""COMPUTED_VALUE"""),"PREMIERE")</f>
        <v>PREMIERE</v>
      </c>
      <c r="F4967" s="10">
        <f>IFERROR(__xludf.DUMMYFUNCTION("""COMPUTED_VALUE"""),11.0777777777777)</f>
        <v>11.07777778</v>
      </c>
      <c r="G4967" s="9">
        <f>IFERROR(__xludf.DUMMYFUNCTION("""COMPUTED_VALUE"""),9.97)</f>
        <v>9.97</v>
      </c>
      <c r="H4967" s="9">
        <f>IFERROR(__xludf.DUMMYFUNCTION("""COMPUTED_VALUE"""),1.0)</f>
        <v>1</v>
      </c>
      <c r="I4967" s="9"/>
      <c r="J4967" s="9"/>
      <c r="K4967" s="9"/>
      <c r="L4967" s="9"/>
      <c r="M4967" s="9"/>
      <c r="N4967" s="9"/>
      <c r="O4967" s="9"/>
      <c r="P4967" s="9"/>
      <c r="Q4967" s="9"/>
      <c r="R4967" s="9"/>
      <c r="S4967" s="9"/>
      <c r="T4967" s="9"/>
    </row>
    <row r="4968" ht="15.75" customHeight="1">
      <c r="A4968" s="11">
        <f>IFERROR(__xludf.DUMMYFUNCTION("""COMPUTED_VALUE"""),44471.0)</f>
        <v>44471</v>
      </c>
      <c r="B4968" s="9">
        <f>IFERROR(__xludf.DUMMYFUNCTION("""COMPUTED_VALUE"""),1003987.0)</f>
        <v>1003987</v>
      </c>
      <c r="C4968" s="9">
        <f>IFERROR(__xludf.DUMMYFUNCTION("""COMPUTED_VALUE"""),122789.0)</f>
        <v>122789</v>
      </c>
      <c r="D4968" s="9"/>
      <c r="E4968" s="10" t="str">
        <f>IFERROR(__xludf.DUMMYFUNCTION("""COMPUTED_VALUE"""),"PREMIERE")</f>
        <v>PREMIERE</v>
      </c>
      <c r="F4968" s="10">
        <f>IFERROR(__xludf.DUMMYFUNCTION("""COMPUTED_VALUE"""),6.39)</f>
        <v>6.39</v>
      </c>
      <c r="G4968" s="9">
        <f>IFERROR(__xludf.DUMMYFUNCTION("""COMPUTED_VALUE"""),6.39)</f>
        <v>6.39</v>
      </c>
      <c r="H4968" s="9">
        <f>IFERROR(__xludf.DUMMYFUNCTION("""COMPUTED_VALUE"""),1.0)</f>
        <v>1</v>
      </c>
      <c r="I4968" s="9"/>
      <c r="J4968" s="9"/>
      <c r="K4968" s="9"/>
      <c r="L4968" s="9"/>
      <c r="M4968" s="9"/>
      <c r="N4968" s="9"/>
      <c r="O4968" s="9"/>
      <c r="P4968" s="9"/>
      <c r="Q4968" s="9"/>
      <c r="R4968" s="9"/>
      <c r="S4968" s="9"/>
      <c r="T4968" s="9"/>
    </row>
    <row r="4969" ht="15.75" customHeight="1">
      <c r="A4969" s="11">
        <f>IFERROR(__xludf.DUMMYFUNCTION("""COMPUTED_VALUE"""),44471.0)</f>
        <v>44471</v>
      </c>
      <c r="B4969" s="9">
        <f>IFERROR(__xludf.DUMMYFUNCTION("""COMPUTED_VALUE"""),1003987.0)</f>
        <v>1003987</v>
      </c>
      <c r="C4969" s="9">
        <f>IFERROR(__xludf.DUMMYFUNCTION("""COMPUTED_VALUE"""),96238.0)</f>
        <v>96238</v>
      </c>
      <c r="D4969" s="9"/>
      <c r="E4969" s="10" t="str">
        <f>IFERROR(__xludf.DUMMYFUNCTION("""COMPUTED_VALUE"""),"PREMIERE")</f>
        <v>PREMIERE</v>
      </c>
      <c r="F4969" s="10">
        <f>IFERROR(__xludf.DUMMYFUNCTION("""COMPUTED_VALUE"""),7.68)</f>
        <v>7.68</v>
      </c>
      <c r="G4969" s="9">
        <f>IFERROR(__xludf.DUMMYFUNCTION("""COMPUTED_VALUE"""),7.68)</f>
        <v>7.68</v>
      </c>
      <c r="H4969" s="9">
        <f>IFERROR(__xludf.DUMMYFUNCTION("""COMPUTED_VALUE"""),1.0)</f>
        <v>1</v>
      </c>
      <c r="I4969" s="9"/>
      <c r="J4969" s="9"/>
      <c r="K4969" s="9"/>
      <c r="L4969" s="9"/>
      <c r="M4969" s="9"/>
      <c r="N4969" s="9"/>
      <c r="O4969" s="9"/>
      <c r="P4969" s="9"/>
      <c r="Q4969" s="9"/>
      <c r="R4969" s="9"/>
      <c r="S4969" s="9"/>
      <c r="T4969" s="9"/>
    </row>
    <row r="4970" ht="15.75" customHeight="1">
      <c r="A4970" s="11">
        <f>IFERROR(__xludf.DUMMYFUNCTION("""COMPUTED_VALUE"""),44471.0)</f>
        <v>44471</v>
      </c>
      <c r="B4970" s="9">
        <f>IFERROR(__xludf.DUMMYFUNCTION("""COMPUTED_VALUE"""),1003987.0)</f>
        <v>1003987</v>
      </c>
      <c r="C4970" s="9">
        <f>IFERROR(__xludf.DUMMYFUNCTION("""COMPUTED_VALUE"""),82463.0)</f>
        <v>82463</v>
      </c>
      <c r="D4970" s="9"/>
      <c r="E4970" s="10" t="str">
        <f>IFERROR(__xludf.DUMMYFUNCTION("""COMPUTED_VALUE"""),"PREMIERE")</f>
        <v>PREMIERE</v>
      </c>
      <c r="F4970" s="10">
        <f>IFERROR(__xludf.DUMMYFUNCTION("""COMPUTED_VALUE"""),4.44)</f>
        <v>4.44</v>
      </c>
      <c r="G4970" s="9">
        <f>IFERROR(__xludf.DUMMYFUNCTION("""COMPUTED_VALUE"""),4.44)</f>
        <v>4.44</v>
      </c>
      <c r="H4970" s="9">
        <f>IFERROR(__xludf.DUMMYFUNCTION("""COMPUTED_VALUE"""),1.0)</f>
        <v>1</v>
      </c>
      <c r="I4970" s="9"/>
      <c r="J4970" s="9"/>
      <c r="K4970" s="9"/>
      <c r="L4970" s="9"/>
      <c r="M4970" s="9"/>
      <c r="N4970" s="9"/>
      <c r="O4970" s="9"/>
      <c r="P4970" s="9"/>
      <c r="Q4970" s="9"/>
      <c r="R4970" s="9"/>
      <c r="S4970" s="9"/>
      <c r="T4970" s="9"/>
    </row>
    <row r="4971" ht="15.75" customHeight="1">
      <c r="A4971" s="11">
        <f>IFERROR(__xludf.DUMMYFUNCTION("""COMPUTED_VALUE"""),44471.0)</f>
        <v>44471</v>
      </c>
      <c r="B4971" s="9">
        <f>IFERROR(__xludf.DUMMYFUNCTION("""COMPUTED_VALUE"""),1003987.0)</f>
        <v>1003987</v>
      </c>
      <c r="C4971" s="9">
        <f>IFERROR(__xludf.DUMMYFUNCTION("""COMPUTED_VALUE"""),86183.0)</f>
        <v>86183</v>
      </c>
      <c r="D4971" s="9"/>
      <c r="E4971" s="10" t="str">
        <f>IFERROR(__xludf.DUMMYFUNCTION("""COMPUTED_VALUE"""),"PREMIERE")</f>
        <v>PREMIERE</v>
      </c>
      <c r="F4971" s="10">
        <f>IFERROR(__xludf.DUMMYFUNCTION("""COMPUTED_VALUE"""),4.69)</f>
        <v>4.69</v>
      </c>
      <c r="G4971" s="9">
        <f>IFERROR(__xludf.DUMMYFUNCTION("""COMPUTED_VALUE"""),4.69)</f>
        <v>4.69</v>
      </c>
      <c r="H4971" s="9">
        <f>IFERROR(__xludf.DUMMYFUNCTION("""COMPUTED_VALUE"""),1.0)</f>
        <v>1</v>
      </c>
      <c r="I4971" s="9"/>
      <c r="J4971" s="9"/>
      <c r="K4971" s="9"/>
      <c r="L4971" s="9"/>
      <c r="M4971" s="9"/>
      <c r="N4971" s="9"/>
      <c r="O4971" s="9"/>
      <c r="P4971" s="9"/>
      <c r="Q4971" s="9"/>
      <c r="R4971" s="9"/>
      <c r="S4971" s="9"/>
      <c r="T4971" s="9"/>
    </row>
    <row r="4972" ht="15.75" customHeight="1">
      <c r="A4972" s="11">
        <f>IFERROR(__xludf.DUMMYFUNCTION("""COMPUTED_VALUE"""),44471.0)</f>
        <v>44471</v>
      </c>
      <c r="B4972" s="9">
        <f>IFERROR(__xludf.DUMMYFUNCTION("""COMPUTED_VALUE"""),1003987.0)</f>
        <v>1003987</v>
      </c>
      <c r="C4972" s="9">
        <f>IFERROR(__xludf.DUMMYFUNCTION("""COMPUTED_VALUE"""),118068.0)</f>
        <v>118068</v>
      </c>
      <c r="D4972" s="9"/>
      <c r="E4972" s="10" t="str">
        <f>IFERROR(__xludf.DUMMYFUNCTION("""COMPUTED_VALUE"""),"PREMIERE")</f>
        <v>PREMIERE</v>
      </c>
      <c r="F4972" s="10">
        <f>IFERROR(__xludf.DUMMYFUNCTION("""COMPUTED_VALUE"""),11.88)</f>
        <v>11.88</v>
      </c>
      <c r="G4972" s="9">
        <f>IFERROR(__xludf.DUMMYFUNCTION("""COMPUTED_VALUE"""),11.88)</f>
        <v>11.88</v>
      </c>
      <c r="H4972" s="9">
        <f>IFERROR(__xludf.DUMMYFUNCTION("""COMPUTED_VALUE"""),1.0)</f>
        <v>1</v>
      </c>
      <c r="I4972" s="9"/>
      <c r="J4972" s="9"/>
      <c r="K4972" s="9"/>
      <c r="L4972" s="9"/>
      <c r="M4972" s="9"/>
      <c r="N4972" s="9"/>
      <c r="O4972" s="9"/>
      <c r="P4972" s="9"/>
      <c r="Q4972" s="9"/>
      <c r="R4972" s="9"/>
      <c r="S4972" s="9"/>
      <c r="T4972" s="9"/>
    </row>
    <row r="4973" ht="15.75" customHeight="1">
      <c r="A4973" s="11">
        <f>IFERROR(__xludf.DUMMYFUNCTION("""COMPUTED_VALUE"""),44471.0)</f>
        <v>44471</v>
      </c>
      <c r="B4973" s="9">
        <f>IFERROR(__xludf.DUMMYFUNCTION("""COMPUTED_VALUE"""),1003987.0)</f>
        <v>1003987</v>
      </c>
      <c r="C4973" s="9">
        <f>IFERROR(__xludf.DUMMYFUNCTION("""COMPUTED_VALUE"""),110794.0)</f>
        <v>110794</v>
      </c>
      <c r="D4973" s="9"/>
      <c r="E4973" s="10" t="str">
        <f>IFERROR(__xludf.DUMMYFUNCTION("""COMPUTED_VALUE"""),"PREMIERE")</f>
        <v>PREMIERE</v>
      </c>
      <c r="F4973" s="10">
        <f>IFERROR(__xludf.DUMMYFUNCTION("""COMPUTED_VALUE"""),6.73)</f>
        <v>6.73</v>
      </c>
      <c r="G4973" s="9">
        <f>IFERROR(__xludf.DUMMYFUNCTION("""COMPUTED_VALUE"""),6.73)</f>
        <v>6.73</v>
      </c>
      <c r="H4973" s="9">
        <f>IFERROR(__xludf.DUMMYFUNCTION("""COMPUTED_VALUE"""),1.0)</f>
        <v>1</v>
      </c>
      <c r="I4973" s="9"/>
      <c r="J4973" s="9"/>
      <c r="K4973" s="9"/>
      <c r="L4973" s="9"/>
      <c r="M4973" s="9"/>
      <c r="N4973" s="9"/>
      <c r="O4973" s="9"/>
      <c r="P4973" s="9"/>
      <c r="Q4973" s="9"/>
      <c r="R4973" s="9"/>
      <c r="S4973" s="9"/>
      <c r="T4973" s="9"/>
    </row>
    <row r="4974" ht="15.75" customHeight="1">
      <c r="A4974" s="11">
        <f>IFERROR(__xludf.DUMMYFUNCTION("""COMPUTED_VALUE"""),44471.0)</f>
        <v>44471</v>
      </c>
      <c r="B4974" s="9">
        <f>IFERROR(__xludf.DUMMYFUNCTION("""COMPUTED_VALUE"""),1003987.0)</f>
        <v>1003987</v>
      </c>
      <c r="C4974" s="9">
        <f>IFERROR(__xludf.DUMMYFUNCTION("""COMPUTED_VALUE"""),101565.0)</f>
        <v>101565</v>
      </c>
      <c r="D4974" s="9"/>
      <c r="E4974" s="10" t="str">
        <f>IFERROR(__xludf.DUMMYFUNCTION("""COMPUTED_VALUE"""),"PREMIERE")</f>
        <v>PREMIERE</v>
      </c>
      <c r="F4974" s="10">
        <f>IFERROR(__xludf.DUMMYFUNCTION("""COMPUTED_VALUE"""),5.41)</f>
        <v>5.41</v>
      </c>
      <c r="G4974" s="9">
        <f>IFERROR(__xludf.DUMMYFUNCTION("""COMPUTED_VALUE"""),5.41)</f>
        <v>5.41</v>
      </c>
      <c r="H4974" s="9">
        <f>IFERROR(__xludf.DUMMYFUNCTION("""COMPUTED_VALUE"""),2.0)</f>
        <v>2</v>
      </c>
      <c r="I4974" s="9"/>
      <c r="J4974" s="9"/>
      <c r="K4974" s="9"/>
      <c r="L4974" s="9"/>
      <c r="M4974" s="9"/>
      <c r="N4974" s="9"/>
      <c r="O4974" s="9"/>
      <c r="P4974" s="9"/>
      <c r="Q4974" s="9"/>
      <c r="R4974" s="9"/>
      <c r="S4974" s="9"/>
      <c r="T4974" s="9"/>
    </row>
    <row r="4975" ht="15.75" customHeight="1">
      <c r="A4975" s="11">
        <f>IFERROR(__xludf.DUMMYFUNCTION("""COMPUTED_VALUE"""),44471.0)</f>
        <v>44471</v>
      </c>
      <c r="B4975" s="9">
        <f>IFERROR(__xludf.DUMMYFUNCTION("""COMPUTED_VALUE"""),1003987.0)</f>
        <v>1003987</v>
      </c>
      <c r="C4975" s="9">
        <f>IFERROR(__xludf.DUMMYFUNCTION("""COMPUTED_VALUE"""),87766.0)</f>
        <v>87766</v>
      </c>
      <c r="D4975" s="10" t="str">
        <f>IFERROR(__xludf.DUMMYFUNCTION("""COMPUTED_VALUE"""),"Zero Dechet")</f>
        <v>Zero Dechet</v>
      </c>
      <c r="E4975" s="10" t="str">
        <f>IFERROR(__xludf.DUMMYFUNCTION("""COMPUTED_VALUE"""),"PREMIERE")</f>
        <v>PREMIERE</v>
      </c>
      <c r="F4975" s="10">
        <f>IFERROR(__xludf.DUMMYFUNCTION("""COMPUTED_VALUE"""),14.7058823529411)</f>
        <v>14.70588235</v>
      </c>
      <c r="G4975" s="9">
        <f>IFERROR(__xludf.DUMMYFUNCTION("""COMPUTED_VALUE"""),12.5)</f>
        <v>12.5</v>
      </c>
      <c r="H4975" s="9">
        <f>IFERROR(__xludf.DUMMYFUNCTION("""COMPUTED_VALUE"""),4.0)</f>
        <v>4</v>
      </c>
      <c r="I4975" s="9"/>
      <c r="J4975" s="9"/>
      <c r="K4975" s="9"/>
      <c r="L4975" s="9"/>
      <c r="M4975" s="9"/>
      <c r="N4975" s="9"/>
      <c r="O4975" s="9"/>
      <c r="P4975" s="9"/>
      <c r="Q4975" s="9"/>
      <c r="R4975" s="9"/>
      <c r="S4975" s="9"/>
      <c r="T4975" s="9"/>
    </row>
    <row r="4976" ht="15.75" customHeight="1">
      <c r="A4976" s="11">
        <f>IFERROR(__xludf.DUMMYFUNCTION("""COMPUTED_VALUE"""),44471.0)</f>
        <v>44471</v>
      </c>
      <c r="B4976" s="9">
        <f>IFERROR(__xludf.DUMMYFUNCTION("""COMPUTED_VALUE"""),1003988.0)</f>
        <v>1003988</v>
      </c>
      <c r="C4976" s="9">
        <f>IFERROR(__xludf.DUMMYFUNCTION("""COMPUTED_VALUE"""),78430.0)</f>
        <v>78430</v>
      </c>
      <c r="D4976" s="9"/>
      <c r="E4976" s="10" t="str">
        <f>IFERROR(__xludf.DUMMYFUNCTION("""COMPUTED_VALUE"""),"HAPPEEZ")</f>
        <v>HAPPEEZ</v>
      </c>
      <c r="F4976" s="10">
        <f>IFERROR(__xludf.DUMMYFUNCTION("""COMPUTED_VALUE"""),4.53)</f>
        <v>4.53</v>
      </c>
      <c r="G4976" s="9">
        <f>IFERROR(__xludf.DUMMYFUNCTION("""COMPUTED_VALUE"""),4.53)</f>
        <v>4.53</v>
      </c>
      <c r="H4976" s="9">
        <f>IFERROR(__xludf.DUMMYFUNCTION("""COMPUTED_VALUE"""),1.0)</f>
        <v>1</v>
      </c>
      <c r="I4976" s="9"/>
      <c r="J4976" s="9"/>
      <c r="K4976" s="9"/>
      <c r="L4976" s="9"/>
      <c r="M4976" s="9"/>
      <c r="N4976" s="9"/>
      <c r="O4976" s="9"/>
      <c r="P4976" s="9"/>
      <c r="Q4976" s="9"/>
      <c r="R4976" s="9"/>
      <c r="S4976" s="9"/>
      <c r="T4976" s="9"/>
    </row>
    <row r="4977" ht="15.75" customHeight="1">
      <c r="A4977" s="11">
        <f>IFERROR(__xludf.DUMMYFUNCTION("""COMPUTED_VALUE"""),44471.0)</f>
        <v>44471</v>
      </c>
      <c r="B4977" s="9">
        <f>IFERROR(__xludf.DUMMYFUNCTION("""COMPUTED_VALUE"""),1003988.0)</f>
        <v>1003988</v>
      </c>
      <c r="C4977" s="9">
        <f>IFERROR(__xludf.DUMMYFUNCTION("""COMPUTED_VALUE"""),122579.0)</f>
        <v>122579</v>
      </c>
      <c r="D4977" s="9"/>
      <c r="E4977" s="10" t="str">
        <f>IFERROR(__xludf.DUMMYFUNCTION("""COMPUTED_VALUE"""),"HAPPEEZ")</f>
        <v>HAPPEEZ</v>
      </c>
      <c r="F4977" s="10">
        <f>IFERROR(__xludf.DUMMYFUNCTION("""COMPUTED_VALUE"""),5.03)</f>
        <v>5.03</v>
      </c>
      <c r="G4977" s="9">
        <f>IFERROR(__xludf.DUMMYFUNCTION("""COMPUTED_VALUE"""),5.03)</f>
        <v>5.03</v>
      </c>
      <c r="H4977" s="9">
        <f>IFERROR(__xludf.DUMMYFUNCTION("""COMPUTED_VALUE"""),1.0)</f>
        <v>1</v>
      </c>
      <c r="I4977" s="9"/>
      <c r="J4977" s="9"/>
      <c r="K4977" s="9"/>
      <c r="L4977" s="9"/>
      <c r="M4977" s="9"/>
      <c r="N4977" s="9"/>
      <c r="O4977" s="9"/>
      <c r="P4977" s="9"/>
      <c r="Q4977" s="9"/>
      <c r="R4977" s="9"/>
      <c r="S4977" s="9"/>
      <c r="T4977" s="9"/>
    </row>
    <row r="4978" ht="15.75" customHeight="1">
      <c r="A4978" s="11">
        <f>IFERROR(__xludf.DUMMYFUNCTION("""COMPUTED_VALUE"""),44471.0)</f>
        <v>44471</v>
      </c>
      <c r="B4978" s="9">
        <f>IFERROR(__xludf.DUMMYFUNCTION("""COMPUTED_VALUE"""),1003988.0)</f>
        <v>1003988</v>
      </c>
      <c r="C4978" s="9">
        <f>IFERROR(__xludf.DUMMYFUNCTION("""COMPUTED_VALUE"""),79820.0)</f>
        <v>79820</v>
      </c>
      <c r="D4978" s="9"/>
      <c r="E4978" s="10" t="str">
        <f>IFERROR(__xludf.DUMMYFUNCTION("""COMPUTED_VALUE"""),"HAPPEEZ")</f>
        <v>HAPPEEZ</v>
      </c>
      <c r="F4978" s="10">
        <f>IFERROR(__xludf.DUMMYFUNCTION("""COMPUTED_VALUE"""),5.78)</f>
        <v>5.78</v>
      </c>
      <c r="G4978" s="9">
        <f>IFERROR(__xludf.DUMMYFUNCTION("""COMPUTED_VALUE"""),5.78)</f>
        <v>5.78</v>
      </c>
      <c r="H4978" s="9">
        <f>IFERROR(__xludf.DUMMYFUNCTION("""COMPUTED_VALUE"""),1.0)</f>
        <v>1</v>
      </c>
      <c r="I4978" s="9"/>
      <c r="J4978" s="9"/>
      <c r="K4978" s="9"/>
      <c r="L4978" s="9"/>
      <c r="M4978" s="9"/>
      <c r="N4978" s="9"/>
      <c r="O4978" s="9"/>
      <c r="P4978" s="9"/>
      <c r="Q4978" s="9"/>
      <c r="R4978" s="9"/>
      <c r="S4978" s="9"/>
      <c r="T4978" s="9"/>
    </row>
    <row r="4979" ht="15.75" customHeight="1">
      <c r="A4979" s="11">
        <f>IFERROR(__xludf.DUMMYFUNCTION("""COMPUTED_VALUE"""),44471.0)</f>
        <v>44471</v>
      </c>
      <c r="B4979" s="9">
        <f>IFERROR(__xludf.DUMMYFUNCTION("""COMPUTED_VALUE"""),1003988.0)</f>
        <v>1003988</v>
      </c>
      <c r="C4979" s="9">
        <f>IFERROR(__xludf.DUMMYFUNCTION("""COMPUTED_VALUE"""),24055.0)</f>
        <v>24055</v>
      </c>
      <c r="D4979" s="9"/>
      <c r="E4979" s="10" t="str">
        <f>IFERROR(__xludf.DUMMYFUNCTION("""COMPUTED_VALUE"""),"HAPPEEZ")</f>
        <v>HAPPEEZ</v>
      </c>
      <c r="F4979" s="10">
        <f>IFERROR(__xludf.DUMMYFUNCTION("""COMPUTED_VALUE"""),17.28)</f>
        <v>17.28</v>
      </c>
      <c r="G4979" s="9">
        <f>IFERROR(__xludf.DUMMYFUNCTION("""COMPUTED_VALUE"""),17.28)</f>
        <v>17.28</v>
      </c>
      <c r="H4979" s="9">
        <f>IFERROR(__xludf.DUMMYFUNCTION("""COMPUTED_VALUE"""),1.0)</f>
        <v>1</v>
      </c>
      <c r="I4979" s="9"/>
      <c r="J4979" s="9"/>
      <c r="K4979" s="9"/>
      <c r="L4979" s="9"/>
      <c r="M4979" s="9"/>
      <c r="N4979" s="9"/>
      <c r="O4979" s="9"/>
      <c r="P4979" s="9"/>
      <c r="Q4979" s="9"/>
      <c r="R4979" s="9"/>
      <c r="S4979" s="9"/>
      <c r="T4979" s="9"/>
    </row>
    <row r="4980" ht="15.75" customHeight="1">
      <c r="A4980" s="11">
        <f>IFERROR(__xludf.DUMMYFUNCTION("""COMPUTED_VALUE"""),44471.0)</f>
        <v>44471</v>
      </c>
      <c r="B4980" s="9">
        <f>IFERROR(__xludf.DUMMYFUNCTION("""COMPUTED_VALUE"""),1003988.0)</f>
        <v>1003988</v>
      </c>
      <c r="C4980" s="9">
        <f>IFERROR(__xludf.DUMMYFUNCTION("""COMPUTED_VALUE"""),117116.0)</f>
        <v>117116</v>
      </c>
      <c r="D4980" s="9"/>
      <c r="E4980" s="10" t="str">
        <f>IFERROR(__xludf.DUMMYFUNCTION("""COMPUTED_VALUE"""),"HAPPEEZ")</f>
        <v>HAPPEEZ</v>
      </c>
      <c r="F4980" s="10">
        <f>IFERROR(__xludf.DUMMYFUNCTION("""COMPUTED_VALUE"""),8.35)</f>
        <v>8.35</v>
      </c>
      <c r="G4980" s="9">
        <f>IFERROR(__xludf.DUMMYFUNCTION("""COMPUTED_VALUE"""),8.35)</f>
        <v>8.35</v>
      </c>
      <c r="H4980" s="9">
        <f>IFERROR(__xludf.DUMMYFUNCTION("""COMPUTED_VALUE"""),3.0)</f>
        <v>3</v>
      </c>
      <c r="I4980" s="9"/>
      <c r="J4980" s="9"/>
      <c r="K4980" s="9"/>
      <c r="L4980" s="9"/>
      <c r="M4980" s="9"/>
      <c r="N4980" s="9"/>
      <c r="O4980" s="9"/>
      <c r="P4980" s="9"/>
      <c r="Q4980" s="9"/>
      <c r="R4980" s="9"/>
      <c r="S4980" s="9"/>
      <c r="T4980" s="9"/>
    </row>
    <row r="4981" ht="15.75" customHeight="1">
      <c r="A4981" s="11">
        <f>IFERROR(__xludf.DUMMYFUNCTION("""COMPUTED_VALUE"""),44471.0)</f>
        <v>44471</v>
      </c>
      <c r="B4981" s="9">
        <f>IFERROR(__xludf.DUMMYFUNCTION("""COMPUTED_VALUE"""),1003988.0)</f>
        <v>1003988</v>
      </c>
      <c r="C4981" s="9">
        <f>IFERROR(__xludf.DUMMYFUNCTION("""COMPUTED_VALUE"""),110228.0)</f>
        <v>110228</v>
      </c>
      <c r="D4981" s="9"/>
      <c r="E4981" s="10" t="str">
        <f>IFERROR(__xludf.DUMMYFUNCTION("""COMPUTED_VALUE"""),"HAPPEEZ")</f>
        <v>HAPPEEZ</v>
      </c>
      <c r="F4981" s="10">
        <f>IFERROR(__xludf.DUMMYFUNCTION("""COMPUTED_VALUE"""),70.43)</f>
        <v>70.43</v>
      </c>
      <c r="G4981" s="9">
        <f>IFERROR(__xludf.DUMMYFUNCTION("""COMPUTED_VALUE"""),70.43)</f>
        <v>70.43</v>
      </c>
      <c r="H4981" s="9">
        <f>IFERROR(__xludf.DUMMYFUNCTION("""COMPUTED_VALUE"""),3.0)</f>
        <v>3</v>
      </c>
      <c r="I4981" s="9"/>
      <c r="J4981" s="9"/>
      <c r="K4981" s="9"/>
      <c r="L4981" s="9"/>
      <c r="M4981" s="9"/>
      <c r="N4981" s="9"/>
      <c r="O4981" s="9"/>
      <c r="P4981" s="9"/>
      <c r="Q4981" s="9"/>
      <c r="R4981" s="9"/>
      <c r="S4981" s="9"/>
      <c r="T4981" s="9"/>
    </row>
    <row r="4982" ht="15.75" customHeight="1">
      <c r="A4982" s="11">
        <f>IFERROR(__xludf.DUMMYFUNCTION("""COMPUTED_VALUE"""),44471.0)</f>
        <v>44471</v>
      </c>
      <c r="B4982" s="9">
        <f>IFERROR(__xludf.DUMMYFUNCTION("""COMPUTED_VALUE"""),1003989.0)</f>
        <v>1003989</v>
      </c>
      <c r="C4982" s="9">
        <f>IFERROR(__xludf.DUMMYFUNCTION("""COMPUTED_VALUE"""),90624.0)</f>
        <v>90624</v>
      </c>
      <c r="D4982" s="9"/>
      <c r="E4982" s="9"/>
      <c r="F4982" s="9">
        <f>IFERROR(__xludf.DUMMYFUNCTION("""COMPUTED_VALUE"""),3.5)</f>
        <v>3.5</v>
      </c>
      <c r="G4982" s="9">
        <f>IFERROR(__xludf.DUMMYFUNCTION("""COMPUTED_VALUE"""),3.5)</f>
        <v>3.5</v>
      </c>
      <c r="H4982" s="9">
        <f>IFERROR(__xludf.DUMMYFUNCTION("""COMPUTED_VALUE"""),1.0)</f>
        <v>1</v>
      </c>
      <c r="I4982" s="9"/>
      <c r="J4982" s="9"/>
      <c r="K4982" s="9"/>
      <c r="L4982" s="9"/>
      <c r="M4982" s="9"/>
      <c r="N4982" s="9"/>
      <c r="O4982" s="9"/>
      <c r="P4982" s="9"/>
      <c r="Q4982" s="9"/>
      <c r="R4982" s="9"/>
      <c r="S4982" s="9"/>
      <c r="T4982" s="9"/>
    </row>
    <row r="4983" ht="15.75" customHeight="1">
      <c r="A4983" s="11">
        <f>IFERROR(__xludf.DUMMYFUNCTION("""COMPUTED_VALUE"""),44471.0)</f>
        <v>44471</v>
      </c>
      <c r="B4983" s="9">
        <f>IFERROR(__xludf.DUMMYFUNCTION("""COMPUTED_VALUE"""),1003989.0)</f>
        <v>1003989</v>
      </c>
      <c r="C4983" s="9">
        <f>IFERROR(__xludf.DUMMYFUNCTION("""COMPUTED_VALUE"""),114257.0)</f>
        <v>114257</v>
      </c>
      <c r="D4983" s="9"/>
      <c r="E4983" s="9"/>
      <c r="F4983" s="9">
        <f>IFERROR(__xludf.DUMMYFUNCTION("""COMPUTED_VALUE"""),2.26)</f>
        <v>2.26</v>
      </c>
      <c r="G4983" s="9">
        <f>IFERROR(__xludf.DUMMYFUNCTION("""COMPUTED_VALUE"""),2.26)</f>
        <v>2.26</v>
      </c>
      <c r="H4983" s="9">
        <f>IFERROR(__xludf.DUMMYFUNCTION("""COMPUTED_VALUE"""),1.0)</f>
        <v>1</v>
      </c>
      <c r="I4983" s="9"/>
      <c r="J4983" s="9"/>
      <c r="K4983" s="9"/>
      <c r="L4983" s="9"/>
      <c r="M4983" s="9"/>
      <c r="N4983" s="9"/>
      <c r="O4983" s="9"/>
      <c r="P4983" s="9"/>
      <c r="Q4983" s="9"/>
      <c r="R4983" s="9"/>
      <c r="S4983" s="9"/>
      <c r="T4983" s="9"/>
    </row>
    <row r="4984" ht="15.75" customHeight="1">
      <c r="A4984" s="11">
        <f>IFERROR(__xludf.DUMMYFUNCTION("""COMPUTED_VALUE"""),44471.0)</f>
        <v>44471</v>
      </c>
      <c r="B4984" s="9">
        <f>IFERROR(__xludf.DUMMYFUNCTION("""COMPUTED_VALUE"""),1003989.0)</f>
        <v>1003989</v>
      </c>
      <c r="C4984" s="9">
        <f>IFERROR(__xludf.DUMMYFUNCTION("""COMPUTED_VALUE"""),127241.0)</f>
        <v>127241</v>
      </c>
      <c r="D4984" s="9"/>
      <c r="E4984" s="9"/>
      <c r="F4984" s="9">
        <f>IFERROR(__xludf.DUMMYFUNCTION("""COMPUTED_VALUE"""),19.33)</f>
        <v>19.33</v>
      </c>
      <c r="G4984" s="9">
        <f>IFERROR(__xludf.DUMMYFUNCTION("""COMPUTED_VALUE"""),19.33)</f>
        <v>19.33</v>
      </c>
      <c r="H4984" s="9">
        <f>IFERROR(__xludf.DUMMYFUNCTION("""COMPUTED_VALUE"""),1.0)</f>
        <v>1</v>
      </c>
      <c r="I4984" s="9"/>
      <c r="J4984" s="9"/>
      <c r="K4984" s="9"/>
      <c r="L4984" s="9"/>
      <c r="M4984" s="9"/>
      <c r="N4984" s="9"/>
      <c r="O4984" s="9"/>
      <c r="P4984" s="9"/>
      <c r="Q4984" s="9"/>
      <c r="R4984" s="9"/>
      <c r="S4984" s="9"/>
      <c r="T4984" s="9"/>
    </row>
    <row r="4985" ht="15.75" customHeight="1">
      <c r="A4985" s="11">
        <f>IFERROR(__xludf.DUMMYFUNCTION("""COMPUTED_VALUE"""),44471.0)</f>
        <v>44471</v>
      </c>
      <c r="B4985" s="9">
        <f>IFERROR(__xludf.DUMMYFUNCTION("""COMPUTED_VALUE"""),1003989.0)</f>
        <v>1003989</v>
      </c>
      <c r="C4985" s="9">
        <f>IFERROR(__xludf.DUMMYFUNCTION("""COMPUTED_VALUE"""),109180.0)</f>
        <v>109180</v>
      </c>
      <c r="D4985" s="9"/>
      <c r="E4985" s="9"/>
      <c r="F4985" s="9">
        <f>IFERROR(__xludf.DUMMYFUNCTION("""COMPUTED_VALUE"""),12.79)</f>
        <v>12.79</v>
      </c>
      <c r="G4985" s="9">
        <f>IFERROR(__xludf.DUMMYFUNCTION("""COMPUTED_VALUE"""),12.79)</f>
        <v>12.79</v>
      </c>
      <c r="H4985" s="9">
        <f>IFERROR(__xludf.DUMMYFUNCTION("""COMPUTED_VALUE"""),1.0)</f>
        <v>1</v>
      </c>
      <c r="I4985" s="9"/>
      <c r="J4985" s="9"/>
      <c r="K4985" s="9"/>
      <c r="L4985" s="9"/>
      <c r="M4985" s="9"/>
      <c r="N4985" s="9"/>
      <c r="O4985" s="9"/>
      <c r="P4985" s="9"/>
      <c r="Q4985" s="9"/>
      <c r="R4985" s="9"/>
      <c r="S4985" s="9"/>
      <c r="T4985" s="9"/>
    </row>
    <row r="4986" ht="15.75" customHeight="1">
      <c r="A4986" s="11">
        <f>IFERROR(__xludf.DUMMYFUNCTION("""COMPUTED_VALUE"""),44471.0)</f>
        <v>44471</v>
      </c>
      <c r="B4986" s="9">
        <f>IFERROR(__xludf.DUMMYFUNCTION("""COMPUTED_VALUE"""),1003989.0)</f>
        <v>1003989</v>
      </c>
      <c r="C4986" s="9">
        <f>IFERROR(__xludf.DUMMYFUNCTION("""COMPUTED_VALUE"""),199855.0)</f>
        <v>199855</v>
      </c>
      <c r="D4986" s="9"/>
      <c r="E4986" s="9"/>
      <c r="F4986" s="9">
        <f>IFERROR(__xludf.DUMMYFUNCTION("""COMPUTED_VALUE"""),5.53)</f>
        <v>5.53</v>
      </c>
      <c r="G4986" s="9">
        <f>IFERROR(__xludf.DUMMYFUNCTION("""COMPUTED_VALUE"""),5.53)</f>
        <v>5.53</v>
      </c>
      <c r="H4986" s="9">
        <f>IFERROR(__xludf.DUMMYFUNCTION("""COMPUTED_VALUE"""),1.0)</f>
        <v>1</v>
      </c>
      <c r="I4986" s="9"/>
      <c r="J4986" s="9"/>
      <c r="K4986" s="9"/>
      <c r="L4986" s="9"/>
      <c r="M4986" s="9"/>
      <c r="N4986" s="9"/>
      <c r="O4986" s="9"/>
      <c r="P4986" s="9"/>
      <c r="Q4986" s="9"/>
      <c r="R4986" s="9"/>
      <c r="S4986" s="9"/>
      <c r="T4986" s="9"/>
    </row>
    <row r="4987" ht="15.75" customHeight="1">
      <c r="A4987" s="11">
        <f>IFERROR(__xludf.DUMMYFUNCTION("""COMPUTED_VALUE"""),44471.0)</f>
        <v>44471</v>
      </c>
      <c r="B4987" s="9">
        <f>IFERROR(__xludf.DUMMYFUNCTION("""COMPUTED_VALUE"""),1003989.0)</f>
        <v>1003989</v>
      </c>
      <c r="C4987" s="9">
        <f>IFERROR(__xludf.DUMMYFUNCTION("""COMPUTED_VALUE"""),76466.0)</f>
        <v>76466</v>
      </c>
      <c r="D4987" s="9"/>
      <c r="E4987" s="9"/>
      <c r="F4987" s="9">
        <f>IFERROR(__xludf.DUMMYFUNCTION("""COMPUTED_VALUE"""),3.77)</f>
        <v>3.77</v>
      </c>
      <c r="G4987" s="9">
        <f>IFERROR(__xludf.DUMMYFUNCTION("""COMPUTED_VALUE"""),3.77)</f>
        <v>3.77</v>
      </c>
      <c r="H4987" s="9">
        <f>IFERROR(__xludf.DUMMYFUNCTION("""COMPUTED_VALUE"""),1.0)</f>
        <v>1</v>
      </c>
      <c r="I4987" s="9"/>
      <c r="J4987" s="9"/>
      <c r="K4987" s="9"/>
      <c r="L4987" s="9"/>
      <c r="M4987" s="9"/>
      <c r="N4987" s="9"/>
      <c r="O4987" s="9"/>
      <c r="P4987" s="9"/>
      <c r="Q4987" s="9"/>
      <c r="R4987" s="9"/>
      <c r="S4987" s="9"/>
      <c r="T4987" s="9"/>
    </row>
    <row r="4988" ht="15.75" customHeight="1">
      <c r="A4988" s="11">
        <f>IFERROR(__xludf.DUMMYFUNCTION("""COMPUTED_VALUE"""),44471.0)</f>
        <v>44471</v>
      </c>
      <c r="B4988" s="9">
        <f>IFERROR(__xludf.DUMMYFUNCTION("""COMPUTED_VALUE"""),1003989.0)</f>
        <v>1003989</v>
      </c>
      <c r="C4988" s="9">
        <f>IFERROR(__xludf.DUMMYFUNCTION("""COMPUTED_VALUE"""),121869.0)</f>
        <v>121869</v>
      </c>
      <c r="D4988" s="9"/>
      <c r="E4988" s="9"/>
      <c r="F4988" s="9">
        <f>IFERROR(__xludf.DUMMYFUNCTION("""COMPUTED_VALUE"""),17.2)</f>
        <v>17.2</v>
      </c>
      <c r="G4988" s="9">
        <f>IFERROR(__xludf.DUMMYFUNCTION("""COMPUTED_VALUE"""),17.2)</f>
        <v>17.2</v>
      </c>
      <c r="H4988" s="9">
        <f>IFERROR(__xludf.DUMMYFUNCTION("""COMPUTED_VALUE"""),1.0)</f>
        <v>1</v>
      </c>
      <c r="I4988" s="9"/>
      <c r="J4988" s="9"/>
      <c r="K4988" s="9"/>
      <c r="L4988" s="9"/>
      <c r="M4988" s="9"/>
      <c r="N4988" s="9"/>
      <c r="O4988" s="9"/>
      <c r="P4988" s="9"/>
      <c r="Q4988" s="9"/>
      <c r="R4988" s="9"/>
      <c r="S4988" s="9"/>
      <c r="T4988" s="9"/>
    </row>
    <row r="4989" ht="15.75" customHeight="1">
      <c r="A4989" s="11">
        <f>IFERROR(__xludf.DUMMYFUNCTION("""COMPUTED_VALUE"""),44471.0)</f>
        <v>44471</v>
      </c>
      <c r="B4989" s="9">
        <f>IFERROR(__xludf.DUMMYFUNCTION("""COMPUTED_VALUE"""),1003989.0)</f>
        <v>1003989</v>
      </c>
      <c r="C4989" s="9">
        <f>IFERROR(__xludf.DUMMYFUNCTION("""COMPUTED_VALUE"""),89633.0)</f>
        <v>89633</v>
      </c>
      <c r="D4989" s="10" t="str">
        <f>IFERROR(__xludf.DUMMYFUNCTION("""COMPUTED_VALUE"""),"Offre speciale")</f>
        <v>Offre speciale</v>
      </c>
      <c r="E4989" s="10"/>
      <c r="F4989" s="9">
        <f>IFERROR(__xludf.DUMMYFUNCTION("""COMPUTED_VALUE"""),1.71739130434782)</f>
        <v>1.717391304</v>
      </c>
      <c r="G4989" s="9">
        <f>IFERROR(__xludf.DUMMYFUNCTION("""COMPUTED_VALUE"""),1.58)</f>
        <v>1.58</v>
      </c>
      <c r="H4989" s="9">
        <f>IFERROR(__xludf.DUMMYFUNCTION("""COMPUTED_VALUE"""),1.0)</f>
        <v>1</v>
      </c>
      <c r="I4989" s="9"/>
      <c r="J4989" s="9"/>
      <c r="K4989" s="9"/>
      <c r="L4989" s="9"/>
      <c r="M4989" s="9"/>
      <c r="N4989" s="9"/>
      <c r="O4989" s="9"/>
      <c r="P4989" s="9"/>
      <c r="Q4989" s="9"/>
      <c r="R4989" s="9"/>
      <c r="S4989" s="9"/>
      <c r="T4989" s="9"/>
    </row>
    <row r="4990" ht="15.75" customHeight="1">
      <c r="A4990" s="11">
        <f>IFERROR(__xludf.DUMMYFUNCTION("""COMPUTED_VALUE"""),44471.0)</f>
        <v>44471</v>
      </c>
      <c r="B4990" s="9">
        <f>IFERROR(__xludf.DUMMYFUNCTION("""COMPUTED_VALUE"""),1003989.0)</f>
        <v>1003989</v>
      </c>
      <c r="C4990" s="9">
        <f>IFERROR(__xludf.DUMMYFUNCTION("""COMPUTED_VALUE"""),90671.0)</f>
        <v>90671</v>
      </c>
      <c r="D4990" s="9"/>
      <c r="E4990" s="9"/>
      <c r="F4990" s="9">
        <f>IFERROR(__xludf.DUMMYFUNCTION("""COMPUTED_VALUE"""),1.64)</f>
        <v>1.64</v>
      </c>
      <c r="G4990" s="9">
        <f>IFERROR(__xludf.DUMMYFUNCTION("""COMPUTED_VALUE"""),1.64)</f>
        <v>1.64</v>
      </c>
      <c r="H4990" s="9">
        <f>IFERROR(__xludf.DUMMYFUNCTION("""COMPUTED_VALUE"""),1.0)</f>
        <v>1</v>
      </c>
      <c r="I4990" s="9"/>
      <c r="J4990" s="9"/>
      <c r="K4990" s="9"/>
      <c r="L4990" s="9"/>
      <c r="M4990" s="9"/>
      <c r="N4990" s="9"/>
      <c r="O4990" s="9"/>
      <c r="P4990" s="9"/>
      <c r="Q4990" s="9"/>
      <c r="R4990" s="9"/>
      <c r="S4990" s="9"/>
      <c r="T4990" s="9"/>
    </row>
    <row r="4991" ht="15.75" customHeight="1">
      <c r="A4991" s="11">
        <f>IFERROR(__xludf.DUMMYFUNCTION("""COMPUTED_VALUE"""),44471.0)</f>
        <v>44471</v>
      </c>
      <c r="B4991" s="9">
        <f>IFERROR(__xludf.DUMMYFUNCTION("""COMPUTED_VALUE"""),1003989.0)</f>
        <v>1003989</v>
      </c>
      <c r="C4991" s="9">
        <f>IFERROR(__xludf.DUMMYFUNCTION("""COMPUTED_VALUE"""),110568.0)</f>
        <v>110568</v>
      </c>
      <c r="D4991" s="9"/>
      <c r="E4991" s="9"/>
      <c r="F4991" s="9">
        <f>IFERROR(__xludf.DUMMYFUNCTION("""COMPUTED_VALUE"""),1.89)</f>
        <v>1.89</v>
      </c>
      <c r="G4991" s="9">
        <f>IFERROR(__xludf.DUMMYFUNCTION("""COMPUTED_VALUE"""),1.89)</f>
        <v>1.89</v>
      </c>
      <c r="H4991" s="9">
        <f>IFERROR(__xludf.DUMMYFUNCTION("""COMPUTED_VALUE"""),1.0)</f>
        <v>1</v>
      </c>
      <c r="I4991" s="9"/>
      <c r="J4991" s="9"/>
      <c r="K4991" s="9"/>
      <c r="L4991" s="9"/>
      <c r="M4991" s="9"/>
      <c r="N4991" s="9"/>
      <c r="O4991" s="9"/>
      <c r="P4991" s="9"/>
      <c r="Q4991" s="9"/>
      <c r="R4991" s="9"/>
      <c r="S4991" s="9"/>
      <c r="T4991" s="9"/>
    </row>
    <row r="4992" ht="15.75" customHeight="1">
      <c r="A4992" s="11">
        <f>IFERROR(__xludf.DUMMYFUNCTION("""COMPUTED_VALUE"""),44471.0)</f>
        <v>44471</v>
      </c>
      <c r="B4992" s="9">
        <f>IFERROR(__xludf.DUMMYFUNCTION("""COMPUTED_VALUE"""),1003989.0)</f>
        <v>1003989</v>
      </c>
      <c r="C4992" s="9">
        <f>IFERROR(__xludf.DUMMYFUNCTION("""COMPUTED_VALUE"""),91342.0)</f>
        <v>91342</v>
      </c>
      <c r="D4992" s="10" t="str">
        <f>IFERROR(__xludf.DUMMYFUNCTION("""COMPUTED_VALUE"""),"Vive le bio")</f>
        <v>Vive le bio</v>
      </c>
      <c r="E4992" s="10"/>
      <c r="F4992" s="9">
        <f>IFERROR(__xludf.DUMMYFUNCTION("""COMPUTED_VALUE"""),2.32222222222222)</f>
        <v>2.322222222</v>
      </c>
      <c r="G4992" s="9">
        <f>IFERROR(__xludf.DUMMYFUNCTION("""COMPUTED_VALUE"""),2.09)</f>
        <v>2.09</v>
      </c>
      <c r="H4992" s="9">
        <f>IFERROR(__xludf.DUMMYFUNCTION("""COMPUTED_VALUE"""),1.0)</f>
        <v>1</v>
      </c>
      <c r="I4992" s="9"/>
      <c r="J4992" s="9"/>
      <c r="K4992" s="9"/>
      <c r="L4992" s="9"/>
      <c r="M4992" s="9"/>
      <c r="N4992" s="9"/>
      <c r="O4992" s="9"/>
      <c r="P4992" s="9"/>
      <c r="Q4992" s="9"/>
      <c r="R4992" s="9"/>
      <c r="S4992" s="9"/>
      <c r="T4992" s="9"/>
    </row>
    <row r="4993" ht="15.75" customHeight="1">
      <c r="A4993" s="11">
        <f>IFERROR(__xludf.DUMMYFUNCTION("""COMPUTED_VALUE"""),44471.0)</f>
        <v>44471</v>
      </c>
      <c r="B4993" s="9">
        <f>IFERROR(__xludf.DUMMYFUNCTION("""COMPUTED_VALUE"""),1003989.0)</f>
        <v>1003989</v>
      </c>
      <c r="C4993" s="9">
        <f>IFERROR(__xludf.DUMMYFUNCTION("""COMPUTED_VALUE"""),82821.0)</f>
        <v>82821</v>
      </c>
      <c r="D4993" s="9"/>
      <c r="E4993" s="9"/>
      <c r="F4993" s="9">
        <f>IFERROR(__xludf.DUMMYFUNCTION("""COMPUTED_VALUE"""),7.82)</f>
        <v>7.82</v>
      </c>
      <c r="G4993" s="9">
        <f>IFERROR(__xludf.DUMMYFUNCTION("""COMPUTED_VALUE"""),7.82)</f>
        <v>7.82</v>
      </c>
      <c r="H4993" s="9">
        <f>IFERROR(__xludf.DUMMYFUNCTION("""COMPUTED_VALUE"""),1.0)</f>
        <v>1</v>
      </c>
      <c r="I4993" s="9"/>
      <c r="J4993" s="9"/>
      <c r="K4993" s="9"/>
      <c r="L4993" s="9"/>
      <c r="M4993" s="9"/>
      <c r="N4993" s="9"/>
      <c r="O4993" s="9"/>
      <c r="P4993" s="9"/>
      <c r="Q4993" s="9"/>
      <c r="R4993" s="9"/>
      <c r="S4993" s="9"/>
      <c r="T4993" s="9"/>
    </row>
    <row r="4994" ht="15.75" customHeight="1">
      <c r="A4994" s="11">
        <f>IFERROR(__xludf.DUMMYFUNCTION("""COMPUTED_VALUE"""),44471.0)</f>
        <v>44471</v>
      </c>
      <c r="B4994" s="9">
        <f>IFERROR(__xludf.DUMMYFUNCTION("""COMPUTED_VALUE"""),1003989.0)</f>
        <v>1003989</v>
      </c>
      <c r="C4994" s="9">
        <f>IFERROR(__xludf.DUMMYFUNCTION("""COMPUTED_VALUE"""),76584.0)</f>
        <v>76584</v>
      </c>
      <c r="D4994" s="9"/>
      <c r="E4994" s="9"/>
      <c r="F4994" s="9">
        <f>IFERROR(__xludf.DUMMYFUNCTION("""COMPUTED_VALUE"""),1.83)</f>
        <v>1.83</v>
      </c>
      <c r="G4994" s="9">
        <f>IFERROR(__xludf.DUMMYFUNCTION("""COMPUTED_VALUE"""),1.83)</f>
        <v>1.83</v>
      </c>
      <c r="H4994" s="9">
        <f>IFERROR(__xludf.DUMMYFUNCTION("""COMPUTED_VALUE"""),1.0)</f>
        <v>1</v>
      </c>
      <c r="I4994" s="9"/>
      <c r="J4994" s="9"/>
      <c r="K4994" s="9"/>
      <c r="L4994" s="9"/>
      <c r="M4994" s="9"/>
      <c r="N4994" s="9"/>
      <c r="O4994" s="9"/>
      <c r="P4994" s="9"/>
      <c r="Q4994" s="9"/>
      <c r="R4994" s="9"/>
      <c r="S4994" s="9"/>
      <c r="T4994" s="9"/>
    </row>
    <row r="4995" ht="15.75" customHeight="1">
      <c r="A4995" s="11">
        <f>IFERROR(__xludf.DUMMYFUNCTION("""COMPUTED_VALUE"""),44471.0)</f>
        <v>44471</v>
      </c>
      <c r="B4995" s="9">
        <f>IFERROR(__xludf.DUMMYFUNCTION("""COMPUTED_VALUE"""),1003989.0)</f>
        <v>1003989</v>
      </c>
      <c r="C4995" s="9">
        <f>IFERROR(__xludf.DUMMYFUNCTION("""COMPUTED_VALUE"""),77248.0)</f>
        <v>77248</v>
      </c>
      <c r="D4995" s="9"/>
      <c r="E4995" s="9"/>
      <c r="F4995" s="9">
        <f>IFERROR(__xludf.DUMMYFUNCTION("""COMPUTED_VALUE"""),2.42)</f>
        <v>2.42</v>
      </c>
      <c r="G4995" s="9">
        <f>IFERROR(__xludf.DUMMYFUNCTION("""COMPUTED_VALUE"""),2.42)</f>
        <v>2.42</v>
      </c>
      <c r="H4995" s="9">
        <f>IFERROR(__xludf.DUMMYFUNCTION("""COMPUTED_VALUE"""),1.0)</f>
        <v>1</v>
      </c>
      <c r="I4995" s="9"/>
      <c r="J4995" s="9"/>
      <c r="K4995" s="9"/>
      <c r="L4995" s="9"/>
      <c r="M4995" s="9"/>
      <c r="N4995" s="9"/>
      <c r="O4995" s="9"/>
      <c r="P4995" s="9"/>
      <c r="Q4995" s="9"/>
      <c r="R4995" s="9"/>
      <c r="S4995" s="9"/>
      <c r="T4995" s="9"/>
    </row>
    <row r="4996" ht="15.75" customHeight="1">
      <c r="A4996" s="11">
        <f>IFERROR(__xludf.DUMMYFUNCTION("""COMPUTED_VALUE"""),44471.0)</f>
        <v>44471</v>
      </c>
      <c r="B4996" s="9">
        <f>IFERROR(__xludf.DUMMYFUNCTION("""COMPUTED_VALUE"""),1003989.0)</f>
        <v>1003989</v>
      </c>
      <c r="C4996" s="9">
        <f>IFERROR(__xludf.DUMMYFUNCTION("""COMPUTED_VALUE"""),87440.0)</f>
        <v>87440</v>
      </c>
      <c r="D4996" s="9"/>
      <c r="E4996" s="9"/>
      <c r="F4996" s="9">
        <f>IFERROR(__xludf.DUMMYFUNCTION("""COMPUTED_VALUE"""),1.46)</f>
        <v>1.46</v>
      </c>
      <c r="G4996" s="9">
        <f>IFERROR(__xludf.DUMMYFUNCTION("""COMPUTED_VALUE"""),1.46)</f>
        <v>1.46</v>
      </c>
      <c r="H4996" s="9">
        <f>IFERROR(__xludf.DUMMYFUNCTION("""COMPUTED_VALUE"""),1.0)</f>
        <v>1</v>
      </c>
      <c r="I4996" s="9"/>
      <c r="J4996" s="9"/>
      <c r="K4996" s="9"/>
      <c r="L4996" s="9"/>
      <c r="M4996" s="9"/>
      <c r="N4996" s="9"/>
      <c r="O4996" s="9"/>
      <c r="P4996" s="9"/>
      <c r="Q4996" s="9"/>
      <c r="R4996" s="9"/>
      <c r="S4996" s="9"/>
      <c r="T4996" s="9"/>
    </row>
    <row r="4997" ht="15.75" customHeight="1">
      <c r="A4997" s="11">
        <f>IFERROR(__xludf.DUMMYFUNCTION("""COMPUTED_VALUE"""),44471.0)</f>
        <v>44471</v>
      </c>
      <c r="B4997" s="9">
        <f>IFERROR(__xludf.DUMMYFUNCTION("""COMPUTED_VALUE"""),1003989.0)</f>
        <v>1003989</v>
      </c>
      <c r="C4997" s="9">
        <f>IFERROR(__xludf.DUMMYFUNCTION("""COMPUTED_VALUE"""),93049.0)</f>
        <v>93049</v>
      </c>
      <c r="D4997" s="9"/>
      <c r="E4997" s="9"/>
      <c r="F4997" s="9">
        <f>IFERROR(__xludf.DUMMYFUNCTION("""COMPUTED_VALUE"""),14.43)</f>
        <v>14.43</v>
      </c>
      <c r="G4997" s="9">
        <f>IFERROR(__xludf.DUMMYFUNCTION("""COMPUTED_VALUE"""),14.43)</f>
        <v>14.43</v>
      </c>
      <c r="H4997" s="9">
        <f>IFERROR(__xludf.DUMMYFUNCTION("""COMPUTED_VALUE"""),1.0)</f>
        <v>1</v>
      </c>
      <c r="I4997" s="9"/>
      <c r="J4997" s="9"/>
      <c r="K4997" s="9"/>
      <c r="L4997" s="9"/>
      <c r="M4997" s="9"/>
      <c r="N4997" s="9"/>
      <c r="O4997" s="9"/>
      <c r="P4997" s="9"/>
      <c r="Q4997" s="9"/>
      <c r="R4997" s="9"/>
      <c r="S4997" s="9"/>
      <c r="T4997" s="9"/>
    </row>
    <row r="4998" ht="15.75" customHeight="1">
      <c r="A4998" s="11">
        <f>IFERROR(__xludf.DUMMYFUNCTION("""COMPUTED_VALUE"""),44471.0)</f>
        <v>44471</v>
      </c>
      <c r="B4998" s="9">
        <f>IFERROR(__xludf.DUMMYFUNCTION("""COMPUTED_VALUE"""),1003989.0)</f>
        <v>1003989</v>
      </c>
      <c r="C4998" s="9">
        <f>IFERROR(__xludf.DUMMYFUNCTION("""COMPUTED_VALUE"""),118260.0)</f>
        <v>118260</v>
      </c>
      <c r="D4998" s="9"/>
      <c r="E4998" s="9"/>
      <c r="F4998" s="9">
        <f>IFERROR(__xludf.DUMMYFUNCTION("""COMPUTED_VALUE"""),1.59)</f>
        <v>1.59</v>
      </c>
      <c r="G4998" s="9">
        <f>IFERROR(__xludf.DUMMYFUNCTION("""COMPUTED_VALUE"""),1.59)</f>
        <v>1.59</v>
      </c>
      <c r="H4998" s="9">
        <f>IFERROR(__xludf.DUMMYFUNCTION("""COMPUTED_VALUE"""),1.0)</f>
        <v>1</v>
      </c>
      <c r="I4998" s="9"/>
      <c r="J4998" s="9"/>
      <c r="K4998" s="9"/>
      <c r="L4998" s="9"/>
      <c r="M4998" s="9"/>
      <c r="N4998" s="9"/>
      <c r="O4998" s="9"/>
      <c r="P4998" s="9"/>
      <c r="Q4998" s="9"/>
      <c r="R4998" s="9"/>
      <c r="S4998" s="9"/>
      <c r="T4998" s="9"/>
    </row>
    <row r="4999" ht="15.75" customHeight="1">
      <c r="A4999" s="11">
        <f>IFERROR(__xludf.DUMMYFUNCTION("""COMPUTED_VALUE"""),44471.0)</f>
        <v>44471</v>
      </c>
      <c r="B4999" s="9">
        <f>IFERROR(__xludf.DUMMYFUNCTION("""COMPUTED_VALUE"""),1003989.0)</f>
        <v>1003989</v>
      </c>
      <c r="C4999" s="9">
        <f>IFERROR(__xludf.DUMMYFUNCTION("""COMPUTED_VALUE"""),114722.0)</f>
        <v>114722</v>
      </c>
      <c r="D4999" s="9"/>
      <c r="E4999" s="9"/>
      <c r="F4999" s="9">
        <f>IFERROR(__xludf.DUMMYFUNCTION("""COMPUTED_VALUE"""),3.81)</f>
        <v>3.81</v>
      </c>
      <c r="G4999" s="9">
        <f>IFERROR(__xludf.DUMMYFUNCTION("""COMPUTED_VALUE"""),3.81)</f>
        <v>3.81</v>
      </c>
      <c r="H4999" s="9">
        <f>IFERROR(__xludf.DUMMYFUNCTION("""COMPUTED_VALUE"""),1.0)</f>
        <v>1</v>
      </c>
      <c r="I4999" s="9"/>
      <c r="J4999" s="9"/>
      <c r="K4999" s="9"/>
      <c r="L4999" s="9"/>
      <c r="M4999" s="9"/>
      <c r="N4999" s="9"/>
      <c r="O4999" s="9"/>
      <c r="P4999" s="9"/>
      <c r="Q4999" s="9"/>
      <c r="R4999" s="9"/>
      <c r="S4999" s="9"/>
      <c r="T4999" s="9"/>
    </row>
    <row r="5000" ht="15.75" customHeight="1">
      <c r="A5000" s="11">
        <f>IFERROR(__xludf.DUMMYFUNCTION("""COMPUTED_VALUE"""),44471.0)</f>
        <v>44471</v>
      </c>
      <c r="B5000" s="9">
        <f>IFERROR(__xludf.DUMMYFUNCTION("""COMPUTED_VALUE"""),1003989.0)</f>
        <v>1003989</v>
      </c>
      <c r="C5000" s="9">
        <f>IFERROR(__xludf.DUMMYFUNCTION("""COMPUTED_VALUE"""),66998.0)</f>
        <v>66998</v>
      </c>
      <c r="D5000" s="9"/>
      <c r="E5000" s="9"/>
      <c r="F5000" s="9">
        <f>IFERROR(__xludf.DUMMYFUNCTION("""COMPUTED_VALUE"""),6.39)</f>
        <v>6.39</v>
      </c>
      <c r="G5000" s="9">
        <f>IFERROR(__xludf.DUMMYFUNCTION("""COMPUTED_VALUE"""),6.39)</f>
        <v>6.39</v>
      </c>
      <c r="H5000" s="9">
        <f>IFERROR(__xludf.DUMMYFUNCTION("""COMPUTED_VALUE"""),1.0)</f>
        <v>1</v>
      </c>
      <c r="I5000" s="9"/>
      <c r="J5000" s="9"/>
      <c r="K5000" s="9"/>
      <c r="L5000" s="9"/>
      <c r="M5000" s="9"/>
      <c r="N5000" s="9"/>
      <c r="O5000" s="9"/>
      <c r="P5000" s="9"/>
      <c r="Q5000" s="9"/>
      <c r="R5000" s="9"/>
      <c r="S5000" s="9"/>
      <c r="T5000" s="9"/>
    </row>
    <row r="5001" ht="15.75" customHeight="1">
      <c r="A5001" s="11">
        <f>IFERROR(__xludf.DUMMYFUNCTION("""COMPUTED_VALUE"""),44471.0)</f>
        <v>44471</v>
      </c>
      <c r="B5001" s="9">
        <f>IFERROR(__xludf.DUMMYFUNCTION("""COMPUTED_VALUE"""),1003989.0)</f>
        <v>1003989</v>
      </c>
      <c r="C5001" s="9">
        <f>IFERROR(__xludf.DUMMYFUNCTION("""COMPUTED_VALUE"""),121135.0)</f>
        <v>121135</v>
      </c>
      <c r="D5001" s="9"/>
      <c r="E5001" s="9"/>
      <c r="F5001" s="9">
        <f>IFERROR(__xludf.DUMMYFUNCTION("""COMPUTED_VALUE"""),13.55)</f>
        <v>13.55</v>
      </c>
      <c r="G5001" s="9">
        <f>IFERROR(__xludf.DUMMYFUNCTION("""COMPUTED_VALUE"""),13.55)</f>
        <v>13.55</v>
      </c>
      <c r="H5001" s="9">
        <f>IFERROR(__xludf.DUMMYFUNCTION("""COMPUTED_VALUE"""),1.0)</f>
        <v>1</v>
      </c>
      <c r="I5001" s="9"/>
      <c r="J5001" s="9"/>
      <c r="K5001" s="9"/>
      <c r="L5001" s="9"/>
      <c r="M5001" s="9"/>
      <c r="N5001" s="9"/>
      <c r="O5001" s="9"/>
      <c r="P5001" s="9"/>
      <c r="Q5001" s="9"/>
      <c r="R5001" s="9"/>
      <c r="S5001" s="9"/>
      <c r="T5001" s="9"/>
    </row>
    <row r="5002" ht="15.75" customHeight="1">
      <c r="A5002" s="11">
        <f>IFERROR(__xludf.DUMMYFUNCTION("""COMPUTED_VALUE"""),44471.0)</f>
        <v>44471</v>
      </c>
      <c r="B5002" s="9">
        <f>IFERROR(__xludf.DUMMYFUNCTION("""COMPUTED_VALUE"""),1003989.0)</f>
        <v>1003989</v>
      </c>
      <c r="C5002" s="9">
        <f>IFERROR(__xludf.DUMMYFUNCTION("""COMPUTED_VALUE"""),80117.0)</f>
        <v>80117</v>
      </c>
      <c r="D5002" s="9"/>
      <c r="E5002" s="9"/>
      <c r="F5002" s="9">
        <f>IFERROR(__xludf.DUMMYFUNCTION("""COMPUTED_VALUE"""),3.45)</f>
        <v>3.45</v>
      </c>
      <c r="G5002" s="9">
        <f>IFERROR(__xludf.DUMMYFUNCTION("""COMPUTED_VALUE"""),3.45)</f>
        <v>3.45</v>
      </c>
      <c r="H5002" s="9">
        <f>IFERROR(__xludf.DUMMYFUNCTION("""COMPUTED_VALUE"""),1.0)</f>
        <v>1</v>
      </c>
      <c r="I5002" s="9"/>
      <c r="J5002" s="9"/>
      <c r="K5002" s="9"/>
      <c r="L5002" s="9"/>
      <c r="M5002" s="9"/>
      <c r="N5002" s="9"/>
      <c r="O5002" s="9"/>
      <c r="P5002" s="9"/>
      <c r="Q5002" s="9"/>
      <c r="R5002" s="9"/>
      <c r="S5002" s="9"/>
      <c r="T5002" s="9"/>
    </row>
    <row r="5003" ht="15.75" customHeight="1">
      <c r="A5003" s="11">
        <f>IFERROR(__xludf.DUMMYFUNCTION("""COMPUTED_VALUE"""),44471.0)</f>
        <v>44471</v>
      </c>
      <c r="B5003" s="9">
        <f>IFERROR(__xludf.DUMMYFUNCTION("""COMPUTED_VALUE"""),1003989.0)</f>
        <v>1003989</v>
      </c>
      <c r="C5003" s="9">
        <f>IFERROR(__xludf.DUMMYFUNCTION("""COMPUTED_VALUE"""),122068.0)</f>
        <v>122068</v>
      </c>
      <c r="D5003" s="9"/>
      <c r="E5003" s="9"/>
      <c r="F5003" s="9">
        <f>IFERROR(__xludf.DUMMYFUNCTION("""COMPUTED_VALUE"""),1.6)</f>
        <v>1.6</v>
      </c>
      <c r="G5003" s="9">
        <f>IFERROR(__xludf.DUMMYFUNCTION("""COMPUTED_VALUE"""),1.6)</f>
        <v>1.6</v>
      </c>
      <c r="H5003" s="9">
        <f>IFERROR(__xludf.DUMMYFUNCTION("""COMPUTED_VALUE"""),1.0)</f>
        <v>1</v>
      </c>
      <c r="I5003" s="9"/>
      <c r="J5003" s="9"/>
      <c r="K5003" s="9"/>
      <c r="L5003" s="9"/>
      <c r="M5003" s="9"/>
      <c r="N5003" s="9"/>
      <c r="O5003" s="9"/>
      <c r="P5003" s="9"/>
      <c r="Q5003" s="9"/>
      <c r="R5003" s="9"/>
      <c r="S5003" s="9"/>
      <c r="T5003" s="9"/>
    </row>
    <row r="5004" ht="15.75" customHeight="1">
      <c r="A5004" s="11">
        <f>IFERROR(__xludf.DUMMYFUNCTION("""COMPUTED_VALUE"""),44471.0)</f>
        <v>44471</v>
      </c>
      <c r="B5004" s="9">
        <f>IFERROR(__xludf.DUMMYFUNCTION("""COMPUTED_VALUE"""),1003989.0)</f>
        <v>1003989</v>
      </c>
      <c r="C5004" s="9">
        <f>IFERROR(__xludf.DUMMYFUNCTION("""COMPUTED_VALUE"""),147335.0)</f>
        <v>147335</v>
      </c>
      <c r="D5004" s="10" t="str">
        <f>IFERROR(__xludf.DUMMYFUNCTION("""COMPUTED_VALUE"""),"Vive le bio")</f>
        <v>Vive le bio</v>
      </c>
      <c r="E5004" s="10"/>
      <c r="F5004" s="9">
        <f>IFERROR(__xludf.DUMMYFUNCTION("""COMPUTED_VALUE"""),4.66666666666666)</f>
        <v>4.666666667</v>
      </c>
      <c r="G5004" s="9">
        <f>IFERROR(__xludf.DUMMYFUNCTION("""COMPUTED_VALUE"""),4.2)</f>
        <v>4.2</v>
      </c>
      <c r="H5004" s="9">
        <f>IFERROR(__xludf.DUMMYFUNCTION("""COMPUTED_VALUE"""),1.0)</f>
        <v>1</v>
      </c>
      <c r="I5004" s="9"/>
      <c r="J5004" s="9"/>
      <c r="K5004" s="9"/>
      <c r="L5004" s="9"/>
      <c r="M5004" s="9"/>
      <c r="N5004" s="9"/>
      <c r="O5004" s="9"/>
      <c r="P5004" s="9"/>
      <c r="Q5004" s="9"/>
      <c r="R5004" s="9"/>
      <c r="S5004" s="9"/>
      <c r="T5004" s="9"/>
    </row>
    <row r="5005" ht="15.75" customHeight="1">
      <c r="A5005" s="11">
        <f>IFERROR(__xludf.DUMMYFUNCTION("""COMPUTED_VALUE"""),44471.0)</f>
        <v>44471</v>
      </c>
      <c r="B5005" s="9">
        <f>IFERROR(__xludf.DUMMYFUNCTION("""COMPUTED_VALUE"""),1003989.0)</f>
        <v>1003989</v>
      </c>
      <c r="C5005" s="9">
        <f>IFERROR(__xludf.DUMMYFUNCTION("""COMPUTED_VALUE"""),81647.0)</f>
        <v>81647</v>
      </c>
      <c r="D5005" s="9"/>
      <c r="E5005" s="9"/>
      <c r="F5005" s="9">
        <f>IFERROR(__xludf.DUMMYFUNCTION("""COMPUTED_VALUE"""),12.59)</f>
        <v>12.59</v>
      </c>
      <c r="G5005" s="9">
        <f>IFERROR(__xludf.DUMMYFUNCTION("""COMPUTED_VALUE"""),12.59)</f>
        <v>12.59</v>
      </c>
      <c r="H5005" s="9">
        <f>IFERROR(__xludf.DUMMYFUNCTION("""COMPUTED_VALUE"""),1.0)</f>
        <v>1</v>
      </c>
      <c r="I5005" s="9"/>
      <c r="J5005" s="9"/>
      <c r="K5005" s="9"/>
      <c r="L5005" s="9"/>
      <c r="M5005" s="9"/>
      <c r="N5005" s="9"/>
      <c r="O5005" s="9"/>
      <c r="P5005" s="9"/>
      <c r="Q5005" s="9"/>
      <c r="R5005" s="9"/>
      <c r="S5005" s="9"/>
      <c r="T5005" s="9"/>
    </row>
    <row r="5006" ht="15.75" customHeight="1">
      <c r="A5006" s="11">
        <f>IFERROR(__xludf.DUMMYFUNCTION("""COMPUTED_VALUE"""),44471.0)</f>
        <v>44471</v>
      </c>
      <c r="B5006" s="9">
        <f>IFERROR(__xludf.DUMMYFUNCTION("""COMPUTED_VALUE"""),1003989.0)</f>
        <v>1003989</v>
      </c>
      <c r="C5006" s="9">
        <f>IFERROR(__xludf.DUMMYFUNCTION("""COMPUTED_VALUE"""),69118.0)</f>
        <v>69118</v>
      </c>
      <c r="D5006" s="9"/>
      <c r="E5006" s="9"/>
      <c r="F5006" s="9">
        <f>IFERROR(__xludf.DUMMYFUNCTION("""COMPUTED_VALUE"""),2.46)</f>
        <v>2.46</v>
      </c>
      <c r="G5006" s="9">
        <f>IFERROR(__xludf.DUMMYFUNCTION("""COMPUTED_VALUE"""),2.46)</f>
        <v>2.46</v>
      </c>
      <c r="H5006" s="9">
        <f>IFERROR(__xludf.DUMMYFUNCTION("""COMPUTED_VALUE"""),1.0)</f>
        <v>1</v>
      </c>
      <c r="I5006" s="9"/>
      <c r="J5006" s="9"/>
      <c r="K5006" s="9"/>
      <c r="L5006" s="9"/>
      <c r="M5006" s="9"/>
      <c r="N5006" s="9"/>
      <c r="O5006" s="9"/>
      <c r="P5006" s="9"/>
      <c r="Q5006" s="9"/>
      <c r="R5006" s="9"/>
      <c r="S5006" s="9"/>
      <c r="T5006" s="9"/>
    </row>
    <row r="5007" ht="15.75" customHeight="1">
      <c r="A5007" s="11">
        <f>IFERROR(__xludf.DUMMYFUNCTION("""COMPUTED_VALUE"""),44471.0)</f>
        <v>44471</v>
      </c>
      <c r="B5007" s="9">
        <f>IFERROR(__xludf.DUMMYFUNCTION("""COMPUTED_VALUE"""),1003989.0)</f>
        <v>1003989</v>
      </c>
      <c r="C5007" s="9">
        <f>IFERROR(__xludf.DUMMYFUNCTION("""COMPUTED_VALUE"""),69114.0)</f>
        <v>69114</v>
      </c>
      <c r="D5007" s="9"/>
      <c r="E5007" s="9"/>
      <c r="F5007" s="9">
        <f>IFERROR(__xludf.DUMMYFUNCTION("""COMPUTED_VALUE"""),2.46)</f>
        <v>2.46</v>
      </c>
      <c r="G5007" s="9">
        <f>IFERROR(__xludf.DUMMYFUNCTION("""COMPUTED_VALUE"""),2.46)</f>
        <v>2.46</v>
      </c>
      <c r="H5007" s="9">
        <f>IFERROR(__xludf.DUMMYFUNCTION("""COMPUTED_VALUE"""),1.0)</f>
        <v>1</v>
      </c>
      <c r="I5007" s="9"/>
      <c r="J5007" s="9"/>
      <c r="K5007" s="9"/>
      <c r="L5007" s="9"/>
      <c r="M5007" s="9"/>
      <c r="N5007" s="9"/>
      <c r="O5007" s="9"/>
      <c r="P5007" s="9"/>
      <c r="Q5007" s="9"/>
      <c r="R5007" s="9"/>
      <c r="S5007" s="9"/>
      <c r="T5007" s="9"/>
    </row>
    <row r="5008" ht="15.75" customHeight="1">
      <c r="A5008" s="11">
        <f>IFERROR(__xludf.DUMMYFUNCTION("""COMPUTED_VALUE"""),44471.0)</f>
        <v>44471</v>
      </c>
      <c r="B5008" s="9">
        <f>IFERROR(__xludf.DUMMYFUNCTION("""COMPUTED_VALUE"""),1003989.0)</f>
        <v>1003989</v>
      </c>
      <c r="C5008" s="9">
        <f>IFERROR(__xludf.DUMMYFUNCTION("""COMPUTED_VALUE"""),69113.0)</f>
        <v>69113</v>
      </c>
      <c r="D5008" s="9"/>
      <c r="E5008" s="9"/>
      <c r="F5008" s="9">
        <f>IFERROR(__xludf.DUMMYFUNCTION("""COMPUTED_VALUE"""),2.46)</f>
        <v>2.46</v>
      </c>
      <c r="G5008" s="9">
        <f>IFERROR(__xludf.DUMMYFUNCTION("""COMPUTED_VALUE"""),2.46)</f>
        <v>2.46</v>
      </c>
      <c r="H5008" s="9">
        <f>IFERROR(__xludf.DUMMYFUNCTION("""COMPUTED_VALUE"""),1.0)</f>
        <v>1</v>
      </c>
      <c r="I5008" s="9"/>
      <c r="J5008" s="9"/>
      <c r="K5008" s="9"/>
      <c r="L5008" s="9"/>
      <c r="M5008" s="9"/>
      <c r="N5008" s="9"/>
      <c r="O5008" s="9"/>
      <c r="P5008" s="9"/>
      <c r="Q5008" s="9"/>
      <c r="R5008" s="9"/>
      <c r="S5008" s="9"/>
      <c r="T5008" s="9"/>
    </row>
    <row r="5009" ht="15.75" customHeight="1">
      <c r="A5009" s="11">
        <f>IFERROR(__xludf.DUMMYFUNCTION("""COMPUTED_VALUE"""),44471.0)</f>
        <v>44471</v>
      </c>
      <c r="B5009" s="9">
        <f>IFERROR(__xludf.DUMMYFUNCTION("""COMPUTED_VALUE"""),1003989.0)</f>
        <v>1003989</v>
      </c>
      <c r="C5009" s="9">
        <f>IFERROR(__xludf.DUMMYFUNCTION("""COMPUTED_VALUE"""),69115.0)</f>
        <v>69115</v>
      </c>
      <c r="D5009" s="9"/>
      <c r="E5009" s="9"/>
      <c r="F5009" s="9">
        <f>IFERROR(__xludf.DUMMYFUNCTION("""COMPUTED_VALUE"""),2.46)</f>
        <v>2.46</v>
      </c>
      <c r="G5009" s="9">
        <f>IFERROR(__xludf.DUMMYFUNCTION("""COMPUTED_VALUE"""),2.46)</f>
        <v>2.46</v>
      </c>
      <c r="H5009" s="9">
        <f>IFERROR(__xludf.DUMMYFUNCTION("""COMPUTED_VALUE"""),1.0)</f>
        <v>1</v>
      </c>
      <c r="I5009" s="9"/>
      <c r="J5009" s="9"/>
      <c r="K5009" s="9"/>
      <c r="L5009" s="9"/>
      <c r="M5009" s="9"/>
      <c r="N5009" s="9"/>
      <c r="O5009" s="9"/>
      <c r="P5009" s="9"/>
      <c r="Q5009" s="9"/>
      <c r="R5009" s="9"/>
      <c r="S5009" s="9"/>
      <c r="T5009" s="9"/>
    </row>
    <row r="5010" ht="15.75" customHeight="1">
      <c r="A5010" s="11">
        <f>IFERROR(__xludf.DUMMYFUNCTION("""COMPUTED_VALUE"""),44471.0)</f>
        <v>44471</v>
      </c>
      <c r="B5010" s="9">
        <f>IFERROR(__xludf.DUMMYFUNCTION("""COMPUTED_VALUE"""),1003989.0)</f>
        <v>1003989</v>
      </c>
      <c r="C5010" s="9">
        <f>IFERROR(__xludf.DUMMYFUNCTION("""COMPUTED_VALUE"""),110569.0)</f>
        <v>110569</v>
      </c>
      <c r="D5010" s="9"/>
      <c r="E5010" s="9"/>
      <c r="F5010" s="9">
        <f>IFERROR(__xludf.DUMMYFUNCTION("""COMPUTED_VALUE"""),1.73)</f>
        <v>1.73</v>
      </c>
      <c r="G5010" s="9">
        <f>IFERROR(__xludf.DUMMYFUNCTION("""COMPUTED_VALUE"""),1.73)</f>
        <v>1.73</v>
      </c>
      <c r="H5010" s="9">
        <f>IFERROR(__xludf.DUMMYFUNCTION("""COMPUTED_VALUE"""),1.0)</f>
        <v>1</v>
      </c>
      <c r="I5010" s="9"/>
      <c r="J5010" s="9"/>
      <c r="K5010" s="9"/>
      <c r="L5010" s="9"/>
      <c r="M5010" s="9"/>
      <c r="N5010" s="9"/>
      <c r="O5010" s="9"/>
      <c r="P5010" s="9"/>
      <c r="Q5010" s="9"/>
      <c r="R5010" s="9"/>
      <c r="S5010" s="9"/>
      <c r="T5010" s="9"/>
    </row>
    <row r="5011" ht="15.75" customHeight="1">
      <c r="A5011" s="11">
        <f>IFERROR(__xludf.DUMMYFUNCTION("""COMPUTED_VALUE"""),44471.0)</f>
        <v>44471</v>
      </c>
      <c r="B5011" s="9">
        <f>IFERROR(__xludf.DUMMYFUNCTION("""COMPUTED_VALUE"""),1003989.0)</f>
        <v>1003989</v>
      </c>
      <c r="C5011" s="9">
        <f>IFERROR(__xludf.DUMMYFUNCTION("""COMPUTED_VALUE"""),49068.0)</f>
        <v>49068</v>
      </c>
      <c r="D5011" s="9"/>
      <c r="E5011" s="9"/>
      <c r="F5011" s="9">
        <f>IFERROR(__xludf.DUMMYFUNCTION("""COMPUTED_VALUE"""),10.86)</f>
        <v>10.86</v>
      </c>
      <c r="G5011" s="9">
        <f>IFERROR(__xludf.DUMMYFUNCTION("""COMPUTED_VALUE"""),10.86)</f>
        <v>10.86</v>
      </c>
      <c r="H5011" s="9">
        <f>IFERROR(__xludf.DUMMYFUNCTION("""COMPUTED_VALUE"""),1.0)</f>
        <v>1</v>
      </c>
      <c r="I5011" s="9"/>
      <c r="J5011" s="9"/>
      <c r="K5011" s="9"/>
      <c r="L5011" s="9"/>
      <c r="M5011" s="9"/>
      <c r="N5011" s="9"/>
      <c r="O5011" s="9"/>
      <c r="P5011" s="9"/>
      <c r="Q5011" s="9"/>
      <c r="R5011" s="9"/>
      <c r="S5011" s="9"/>
      <c r="T5011" s="9"/>
    </row>
    <row r="5012" ht="15.75" customHeight="1">
      <c r="A5012" s="11">
        <f>IFERROR(__xludf.DUMMYFUNCTION("""COMPUTED_VALUE"""),44471.0)</f>
        <v>44471</v>
      </c>
      <c r="B5012" s="9">
        <f>IFERROR(__xludf.DUMMYFUNCTION("""COMPUTED_VALUE"""),1003989.0)</f>
        <v>1003989</v>
      </c>
      <c r="C5012" s="9">
        <f>IFERROR(__xludf.DUMMYFUNCTION("""COMPUTED_VALUE"""),5527.0)</f>
        <v>5527</v>
      </c>
      <c r="D5012" s="10" t="str">
        <f>IFERROR(__xludf.DUMMYFUNCTION("""COMPUTED_VALUE"""),"Offre speciale")</f>
        <v>Offre speciale</v>
      </c>
      <c r="E5012" s="10"/>
      <c r="F5012" s="9">
        <f>IFERROR(__xludf.DUMMYFUNCTION("""COMPUTED_VALUE"""),3.09411764705882)</f>
        <v>3.094117647</v>
      </c>
      <c r="G5012" s="9">
        <f>IFERROR(__xludf.DUMMYFUNCTION("""COMPUTED_VALUE"""),2.63)</f>
        <v>2.63</v>
      </c>
      <c r="H5012" s="9">
        <f>IFERROR(__xludf.DUMMYFUNCTION("""COMPUTED_VALUE"""),1.0)</f>
        <v>1</v>
      </c>
      <c r="I5012" s="9"/>
      <c r="J5012" s="9"/>
      <c r="K5012" s="9"/>
      <c r="L5012" s="9"/>
      <c r="M5012" s="9"/>
      <c r="N5012" s="9"/>
      <c r="O5012" s="9"/>
      <c r="P5012" s="9"/>
      <c r="Q5012" s="9"/>
      <c r="R5012" s="9"/>
      <c r="S5012" s="9"/>
      <c r="T5012" s="9"/>
    </row>
    <row r="5013" ht="15.75" customHeight="1">
      <c r="A5013" s="11">
        <f>IFERROR(__xludf.DUMMYFUNCTION("""COMPUTED_VALUE"""),44471.0)</f>
        <v>44471</v>
      </c>
      <c r="B5013" s="9">
        <f>IFERROR(__xludf.DUMMYFUNCTION("""COMPUTED_VALUE"""),1003989.0)</f>
        <v>1003989</v>
      </c>
      <c r="C5013" s="9">
        <f>IFERROR(__xludf.DUMMYFUNCTION("""COMPUTED_VALUE"""),109311.0)</f>
        <v>109311</v>
      </c>
      <c r="D5013" s="9"/>
      <c r="E5013" s="9"/>
      <c r="F5013" s="9">
        <f>IFERROR(__xludf.DUMMYFUNCTION("""COMPUTED_VALUE"""),8.13)</f>
        <v>8.13</v>
      </c>
      <c r="G5013" s="9">
        <f>IFERROR(__xludf.DUMMYFUNCTION("""COMPUTED_VALUE"""),8.13)</f>
        <v>8.13</v>
      </c>
      <c r="H5013" s="9">
        <f>IFERROR(__xludf.DUMMYFUNCTION("""COMPUTED_VALUE"""),1.0)</f>
        <v>1</v>
      </c>
      <c r="I5013" s="9"/>
      <c r="J5013" s="9"/>
      <c r="K5013" s="9"/>
      <c r="L5013" s="9"/>
      <c r="M5013" s="9"/>
      <c r="N5013" s="9"/>
      <c r="O5013" s="9"/>
      <c r="P5013" s="9"/>
      <c r="Q5013" s="9"/>
      <c r="R5013" s="9"/>
      <c r="S5013" s="9"/>
      <c r="T5013" s="9"/>
    </row>
    <row r="5014" ht="15.75" customHeight="1">
      <c r="A5014" s="11">
        <f>IFERROR(__xludf.DUMMYFUNCTION("""COMPUTED_VALUE"""),44471.0)</f>
        <v>44471</v>
      </c>
      <c r="B5014" s="9">
        <f>IFERROR(__xludf.DUMMYFUNCTION("""COMPUTED_VALUE"""),1003989.0)</f>
        <v>1003989</v>
      </c>
      <c r="C5014" s="9">
        <f>IFERROR(__xludf.DUMMYFUNCTION("""COMPUTED_VALUE"""),87416.0)</f>
        <v>87416</v>
      </c>
      <c r="D5014" s="9"/>
      <c r="E5014" s="9"/>
      <c r="F5014" s="9">
        <f>IFERROR(__xludf.DUMMYFUNCTION("""COMPUTED_VALUE"""),2.22)</f>
        <v>2.22</v>
      </c>
      <c r="G5014" s="9">
        <f>IFERROR(__xludf.DUMMYFUNCTION("""COMPUTED_VALUE"""),2.22)</f>
        <v>2.22</v>
      </c>
      <c r="H5014" s="9">
        <f>IFERROR(__xludf.DUMMYFUNCTION("""COMPUTED_VALUE"""),1.0)</f>
        <v>1</v>
      </c>
      <c r="I5014" s="9"/>
      <c r="J5014" s="9"/>
      <c r="K5014" s="9"/>
      <c r="L5014" s="9"/>
      <c r="M5014" s="9"/>
      <c r="N5014" s="9"/>
      <c r="O5014" s="9"/>
      <c r="P5014" s="9"/>
      <c r="Q5014" s="9"/>
      <c r="R5014" s="9"/>
      <c r="S5014" s="9"/>
      <c r="T5014" s="9"/>
    </row>
    <row r="5015" ht="15.75" customHeight="1">
      <c r="A5015" s="11">
        <f>IFERROR(__xludf.DUMMYFUNCTION("""COMPUTED_VALUE"""),44471.0)</f>
        <v>44471</v>
      </c>
      <c r="B5015" s="9">
        <f>IFERROR(__xludf.DUMMYFUNCTION("""COMPUTED_VALUE"""),1003989.0)</f>
        <v>1003989</v>
      </c>
      <c r="C5015" s="9">
        <f>IFERROR(__xludf.DUMMYFUNCTION("""COMPUTED_VALUE"""),128309.0)</f>
        <v>128309</v>
      </c>
      <c r="D5015" s="9"/>
      <c r="E5015" s="9"/>
      <c r="F5015" s="9">
        <f>IFERROR(__xludf.DUMMYFUNCTION("""COMPUTED_VALUE"""),4.44)</f>
        <v>4.44</v>
      </c>
      <c r="G5015" s="9">
        <f>IFERROR(__xludf.DUMMYFUNCTION("""COMPUTED_VALUE"""),4.44)</f>
        <v>4.44</v>
      </c>
      <c r="H5015" s="9">
        <f>IFERROR(__xludf.DUMMYFUNCTION("""COMPUTED_VALUE"""),1.0)</f>
        <v>1</v>
      </c>
      <c r="I5015" s="9"/>
      <c r="J5015" s="9"/>
      <c r="K5015" s="9"/>
      <c r="L5015" s="9"/>
      <c r="M5015" s="9"/>
      <c r="N5015" s="9"/>
      <c r="O5015" s="9"/>
      <c r="P5015" s="9"/>
      <c r="Q5015" s="9"/>
      <c r="R5015" s="9"/>
      <c r="S5015" s="9"/>
      <c r="T5015" s="9"/>
    </row>
    <row r="5016" ht="15.75" customHeight="1">
      <c r="A5016" s="11">
        <f>IFERROR(__xludf.DUMMYFUNCTION("""COMPUTED_VALUE"""),44471.0)</f>
        <v>44471</v>
      </c>
      <c r="B5016" s="9">
        <f>IFERROR(__xludf.DUMMYFUNCTION("""COMPUTED_VALUE"""),1003989.0)</f>
        <v>1003989</v>
      </c>
      <c r="C5016" s="9">
        <f>IFERROR(__xludf.DUMMYFUNCTION("""COMPUTED_VALUE"""),86183.0)</f>
        <v>86183</v>
      </c>
      <c r="D5016" s="9"/>
      <c r="E5016" s="9"/>
      <c r="F5016" s="9">
        <f>IFERROR(__xludf.DUMMYFUNCTION("""COMPUTED_VALUE"""),4.69)</f>
        <v>4.69</v>
      </c>
      <c r="G5016" s="9">
        <f>IFERROR(__xludf.DUMMYFUNCTION("""COMPUTED_VALUE"""),4.69)</f>
        <v>4.69</v>
      </c>
      <c r="H5016" s="9">
        <f>IFERROR(__xludf.DUMMYFUNCTION("""COMPUTED_VALUE"""),1.0)</f>
        <v>1</v>
      </c>
      <c r="I5016" s="9"/>
      <c r="J5016" s="9"/>
      <c r="K5016" s="9"/>
      <c r="L5016" s="9"/>
      <c r="M5016" s="9"/>
      <c r="N5016" s="9"/>
      <c r="O5016" s="9"/>
      <c r="P5016" s="9"/>
      <c r="Q5016" s="9"/>
      <c r="R5016" s="9"/>
      <c r="S5016" s="9"/>
      <c r="T5016" s="9"/>
    </row>
    <row r="5017" ht="15.75" customHeight="1">
      <c r="A5017" s="11">
        <f>IFERROR(__xludf.DUMMYFUNCTION("""COMPUTED_VALUE"""),44471.0)</f>
        <v>44471</v>
      </c>
      <c r="B5017" s="9">
        <f>IFERROR(__xludf.DUMMYFUNCTION("""COMPUTED_VALUE"""),1003989.0)</f>
        <v>1003989</v>
      </c>
      <c r="C5017" s="9">
        <f>IFERROR(__xludf.DUMMYFUNCTION("""COMPUTED_VALUE"""),180770.0)</f>
        <v>180770</v>
      </c>
      <c r="D5017" s="9"/>
      <c r="E5017" s="9"/>
      <c r="F5017" s="9">
        <f>IFERROR(__xludf.DUMMYFUNCTION("""COMPUTED_VALUE"""),2.6)</f>
        <v>2.6</v>
      </c>
      <c r="G5017" s="9">
        <f>IFERROR(__xludf.DUMMYFUNCTION("""COMPUTED_VALUE"""),2.6)</f>
        <v>2.6</v>
      </c>
      <c r="H5017" s="9">
        <f>IFERROR(__xludf.DUMMYFUNCTION("""COMPUTED_VALUE"""),1.0)</f>
        <v>1</v>
      </c>
      <c r="I5017" s="9"/>
      <c r="J5017" s="9"/>
      <c r="K5017" s="9"/>
      <c r="L5017" s="9"/>
      <c r="M5017" s="9"/>
      <c r="N5017" s="9"/>
      <c r="O5017" s="9"/>
      <c r="P5017" s="9"/>
      <c r="Q5017" s="9"/>
      <c r="R5017" s="9"/>
      <c r="S5017" s="9"/>
      <c r="T5017" s="9"/>
    </row>
    <row r="5018" ht="15.75" customHeight="1">
      <c r="A5018" s="11">
        <f>IFERROR(__xludf.DUMMYFUNCTION("""COMPUTED_VALUE"""),44471.0)</f>
        <v>44471</v>
      </c>
      <c r="B5018" s="9">
        <f>IFERROR(__xludf.DUMMYFUNCTION("""COMPUTED_VALUE"""),1003989.0)</f>
        <v>1003989</v>
      </c>
      <c r="C5018" s="9">
        <f>IFERROR(__xludf.DUMMYFUNCTION("""COMPUTED_VALUE"""),109308.0)</f>
        <v>109308</v>
      </c>
      <c r="D5018" s="9"/>
      <c r="E5018" s="9"/>
      <c r="F5018" s="9">
        <f>IFERROR(__xludf.DUMMYFUNCTION("""COMPUTED_VALUE"""),8.17)</f>
        <v>8.17</v>
      </c>
      <c r="G5018" s="9">
        <f>IFERROR(__xludf.DUMMYFUNCTION("""COMPUTED_VALUE"""),8.17)</f>
        <v>8.17</v>
      </c>
      <c r="H5018" s="9">
        <f>IFERROR(__xludf.DUMMYFUNCTION("""COMPUTED_VALUE"""),1.0)</f>
        <v>1</v>
      </c>
      <c r="I5018" s="9"/>
      <c r="J5018" s="9"/>
      <c r="K5018" s="9"/>
      <c r="L5018" s="9"/>
      <c r="M5018" s="9"/>
      <c r="N5018" s="9"/>
      <c r="O5018" s="9"/>
      <c r="P5018" s="9"/>
      <c r="Q5018" s="9"/>
      <c r="R5018" s="9"/>
      <c r="S5018" s="9"/>
      <c r="T5018" s="9"/>
    </row>
    <row r="5019" ht="15.75" customHeight="1">
      <c r="A5019" s="11">
        <f>IFERROR(__xludf.DUMMYFUNCTION("""COMPUTED_VALUE"""),44471.0)</f>
        <v>44471</v>
      </c>
      <c r="B5019" s="9">
        <f>IFERROR(__xludf.DUMMYFUNCTION("""COMPUTED_VALUE"""),1003989.0)</f>
        <v>1003989</v>
      </c>
      <c r="C5019" s="9">
        <f>IFERROR(__xludf.DUMMYFUNCTION("""COMPUTED_VALUE"""),87418.0)</f>
        <v>87418</v>
      </c>
      <c r="D5019" s="9"/>
      <c r="E5019" s="9"/>
      <c r="F5019" s="9">
        <f>IFERROR(__xludf.DUMMYFUNCTION("""COMPUTED_VALUE"""),2.86)</f>
        <v>2.86</v>
      </c>
      <c r="G5019" s="9">
        <f>IFERROR(__xludf.DUMMYFUNCTION("""COMPUTED_VALUE"""),2.86)</f>
        <v>2.86</v>
      </c>
      <c r="H5019" s="9">
        <f>IFERROR(__xludf.DUMMYFUNCTION("""COMPUTED_VALUE"""),1.0)</f>
        <v>1</v>
      </c>
      <c r="I5019" s="9"/>
      <c r="J5019" s="9"/>
      <c r="K5019" s="9"/>
      <c r="L5019" s="9"/>
      <c r="M5019" s="9"/>
      <c r="N5019" s="9"/>
      <c r="O5019" s="9"/>
      <c r="P5019" s="9"/>
      <c r="Q5019" s="9"/>
      <c r="R5019" s="9"/>
      <c r="S5019" s="9"/>
      <c r="T5019" s="9"/>
    </row>
    <row r="5020" ht="15.75" customHeight="1">
      <c r="A5020" s="11">
        <f>IFERROR(__xludf.DUMMYFUNCTION("""COMPUTED_VALUE"""),44471.0)</f>
        <v>44471</v>
      </c>
      <c r="B5020" s="9">
        <f>IFERROR(__xludf.DUMMYFUNCTION("""COMPUTED_VALUE"""),1003989.0)</f>
        <v>1003989</v>
      </c>
      <c r="C5020" s="9">
        <f>IFERROR(__xludf.DUMMYFUNCTION("""COMPUTED_VALUE"""),80045.0)</f>
        <v>80045</v>
      </c>
      <c r="D5020" s="9"/>
      <c r="E5020" s="9"/>
      <c r="F5020" s="9">
        <f>IFERROR(__xludf.DUMMYFUNCTION("""COMPUTED_VALUE"""),2.86)</f>
        <v>2.86</v>
      </c>
      <c r="G5020" s="9">
        <f>IFERROR(__xludf.DUMMYFUNCTION("""COMPUTED_VALUE"""),2.86)</f>
        <v>2.86</v>
      </c>
      <c r="H5020" s="9">
        <f>IFERROR(__xludf.DUMMYFUNCTION("""COMPUTED_VALUE"""),1.0)</f>
        <v>1</v>
      </c>
      <c r="I5020" s="9"/>
      <c r="J5020" s="9"/>
      <c r="K5020" s="9"/>
      <c r="L5020" s="9"/>
      <c r="M5020" s="9"/>
      <c r="N5020" s="9"/>
      <c r="O5020" s="9"/>
      <c r="P5020" s="9"/>
      <c r="Q5020" s="9"/>
      <c r="R5020" s="9"/>
      <c r="S5020" s="9"/>
      <c r="T5020" s="9"/>
    </row>
    <row r="5021" ht="15.75" customHeight="1">
      <c r="A5021" s="11">
        <f>IFERROR(__xludf.DUMMYFUNCTION("""COMPUTED_VALUE"""),44471.0)</f>
        <v>44471</v>
      </c>
      <c r="B5021" s="9">
        <f>IFERROR(__xludf.DUMMYFUNCTION("""COMPUTED_VALUE"""),1003989.0)</f>
        <v>1003989</v>
      </c>
      <c r="C5021" s="9">
        <f>IFERROR(__xludf.DUMMYFUNCTION("""COMPUTED_VALUE"""),110414.0)</f>
        <v>110414</v>
      </c>
      <c r="D5021" s="9"/>
      <c r="E5021" s="9"/>
      <c r="F5021" s="9">
        <f>IFERROR(__xludf.DUMMYFUNCTION("""COMPUTED_VALUE"""),4.73)</f>
        <v>4.73</v>
      </c>
      <c r="G5021" s="9">
        <f>IFERROR(__xludf.DUMMYFUNCTION("""COMPUTED_VALUE"""),4.73)</f>
        <v>4.73</v>
      </c>
      <c r="H5021" s="9">
        <f>IFERROR(__xludf.DUMMYFUNCTION("""COMPUTED_VALUE"""),1.0)</f>
        <v>1</v>
      </c>
      <c r="I5021" s="9"/>
      <c r="J5021" s="9"/>
      <c r="K5021" s="9"/>
      <c r="L5021" s="9"/>
      <c r="M5021" s="9"/>
      <c r="N5021" s="9"/>
      <c r="O5021" s="9"/>
      <c r="P5021" s="9"/>
      <c r="Q5021" s="9"/>
      <c r="R5021" s="9"/>
      <c r="S5021" s="9"/>
      <c r="T5021" s="9"/>
    </row>
    <row r="5022" ht="15.75" customHeight="1">
      <c r="A5022" s="11">
        <f>IFERROR(__xludf.DUMMYFUNCTION("""COMPUTED_VALUE"""),44471.0)</f>
        <v>44471</v>
      </c>
      <c r="B5022" s="9">
        <f>IFERROR(__xludf.DUMMYFUNCTION("""COMPUTED_VALUE"""),1003989.0)</f>
        <v>1003989</v>
      </c>
      <c r="C5022" s="9">
        <f>IFERROR(__xludf.DUMMYFUNCTION("""COMPUTED_VALUE"""),77253.0)</f>
        <v>77253</v>
      </c>
      <c r="D5022" s="9"/>
      <c r="E5022" s="9"/>
      <c r="F5022" s="9">
        <f>IFERROR(__xludf.DUMMYFUNCTION("""COMPUTED_VALUE"""),1.62)</f>
        <v>1.62</v>
      </c>
      <c r="G5022" s="9">
        <f>IFERROR(__xludf.DUMMYFUNCTION("""COMPUTED_VALUE"""),1.62)</f>
        <v>1.62</v>
      </c>
      <c r="H5022" s="9">
        <f>IFERROR(__xludf.DUMMYFUNCTION("""COMPUTED_VALUE"""),1.0)</f>
        <v>1</v>
      </c>
      <c r="I5022" s="9"/>
      <c r="J5022" s="9"/>
      <c r="K5022" s="9"/>
      <c r="L5022" s="9"/>
      <c r="M5022" s="9"/>
      <c r="N5022" s="9"/>
      <c r="O5022" s="9"/>
      <c r="P5022" s="9"/>
      <c r="Q5022" s="9"/>
      <c r="R5022" s="9"/>
      <c r="S5022" s="9"/>
      <c r="T5022" s="9"/>
    </row>
    <row r="5023" ht="15.75" customHeight="1">
      <c r="A5023" s="11">
        <f>IFERROR(__xludf.DUMMYFUNCTION("""COMPUTED_VALUE"""),44471.0)</f>
        <v>44471</v>
      </c>
      <c r="B5023" s="9">
        <f>IFERROR(__xludf.DUMMYFUNCTION("""COMPUTED_VALUE"""),1003989.0)</f>
        <v>1003989</v>
      </c>
      <c r="C5023" s="9">
        <f>IFERROR(__xludf.DUMMYFUNCTION("""COMPUTED_VALUE"""),5602.0)</f>
        <v>5602</v>
      </c>
      <c r="D5023" s="10" t="str">
        <f>IFERROR(__xludf.DUMMYFUNCTION("""COMPUTED_VALUE"""),"Vive le bio")</f>
        <v>Vive le bio</v>
      </c>
      <c r="E5023" s="10"/>
      <c r="F5023" s="9">
        <f>IFERROR(__xludf.DUMMYFUNCTION("""COMPUTED_VALUE"""),2.36666666666666)</f>
        <v>2.366666667</v>
      </c>
      <c r="G5023" s="9">
        <f>IFERROR(__xludf.DUMMYFUNCTION("""COMPUTED_VALUE"""),2.13)</f>
        <v>2.13</v>
      </c>
      <c r="H5023" s="9">
        <f>IFERROR(__xludf.DUMMYFUNCTION("""COMPUTED_VALUE"""),1.0)</f>
        <v>1</v>
      </c>
      <c r="I5023" s="9"/>
      <c r="J5023" s="9"/>
      <c r="K5023" s="9"/>
      <c r="L5023" s="9"/>
      <c r="M5023" s="9"/>
      <c r="N5023" s="9"/>
      <c r="O5023" s="9"/>
      <c r="P5023" s="9"/>
      <c r="Q5023" s="9"/>
      <c r="R5023" s="9"/>
      <c r="S5023" s="9"/>
      <c r="T5023" s="9"/>
    </row>
    <row r="5024" ht="15.75" customHeight="1">
      <c r="A5024" s="11">
        <f>IFERROR(__xludf.DUMMYFUNCTION("""COMPUTED_VALUE"""),44471.0)</f>
        <v>44471</v>
      </c>
      <c r="B5024" s="9">
        <f>IFERROR(__xludf.DUMMYFUNCTION("""COMPUTED_VALUE"""),1003989.0)</f>
        <v>1003989</v>
      </c>
      <c r="C5024" s="9">
        <f>IFERROR(__xludf.DUMMYFUNCTION("""COMPUTED_VALUE"""),1953.0)</f>
        <v>1953</v>
      </c>
      <c r="D5024" s="10" t="str">
        <f>IFERROR(__xludf.DUMMYFUNCTION("""COMPUTED_VALUE"""),"Vive le bio")</f>
        <v>Vive le bio</v>
      </c>
      <c r="E5024" s="10"/>
      <c r="F5024" s="9">
        <f>IFERROR(__xludf.DUMMYFUNCTION("""COMPUTED_VALUE"""),6.23333333333333)</f>
        <v>6.233333333</v>
      </c>
      <c r="G5024" s="9">
        <f>IFERROR(__xludf.DUMMYFUNCTION("""COMPUTED_VALUE"""),5.61)</f>
        <v>5.61</v>
      </c>
      <c r="H5024" s="9">
        <f>IFERROR(__xludf.DUMMYFUNCTION("""COMPUTED_VALUE"""),1.0)</f>
        <v>1</v>
      </c>
      <c r="I5024" s="9"/>
      <c r="J5024" s="9"/>
      <c r="K5024" s="9"/>
      <c r="L5024" s="9"/>
      <c r="M5024" s="9"/>
      <c r="N5024" s="9"/>
      <c r="O5024" s="9"/>
      <c r="P5024" s="9"/>
      <c r="Q5024" s="9"/>
      <c r="R5024" s="9"/>
      <c r="S5024" s="9"/>
      <c r="T5024" s="9"/>
    </row>
    <row r="5025" ht="15.75" customHeight="1">
      <c r="A5025" s="11">
        <f>IFERROR(__xludf.DUMMYFUNCTION("""COMPUTED_VALUE"""),44471.0)</f>
        <v>44471</v>
      </c>
      <c r="B5025" s="9">
        <f>IFERROR(__xludf.DUMMYFUNCTION("""COMPUTED_VALUE"""),1003989.0)</f>
        <v>1003989</v>
      </c>
      <c r="C5025" s="9">
        <f>IFERROR(__xludf.DUMMYFUNCTION("""COMPUTED_VALUE"""),80412.0)</f>
        <v>80412</v>
      </c>
      <c r="D5025" s="9"/>
      <c r="E5025" s="9"/>
      <c r="F5025" s="9">
        <f>IFERROR(__xludf.DUMMYFUNCTION("""COMPUTED_VALUE"""),2.13)</f>
        <v>2.13</v>
      </c>
      <c r="G5025" s="9">
        <f>IFERROR(__xludf.DUMMYFUNCTION("""COMPUTED_VALUE"""),2.13)</f>
        <v>2.13</v>
      </c>
      <c r="H5025" s="9">
        <f>IFERROR(__xludf.DUMMYFUNCTION("""COMPUTED_VALUE"""),2.0)</f>
        <v>2</v>
      </c>
      <c r="I5025" s="9"/>
      <c r="J5025" s="9"/>
      <c r="K5025" s="9"/>
      <c r="L5025" s="9"/>
      <c r="M5025" s="9"/>
      <c r="N5025" s="9"/>
      <c r="O5025" s="9"/>
      <c r="P5025" s="9"/>
      <c r="Q5025" s="9"/>
      <c r="R5025" s="9"/>
      <c r="S5025" s="9"/>
      <c r="T5025" s="9"/>
    </row>
    <row r="5026" ht="15.75" customHeight="1">
      <c r="A5026" s="11">
        <f>IFERROR(__xludf.DUMMYFUNCTION("""COMPUTED_VALUE"""),44471.0)</f>
        <v>44471</v>
      </c>
      <c r="B5026" s="9">
        <f>IFERROR(__xludf.DUMMYFUNCTION("""COMPUTED_VALUE"""),1003989.0)</f>
        <v>1003989</v>
      </c>
      <c r="C5026" s="9">
        <f>IFERROR(__xludf.DUMMYFUNCTION("""COMPUTED_VALUE"""),103589.0)</f>
        <v>103589</v>
      </c>
      <c r="D5026" s="10" t="str">
        <f>IFERROR(__xludf.DUMMYFUNCTION("""COMPUTED_VALUE"""),"Love &amp; Green Couches et Culottes sept 2021")</f>
        <v>Love &amp; Green Couches et Culottes sept 2021</v>
      </c>
      <c r="E5026" s="10"/>
      <c r="F5026" s="9">
        <f>IFERROR(__xludf.DUMMYFUNCTION("""COMPUTED_VALUE"""),31.3285714285714)</f>
        <v>31.32857143</v>
      </c>
      <c r="G5026" s="9">
        <f>IFERROR(__xludf.DUMMYFUNCTION("""COMPUTED_VALUE"""),21.93)</f>
        <v>21.93</v>
      </c>
      <c r="H5026" s="9">
        <f>IFERROR(__xludf.DUMMYFUNCTION("""COMPUTED_VALUE"""),2.0)</f>
        <v>2</v>
      </c>
      <c r="I5026" s="9"/>
      <c r="J5026" s="9"/>
      <c r="K5026" s="9"/>
      <c r="L5026" s="9"/>
      <c r="M5026" s="9"/>
      <c r="N5026" s="9"/>
      <c r="O5026" s="9"/>
      <c r="P5026" s="9"/>
      <c r="Q5026" s="9"/>
      <c r="R5026" s="9"/>
      <c r="S5026" s="9"/>
      <c r="T5026" s="9"/>
    </row>
    <row r="5027" ht="15.75" customHeight="1">
      <c r="A5027" s="11">
        <f>IFERROR(__xludf.DUMMYFUNCTION("""COMPUTED_VALUE"""),44471.0)</f>
        <v>44471</v>
      </c>
      <c r="B5027" s="9">
        <f>IFERROR(__xludf.DUMMYFUNCTION("""COMPUTED_VALUE"""),1003989.0)</f>
        <v>1003989</v>
      </c>
      <c r="C5027" s="9">
        <f>IFERROR(__xludf.DUMMYFUNCTION("""COMPUTED_VALUE"""),121460.0)</f>
        <v>121460</v>
      </c>
      <c r="D5027" s="9"/>
      <c r="E5027" s="9"/>
      <c r="F5027" s="9">
        <f>IFERROR(__xludf.DUMMYFUNCTION("""COMPUTED_VALUE"""),1.73)</f>
        <v>1.73</v>
      </c>
      <c r="G5027" s="9">
        <f>IFERROR(__xludf.DUMMYFUNCTION("""COMPUTED_VALUE"""),1.73)</f>
        <v>1.73</v>
      </c>
      <c r="H5027" s="9">
        <f>IFERROR(__xludf.DUMMYFUNCTION("""COMPUTED_VALUE"""),2.0)</f>
        <v>2</v>
      </c>
      <c r="I5027" s="9"/>
      <c r="J5027" s="9"/>
      <c r="K5027" s="9"/>
      <c r="L5027" s="9"/>
      <c r="M5027" s="9"/>
      <c r="N5027" s="9"/>
      <c r="O5027" s="9"/>
      <c r="P5027" s="9"/>
      <c r="Q5027" s="9"/>
      <c r="R5027" s="9"/>
      <c r="S5027" s="9"/>
      <c r="T5027" s="9"/>
    </row>
    <row r="5028" ht="15.75" customHeight="1">
      <c r="A5028" s="11">
        <f>IFERROR(__xludf.DUMMYFUNCTION("""COMPUTED_VALUE"""),44471.0)</f>
        <v>44471</v>
      </c>
      <c r="B5028" s="9">
        <f>IFERROR(__xludf.DUMMYFUNCTION("""COMPUTED_VALUE"""),1003990.0)</f>
        <v>1003990</v>
      </c>
      <c r="C5028" s="9">
        <f>IFERROR(__xludf.DUMMYFUNCTION("""COMPUTED_VALUE"""),11771.0)</f>
        <v>11771</v>
      </c>
      <c r="D5028" s="10" t="str">
        <f>IFERROR(__xludf.DUMMYFUNCTION("""COMPUTED_VALUE"""),"Offre Speciale")</f>
        <v>Offre Speciale</v>
      </c>
      <c r="E5028" s="10"/>
      <c r="F5028" s="9">
        <f>IFERROR(__xludf.DUMMYFUNCTION("""COMPUTED_VALUE"""),4.54430379746835)</f>
        <v>4.544303797</v>
      </c>
      <c r="G5028" s="9">
        <f>IFERROR(__xludf.DUMMYFUNCTION("""COMPUTED_VALUE"""),3.59)</f>
        <v>3.59</v>
      </c>
      <c r="H5028" s="9">
        <f>IFERROR(__xludf.DUMMYFUNCTION("""COMPUTED_VALUE"""),1.0)</f>
        <v>1</v>
      </c>
      <c r="I5028" s="9"/>
      <c r="J5028" s="9"/>
      <c r="K5028" s="9"/>
      <c r="L5028" s="9"/>
      <c r="M5028" s="9"/>
      <c r="N5028" s="9"/>
      <c r="O5028" s="9"/>
      <c r="P5028" s="9"/>
      <c r="Q5028" s="9"/>
      <c r="R5028" s="9"/>
      <c r="S5028" s="9"/>
      <c r="T5028" s="9"/>
    </row>
    <row r="5029" ht="15.75" customHeight="1">
      <c r="A5029" s="11">
        <f>IFERROR(__xludf.DUMMYFUNCTION("""COMPUTED_VALUE"""),44471.0)</f>
        <v>44471</v>
      </c>
      <c r="B5029" s="9">
        <f>IFERROR(__xludf.DUMMYFUNCTION("""COMPUTED_VALUE"""),1003990.0)</f>
        <v>1003990</v>
      </c>
      <c r="C5029" s="9">
        <f>IFERROR(__xludf.DUMMYFUNCTION("""COMPUTED_VALUE"""),11774.0)</f>
        <v>11774</v>
      </c>
      <c r="D5029" s="10" t="str">
        <f>IFERROR(__xludf.DUMMYFUNCTION("""COMPUTED_VALUE"""),"Offre Speciale")</f>
        <v>Offre Speciale</v>
      </c>
      <c r="E5029" s="10"/>
      <c r="F5029" s="9">
        <f>IFERROR(__xludf.DUMMYFUNCTION("""COMPUTED_VALUE"""),4.0506329113924)</f>
        <v>4.050632911</v>
      </c>
      <c r="G5029" s="9">
        <f>IFERROR(__xludf.DUMMYFUNCTION("""COMPUTED_VALUE"""),3.2)</f>
        <v>3.2</v>
      </c>
      <c r="H5029" s="9">
        <f>IFERROR(__xludf.DUMMYFUNCTION("""COMPUTED_VALUE"""),1.0)</f>
        <v>1</v>
      </c>
      <c r="I5029" s="9"/>
      <c r="J5029" s="9"/>
      <c r="K5029" s="9"/>
      <c r="L5029" s="9"/>
      <c r="M5029" s="9"/>
      <c r="N5029" s="9"/>
      <c r="O5029" s="9"/>
      <c r="P5029" s="9"/>
      <c r="Q5029" s="9"/>
      <c r="R5029" s="9"/>
      <c r="S5029" s="9"/>
      <c r="T5029" s="9"/>
    </row>
    <row r="5030" ht="15.75" customHeight="1">
      <c r="A5030" s="11">
        <f>IFERROR(__xludf.DUMMYFUNCTION("""COMPUTED_VALUE"""),44471.0)</f>
        <v>44471</v>
      </c>
      <c r="B5030" s="9">
        <f>IFERROR(__xludf.DUMMYFUNCTION("""COMPUTED_VALUE"""),1003990.0)</f>
        <v>1003990</v>
      </c>
      <c r="C5030" s="9">
        <f>IFERROR(__xludf.DUMMYFUNCTION("""COMPUTED_VALUE"""),110337.0)</f>
        <v>110337</v>
      </c>
      <c r="D5030" s="10" t="str">
        <f>IFERROR(__xludf.DUMMYFUNCTION("""COMPUTED_VALUE"""),"Love &amp; Green Couches et Culottes sept 2021")</f>
        <v>Love &amp; Green Couches et Culottes sept 2021</v>
      </c>
      <c r="E5030" s="10"/>
      <c r="F5030" s="9">
        <f>IFERROR(__xludf.DUMMYFUNCTION("""COMPUTED_VALUE"""),10.4571428571428)</f>
        <v>10.45714286</v>
      </c>
      <c r="G5030" s="9">
        <f>IFERROR(__xludf.DUMMYFUNCTION("""COMPUTED_VALUE"""),7.32)</f>
        <v>7.32</v>
      </c>
      <c r="H5030" s="9">
        <f>IFERROR(__xludf.DUMMYFUNCTION("""COMPUTED_VALUE"""),1.0)</f>
        <v>1</v>
      </c>
      <c r="I5030" s="9"/>
      <c r="J5030" s="9"/>
      <c r="K5030" s="9"/>
      <c r="L5030" s="9"/>
      <c r="M5030" s="9"/>
      <c r="N5030" s="9"/>
      <c r="O5030" s="9"/>
      <c r="P5030" s="9"/>
      <c r="Q5030" s="9"/>
      <c r="R5030" s="9"/>
      <c r="S5030" s="9"/>
      <c r="T5030" s="9"/>
    </row>
    <row r="5031" ht="15.75" customHeight="1">
      <c r="A5031" s="11">
        <f>IFERROR(__xludf.DUMMYFUNCTION("""COMPUTED_VALUE"""),44471.0)</f>
        <v>44471</v>
      </c>
      <c r="B5031" s="9">
        <f>IFERROR(__xludf.DUMMYFUNCTION("""COMPUTED_VALUE"""),1003990.0)</f>
        <v>1003990</v>
      </c>
      <c r="C5031" s="9">
        <f>IFERROR(__xludf.DUMMYFUNCTION("""COMPUTED_VALUE"""),103592.0)</f>
        <v>103592</v>
      </c>
      <c r="D5031" s="10" t="str">
        <f>IFERROR(__xludf.DUMMYFUNCTION("""COMPUTED_VALUE"""),"Love &amp; Green Couches et Culottes sept 2021")</f>
        <v>Love &amp; Green Couches et Culottes sept 2021</v>
      </c>
      <c r="E5031" s="10"/>
      <c r="F5031" s="9">
        <f>IFERROR(__xludf.DUMMYFUNCTION("""COMPUTED_VALUE"""),124.042857142857)</f>
        <v>124.0428571</v>
      </c>
      <c r="G5031" s="9">
        <f>IFERROR(__xludf.DUMMYFUNCTION("""COMPUTED_VALUE"""),86.83)</f>
        <v>86.83</v>
      </c>
      <c r="H5031" s="9">
        <f>IFERROR(__xludf.DUMMYFUNCTION("""COMPUTED_VALUE"""),8.0)</f>
        <v>8</v>
      </c>
      <c r="I5031" s="9"/>
      <c r="J5031" s="9"/>
      <c r="K5031" s="9"/>
      <c r="L5031" s="9"/>
      <c r="M5031" s="9"/>
      <c r="N5031" s="9"/>
      <c r="O5031" s="9"/>
      <c r="P5031" s="9"/>
      <c r="Q5031" s="9"/>
      <c r="R5031" s="9"/>
      <c r="S5031" s="9"/>
      <c r="T5031" s="9"/>
    </row>
    <row r="5032" ht="15.75" customHeight="1">
      <c r="A5032" s="11">
        <f>IFERROR(__xludf.DUMMYFUNCTION("""COMPUTED_VALUE"""),44471.0)</f>
        <v>44471</v>
      </c>
      <c r="B5032" s="9">
        <f>IFERROR(__xludf.DUMMYFUNCTION("""COMPUTED_VALUE"""),1003991.0)</f>
        <v>1003991</v>
      </c>
      <c r="C5032" s="9">
        <f>IFERROR(__xludf.DUMMYFUNCTION("""COMPUTED_VALUE"""),17624.0)</f>
        <v>17624</v>
      </c>
      <c r="D5032" s="9"/>
      <c r="E5032" s="10" t="str">
        <f>IFERROR(__xludf.DUMMYFUNCTION("""COMPUTED_VALUE"""),"GREENRELAIS")</f>
        <v>GREENRELAIS</v>
      </c>
      <c r="F5032" s="10">
        <f>IFERROR(__xludf.DUMMYFUNCTION("""COMPUTED_VALUE"""),103.31)</f>
        <v>103.31</v>
      </c>
      <c r="G5032" s="9">
        <f>IFERROR(__xludf.DUMMYFUNCTION("""COMPUTED_VALUE"""),103.31)</f>
        <v>103.31</v>
      </c>
      <c r="H5032" s="9">
        <f>IFERROR(__xludf.DUMMYFUNCTION("""COMPUTED_VALUE"""),12.0)</f>
        <v>12</v>
      </c>
      <c r="I5032" s="9"/>
      <c r="J5032" s="9"/>
      <c r="K5032" s="9"/>
      <c r="L5032" s="9"/>
      <c r="M5032" s="9"/>
      <c r="N5032" s="9"/>
      <c r="O5032" s="9"/>
      <c r="P5032" s="9"/>
      <c r="Q5032" s="9"/>
      <c r="R5032" s="9"/>
      <c r="S5032" s="9"/>
      <c r="T5032" s="9"/>
    </row>
    <row r="5033" ht="15.75" customHeight="1">
      <c r="A5033" s="11">
        <f>IFERROR(__xludf.DUMMYFUNCTION("""COMPUTED_VALUE"""),44471.0)</f>
        <v>44471</v>
      </c>
      <c r="B5033" s="9">
        <f>IFERROR(__xludf.DUMMYFUNCTION("""COMPUTED_VALUE"""),1003992.0)</f>
        <v>1003992</v>
      </c>
      <c r="C5033" s="9">
        <f>IFERROR(__xludf.DUMMYFUNCTION("""COMPUTED_VALUE"""),81624.0)</f>
        <v>81624</v>
      </c>
      <c r="D5033" s="9"/>
      <c r="E5033" s="9"/>
      <c r="F5033" s="9">
        <f>IFERROR(__xludf.DUMMYFUNCTION("""COMPUTED_VALUE"""),13.58)</f>
        <v>13.58</v>
      </c>
      <c r="G5033" s="9">
        <f>IFERROR(__xludf.DUMMYFUNCTION("""COMPUTED_VALUE"""),13.58)</f>
        <v>13.58</v>
      </c>
      <c r="H5033" s="9">
        <f>IFERROR(__xludf.DUMMYFUNCTION("""COMPUTED_VALUE"""),1.0)</f>
        <v>1</v>
      </c>
      <c r="I5033" s="9"/>
      <c r="J5033" s="9"/>
      <c r="K5033" s="9"/>
      <c r="L5033" s="9"/>
      <c r="M5033" s="9"/>
      <c r="N5033" s="9"/>
      <c r="O5033" s="9"/>
      <c r="P5033" s="9"/>
      <c r="Q5033" s="9"/>
      <c r="R5033" s="9"/>
      <c r="S5033" s="9"/>
      <c r="T5033" s="9"/>
    </row>
    <row r="5034" ht="15.75" customHeight="1">
      <c r="A5034" s="11">
        <f>IFERROR(__xludf.DUMMYFUNCTION("""COMPUTED_VALUE"""),44471.0)</f>
        <v>44471</v>
      </c>
      <c r="B5034" s="9">
        <f>IFERROR(__xludf.DUMMYFUNCTION("""COMPUTED_VALUE"""),1003992.0)</f>
        <v>1003992</v>
      </c>
      <c r="C5034" s="9">
        <f>IFERROR(__xludf.DUMMYFUNCTION("""COMPUTED_VALUE"""),87282.0)</f>
        <v>87282</v>
      </c>
      <c r="D5034" s="10" t="str">
        <f>IFERROR(__xludf.DUMMYFUNCTION("""COMPUTED_VALUE"""),"Vive le bio")</f>
        <v>Vive le bio</v>
      </c>
      <c r="E5034" s="10"/>
      <c r="F5034" s="9">
        <f>IFERROR(__xludf.DUMMYFUNCTION("""COMPUTED_VALUE"""),3.14444444444444)</f>
        <v>3.144444444</v>
      </c>
      <c r="G5034" s="9">
        <f>IFERROR(__xludf.DUMMYFUNCTION("""COMPUTED_VALUE"""),2.83)</f>
        <v>2.83</v>
      </c>
      <c r="H5034" s="9">
        <f>IFERROR(__xludf.DUMMYFUNCTION("""COMPUTED_VALUE"""),1.0)</f>
        <v>1</v>
      </c>
      <c r="I5034" s="9"/>
      <c r="J5034" s="9"/>
      <c r="K5034" s="9"/>
      <c r="L5034" s="9"/>
      <c r="M5034" s="9"/>
      <c r="N5034" s="9"/>
      <c r="O5034" s="9"/>
      <c r="P5034" s="9"/>
      <c r="Q5034" s="9"/>
      <c r="R5034" s="9"/>
      <c r="S5034" s="9"/>
      <c r="T5034" s="9"/>
    </row>
    <row r="5035" ht="15.75" customHeight="1">
      <c r="A5035" s="11">
        <f>IFERROR(__xludf.DUMMYFUNCTION("""COMPUTED_VALUE"""),44471.0)</f>
        <v>44471</v>
      </c>
      <c r="B5035" s="9">
        <f>IFERROR(__xludf.DUMMYFUNCTION("""COMPUTED_VALUE"""),1003993.0)</f>
        <v>1003993</v>
      </c>
      <c r="C5035" s="9">
        <f>IFERROR(__xludf.DUMMYFUNCTION("""COMPUTED_VALUE"""),82453.0)</f>
        <v>82453</v>
      </c>
      <c r="D5035" s="9"/>
      <c r="E5035" s="9"/>
      <c r="F5035" s="9">
        <f>IFERROR(__xludf.DUMMYFUNCTION("""COMPUTED_VALUE"""),2.5)</f>
        <v>2.5</v>
      </c>
      <c r="G5035" s="9">
        <f>IFERROR(__xludf.DUMMYFUNCTION("""COMPUTED_VALUE"""),2.5)</f>
        <v>2.5</v>
      </c>
      <c r="H5035" s="9">
        <f>IFERROR(__xludf.DUMMYFUNCTION("""COMPUTED_VALUE"""),1.0)</f>
        <v>1</v>
      </c>
      <c r="I5035" s="9"/>
      <c r="J5035" s="9"/>
      <c r="K5035" s="9"/>
      <c r="L5035" s="9"/>
      <c r="M5035" s="9"/>
      <c r="N5035" s="9"/>
      <c r="O5035" s="9"/>
      <c r="P5035" s="9"/>
      <c r="Q5035" s="9"/>
      <c r="R5035" s="9"/>
      <c r="S5035" s="9"/>
      <c r="T5035" s="9"/>
    </row>
    <row r="5036" ht="15.75" customHeight="1">
      <c r="A5036" s="11">
        <f>IFERROR(__xludf.DUMMYFUNCTION("""COMPUTED_VALUE"""),44471.0)</f>
        <v>44471</v>
      </c>
      <c r="B5036" s="9">
        <f>IFERROR(__xludf.DUMMYFUNCTION("""COMPUTED_VALUE"""),1003993.0)</f>
        <v>1003993</v>
      </c>
      <c r="C5036" s="9">
        <f>IFERROR(__xludf.DUMMYFUNCTION("""COMPUTED_VALUE"""),82459.0)</f>
        <v>82459</v>
      </c>
      <c r="D5036" s="9"/>
      <c r="E5036" s="9"/>
      <c r="F5036" s="9">
        <f>IFERROR(__xludf.DUMMYFUNCTION("""COMPUTED_VALUE"""),2.5)</f>
        <v>2.5</v>
      </c>
      <c r="G5036" s="9">
        <f>IFERROR(__xludf.DUMMYFUNCTION("""COMPUTED_VALUE"""),2.5)</f>
        <v>2.5</v>
      </c>
      <c r="H5036" s="9">
        <f>IFERROR(__xludf.DUMMYFUNCTION("""COMPUTED_VALUE"""),1.0)</f>
        <v>1</v>
      </c>
      <c r="I5036" s="9"/>
      <c r="J5036" s="9"/>
      <c r="K5036" s="9"/>
      <c r="L5036" s="9"/>
      <c r="M5036" s="9"/>
      <c r="N5036" s="9"/>
      <c r="O5036" s="9"/>
      <c r="P5036" s="9"/>
      <c r="Q5036" s="9"/>
      <c r="R5036" s="9"/>
      <c r="S5036" s="9"/>
      <c r="T5036" s="9"/>
    </row>
    <row r="5037" ht="15.75" customHeight="1">
      <c r="A5037" s="11">
        <f>IFERROR(__xludf.DUMMYFUNCTION("""COMPUTED_VALUE"""),44471.0)</f>
        <v>44471</v>
      </c>
      <c r="B5037" s="9">
        <f>IFERROR(__xludf.DUMMYFUNCTION("""COMPUTED_VALUE"""),1003993.0)</f>
        <v>1003993</v>
      </c>
      <c r="C5037" s="9">
        <f>IFERROR(__xludf.DUMMYFUNCTION("""COMPUTED_VALUE"""),102735.0)</f>
        <v>102735</v>
      </c>
      <c r="D5037" s="9"/>
      <c r="E5037" s="9"/>
      <c r="F5037" s="9">
        <f>IFERROR(__xludf.DUMMYFUNCTION("""COMPUTED_VALUE"""),3.88)</f>
        <v>3.88</v>
      </c>
      <c r="G5037" s="9">
        <f>IFERROR(__xludf.DUMMYFUNCTION("""COMPUTED_VALUE"""),3.88)</f>
        <v>3.88</v>
      </c>
      <c r="H5037" s="9">
        <f>IFERROR(__xludf.DUMMYFUNCTION("""COMPUTED_VALUE"""),1.0)</f>
        <v>1</v>
      </c>
      <c r="I5037" s="9"/>
      <c r="J5037" s="9"/>
      <c r="K5037" s="9"/>
      <c r="L5037" s="9"/>
      <c r="M5037" s="9"/>
      <c r="N5037" s="9"/>
      <c r="O5037" s="9"/>
      <c r="P5037" s="9"/>
      <c r="Q5037" s="9"/>
      <c r="R5037" s="9"/>
      <c r="S5037" s="9"/>
      <c r="T5037" s="9"/>
    </row>
    <row r="5038" ht="15.75" customHeight="1">
      <c r="A5038" s="11">
        <f>IFERROR(__xludf.DUMMYFUNCTION("""COMPUTED_VALUE"""),44471.0)</f>
        <v>44471</v>
      </c>
      <c r="B5038" s="9">
        <f>IFERROR(__xludf.DUMMYFUNCTION("""COMPUTED_VALUE"""),1003993.0)</f>
        <v>1003993</v>
      </c>
      <c r="C5038" s="9">
        <f>IFERROR(__xludf.DUMMYFUNCTION("""COMPUTED_VALUE"""),46953.0)</f>
        <v>46953</v>
      </c>
      <c r="D5038" s="9"/>
      <c r="E5038" s="9"/>
      <c r="F5038" s="9">
        <f>IFERROR(__xludf.DUMMYFUNCTION("""COMPUTED_VALUE"""),9.77)</f>
        <v>9.77</v>
      </c>
      <c r="G5038" s="9">
        <f>IFERROR(__xludf.DUMMYFUNCTION("""COMPUTED_VALUE"""),9.77)</f>
        <v>9.77</v>
      </c>
      <c r="H5038" s="9">
        <f>IFERROR(__xludf.DUMMYFUNCTION("""COMPUTED_VALUE"""),1.0)</f>
        <v>1</v>
      </c>
      <c r="I5038" s="9"/>
      <c r="J5038" s="9"/>
      <c r="K5038" s="9"/>
      <c r="L5038" s="9"/>
      <c r="M5038" s="9"/>
      <c r="N5038" s="9"/>
      <c r="O5038" s="9"/>
      <c r="P5038" s="9"/>
      <c r="Q5038" s="9"/>
      <c r="R5038" s="9"/>
      <c r="S5038" s="9"/>
      <c r="T5038" s="9"/>
    </row>
    <row r="5039" ht="15.75" customHeight="1">
      <c r="A5039" s="11">
        <f>IFERROR(__xludf.DUMMYFUNCTION("""COMPUTED_VALUE"""),44471.0)</f>
        <v>44471</v>
      </c>
      <c r="B5039" s="9">
        <f>IFERROR(__xludf.DUMMYFUNCTION("""COMPUTED_VALUE"""),1003993.0)</f>
        <v>1003993</v>
      </c>
      <c r="C5039" s="9">
        <f>IFERROR(__xludf.DUMMYFUNCTION("""COMPUTED_VALUE"""),147256.0)</f>
        <v>147256</v>
      </c>
      <c r="D5039" s="9"/>
      <c r="E5039" s="9"/>
      <c r="F5039" s="9">
        <f>IFERROR(__xludf.DUMMYFUNCTION("""COMPUTED_VALUE"""),4.56)</f>
        <v>4.56</v>
      </c>
      <c r="G5039" s="9">
        <f>IFERROR(__xludf.DUMMYFUNCTION("""COMPUTED_VALUE"""),4.56)</f>
        <v>4.56</v>
      </c>
      <c r="H5039" s="9">
        <f>IFERROR(__xludf.DUMMYFUNCTION("""COMPUTED_VALUE"""),1.0)</f>
        <v>1</v>
      </c>
      <c r="I5039" s="9"/>
      <c r="J5039" s="9"/>
      <c r="K5039" s="9"/>
      <c r="L5039" s="9"/>
      <c r="M5039" s="9"/>
      <c r="N5039" s="9"/>
      <c r="O5039" s="9"/>
      <c r="P5039" s="9"/>
      <c r="Q5039" s="9"/>
      <c r="R5039" s="9"/>
      <c r="S5039" s="9"/>
      <c r="T5039" s="9"/>
    </row>
    <row r="5040" ht="15.75" customHeight="1">
      <c r="A5040" s="11">
        <f>IFERROR(__xludf.DUMMYFUNCTION("""COMPUTED_VALUE"""),44471.0)</f>
        <v>44471</v>
      </c>
      <c r="B5040" s="9">
        <f>IFERROR(__xludf.DUMMYFUNCTION("""COMPUTED_VALUE"""),1003993.0)</f>
        <v>1003993</v>
      </c>
      <c r="C5040" s="9">
        <f>IFERROR(__xludf.DUMMYFUNCTION("""COMPUTED_VALUE"""),122773.0)</f>
        <v>122773</v>
      </c>
      <c r="D5040" s="10" t="str">
        <f>IFERROR(__xludf.DUMMYFUNCTION("""COMPUTED_VALUE"""),"DLC courtes")</f>
        <v>DLC courtes</v>
      </c>
      <c r="E5040" s="10"/>
      <c r="F5040" s="9">
        <f>IFERROR(__xludf.DUMMYFUNCTION("""COMPUTED_VALUE"""),3.38749999999999)</f>
        <v>3.3875</v>
      </c>
      <c r="G5040" s="9">
        <f>IFERROR(__xludf.DUMMYFUNCTION("""COMPUTED_VALUE"""),2.71)</f>
        <v>2.71</v>
      </c>
      <c r="H5040" s="9">
        <f>IFERROR(__xludf.DUMMYFUNCTION("""COMPUTED_VALUE"""),1.0)</f>
        <v>1</v>
      </c>
      <c r="I5040" s="9"/>
      <c r="J5040" s="9"/>
      <c r="K5040" s="9"/>
      <c r="L5040" s="9"/>
      <c r="M5040" s="9"/>
      <c r="N5040" s="9"/>
      <c r="O5040" s="9"/>
      <c r="P5040" s="9"/>
      <c r="Q5040" s="9"/>
      <c r="R5040" s="9"/>
      <c r="S5040" s="9"/>
      <c r="T5040" s="9"/>
    </row>
    <row r="5041" ht="15.75" customHeight="1">
      <c r="A5041" s="11">
        <f>IFERROR(__xludf.DUMMYFUNCTION("""COMPUTED_VALUE"""),44471.0)</f>
        <v>44471</v>
      </c>
      <c r="B5041" s="9">
        <f>IFERROR(__xludf.DUMMYFUNCTION("""COMPUTED_VALUE"""),1003993.0)</f>
        <v>1003993</v>
      </c>
      <c r="C5041" s="9">
        <f>IFERROR(__xludf.DUMMYFUNCTION("""COMPUTED_VALUE"""),102750.0)</f>
        <v>102750</v>
      </c>
      <c r="D5041" s="9"/>
      <c r="E5041" s="9"/>
      <c r="F5041" s="9">
        <f>IFERROR(__xludf.DUMMYFUNCTION("""COMPUTED_VALUE"""),11.8)</f>
        <v>11.8</v>
      </c>
      <c r="G5041" s="9">
        <f>IFERROR(__xludf.DUMMYFUNCTION("""COMPUTED_VALUE"""),11.8)</f>
        <v>11.8</v>
      </c>
      <c r="H5041" s="9">
        <f>IFERROR(__xludf.DUMMYFUNCTION("""COMPUTED_VALUE"""),1.0)</f>
        <v>1</v>
      </c>
      <c r="I5041" s="9"/>
      <c r="J5041" s="9"/>
      <c r="K5041" s="9"/>
      <c r="L5041" s="9"/>
      <c r="M5041" s="9"/>
      <c r="N5041" s="9"/>
      <c r="O5041" s="9"/>
      <c r="P5041" s="9"/>
      <c r="Q5041" s="9"/>
      <c r="R5041" s="9"/>
      <c r="S5041" s="9"/>
      <c r="T5041" s="9"/>
    </row>
    <row r="5042" ht="15.75" customHeight="1">
      <c r="A5042" s="11">
        <f>IFERROR(__xludf.DUMMYFUNCTION("""COMPUTED_VALUE"""),44471.0)</f>
        <v>44471</v>
      </c>
      <c r="B5042" s="9">
        <f>IFERROR(__xludf.DUMMYFUNCTION("""COMPUTED_VALUE"""),1003993.0)</f>
        <v>1003993</v>
      </c>
      <c r="C5042" s="9">
        <f>IFERROR(__xludf.DUMMYFUNCTION("""COMPUTED_VALUE"""),82452.0)</f>
        <v>82452</v>
      </c>
      <c r="D5042" s="10" t="str">
        <f>IFERROR(__xludf.DUMMYFUNCTION("""COMPUTED_VALUE"""),"Vive le bio")</f>
        <v>Vive le bio</v>
      </c>
      <c r="E5042" s="10"/>
      <c r="F5042" s="9">
        <f>IFERROR(__xludf.DUMMYFUNCTION("""COMPUTED_VALUE"""),3.15555555555555)</f>
        <v>3.155555556</v>
      </c>
      <c r="G5042" s="9">
        <f>IFERROR(__xludf.DUMMYFUNCTION("""COMPUTED_VALUE"""),2.84)</f>
        <v>2.84</v>
      </c>
      <c r="H5042" s="9">
        <f>IFERROR(__xludf.DUMMYFUNCTION("""COMPUTED_VALUE"""),1.0)</f>
        <v>1</v>
      </c>
      <c r="I5042" s="9"/>
      <c r="J5042" s="9"/>
      <c r="K5042" s="9"/>
      <c r="L5042" s="9"/>
      <c r="M5042" s="9"/>
      <c r="N5042" s="9"/>
      <c r="O5042" s="9"/>
      <c r="P5042" s="9"/>
      <c r="Q5042" s="9"/>
      <c r="R5042" s="9"/>
      <c r="S5042" s="9"/>
      <c r="T5042" s="9"/>
    </row>
    <row r="5043" ht="15.75" customHeight="1">
      <c r="A5043" s="11">
        <f>IFERROR(__xludf.DUMMYFUNCTION("""COMPUTED_VALUE"""),44471.0)</f>
        <v>44471</v>
      </c>
      <c r="B5043" s="9">
        <f>IFERROR(__xludf.DUMMYFUNCTION("""COMPUTED_VALUE"""),1003993.0)</f>
        <v>1003993</v>
      </c>
      <c r="C5043" s="9">
        <f>IFERROR(__xludf.DUMMYFUNCTION("""COMPUTED_VALUE"""),117282.0)</f>
        <v>117282</v>
      </c>
      <c r="D5043" s="10" t="str">
        <f>IFERROR(__xludf.DUMMYFUNCTION("""COMPUTED_VALUE"""),"Zero Dechet")</f>
        <v>Zero Dechet</v>
      </c>
      <c r="E5043" s="10"/>
      <c r="F5043" s="9">
        <f>IFERROR(__xludf.DUMMYFUNCTION("""COMPUTED_VALUE"""),6.06249999999999)</f>
        <v>6.0625</v>
      </c>
      <c r="G5043" s="9">
        <f>IFERROR(__xludf.DUMMYFUNCTION("""COMPUTED_VALUE"""),4.85)</f>
        <v>4.85</v>
      </c>
      <c r="H5043" s="9">
        <f>IFERROR(__xludf.DUMMYFUNCTION("""COMPUTED_VALUE"""),1.0)</f>
        <v>1</v>
      </c>
      <c r="I5043" s="9"/>
      <c r="J5043" s="9"/>
      <c r="K5043" s="9"/>
      <c r="L5043" s="9"/>
      <c r="M5043" s="9"/>
      <c r="N5043" s="9"/>
      <c r="O5043" s="9"/>
      <c r="P5043" s="9"/>
      <c r="Q5043" s="9"/>
      <c r="R5043" s="9"/>
      <c r="S5043" s="9"/>
      <c r="T5043" s="9"/>
    </row>
    <row r="5044" ht="15.75" customHeight="1">
      <c r="A5044" s="11">
        <f>IFERROR(__xludf.DUMMYFUNCTION("""COMPUTED_VALUE"""),44471.0)</f>
        <v>44471</v>
      </c>
      <c r="B5044" s="9">
        <f>IFERROR(__xludf.DUMMYFUNCTION("""COMPUTED_VALUE"""),1003993.0)</f>
        <v>1003993</v>
      </c>
      <c r="C5044" s="9">
        <f>IFERROR(__xludf.DUMMYFUNCTION("""COMPUTED_VALUE"""),98397.0)</f>
        <v>98397</v>
      </c>
      <c r="D5044" s="10" t="str">
        <f>IFERROR(__xludf.DUMMYFUNCTION("""COMPUTED_VALUE"""),"DLC courtes")</f>
        <v>DLC courtes</v>
      </c>
      <c r="E5044" s="10"/>
      <c r="F5044" s="9">
        <f>IFERROR(__xludf.DUMMYFUNCTION("""COMPUTED_VALUE"""),4.55294117647058)</f>
        <v>4.552941176</v>
      </c>
      <c r="G5044" s="9">
        <f>IFERROR(__xludf.DUMMYFUNCTION("""COMPUTED_VALUE"""),3.87)</f>
        <v>3.87</v>
      </c>
      <c r="H5044" s="9">
        <f>IFERROR(__xludf.DUMMYFUNCTION("""COMPUTED_VALUE"""),2.0)</f>
        <v>2</v>
      </c>
      <c r="I5044" s="9"/>
      <c r="J5044" s="9"/>
      <c r="K5044" s="9"/>
      <c r="L5044" s="9"/>
      <c r="M5044" s="9"/>
      <c r="N5044" s="9"/>
      <c r="O5044" s="9"/>
      <c r="P5044" s="9"/>
      <c r="Q5044" s="9"/>
      <c r="R5044" s="9"/>
      <c r="S5044" s="9"/>
      <c r="T5044" s="9"/>
    </row>
    <row r="5045" ht="15.75" customHeight="1">
      <c r="A5045" s="11">
        <f>IFERROR(__xludf.DUMMYFUNCTION("""COMPUTED_VALUE"""),44471.0)</f>
        <v>44471</v>
      </c>
      <c r="B5045" s="9">
        <f>IFERROR(__xludf.DUMMYFUNCTION("""COMPUTED_VALUE"""),1003993.0)</f>
        <v>1003993</v>
      </c>
      <c r="C5045" s="9">
        <f>IFERROR(__xludf.DUMMYFUNCTION("""COMPUTED_VALUE"""),83640.0)</f>
        <v>83640</v>
      </c>
      <c r="D5045" s="10" t="str">
        <f>IFERROR(__xludf.DUMMYFUNCTION("""COMPUTED_VALUE"""),"DLC courtes")</f>
        <v>DLC courtes</v>
      </c>
      <c r="E5045" s="10"/>
      <c r="F5045" s="9">
        <f>IFERROR(__xludf.DUMMYFUNCTION("""COMPUTED_VALUE"""),8.2)</f>
        <v>8.2</v>
      </c>
      <c r="G5045" s="9">
        <f>IFERROR(__xludf.DUMMYFUNCTION("""COMPUTED_VALUE"""),6.56)</f>
        <v>6.56</v>
      </c>
      <c r="H5045" s="9">
        <f>IFERROR(__xludf.DUMMYFUNCTION("""COMPUTED_VALUE"""),3.0)</f>
        <v>3</v>
      </c>
      <c r="I5045" s="9"/>
      <c r="J5045" s="9"/>
      <c r="K5045" s="9"/>
      <c r="L5045" s="9"/>
      <c r="M5045" s="9"/>
      <c r="N5045" s="9"/>
      <c r="O5045" s="9"/>
      <c r="P5045" s="9"/>
      <c r="Q5045" s="9"/>
      <c r="R5045" s="9"/>
      <c r="S5045" s="9"/>
      <c r="T5045" s="9"/>
    </row>
    <row r="5046" ht="15.75" customHeight="1">
      <c r="A5046" s="11">
        <f>IFERROR(__xludf.DUMMYFUNCTION("""COMPUTED_VALUE"""),44471.0)</f>
        <v>44471</v>
      </c>
      <c r="B5046" s="9">
        <f>IFERROR(__xludf.DUMMYFUNCTION("""COMPUTED_VALUE"""),1003994.0)</f>
        <v>1003994</v>
      </c>
      <c r="C5046" s="9">
        <f>IFERROR(__xludf.DUMMYFUNCTION("""COMPUTED_VALUE"""),109832.0)</f>
        <v>109832</v>
      </c>
      <c r="D5046" s="9"/>
      <c r="E5046" s="10" t="str">
        <f>IFERROR(__xludf.DUMMYFUNCTION("""COMPUTED_VALUE"""),"GREENRELAIS")</f>
        <v>GREENRELAIS</v>
      </c>
      <c r="F5046" s="10">
        <f>IFERROR(__xludf.DUMMYFUNCTION("""COMPUTED_VALUE"""),5.12)</f>
        <v>5.12</v>
      </c>
      <c r="G5046" s="9">
        <f>IFERROR(__xludf.DUMMYFUNCTION("""COMPUTED_VALUE"""),5.12)</f>
        <v>5.12</v>
      </c>
      <c r="H5046" s="9">
        <f>IFERROR(__xludf.DUMMYFUNCTION("""COMPUTED_VALUE"""),1.0)</f>
        <v>1</v>
      </c>
      <c r="I5046" s="9"/>
      <c r="J5046" s="9"/>
      <c r="K5046" s="9"/>
      <c r="L5046" s="9"/>
      <c r="M5046" s="9"/>
      <c r="N5046" s="9"/>
      <c r="O5046" s="9"/>
      <c r="P5046" s="9"/>
      <c r="Q5046" s="9"/>
      <c r="R5046" s="9"/>
      <c r="S5046" s="9"/>
      <c r="T5046" s="9"/>
    </row>
    <row r="5047" ht="15.75" customHeight="1">
      <c r="A5047" s="11">
        <f>IFERROR(__xludf.DUMMYFUNCTION("""COMPUTED_VALUE"""),44471.0)</f>
        <v>44471</v>
      </c>
      <c r="B5047" s="9">
        <f>IFERROR(__xludf.DUMMYFUNCTION("""COMPUTED_VALUE"""),1003994.0)</f>
        <v>1003994</v>
      </c>
      <c r="C5047" s="9">
        <f>IFERROR(__xludf.DUMMYFUNCTION("""COMPUTED_VALUE"""),182051.0)</f>
        <v>182051</v>
      </c>
      <c r="D5047" s="9"/>
      <c r="E5047" s="10" t="str">
        <f>IFERROR(__xludf.DUMMYFUNCTION("""COMPUTED_VALUE"""),"GREENRELAIS")</f>
        <v>GREENRELAIS</v>
      </c>
      <c r="F5047" s="10">
        <f>IFERROR(__xludf.DUMMYFUNCTION("""COMPUTED_VALUE"""),13.84)</f>
        <v>13.84</v>
      </c>
      <c r="G5047" s="9">
        <f>IFERROR(__xludf.DUMMYFUNCTION("""COMPUTED_VALUE"""),13.84)</f>
        <v>13.84</v>
      </c>
      <c r="H5047" s="9">
        <f>IFERROR(__xludf.DUMMYFUNCTION("""COMPUTED_VALUE"""),1.0)</f>
        <v>1</v>
      </c>
      <c r="I5047" s="9"/>
      <c r="J5047" s="9"/>
      <c r="K5047" s="9"/>
      <c r="L5047" s="9"/>
      <c r="M5047" s="9"/>
      <c r="N5047" s="9"/>
      <c r="O5047" s="9"/>
      <c r="P5047" s="9"/>
      <c r="Q5047" s="9"/>
      <c r="R5047" s="9"/>
      <c r="S5047" s="9"/>
      <c r="T5047" s="9"/>
    </row>
    <row r="5048" ht="15.75" customHeight="1">
      <c r="A5048" s="11">
        <f>IFERROR(__xludf.DUMMYFUNCTION("""COMPUTED_VALUE"""),44471.0)</f>
        <v>44471</v>
      </c>
      <c r="B5048" s="9">
        <f>IFERROR(__xludf.DUMMYFUNCTION("""COMPUTED_VALUE"""),1003994.0)</f>
        <v>1003994</v>
      </c>
      <c r="C5048" s="9">
        <f>IFERROR(__xludf.DUMMYFUNCTION("""COMPUTED_VALUE"""),48408.0)</f>
        <v>48408</v>
      </c>
      <c r="D5048" s="10" t="str">
        <f>IFERROR(__xludf.DUMMYFUNCTION("""COMPUTED_VALUE"""),"Offre speciale")</f>
        <v>Offre speciale</v>
      </c>
      <c r="E5048" s="10" t="str">
        <f>IFERROR(__xludf.DUMMYFUNCTION("""COMPUTED_VALUE"""),"GREENRELAIS")</f>
        <v>GREENRELAIS</v>
      </c>
      <c r="F5048" s="10">
        <f>IFERROR(__xludf.DUMMYFUNCTION("""COMPUTED_VALUE"""),3.67777777777777)</f>
        <v>3.677777778</v>
      </c>
      <c r="G5048" s="9">
        <f>IFERROR(__xludf.DUMMYFUNCTION("""COMPUTED_VALUE"""),3.31)</f>
        <v>3.31</v>
      </c>
      <c r="H5048" s="9">
        <f>IFERROR(__xludf.DUMMYFUNCTION("""COMPUTED_VALUE"""),1.0)</f>
        <v>1</v>
      </c>
      <c r="I5048" s="9"/>
      <c r="J5048" s="9"/>
      <c r="K5048" s="9"/>
      <c r="L5048" s="9"/>
      <c r="M5048" s="9"/>
      <c r="N5048" s="9"/>
      <c r="O5048" s="9"/>
      <c r="P5048" s="9"/>
      <c r="Q5048" s="9"/>
      <c r="R5048" s="9"/>
      <c r="S5048" s="9"/>
      <c r="T5048" s="9"/>
    </row>
    <row r="5049" ht="15.75" customHeight="1">
      <c r="A5049" s="11">
        <f>IFERROR(__xludf.DUMMYFUNCTION("""COMPUTED_VALUE"""),44471.0)</f>
        <v>44471</v>
      </c>
      <c r="B5049" s="9">
        <f>IFERROR(__xludf.DUMMYFUNCTION("""COMPUTED_VALUE"""),1003994.0)</f>
        <v>1003994</v>
      </c>
      <c r="C5049" s="9">
        <f>IFERROR(__xludf.DUMMYFUNCTION("""COMPUTED_VALUE"""),69311.0)</f>
        <v>69311</v>
      </c>
      <c r="D5049" s="10" t="str">
        <f>IFERROR(__xludf.DUMMYFUNCTION("""COMPUTED_VALUE"""),"Vive le bio")</f>
        <v>Vive le bio</v>
      </c>
      <c r="E5049" s="10" t="str">
        <f>IFERROR(__xludf.DUMMYFUNCTION("""COMPUTED_VALUE"""),"GREENRELAIS")</f>
        <v>GREENRELAIS</v>
      </c>
      <c r="F5049" s="10">
        <f>IFERROR(__xludf.DUMMYFUNCTION("""COMPUTED_VALUE"""),5.66666666666666)</f>
        <v>5.666666667</v>
      </c>
      <c r="G5049" s="9">
        <f>IFERROR(__xludf.DUMMYFUNCTION("""COMPUTED_VALUE"""),5.1)</f>
        <v>5.1</v>
      </c>
      <c r="H5049" s="9">
        <f>IFERROR(__xludf.DUMMYFUNCTION("""COMPUTED_VALUE"""),2.0)</f>
        <v>2</v>
      </c>
      <c r="I5049" s="9"/>
      <c r="J5049" s="9"/>
      <c r="K5049" s="9"/>
      <c r="L5049" s="9"/>
      <c r="M5049" s="9"/>
      <c r="N5049" s="9"/>
      <c r="O5049" s="9"/>
      <c r="P5049" s="9"/>
      <c r="Q5049" s="9"/>
      <c r="R5049" s="9"/>
      <c r="S5049" s="9"/>
      <c r="T5049" s="9"/>
    </row>
    <row r="5050" ht="15.75" customHeight="1">
      <c r="A5050" s="11">
        <f>IFERROR(__xludf.DUMMYFUNCTION("""COMPUTED_VALUE"""),44471.0)</f>
        <v>44471</v>
      </c>
      <c r="B5050" s="9">
        <f>IFERROR(__xludf.DUMMYFUNCTION("""COMPUTED_VALUE"""),1003994.0)</f>
        <v>1003994</v>
      </c>
      <c r="C5050" s="9">
        <f>IFERROR(__xludf.DUMMYFUNCTION("""COMPUTED_VALUE"""),82367.0)</f>
        <v>82367</v>
      </c>
      <c r="D5050" s="10" t="str">
        <f>IFERROR(__xludf.DUMMYFUNCTION("""COMPUTED_VALUE"""),"DLC courtes")</f>
        <v>DLC courtes</v>
      </c>
      <c r="E5050" s="10" t="str">
        <f>IFERROR(__xludf.DUMMYFUNCTION("""COMPUTED_VALUE"""),"GREENRELAIS")</f>
        <v>GREENRELAIS</v>
      </c>
      <c r="F5050" s="10">
        <f>IFERROR(__xludf.DUMMYFUNCTION("""COMPUTED_VALUE"""),4.95294117647058)</f>
        <v>4.952941176</v>
      </c>
      <c r="G5050" s="9">
        <f>IFERROR(__xludf.DUMMYFUNCTION("""COMPUTED_VALUE"""),4.21)</f>
        <v>4.21</v>
      </c>
      <c r="H5050" s="9">
        <f>IFERROR(__xludf.DUMMYFUNCTION("""COMPUTED_VALUE"""),2.0)</f>
        <v>2</v>
      </c>
      <c r="I5050" s="9"/>
      <c r="J5050" s="9"/>
      <c r="K5050" s="9"/>
      <c r="L5050" s="9"/>
      <c r="M5050" s="9"/>
      <c r="N5050" s="9"/>
      <c r="O5050" s="9"/>
      <c r="P5050" s="9"/>
      <c r="Q5050" s="9"/>
      <c r="R5050" s="9"/>
      <c r="S5050" s="9"/>
      <c r="T5050" s="9"/>
    </row>
    <row r="5051" ht="15.75" customHeight="1">
      <c r="A5051" s="11">
        <f>IFERROR(__xludf.DUMMYFUNCTION("""COMPUTED_VALUE"""),44471.0)</f>
        <v>44471</v>
      </c>
      <c r="B5051" s="9">
        <f>IFERROR(__xludf.DUMMYFUNCTION("""COMPUTED_VALUE"""),1003994.0)</f>
        <v>1003994</v>
      </c>
      <c r="C5051" s="9">
        <f>IFERROR(__xludf.DUMMYFUNCTION("""COMPUTED_VALUE"""),104316.0)</f>
        <v>104316</v>
      </c>
      <c r="D5051" s="9"/>
      <c r="E5051" s="10" t="str">
        <f>IFERROR(__xludf.DUMMYFUNCTION("""COMPUTED_VALUE"""),"GREENRELAIS")</f>
        <v>GREENRELAIS</v>
      </c>
      <c r="F5051" s="10">
        <f>IFERROR(__xludf.DUMMYFUNCTION("""COMPUTED_VALUE"""),9.28)</f>
        <v>9.28</v>
      </c>
      <c r="G5051" s="9">
        <f>IFERROR(__xludf.DUMMYFUNCTION("""COMPUTED_VALUE"""),9.28)</f>
        <v>9.28</v>
      </c>
      <c r="H5051" s="9">
        <f>IFERROR(__xludf.DUMMYFUNCTION("""COMPUTED_VALUE"""),3.0)</f>
        <v>3</v>
      </c>
      <c r="I5051" s="9"/>
      <c r="J5051" s="9"/>
      <c r="K5051" s="9"/>
      <c r="L5051" s="9"/>
      <c r="M5051" s="9"/>
      <c r="N5051" s="9"/>
      <c r="O5051" s="9"/>
      <c r="P5051" s="9"/>
      <c r="Q5051" s="9"/>
      <c r="R5051" s="9"/>
      <c r="S5051" s="9"/>
      <c r="T5051" s="9"/>
    </row>
    <row r="5052" ht="15.75" customHeight="1">
      <c r="A5052" s="11">
        <f>IFERROR(__xludf.DUMMYFUNCTION("""COMPUTED_VALUE"""),44471.0)</f>
        <v>44471</v>
      </c>
      <c r="B5052" s="9">
        <f>IFERROR(__xludf.DUMMYFUNCTION("""COMPUTED_VALUE"""),1003994.0)</f>
        <v>1003994</v>
      </c>
      <c r="C5052" s="9">
        <f>IFERROR(__xludf.DUMMYFUNCTION("""COMPUTED_VALUE"""),48406.0)</f>
        <v>48406</v>
      </c>
      <c r="D5052" s="9"/>
      <c r="E5052" s="10" t="str">
        <f>IFERROR(__xludf.DUMMYFUNCTION("""COMPUTED_VALUE"""),"GREENRELAIS")</f>
        <v>GREENRELAIS</v>
      </c>
      <c r="F5052" s="10">
        <f>IFERROR(__xludf.DUMMYFUNCTION("""COMPUTED_VALUE"""),9.57)</f>
        <v>9.57</v>
      </c>
      <c r="G5052" s="9">
        <f>IFERROR(__xludf.DUMMYFUNCTION("""COMPUTED_VALUE"""),9.57)</f>
        <v>9.57</v>
      </c>
      <c r="H5052" s="9">
        <f>IFERROR(__xludf.DUMMYFUNCTION("""COMPUTED_VALUE"""),3.0)</f>
        <v>3</v>
      </c>
      <c r="I5052" s="9"/>
      <c r="J5052" s="9"/>
      <c r="K5052" s="9"/>
      <c r="L5052" s="9"/>
      <c r="M5052" s="9"/>
      <c r="N5052" s="9"/>
      <c r="O5052" s="9"/>
      <c r="P5052" s="9"/>
      <c r="Q5052" s="9"/>
      <c r="R5052" s="9"/>
      <c r="S5052" s="9"/>
      <c r="T5052" s="9"/>
    </row>
    <row r="5053" ht="15.75" customHeight="1">
      <c r="A5053" s="11">
        <f>IFERROR(__xludf.DUMMYFUNCTION("""COMPUTED_VALUE"""),44471.0)</f>
        <v>44471</v>
      </c>
      <c r="B5053" s="9">
        <f>IFERROR(__xludf.DUMMYFUNCTION("""COMPUTED_VALUE"""),1003994.0)</f>
        <v>1003994</v>
      </c>
      <c r="C5053" s="9">
        <f>IFERROR(__xludf.DUMMYFUNCTION("""COMPUTED_VALUE"""),48407.0)</f>
        <v>48407</v>
      </c>
      <c r="D5053" s="10" t="str">
        <f>IFERROR(__xludf.DUMMYFUNCTION("""COMPUTED_VALUE"""),"Vive le bio")</f>
        <v>Vive le bio</v>
      </c>
      <c r="E5053" s="10" t="str">
        <f>IFERROR(__xludf.DUMMYFUNCTION("""COMPUTED_VALUE"""),"GREENRELAIS")</f>
        <v>GREENRELAIS</v>
      </c>
      <c r="F5053" s="10">
        <f>IFERROR(__xludf.DUMMYFUNCTION("""COMPUTED_VALUE"""),24.4555555555555)</f>
        <v>24.45555556</v>
      </c>
      <c r="G5053" s="9">
        <f>IFERROR(__xludf.DUMMYFUNCTION("""COMPUTED_VALUE"""),22.01)</f>
        <v>22.01</v>
      </c>
      <c r="H5053" s="9">
        <f>IFERROR(__xludf.DUMMYFUNCTION("""COMPUTED_VALUE"""),5.0)</f>
        <v>5</v>
      </c>
      <c r="I5053" s="9"/>
      <c r="J5053" s="9"/>
      <c r="K5053" s="9"/>
      <c r="L5053" s="9"/>
      <c r="M5053" s="9"/>
      <c r="N5053" s="9"/>
      <c r="O5053" s="9"/>
      <c r="P5053" s="9"/>
      <c r="Q5053" s="9"/>
      <c r="R5053" s="9"/>
      <c r="S5053" s="9"/>
      <c r="T5053" s="9"/>
    </row>
    <row r="5054" ht="15.75" customHeight="1">
      <c r="A5054" s="11">
        <f>IFERROR(__xludf.DUMMYFUNCTION("""COMPUTED_VALUE"""),44471.0)</f>
        <v>44471</v>
      </c>
      <c r="B5054" s="9">
        <f>IFERROR(__xludf.DUMMYFUNCTION("""COMPUTED_VALUE"""),1003995.0)</f>
        <v>1003995</v>
      </c>
      <c r="C5054" s="9">
        <f>IFERROR(__xludf.DUMMYFUNCTION("""COMPUTED_VALUE"""),105901.0)</f>
        <v>105901</v>
      </c>
      <c r="D5054" s="9"/>
      <c r="E5054" s="10" t="str">
        <f>IFERROR(__xludf.DUMMYFUNCTION("""COMPUTED_VALUE"""),"PREMIERE")</f>
        <v>PREMIERE</v>
      </c>
      <c r="F5054" s="10">
        <f>IFERROR(__xludf.DUMMYFUNCTION("""COMPUTED_VALUE"""),6.56)</f>
        <v>6.56</v>
      </c>
      <c r="G5054" s="9">
        <f>IFERROR(__xludf.DUMMYFUNCTION("""COMPUTED_VALUE"""),6.56)</f>
        <v>6.56</v>
      </c>
      <c r="H5054" s="9">
        <f>IFERROR(__xludf.DUMMYFUNCTION("""COMPUTED_VALUE"""),1.0)</f>
        <v>1</v>
      </c>
      <c r="I5054" s="9"/>
      <c r="J5054" s="9"/>
      <c r="K5054" s="9"/>
      <c r="L5054" s="9"/>
      <c r="M5054" s="9"/>
      <c r="N5054" s="9"/>
      <c r="O5054" s="9"/>
      <c r="P5054" s="9"/>
      <c r="Q5054" s="9"/>
      <c r="R5054" s="9"/>
      <c r="S5054" s="9"/>
      <c r="T5054" s="9"/>
    </row>
    <row r="5055" ht="15.75" customHeight="1">
      <c r="A5055" s="11">
        <f>IFERROR(__xludf.DUMMYFUNCTION("""COMPUTED_VALUE"""),44471.0)</f>
        <v>44471</v>
      </c>
      <c r="B5055" s="9">
        <f>IFERROR(__xludf.DUMMYFUNCTION("""COMPUTED_VALUE"""),1003995.0)</f>
        <v>1003995</v>
      </c>
      <c r="C5055" s="9">
        <f>IFERROR(__xludf.DUMMYFUNCTION("""COMPUTED_VALUE"""),144740.0)</f>
        <v>144740</v>
      </c>
      <c r="D5055" s="9"/>
      <c r="E5055" s="10" t="str">
        <f>IFERROR(__xludf.DUMMYFUNCTION("""COMPUTED_VALUE"""),"PREMIERE")</f>
        <v>PREMIERE</v>
      </c>
      <c r="F5055" s="10">
        <f>IFERROR(__xludf.DUMMYFUNCTION("""COMPUTED_VALUE"""),7.91)</f>
        <v>7.91</v>
      </c>
      <c r="G5055" s="9">
        <f>IFERROR(__xludf.DUMMYFUNCTION("""COMPUTED_VALUE"""),7.91)</f>
        <v>7.91</v>
      </c>
      <c r="H5055" s="9">
        <f>IFERROR(__xludf.DUMMYFUNCTION("""COMPUTED_VALUE"""),1.0)</f>
        <v>1</v>
      </c>
      <c r="I5055" s="9"/>
      <c r="J5055" s="9"/>
      <c r="K5055" s="9"/>
      <c r="L5055" s="9"/>
      <c r="M5055" s="9"/>
      <c r="N5055" s="9"/>
      <c r="O5055" s="9"/>
      <c r="P5055" s="9"/>
      <c r="Q5055" s="9"/>
      <c r="R5055" s="9"/>
      <c r="S5055" s="9"/>
      <c r="T5055" s="9"/>
    </row>
    <row r="5056" ht="15.75" customHeight="1">
      <c r="A5056" s="11">
        <f>IFERROR(__xludf.DUMMYFUNCTION("""COMPUTED_VALUE"""),44471.0)</f>
        <v>44471</v>
      </c>
      <c r="B5056" s="9">
        <f>IFERROR(__xludf.DUMMYFUNCTION("""COMPUTED_VALUE"""),1003995.0)</f>
        <v>1003995</v>
      </c>
      <c r="C5056" s="9">
        <f>IFERROR(__xludf.DUMMYFUNCTION("""COMPUTED_VALUE"""),122748.0)</f>
        <v>122748</v>
      </c>
      <c r="D5056" s="9"/>
      <c r="E5056" s="10" t="str">
        <f>IFERROR(__xludf.DUMMYFUNCTION("""COMPUTED_VALUE"""),"PREMIERE")</f>
        <v>PREMIERE</v>
      </c>
      <c r="F5056" s="10">
        <f>IFERROR(__xludf.DUMMYFUNCTION("""COMPUTED_VALUE"""),17.51)</f>
        <v>17.51</v>
      </c>
      <c r="G5056" s="9">
        <f>IFERROR(__xludf.DUMMYFUNCTION("""COMPUTED_VALUE"""),17.51)</f>
        <v>17.51</v>
      </c>
      <c r="H5056" s="9">
        <f>IFERROR(__xludf.DUMMYFUNCTION("""COMPUTED_VALUE"""),1.0)</f>
        <v>1</v>
      </c>
      <c r="I5056" s="9"/>
      <c r="J5056" s="9"/>
      <c r="K5056" s="9"/>
      <c r="L5056" s="9"/>
      <c r="M5056" s="9"/>
      <c r="N5056" s="9"/>
      <c r="O5056" s="9"/>
      <c r="P5056" s="9"/>
      <c r="Q5056" s="9"/>
      <c r="R5056" s="9"/>
      <c r="S5056" s="9"/>
      <c r="T5056" s="9"/>
    </row>
    <row r="5057" ht="15.75" customHeight="1">
      <c r="A5057" s="11">
        <f>IFERROR(__xludf.DUMMYFUNCTION("""COMPUTED_VALUE"""),44471.0)</f>
        <v>44471</v>
      </c>
      <c r="B5057" s="9">
        <f>IFERROR(__xludf.DUMMYFUNCTION("""COMPUTED_VALUE"""),1003995.0)</f>
        <v>1003995</v>
      </c>
      <c r="C5057" s="9">
        <f>IFERROR(__xludf.DUMMYFUNCTION("""COMPUTED_VALUE"""),93083.0)</f>
        <v>93083</v>
      </c>
      <c r="D5057" s="9"/>
      <c r="E5057" s="10" t="str">
        <f>IFERROR(__xludf.DUMMYFUNCTION("""COMPUTED_VALUE"""),"PREMIERE")</f>
        <v>PREMIERE</v>
      </c>
      <c r="F5057" s="10">
        <f>IFERROR(__xludf.DUMMYFUNCTION("""COMPUTED_VALUE"""),4.68)</f>
        <v>4.68</v>
      </c>
      <c r="G5057" s="9">
        <f>IFERROR(__xludf.DUMMYFUNCTION("""COMPUTED_VALUE"""),4.68)</f>
        <v>4.68</v>
      </c>
      <c r="H5057" s="9">
        <f>IFERROR(__xludf.DUMMYFUNCTION("""COMPUTED_VALUE"""),2.0)</f>
        <v>2</v>
      </c>
      <c r="I5057" s="9"/>
      <c r="J5057" s="9"/>
      <c r="K5057" s="9"/>
      <c r="L5057" s="9"/>
      <c r="M5057" s="9"/>
      <c r="N5057" s="9"/>
      <c r="O5057" s="9"/>
      <c r="P5057" s="9"/>
      <c r="Q5057" s="9"/>
      <c r="R5057" s="9"/>
      <c r="S5057" s="9"/>
      <c r="T5057" s="9"/>
    </row>
    <row r="5058" ht="15.75" customHeight="1">
      <c r="A5058" s="11">
        <f>IFERROR(__xludf.DUMMYFUNCTION("""COMPUTED_VALUE"""),44471.0)</f>
        <v>44471</v>
      </c>
      <c r="B5058" s="9">
        <f>IFERROR(__xludf.DUMMYFUNCTION("""COMPUTED_VALUE"""),1003996.0)</f>
        <v>1003996</v>
      </c>
      <c r="C5058" s="9">
        <f>IFERROR(__xludf.DUMMYFUNCTION("""COMPUTED_VALUE"""),101298.0)</f>
        <v>101298</v>
      </c>
      <c r="D5058" s="10" t="str">
        <f>IFERROR(__xludf.DUMMYFUNCTION("""COMPUTED_VALUE"""),"Natur'vox Carryboo couches Sept 21")</f>
        <v>Natur'vox Carryboo couches Sept 21</v>
      </c>
      <c r="E5058" s="10"/>
      <c r="F5058" s="9">
        <f>IFERROR(__xludf.DUMMYFUNCTION("""COMPUTED_VALUE"""),49.12)</f>
        <v>49.12</v>
      </c>
      <c r="G5058" s="9">
        <f>IFERROR(__xludf.DUMMYFUNCTION("""COMPUTED_VALUE"""),36.84)</f>
        <v>36.84</v>
      </c>
      <c r="H5058" s="9">
        <f>IFERROR(__xludf.DUMMYFUNCTION("""COMPUTED_VALUE"""),3.0)</f>
        <v>3</v>
      </c>
      <c r="I5058" s="9"/>
      <c r="J5058" s="9"/>
      <c r="K5058" s="9"/>
      <c r="L5058" s="9"/>
      <c r="M5058" s="9"/>
      <c r="N5058" s="9"/>
      <c r="O5058" s="9"/>
      <c r="P5058" s="9"/>
      <c r="Q5058" s="9"/>
      <c r="R5058" s="9"/>
      <c r="S5058" s="9"/>
      <c r="T5058" s="9"/>
    </row>
    <row r="5059" ht="15.75" customHeight="1">
      <c r="A5059" s="11">
        <f>IFERROR(__xludf.DUMMYFUNCTION("""COMPUTED_VALUE"""),44471.0)</f>
        <v>44471</v>
      </c>
      <c r="B5059" s="9">
        <f>IFERROR(__xludf.DUMMYFUNCTION("""COMPUTED_VALUE"""),1003996.0)</f>
        <v>1003996</v>
      </c>
      <c r="C5059" s="9">
        <f>IFERROR(__xludf.DUMMYFUNCTION("""COMPUTED_VALUE"""),114252.0)</f>
        <v>114252</v>
      </c>
      <c r="D5059" s="9"/>
      <c r="E5059" s="9"/>
      <c r="F5059" s="9">
        <f>IFERROR(__xludf.DUMMYFUNCTION("""COMPUTED_VALUE"""),90.5)</f>
        <v>90.5</v>
      </c>
      <c r="G5059" s="9">
        <f>IFERROR(__xludf.DUMMYFUNCTION("""COMPUTED_VALUE"""),90.5)</f>
        <v>90.5</v>
      </c>
      <c r="H5059" s="9">
        <f>IFERROR(__xludf.DUMMYFUNCTION("""COMPUTED_VALUE"""),6.0)</f>
        <v>6</v>
      </c>
      <c r="I5059" s="9"/>
      <c r="J5059" s="9"/>
      <c r="K5059" s="9"/>
      <c r="L5059" s="9"/>
      <c r="M5059" s="9"/>
      <c r="N5059" s="9"/>
      <c r="O5059" s="9"/>
      <c r="P5059" s="9"/>
      <c r="Q5059" s="9"/>
      <c r="R5059" s="9"/>
      <c r="S5059" s="9"/>
      <c r="T5059" s="9"/>
    </row>
    <row r="5060" ht="15.75" customHeight="1">
      <c r="A5060" s="11">
        <f>IFERROR(__xludf.DUMMYFUNCTION("""COMPUTED_VALUE"""),44471.0)</f>
        <v>44471</v>
      </c>
      <c r="B5060" s="9">
        <f>IFERROR(__xludf.DUMMYFUNCTION("""COMPUTED_VALUE"""),1003997.0)</f>
        <v>1003997</v>
      </c>
      <c r="C5060" s="9">
        <f>IFERROR(__xludf.DUMMYFUNCTION("""COMPUTED_VALUE"""),45484.0)</f>
        <v>45484</v>
      </c>
      <c r="D5060" s="10" t="str">
        <f>IFERROR(__xludf.DUMMYFUNCTION("""COMPUTED_VALUE"""),"Vive le bio")</f>
        <v>Vive le bio</v>
      </c>
      <c r="E5060" s="10"/>
      <c r="F5060" s="9">
        <f>IFERROR(__xludf.DUMMYFUNCTION("""COMPUTED_VALUE"""),27.7888888888888)</f>
        <v>27.78888889</v>
      </c>
      <c r="G5060" s="9">
        <f>IFERROR(__xludf.DUMMYFUNCTION("""COMPUTED_VALUE"""),25.01)</f>
        <v>25.01</v>
      </c>
      <c r="H5060" s="9">
        <f>IFERROR(__xludf.DUMMYFUNCTION("""COMPUTED_VALUE"""),1.0)</f>
        <v>1</v>
      </c>
      <c r="I5060" s="9"/>
      <c r="J5060" s="9"/>
      <c r="K5060" s="9"/>
      <c r="L5060" s="9"/>
      <c r="M5060" s="9"/>
      <c r="N5060" s="9"/>
      <c r="O5060" s="9"/>
      <c r="P5060" s="9"/>
      <c r="Q5060" s="9"/>
      <c r="R5060" s="9"/>
      <c r="S5060" s="9"/>
      <c r="T5060" s="9"/>
    </row>
    <row r="5061" ht="15.75" customHeight="1">
      <c r="A5061" s="11">
        <f>IFERROR(__xludf.DUMMYFUNCTION("""COMPUTED_VALUE"""),44471.0)</f>
        <v>44471</v>
      </c>
      <c r="B5061" s="9">
        <f>IFERROR(__xludf.DUMMYFUNCTION("""COMPUTED_VALUE"""),1003998.0)</f>
        <v>1003998</v>
      </c>
      <c r="C5061" s="9">
        <f>IFERROR(__xludf.DUMMYFUNCTION("""COMPUTED_VALUE"""),102735.0)</f>
        <v>102735</v>
      </c>
      <c r="D5061" s="9"/>
      <c r="E5061" s="9"/>
      <c r="F5061" s="9">
        <f>IFERROR(__xludf.DUMMYFUNCTION("""COMPUTED_VALUE"""),3.88)</f>
        <v>3.88</v>
      </c>
      <c r="G5061" s="9">
        <f>IFERROR(__xludf.DUMMYFUNCTION("""COMPUTED_VALUE"""),3.88)</f>
        <v>3.88</v>
      </c>
      <c r="H5061" s="9">
        <f>IFERROR(__xludf.DUMMYFUNCTION("""COMPUTED_VALUE"""),1.0)</f>
        <v>1</v>
      </c>
      <c r="I5061" s="9"/>
      <c r="J5061" s="9"/>
      <c r="K5061" s="9"/>
      <c r="L5061" s="9"/>
      <c r="M5061" s="9"/>
      <c r="N5061" s="9"/>
      <c r="O5061" s="9"/>
      <c r="P5061" s="9"/>
      <c r="Q5061" s="9"/>
      <c r="R5061" s="9"/>
      <c r="S5061" s="9"/>
      <c r="T5061" s="9"/>
    </row>
    <row r="5062" ht="15.75" customHeight="1">
      <c r="A5062" s="11">
        <f>IFERROR(__xludf.DUMMYFUNCTION("""COMPUTED_VALUE"""),44471.0)</f>
        <v>44471</v>
      </c>
      <c r="B5062" s="9">
        <f>IFERROR(__xludf.DUMMYFUNCTION("""COMPUTED_VALUE"""),1003998.0)</f>
        <v>1003998</v>
      </c>
      <c r="C5062" s="9">
        <f>IFERROR(__xludf.DUMMYFUNCTION("""COMPUTED_VALUE"""),44524.0)</f>
        <v>44524</v>
      </c>
      <c r="D5062" s="9"/>
      <c r="E5062" s="9"/>
      <c r="F5062" s="9">
        <f>IFERROR(__xludf.DUMMYFUNCTION("""COMPUTED_VALUE"""),8.81)</f>
        <v>8.81</v>
      </c>
      <c r="G5062" s="9">
        <f>IFERROR(__xludf.DUMMYFUNCTION("""COMPUTED_VALUE"""),8.81)</f>
        <v>8.81</v>
      </c>
      <c r="H5062" s="9">
        <f>IFERROR(__xludf.DUMMYFUNCTION("""COMPUTED_VALUE"""),1.0)</f>
        <v>1</v>
      </c>
      <c r="I5062" s="9"/>
      <c r="J5062" s="9"/>
      <c r="K5062" s="9"/>
      <c r="L5062" s="9"/>
      <c r="M5062" s="9"/>
      <c r="N5062" s="9"/>
      <c r="O5062" s="9"/>
      <c r="P5062" s="9"/>
      <c r="Q5062" s="9"/>
      <c r="R5062" s="9"/>
      <c r="S5062" s="9"/>
      <c r="T5062" s="9"/>
    </row>
    <row r="5063" ht="15.75" customHeight="1">
      <c r="A5063" s="11">
        <f>IFERROR(__xludf.DUMMYFUNCTION("""COMPUTED_VALUE"""),44471.0)</f>
        <v>44471</v>
      </c>
      <c r="B5063" s="9">
        <f>IFERROR(__xludf.DUMMYFUNCTION("""COMPUTED_VALUE"""),1003998.0)</f>
        <v>1003998</v>
      </c>
      <c r="C5063" s="9">
        <f>IFERROR(__xludf.DUMMYFUNCTION("""COMPUTED_VALUE"""),195244.0)</f>
        <v>195244</v>
      </c>
      <c r="D5063" s="9"/>
      <c r="E5063" s="9"/>
      <c r="F5063" s="9">
        <f>IFERROR(__xludf.DUMMYFUNCTION("""COMPUTED_VALUE"""),9.1)</f>
        <v>9.1</v>
      </c>
      <c r="G5063" s="9">
        <f>IFERROR(__xludf.DUMMYFUNCTION("""COMPUTED_VALUE"""),9.1)</f>
        <v>9.1</v>
      </c>
      <c r="H5063" s="9">
        <f>IFERROR(__xludf.DUMMYFUNCTION("""COMPUTED_VALUE"""),1.0)</f>
        <v>1</v>
      </c>
      <c r="I5063" s="9"/>
      <c r="J5063" s="9"/>
      <c r="K5063" s="9"/>
      <c r="L5063" s="9"/>
      <c r="M5063" s="9"/>
      <c r="N5063" s="9"/>
      <c r="O5063" s="9"/>
      <c r="P5063" s="9"/>
      <c r="Q5063" s="9"/>
      <c r="R5063" s="9"/>
      <c r="S5063" s="9"/>
      <c r="T5063" s="9"/>
    </row>
    <row r="5064" ht="15.75" customHeight="1">
      <c r="A5064" s="11">
        <f>IFERROR(__xludf.DUMMYFUNCTION("""COMPUTED_VALUE"""),44471.0)</f>
        <v>44471</v>
      </c>
      <c r="B5064" s="9">
        <f>IFERROR(__xludf.DUMMYFUNCTION("""COMPUTED_VALUE"""),1003998.0)</f>
        <v>1003998</v>
      </c>
      <c r="C5064" s="9">
        <f>IFERROR(__xludf.DUMMYFUNCTION("""COMPUTED_VALUE"""),90710.0)</f>
        <v>90710</v>
      </c>
      <c r="D5064" s="9"/>
      <c r="E5064" s="9"/>
      <c r="F5064" s="9">
        <f>IFERROR(__xludf.DUMMYFUNCTION("""COMPUTED_VALUE"""),1.02)</f>
        <v>1.02</v>
      </c>
      <c r="G5064" s="9">
        <f>IFERROR(__xludf.DUMMYFUNCTION("""COMPUTED_VALUE"""),1.02)</f>
        <v>1.02</v>
      </c>
      <c r="H5064" s="9">
        <f>IFERROR(__xludf.DUMMYFUNCTION("""COMPUTED_VALUE"""),1.0)</f>
        <v>1</v>
      </c>
      <c r="I5064" s="9"/>
      <c r="J5064" s="9"/>
      <c r="K5064" s="9"/>
      <c r="L5064" s="9"/>
      <c r="M5064" s="9"/>
      <c r="N5064" s="9"/>
      <c r="O5064" s="9"/>
      <c r="P5064" s="9"/>
      <c r="Q5064" s="9"/>
      <c r="R5064" s="9"/>
      <c r="S5064" s="9"/>
      <c r="T5064" s="9"/>
    </row>
    <row r="5065" ht="15.75" customHeight="1">
      <c r="A5065" s="11">
        <f>IFERROR(__xludf.DUMMYFUNCTION("""COMPUTED_VALUE"""),44471.0)</f>
        <v>44471</v>
      </c>
      <c r="B5065" s="9">
        <f>IFERROR(__xludf.DUMMYFUNCTION("""COMPUTED_VALUE"""),1003998.0)</f>
        <v>1003998</v>
      </c>
      <c r="C5065" s="9">
        <f>IFERROR(__xludf.DUMMYFUNCTION("""COMPUTED_VALUE"""),103080.0)</f>
        <v>103080</v>
      </c>
      <c r="D5065" s="9"/>
      <c r="E5065" s="9"/>
      <c r="F5065" s="9">
        <f>IFERROR(__xludf.DUMMYFUNCTION("""COMPUTED_VALUE"""),1.15)</f>
        <v>1.15</v>
      </c>
      <c r="G5065" s="9">
        <f>IFERROR(__xludf.DUMMYFUNCTION("""COMPUTED_VALUE"""),1.15)</f>
        <v>1.15</v>
      </c>
      <c r="H5065" s="9">
        <f>IFERROR(__xludf.DUMMYFUNCTION("""COMPUTED_VALUE"""),1.0)</f>
        <v>1</v>
      </c>
      <c r="I5065" s="9"/>
      <c r="J5065" s="9"/>
      <c r="K5065" s="9"/>
      <c r="L5065" s="9"/>
      <c r="M5065" s="9"/>
      <c r="N5065" s="9"/>
      <c r="O5065" s="9"/>
      <c r="P5065" s="9"/>
      <c r="Q5065" s="9"/>
      <c r="R5065" s="9"/>
      <c r="S5065" s="9"/>
      <c r="T5065" s="9"/>
    </row>
    <row r="5066" ht="15.75" customHeight="1">
      <c r="A5066" s="11">
        <f>IFERROR(__xludf.DUMMYFUNCTION("""COMPUTED_VALUE"""),44471.0)</f>
        <v>44471</v>
      </c>
      <c r="B5066" s="9">
        <f>IFERROR(__xludf.DUMMYFUNCTION("""COMPUTED_VALUE"""),1003998.0)</f>
        <v>1003998</v>
      </c>
      <c r="C5066" s="9">
        <f>IFERROR(__xludf.DUMMYFUNCTION("""COMPUTED_VALUE"""),105174.0)</f>
        <v>105174</v>
      </c>
      <c r="D5066" s="10" t="str">
        <f>IFERROR(__xludf.DUMMYFUNCTION("""COMPUTED_VALUE"""),"Vive le bio")</f>
        <v>Vive le bio</v>
      </c>
      <c r="E5066" s="10"/>
      <c r="F5066" s="9">
        <f>IFERROR(__xludf.DUMMYFUNCTION("""COMPUTED_VALUE"""),2.33333333333333)</f>
        <v>2.333333333</v>
      </c>
      <c r="G5066" s="9">
        <f>IFERROR(__xludf.DUMMYFUNCTION("""COMPUTED_VALUE"""),2.1)</f>
        <v>2.1</v>
      </c>
      <c r="H5066" s="9">
        <f>IFERROR(__xludf.DUMMYFUNCTION("""COMPUTED_VALUE"""),1.0)</f>
        <v>1</v>
      </c>
      <c r="I5066" s="9"/>
      <c r="J5066" s="9"/>
      <c r="K5066" s="9"/>
      <c r="L5066" s="9"/>
      <c r="M5066" s="9"/>
      <c r="N5066" s="9"/>
      <c r="O5066" s="9"/>
      <c r="P5066" s="9"/>
      <c r="Q5066" s="9"/>
      <c r="R5066" s="9"/>
      <c r="S5066" s="9"/>
      <c r="T5066" s="9"/>
    </row>
    <row r="5067" ht="15.75" customHeight="1">
      <c r="A5067" s="11">
        <f>IFERROR(__xludf.DUMMYFUNCTION("""COMPUTED_VALUE"""),44471.0)</f>
        <v>44471</v>
      </c>
      <c r="B5067" s="9">
        <f>IFERROR(__xludf.DUMMYFUNCTION("""COMPUTED_VALUE"""),1003998.0)</f>
        <v>1003998</v>
      </c>
      <c r="C5067" s="9">
        <f>IFERROR(__xludf.DUMMYFUNCTION("""COMPUTED_VALUE"""),17620.0)</f>
        <v>17620</v>
      </c>
      <c r="D5067" s="9"/>
      <c r="E5067" s="9"/>
      <c r="F5067" s="9">
        <f>IFERROR(__xludf.DUMMYFUNCTION("""COMPUTED_VALUE"""),8.61)</f>
        <v>8.61</v>
      </c>
      <c r="G5067" s="9">
        <f>IFERROR(__xludf.DUMMYFUNCTION("""COMPUTED_VALUE"""),8.61)</f>
        <v>8.61</v>
      </c>
      <c r="H5067" s="9">
        <f>IFERROR(__xludf.DUMMYFUNCTION("""COMPUTED_VALUE"""),1.0)</f>
        <v>1</v>
      </c>
      <c r="I5067" s="9"/>
      <c r="J5067" s="9"/>
      <c r="K5067" s="9"/>
      <c r="L5067" s="9"/>
      <c r="M5067" s="9"/>
      <c r="N5067" s="9"/>
      <c r="O5067" s="9"/>
      <c r="P5067" s="9"/>
      <c r="Q5067" s="9"/>
      <c r="R5067" s="9"/>
      <c r="S5067" s="9"/>
      <c r="T5067" s="9"/>
    </row>
    <row r="5068" ht="15.75" customHeight="1">
      <c r="A5068" s="11">
        <f>IFERROR(__xludf.DUMMYFUNCTION("""COMPUTED_VALUE"""),44471.0)</f>
        <v>44471</v>
      </c>
      <c r="B5068" s="9">
        <f>IFERROR(__xludf.DUMMYFUNCTION("""COMPUTED_VALUE"""),1003998.0)</f>
        <v>1003998</v>
      </c>
      <c r="C5068" s="9">
        <f>IFERROR(__xludf.DUMMYFUNCTION("""COMPUTED_VALUE"""),74454.0)</f>
        <v>74454</v>
      </c>
      <c r="D5068" s="9"/>
      <c r="E5068" s="9"/>
      <c r="F5068" s="9">
        <f>IFERROR(__xludf.DUMMYFUNCTION("""COMPUTED_VALUE"""),3.72)</f>
        <v>3.72</v>
      </c>
      <c r="G5068" s="9">
        <f>IFERROR(__xludf.DUMMYFUNCTION("""COMPUTED_VALUE"""),3.72)</f>
        <v>3.72</v>
      </c>
      <c r="H5068" s="9">
        <f>IFERROR(__xludf.DUMMYFUNCTION("""COMPUTED_VALUE"""),1.0)</f>
        <v>1</v>
      </c>
      <c r="I5068" s="9"/>
      <c r="J5068" s="9"/>
      <c r="K5068" s="9"/>
      <c r="L5068" s="9"/>
      <c r="M5068" s="9"/>
      <c r="N5068" s="9"/>
      <c r="O5068" s="9"/>
      <c r="P5068" s="9"/>
      <c r="Q5068" s="9"/>
      <c r="R5068" s="9"/>
      <c r="S5068" s="9"/>
      <c r="T5068" s="9"/>
    </row>
    <row r="5069" ht="15.75" customHeight="1">
      <c r="A5069" s="11">
        <f>IFERROR(__xludf.DUMMYFUNCTION("""COMPUTED_VALUE"""),44471.0)</f>
        <v>44471</v>
      </c>
      <c r="B5069" s="9">
        <f>IFERROR(__xludf.DUMMYFUNCTION("""COMPUTED_VALUE"""),1003998.0)</f>
        <v>1003998</v>
      </c>
      <c r="C5069" s="9">
        <f>IFERROR(__xludf.DUMMYFUNCTION("""COMPUTED_VALUE"""),80809.0)</f>
        <v>80809</v>
      </c>
      <c r="D5069" s="9"/>
      <c r="E5069" s="9"/>
      <c r="F5069" s="9">
        <f>IFERROR(__xludf.DUMMYFUNCTION("""COMPUTED_VALUE"""),1.55)</f>
        <v>1.55</v>
      </c>
      <c r="G5069" s="9">
        <f>IFERROR(__xludf.DUMMYFUNCTION("""COMPUTED_VALUE"""),1.55)</f>
        <v>1.55</v>
      </c>
      <c r="H5069" s="9">
        <f>IFERROR(__xludf.DUMMYFUNCTION("""COMPUTED_VALUE"""),1.0)</f>
        <v>1</v>
      </c>
      <c r="I5069" s="9"/>
      <c r="J5069" s="9"/>
      <c r="K5069" s="9"/>
      <c r="L5069" s="9"/>
      <c r="M5069" s="9"/>
      <c r="N5069" s="9"/>
      <c r="O5069" s="9"/>
      <c r="P5069" s="9"/>
      <c r="Q5069" s="9"/>
      <c r="R5069" s="9"/>
      <c r="S5069" s="9"/>
      <c r="T5069" s="9"/>
    </row>
    <row r="5070" ht="15.75" customHeight="1">
      <c r="A5070" s="11">
        <f>IFERROR(__xludf.DUMMYFUNCTION("""COMPUTED_VALUE"""),44471.0)</f>
        <v>44471</v>
      </c>
      <c r="B5070" s="9">
        <f>IFERROR(__xludf.DUMMYFUNCTION("""COMPUTED_VALUE"""),1003998.0)</f>
        <v>1003998</v>
      </c>
      <c r="C5070" s="9">
        <f>IFERROR(__xludf.DUMMYFUNCTION("""COMPUTED_VALUE"""),86524.0)</f>
        <v>86524</v>
      </c>
      <c r="D5070" s="9"/>
      <c r="E5070" s="9"/>
      <c r="F5070" s="9">
        <f>IFERROR(__xludf.DUMMYFUNCTION("""COMPUTED_VALUE"""),1.24)</f>
        <v>1.24</v>
      </c>
      <c r="G5070" s="9">
        <f>IFERROR(__xludf.DUMMYFUNCTION("""COMPUTED_VALUE"""),1.24)</f>
        <v>1.24</v>
      </c>
      <c r="H5070" s="9">
        <f>IFERROR(__xludf.DUMMYFUNCTION("""COMPUTED_VALUE"""),1.0)</f>
        <v>1</v>
      </c>
      <c r="I5070" s="9"/>
      <c r="J5070" s="9"/>
      <c r="K5070" s="9"/>
      <c r="L5070" s="9"/>
      <c r="M5070" s="9"/>
      <c r="N5070" s="9"/>
      <c r="O5070" s="9"/>
      <c r="P5070" s="9"/>
      <c r="Q5070" s="9"/>
      <c r="R5070" s="9"/>
      <c r="S5070" s="9"/>
      <c r="T5070" s="9"/>
    </row>
    <row r="5071" ht="15.75" customHeight="1">
      <c r="A5071" s="11">
        <f>IFERROR(__xludf.DUMMYFUNCTION("""COMPUTED_VALUE"""),44471.0)</f>
        <v>44471</v>
      </c>
      <c r="B5071" s="9">
        <f>IFERROR(__xludf.DUMMYFUNCTION("""COMPUTED_VALUE"""),1003998.0)</f>
        <v>1003998</v>
      </c>
      <c r="C5071" s="9">
        <f>IFERROR(__xludf.DUMMYFUNCTION("""COMPUTED_VALUE"""),80785.0)</f>
        <v>80785</v>
      </c>
      <c r="D5071" s="9"/>
      <c r="E5071" s="9"/>
      <c r="F5071" s="9">
        <f>IFERROR(__xludf.DUMMYFUNCTION("""COMPUTED_VALUE"""),1.49)</f>
        <v>1.49</v>
      </c>
      <c r="G5071" s="9">
        <f>IFERROR(__xludf.DUMMYFUNCTION("""COMPUTED_VALUE"""),1.49)</f>
        <v>1.49</v>
      </c>
      <c r="H5071" s="9">
        <f>IFERROR(__xludf.DUMMYFUNCTION("""COMPUTED_VALUE"""),1.0)</f>
        <v>1</v>
      </c>
      <c r="I5071" s="9"/>
      <c r="J5071" s="9"/>
      <c r="K5071" s="9"/>
      <c r="L5071" s="9"/>
      <c r="M5071" s="9"/>
      <c r="N5071" s="9"/>
      <c r="O5071" s="9"/>
      <c r="P5071" s="9"/>
      <c r="Q5071" s="9"/>
      <c r="R5071" s="9"/>
      <c r="S5071" s="9"/>
      <c r="T5071" s="9"/>
    </row>
    <row r="5072" ht="15.75" customHeight="1">
      <c r="A5072" s="11">
        <f>IFERROR(__xludf.DUMMYFUNCTION("""COMPUTED_VALUE"""),44471.0)</f>
        <v>44471</v>
      </c>
      <c r="B5072" s="9">
        <f>IFERROR(__xludf.DUMMYFUNCTION("""COMPUTED_VALUE"""),1003999.0)</f>
        <v>1003999</v>
      </c>
      <c r="C5072" s="9">
        <f>IFERROR(__xludf.DUMMYFUNCTION("""COMPUTED_VALUE"""),101889.0)</f>
        <v>101889</v>
      </c>
      <c r="D5072" s="10" t="str">
        <f>IFERROR(__xludf.DUMMYFUNCTION("""COMPUTED_VALUE"""),"Vive le bio")</f>
        <v>Vive le bio</v>
      </c>
      <c r="E5072" s="10"/>
      <c r="F5072" s="9">
        <f>IFERROR(__xludf.DUMMYFUNCTION("""COMPUTED_VALUE"""),3.34444444444444)</f>
        <v>3.344444444</v>
      </c>
      <c r="G5072" s="9">
        <f>IFERROR(__xludf.DUMMYFUNCTION("""COMPUTED_VALUE"""),3.01)</f>
        <v>3.01</v>
      </c>
      <c r="H5072" s="9">
        <f>IFERROR(__xludf.DUMMYFUNCTION("""COMPUTED_VALUE"""),1.0)</f>
        <v>1</v>
      </c>
      <c r="I5072" s="9"/>
      <c r="J5072" s="9"/>
      <c r="K5072" s="9"/>
      <c r="L5072" s="9"/>
      <c r="M5072" s="9"/>
      <c r="N5072" s="9"/>
      <c r="O5072" s="9"/>
      <c r="P5072" s="9"/>
      <c r="Q5072" s="9"/>
      <c r="R5072" s="9"/>
      <c r="S5072" s="9"/>
      <c r="T5072" s="9"/>
    </row>
    <row r="5073" ht="15.75" customHeight="1">
      <c r="A5073" s="11">
        <f>IFERROR(__xludf.DUMMYFUNCTION("""COMPUTED_VALUE"""),44471.0)</f>
        <v>44471</v>
      </c>
      <c r="B5073" s="9">
        <f>IFERROR(__xludf.DUMMYFUNCTION("""COMPUTED_VALUE"""),1003999.0)</f>
        <v>1003999</v>
      </c>
      <c r="C5073" s="9">
        <f>IFERROR(__xludf.DUMMYFUNCTION("""COMPUTED_VALUE"""),12925.0)</f>
        <v>12925</v>
      </c>
      <c r="D5073" s="9"/>
      <c r="E5073" s="9"/>
      <c r="F5073" s="9">
        <f>IFERROR(__xludf.DUMMYFUNCTION("""COMPUTED_VALUE"""),3.15)</f>
        <v>3.15</v>
      </c>
      <c r="G5073" s="9">
        <f>IFERROR(__xludf.DUMMYFUNCTION("""COMPUTED_VALUE"""),3.15)</f>
        <v>3.15</v>
      </c>
      <c r="H5073" s="9">
        <f>IFERROR(__xludf.DUMMYFUNCTION("""COMPUTED_VALUE"""),1.0)</f>
        <v>1</v>
      </c>
      <c r="I5073" s="9"/>
      <c r="J5073" s="9"/>
      <c r="K5073" s="9"/>
      <c r="L5073" s="9"/>
      <c r="M5073" s="9"/>
      <c r="N5073" s="9"/>
      <c r="O5073" s="9"/>
      <c r="P5073" s="9"/>
      <c r="Q5073" s="9"/>
      <c r="R5073" s="9"/>
      <c r="S5073" s="9"/>
      <c r="T5073" s="9"/>
    </row>
    <row r="5074" ht="15.75" customHeight="1">
      <c r="A5074" s="11">
        <f>IFERROR(__xludf.DUMMYFUNCTION("""COMPUTED_VALUE"""),44471.0)</f>
        <v>44471</v>
      </c>
      <c r="B5074" s="9">
        <f>IFERROR(__xludf.DUMMYFUNCTION("""COMPUTED_VALUE"""),1003999.0)</f>
        <v>1003999</v>
      </c>
      <c r="C5074" s="9">
        <f>IFERROR(__xludf.DUMMYFUNCTION("""COMPUTED_VALUE"""),121869.0)</f>
        <v>121869</v>
      </c>
      <c r="D5074" s="9"/>
      <c r="E5074" s="9"/>
      <c r="F5074" s="9">
        <f>IFERROR(__xludf.DUMMYFUNCTION("""COMPUTED_VALUE"""),17.2)</f>
        <v>17.2</v>
      </c>
      <c r="G5074" s="9">
        <f>IFERROR(__xludf.DUMMYFUNCTION("""COMPUTED_VALUE"""),17.2)</f>
        <v>17.2</v>
      </c>
      <c r="H5074" s="9">
        <f>IFERROR(__xludf.DUMMYFUNCTION("""COMPUTED_VALUE"""),1.0)</f>
        <v>1</v>
      </c>
      <c r="I5074" s="9"/>
      <c r="J5074" s="9"/>
      <c r="K5074" s="9"/>
      <c r="L5074" s="9"/>
      <c r="M5074" s="9"/>
      <c r="N5074" s="9"/>
      <c r="O5074" s="9"/>
      <c r="P5074" s="9"/>
      <c r="Q5074" s="9"/>
      <c r="R5074" s="9"/>
      <c r="S5074" s="9"/>
      <c r="T5074" s="9"/>
    </row>
    <row r="5075" ht="15.75" customHeight="1">
      <c r="A5075" s="11">
        <f>IFERROR(__xludf.DUMMYFUNCTION("""COMPUTED_VALUE"""),44471.0)</f>
        <v>44471</v>
      </c>
      <c r="B5075" s="9">
        <f>IFERROR(__xludf.DUMMYFUNCTION("""COMPUTED_VALUE"""),1003999.0)</f>
        <v>1003999</v>
      </c>
      <c r="C5075" s="9">
        <f>IFERROR(__xludf.DUMMYFUNCTION("""COMPUTED_VALUE"""),69469.0)</f>
        <v>69469</v>
      </c>
      <c r="D5075" s="9"/>
      <c r="E5075" s="9"/>
      <c r="F5075" s="9">
        <f>IFERROR(__xludf.DUMMYFUNCTION("""COMPUTED_VALUE"""),4.06)</f>
        <v>4.06</v>
      </c>
      <c r="G5075" s="9">
        <f>IFERROR(__xludf.DUMMYFUNCTION("""COMPUTED_VALUE"""),4.06)</f>
        <v>4.06</v>
      </c>
      <c r="H5075" s="9">
        <f>IFERROR(__xludf.DUMMYFUNCTION("""COMPUTED_VALUE"""),1.0)</f>
        <v>1</v>
      </c>
      <c r="I5075" s="9"/>
      <c r="J5075" s="9"/>
      <c r="K5075" s="9"/>
      <c r="L5075" s="9"/>
      <c r="M5075" s="9"/>
      <c r="N5075" s="9"/>
      <c r="O5075" s="9"/>
      <c r="P5075" s="9"/>
      <c r="Q5075" s="9"/>
      <c r="R5075" s="9"/>
      <c r="S5075" s="9"/>
      <c r="T5075" s="9"/>
    </row>
    <row r="5076" ht="15.75" customHeight="1">
      <c r="A5076" s="11">
        <f>IFERROR(__xludf.DUMMYFUNCTION("""COMPUTED_VALUE"""),44471.0)</f>
        <v>44471</v>
      </c>
      <c r="B5076" s="9">
        <f>IFERROR(__xludf.DUMMYFUNCTION("""COMPUTED_VALUE"""),1003999.0)</f>
        <v>1003999</v>
      </c>
      <c r="C5076" s="9">
        <f>IFERROR(__xludf.DUMMYFUNCTION("""COMPUTED_VALUE"""),122672.0)</f>
        <v>122672</v>
      </c>
      <c r="D5076" s="9"/>
      <c r="E5076" s="9"/>
      <c r="F5076" s="9">
        <f>IFERROR(__xludf.DUMMYFUNCTION("""COMPUTED_VALUE"""),2.8)</f>
        <v>2.8</v>
      </c>
      <c r="G5076" s="9">
        <f>IFERROR(__xludf.DUMMYFUNCTION("""COMPUTED_VALUE"""),2.8)</f>
        <v>2.8</v>
      </c>
      <c r="H5076" s="9">
        <f>IFERROR(__xludf.DUMMYFUNCTION("""COMPUTED_VALUE"""),1.0)</f>
        <v>1</v>
      </c>
      <c r="I5076" s="9"/>
      <c r="J5076" s="9"/>
      <c r="K5076" s="9"/>
      <c r="L5076" s="9"/>
      <c r="M5076" s="9"/>
      <c r="N5076" s="9"/>
      <c r="O5076" s="9"/>
      <c r="P5076" s="9"/>
      <c r="Q5076" s="9"/>
      <c r="R5076" s="9"/>
      <c r="S5076" s="9"/>
      <c r="T5076" s="9"/>
    </row>
    <row r="5077" ht="15.75" customHeight="1">
      <c r="A5077" s="11">
        <f>IFERROR(__xludf.DUMMYFUNCTION("""COMPUTED_VALUE"""),44471.0)</f>
        <v>44471</v>
      </c>
      <c r="B5077" s="9">
        <f>IFERROR(__xludf.DUMMYFUNCTION("""COMPUTED_VALUE"""),1003999.0)</f>
        <v>1003999</v>
      </c>
      <c r="C5077" s="9">
        <f>IFERROR(__xludf.DUMMYFUNCTION("""COMPUTED_VALUE"""),122675.0)</f>
        <v>122675</v>
      </c>
      <c r="D5077" s="10" t="str">
        <f>IFERROR(__xludf.DUMMYFUNCTION("""COMPUTED_VALUE"""),"Vive le bio")</f>
        <v>Vive le bio</v>
      </c>
      <c r="E5077" s="10"/>
      <c r="F5077" s="9">
        <f>IFERROR(__xludf.DUMMYFUNCTION("""COMPUTED_VALUE"""),4.35555555555555)</f>
        <v>4.355555556</v>
      </c>
      <c r="G5077" s="9">
        <f>IFERROR(__xludf.DUMMYFUNCTION("""COMPUTED_VALUE"""),3.92)</f>
        <v>3.92</v>
      </c>
      <c r="H5077" s="9">
        <f>IFERROR(__xludf.DUMMYFUNCTION("""COMPUTED_VALUE"""),1.0)</f>
        <v>1</v>
      </c>
      <c r="I5077" s="9"/>
      <c r="J5077" s="9"/>
      <c r="K5077" s="9"/>
      <c r="L5077" s="9"/>
      <c r="M5077" s="9"/>
      <c r="N5077" s="9"/>
      <c r="O5077" s="9"/>
      <c r="P5077" s="9"/>
      <c r="Q5077" s="9"/>
      <c r="R5077" s="9"/>
      <c r="S5077" s="9"/>
      <c r="T5077" s="9"/>
    </row>
    <row r="5078" ht="15.75" customHeight="1">
      <c r="A5078" s="11">
        <f>IFERROR(__xludf.DUMMYFUNCTION("""COMPUTED_VALUE"""),44471.0)</f>
        <v>44471</v>
      </c>
      <c r="B5078" s="9">
        <f>IFERROR(__xludf.DUMMYFUNCTION("""COMPUTED_VALUE"""),1003999.0)</f>
        <v>1003999</v>
      </c>
      <c r="C5078" s="9">
        <f>IFERROR(__xludf.DUMMYFUNCTION("""COMPUTED_VALUE"""),8803.0)</f>
        <v>8803</v>
      </c>
      <c r="D5078" s="9"/>
      <c r="E5078" s="9"/>
      <c r="F5078" s="9">
        <f>IFERROR(__xludf.DUMMYFUNCTION("""COMPUTED_VALUE"""),5.41)</f>
        <v>5.41</v>
      </c>
      <c r="G5078" s="9">
        <f>IFERROR(__xludf.DUMMYFUNCTION("""COMPUTED_VALUE"""),5.41)</f>
        <v>5.41</v>
      </c>
      <c r="H5078" s="9">
        <f>IFERROR(__xludf.DUMMYFUNCTION("""COMPUTED_VALUE"""),2.0)</f>
        <v>2</v>
      </c>
      <c r="I5078" s="9"/>
      <c r="J5078" s="9"/>
      <c r="K5078" s="9"/>
      <c r="L5078" s="9"/>
      <c r="M5078" s="9"/>
      <c r="N5078" s="9"/>
      <c r="O5078" s="9"/>
      <c r="P5078" s="9"/>
      <c r="Q5078" s="9"/>
      <c r="R5078" s="9"/>
      <c r="S5078" s="9"/>
      <c r="T5078" s="9"/>
    </row>
    <row r="5079" ht="15.75" customHeight="1">
      <c r="A5079" s="11">
        <f>IFERROR(__xludf.DUMMYFUNCTION("""COMPUTED_VALUE"""),44471.0)</f>
        <v>44471</v>
      </c>
      <c r="B5079" s="9">
        <f>IFERROR(__xludf.DUMMYFUNCTION("""COMPUTED_VALUE"""),1003999.0)</f>
        <v>1003999</v>
      </c>
      <c r="C5079" s="9">
        <f>IFERROR(__xludf.DUMMYFUNCTION("""COMPUTED_VALUE"""),110106.0)</f>
        <v>110106</v>
      </c>
      <c r="D5079" s="9"/>
      <c r="E5079" s="9"/>
      <c r="F5079" s="9">
        <f>IFERROR(__xludf.DUMMYFUNCTION("""COMPUTED_VALUE"""),5.17)</f>
        <v>5.17</v>
      </c>
      <c r="G5079" s="9">
        <f>IFERROR(__xludf.DUMMYFUNCTION("""COMPUTED_VALUE"""),5.17)</f>
        <v>5.17</v>
      </c>
      <c r="H5079" s="9">
        <f>IFERROR(__xludf.DUMMYFUNCTION("""COMPUTED_VALUE"""),2.0)</f>
        <v>2</v>
      </c>
      <c r="I5079" s="9"/>
      <c r="J5079" s="9"/>
      <c r="K5079" s="9"/>
      <c r="L5079" s="9"/>
      <c r="M5079" s="9"/>
      <c r="N5079" s="9"/>
      <c r="O5079" s="9"/>
      <c r="P5079" s="9"/>
      <c r="Q5079" s="9"/>
      <c r="R5079" s="9"/>
      <c r="S5079" s="9"/>
      <c r="T5079" s="9"/>
    </row>
    <row r="5080" ht="15.75" customHeight="1">
      <c r="A5080" s="11">
        <f>IFERROR(__xludf.DUMMYFUNCTION("""COMPUTED_VALUE"""),44471.0)</f>
        <v>44471</v>
      </c>
      <c r="B5080" s="9">
        <f>IFERROR(__xludf.DUMMYFUNCTION("""COMPUTED_VALUE"""),1003999.0)</f>
        <v>1003999</v>
      </c>
      <c r="C5080" s="9">
        <f>IFERROR(__xludf.DUMMYFUNCTION("""COMPUTED_VALUE"""),114252.0)</f>
        <v>114252</v>
      </c>
      <c r="D5080" s="9"/>
      <c r="E5080" s="9"/>
      <c r="F5080" s="9">
        <f>IFERROR(__xludf.DUMMYFUNCTION("""COMPUTED_VALUE"""),45.25)</f>
        <v>45.25</v>
      </c>
      <c r="G5080" s="9">
        <f>IFERROR(__xludf.DUMMYFUNCTION("""COMPUTED_VALUE"""),45.25)</f>
        <v>45.25</v>
      </c>
      <c r="H5080" s="9">
        <f>IFERROR(__xludf.DUMMYFUNCTION("""COMPUTED_VALUE"""),3.0)</f>
        <v>3</v>
      </c>
      <c r="I5080" s="9"/>
      <c r="J5080" s="9"/>
      <c r="K5080" s="9"/>
      <c r="L5080" s="9"/>
      <c r="M5080" s="9"/>
      <c r="N5080" s="9"/>
      <c r="O5080" s="9"/>
      <c r="P5080" s="9"/>
      <c r="Q5080" s="9"/>
      <c r="R5080" s="9"/>
      <c r="S5080" s="9"/>
      <c r="T5080" s="9"/>
    </row>
    <row r="5081" ht="15.75" customHeight="1">
      <c r="A5081" s="11">
        <f>IFERROR(__xludf.DUMMYFUNCTION("""COMPUTED_VALUE"""),44471.0)</f>
        <v>44471</v>
      </c>
      <c r="B5081" s="9">
        <f>IFERROR(__xludf.DUMMYFUNCTION("""COMPUTED_VALUE"""),1003999.0)</f>
        <v>1003999</v>
      </c>
      <c r="C5081" s="9">
        <f>IFERROR(__xludf.DUMMYFUNCTION("""COMPUTED_VALUE"""),101964.0)</f>
        <v>101964</v>
      </c>
      <c r="D5081" s="10" t="str">
        <f>IFERROR(__xludf.DUMMYFUNCTION("""COMPUTED_VALUE"""),"Offre speciale")</f>
        <v>Offre speciale</v>
      </c>
      <c r="E5081" s="10"/>
      <c r="F5081" s="9">
        <f>IFERROR(__xludf.DUMMYFUNCTION("""COMPUTED_VALUE"""),10.1529411764705)</f>
        <v>10.15294118</v>
      </c>
      <c r="G5081" s="9">
        <f>IFERROR(__xludf.DUMMYFUNCTION("""COMPUTED_VALUE"""),8.63)</f>
        <v>8.63</v>
      </c>
      <c r="H5081" s="9">
        <f>IFERROR(__xludf.DUMMYFUNCTION("""COMPUTED_VALUE"""),3.0)</f>
        <v>3</v>
      </c>
      <c r="I5081" s="9"/>
      <c r="J5081" s="9"/>
      <c r="K5081" s="9"/>
      <c r="L5081" s="9"/>
      <c r="M5081" s="9"/>
      <c r="N5081" s="9"/>
      <c r="O5081" s="9"/>
      <c r="P5081" s="9"/>
      <c r="Q5081" s="9"/>
      <c r="R5081" s="9"/>
      <c r="S5081" s="9"/>
      <c r="T5081" s="9"/>
    </row>
    <row r="5082" ht="15.75" customHeight="1">
      <c r="A5082" s="11">
        <f>IFERROR(__xludf.DUMMYFUNCTION("""COMPUTED_VALUE"""),44471.0)</f>
        <v>44471</v>
      </c>
      <c r="B5082" s="9">
        <f>IFERROR(__xludf.DUMMYFUNCTION("""COMPUTED_VALUE"""),1003999.0)</f>
        <v>1003999</v>
      </c>
      <c r="C5082" s="9">
        <f>IFERROR(__xludf.DUMMYFUNCTION("""COMPUTED_VALUE"""),101299.0)</f>
        <v>101299</v>
      </c>
      <c r="D5082" s="10" t="str">
        <f>IFERROR(__xludf.DUMMYFUNCTION("""COMPUTED_VALUE"""),"Natur'vox Carryboo couches Sept 21")</f>
        <v>Natur'vox Carryboo couches Sept 21</v>
      </c>
      <c r="E5082" s="10"/>
      <c r="F5082" s="9">
        <f>IFERROR(__xludf.DUMMYFUNCTION("""COMPUTED_VALUE"""),98.2266666666666)</f>
        <v>98.22666667</v>
      </c>
      <c r="G5082" s="9">
        <f>IFERROR(__xludf.DUMMYFUNCTION("""COMPUTED_VALUE"""),73.67)</f>
        <v>73.67</v>
      </c>
      <c r="H5082" s="9">
        <f>IFERROR(__xludf.DUMMYFUNCTION("""COMPUTED_VALUE"""),6.0)</f>
        <v>6</v>
      </c>
      <c r="I5082" s="9"/>
      <c r="J5082" s="9"/>
      <c r="K5082" s="9"/>
      <c r="L5082" s="9"/>
      <c r="M5082" s="9"/>
      <c r="N5082" s="9"/>
      <c r="O5082" s="9"/>
      <c r="P5082" s="9"/>
      <c r="Q5082" s="9"/>
      <c r="R5082" s="9"/>
      <c r="S5082" s="9"/>
      <c r="T5082" s="9"/>
    </row>
    <row r="5083" ht="15.75" customHeight="1">
      <c r="A5083" s="11">
        <f>IFERROR(__xludf.DUMMYFUNCTION("""COMPUTED_VALUE"""),44471.0)</f>
        <v>44471</v>
      </c>
      <c r="B5083" s="9">
        <f>IFERROR(__xludf.DUMMYFUNCTION("""COMPUTED_VALUE"""),1004000.0)</f>
        <v>1004000</v>
      </c>
      <c r="C5083" s="9">
        <f>IFERROR(__xludf.DUMMYFUNCTION("""COMPUTED_VALUE"""),44469.0)</f>
        <v>44469</v>
      </c>
      <c r="D5083" s="10" t="str">
        <f>IFERROR(__xludf.DUMMYFUNCTION("""COMPUTED_VALUE"""),"Offre speciale")</f>
        <v>Offre speciale</v>
      </c>
      <c r="E5083" s="10" t="str">
        <f>IFERROR(__xludf.DUMMYFUNCTION("""COMPUTED_VALUE"""),"GREENRELAIS")</f>
        <v>GREENRELAIS</v>
      </c>
      <c r="F5083" s="10">
        <f>IFERROR(__xludf.DUMMYFUNCTION("""COMPUTED_VALUE"""),3.63529411764705)</f>
        <v>3.635294118</v>
      </c>
      <c r="G5083" s="9">
        <f>IFERROR(__xludf.DUMMYFUNCTION("""COMPUTED_VALUE"""),3.09)</f>
        <v>3.09</v>
      </c>
      <c r="H5083" s="9">
        <f>IFERROR(__xludf.DUMMYFUNCTION("""COMPUTED_VALUE"""),1.0)</f>
        <v>1</v>
      </c>
      <c r="I5083" s="9"/>
      <c r="J5083" s="9"/>
      <c r="K5083" s="9"/>
      <c r="L5083" s="9"/>
      <c r="M5083" s="9"/>
      <c r="N5083" s="9"/>
      <c r="O5083" s="9"/>
      <c r="P5083" s="9"/>
      <c r="Q5083" s="9"/>
      <c r="R5083" s="9"/>
      <c r="S5083" s="9"/>
      <c r="T5083" s="9"/>
    </row>
    <row r="5084" ht="15.75" customHeight="1">
      <c r="A5084" s="11">
        <f>IFERROR(__xludf.DUMMYFUNCTION("""COMPUTED_VALUE"""),44471.0)</f>
        <v>44471</v>
      </c>
      <c r="B5084" s="9">
        <f>IFERROR(__xludf.DUMMYFUNCTION("""COMPUTED_VALUE"""),1004000.0)</f>
        <v>1004000</v>
      </c>
      <c r="C5084" s="9">
        <f>IFERROR(__xludf.DUMMYFUNCTION("""COMPUTED_VALUE"""),110187.0)</f>
        <v>110187</v>
      </c>
      <c r="D5084" s="9"/>
      <c r="E5084" s="10" t="str">
        <f>IFERROR(__xludf.DUMMYFUNCTION("""COMPUTED_VALUE"""),"GREENRELAIS")</f>
        <v>GREENRELAIS</v>
      </c>
      <c r="F5084" s="10">
        <f>IFERROR(__xludf.DUMMYFUNCTION("""COMPUTED_VALUE"""),6.79)</f>
        <v>6.79</v>
      </c>
      <c r="G5084" s="9">
        <f>IFERROR(__xludf.DUMMYFUNCTION("""COMPUTED_VALUE"""),6.79)</f>
        <v>6.79</v>
      </c>
      <c r="H5084" s="9">
        <f>IFERROR(__xludf.DUMMYFUNCTION("""COMPUTED_VALUE"""),1.0)</f>
        <v>1</v>
      </c>
      <c r="I5084" s="9"/>
      <c r="J5084" s="9"/>
      <c r="K5084" s="9"/>
      <c r="L5084" s="9"/>
      <c r="M5084" s="9"/>
      <c r="N5084" s="9"/>
      <c r="O5084" s="9"/>
      <c r="P5084" s="9"/>
      <c r="Q5084" s="9"/>
      <c r="R5084" s="9"/>
      <c r="S5084" s="9"/>
      <c r="T5084" s="9"/>
    </row>
    <row r="5085" ht="15.75" customHeight="1">
      <c r="A5085" s="11">
        <f>IFERROR(__xludf.DUMMYFUNCTION("""COMPUTED_VALUE"""),44471.0)</f>
        <v>44471</v>
      </c>
      <c r="B5085" s="9">
        <f>IFERROR(__xludf.DUMMYFUNCTION("""COMPUTED_VALUE"""),1004000.0)</f>
        <v>1004000</v>
      </c>
      <c r="C5085" s="9">
        <f>IFERROR(__xludf.DUMMYFUNCTION("""COMPUTED_VALUE"""),122703.0)</f>
        <v>122703</v>
      </c>
      <c r="D5085" s="9"/>
      <c r="E5085" s="10" t="str">
        <f>IFERROR(__xludf.DUMMYFUNCTION("""COMPUTED_VALUE"""),"GREENRELAIS")</f>
        <v>GREENRELAIS</v>
      </c>
      <c r="F5085" s="10">
        <f>IFERROR(__xludf.DUMMYFUNCTION("""COMPUTED_VALUE"""),19.2)</f>
        <v>19.2</v>
      </c>
      <c r="G5085" s="9">
        <f>IFERROR(__xludf.DUMMYFUNCTION("""COMPUTED_VALUE"""),19.2)</f>
        <v>19.2</v>
      </c>
      <c r="H5085" s="9">
        <f>IFERROR(__xludf.DUMMYFUNCTION("""COMPUTED_VALUE"""),1.0)</f>
        <v>1</v>
      </c>
      <c r="I5085" s="9"/>
      <c r="J5085" s="9"/>
      <c r="K5085" s="9"/>
      <c r="L5085" s="9"/>
      <c r="M5085" s="9"/>
      <c r="N5085" s="9"/>
      <c r="O5085" s="9"/>
      <c r="P5085" s="9"/>
      <c r="Q5085" s="9"/>
      <c r="R5085" s="9"/>
      <c r="S5085" s="9"/>
      <c r="T5085" s="9"/>
    </row>
    <row r="5086" ht="15.75" customHeight="1">
      <c r="A5086" s="11">
        <f>IFERROR(__xludf.DUMMYFUNCTION("""COMPUTED_VALUE"""),44471.0)</f>
        <v>44471</v>
      </c>
      <c r="B5086" s="9">
        <f>IFERROR(__xludf.DUMMYFUNCTION("""COMPUTED_VALUE"""),1004000.0)</f>
        <v>1004000</v>
      </c>
      <c r="C5086" s="9">
        <f>IFERROR(__xludf.DUMMYFUNCTION("""COMPUTED_VALUE"""),75825.0)</f>
        <v>75825</v>
      </c>
      <c r="D5086" s="9"/>
      <c r="E5086" s="10" t="str">
        <f>IFERROR(__xludf.DUMMYFUNCTION("""COMPUTED_VALUE"""),"GREENRELAIS")</f>
        <v>GREENRELAIS</v>
      </c>
      <c r="F5086" s="10">
        <f>IFERROR(__xludf.DUMMYFUNCTION("""COMPUTED_VALUE"""),8.12)</f>
        <v>8.12</v>
      </c>
      <c r="G5086" s="9">
        <f>IFERROR(__xludf.DUMMYFUNCTION("""COMPUTED_VALUE"""),8.12)</f>
        <v>8.12</v>
      </c>
      <c r="H5086" s="9">
        <f>IFERROR(__xludf.DUMMYFUNCTION("""COMPUTED_VALUE"""),1.0)</f>
        <v>1</v>
      </c>
      <c r="I5086" s="9"/>
      <c r="J5086" s="9"/>
      <c r="K5086" s="9"/>
      <c r="L5086" s="9"/>
      <c r="M5086" s="9"/>
      <c r="N5086" s="9"/>
      <c r="O5086" s="9"/>
      <c r="P5086" s="9"/>
      <c r="Q5086" s="9"/>
      <c r="R5086" s="9"/>
      <c r="S5086" s="9"/>
      <c r="T5086" s="9"/>
    </row>
    <row r="5087" ht="15.75" customHeight="1">
      <c r="A5087" s="11">
        <f>IFERROR(__xludf.DUMMYFUNCTION("""COMPUTED_VALUE"""),44471.0)</f>
        <v>44471</v>
      </c>
      <c r="B5087" s="9">
        <f>IFERROR(__xludf.DUMMYFUNCTION("""COMPUTED_VALUE"""),1004000.0)</f>
        <v>1004000</v>
      </c>
      <c r="C5087" s="9">
        <f>IFERROR(__xludf.DUMMYFUNCTION("""COMPUTED_VALUE"""),7256.0)</f>
        <v>7256</v>
      </c>
      <c r="D5087" s="9"/>
      <c r="E5087" s="10" t="str">
        <f>IFERROR(__xludf.DUMMYFUNCTION("""COMPUTED_VALUE"""),"GREENRELAIS")</f>
        <v>GREENRELAIS</v>
      </c>
      <c r="F5087" s="10">
        <f>IFERROR(__xludf.DUMMYFUNCTION("""COMPUTED_VALUE"""),1.47)</f>
        <v>1.47</v>
      </c>
      <c r="G5087" s="9">
        <f>IFERROR(__xludf.DUMMYFUNCTION("""COMPUTED_VALUE"""),1.47)</f>
        <v>1.47</v>
      </c>
      <c r="H5087" s="9">
        <f>IFERROR(__xludf.DUMMYFUNCTION("""COMPUTED_VALUE"""),1.0)</f>
        <v>1</v>
      </c>
      <c r="I5087" s="9"/>
      <c r="J5087" s="9"/>
      <c r="K5087" s="9"/>
      <c r="L5087" s="9"/>
      <c r="M5087" s="9"/>
      <c r="N5087" s="9"/>
      <c r="O5087" s="9"/>
      <c r="P5087" s="9"/>
      <c r="Q5087" s="9"/>
      <c r="R5087" s="9"/>
      <c r="S5087" s="9"/>
      <c r="T5087" s="9"/>
    </row>
    <row r="5088" ht="15.75" customHeight="1">
      <c r="A5088" s="11">
        <f>IFERROR(__xludf.DUMMYFUNCTION("""COMPUTED_VALUE"""),44471.0)</f>
        <v>44471</v>
      </c>
      <c r="B5088" s="9">
        <f>IFERROR(__xludf.DUMMYFUNCTION("""COMPUTED_VALUE"""),1004000.0)</f>
        <v>1004000</v>
      </c>
      <c r="C5088" s="9">
        <f>IFERROR(__xludf.DUMMYFUNCTION("""COMPUTED_VALUE"""),70595.0)</f>
        <v>70595</v>
      </c>
      <c r="D5088" s="9"/>
      <c r="E5088" s="10" t="str">
        <f>IFERROR(__xludf.DUMMYFUNCTION("""COMPUTED_VALUE"""),"GREENRELAIS")</f>
        <v>GREENRELAIS</v>
      </c>
      <c r="F5088" s="10">
        <f>IFERROR(__xludf.DUMMYFUNCTION("""COMPUTED_VALUE"""),7.2)</f>
        <v>7.2</v>
      </c>
      <c r="G5088" s="9">
        <f>IFERROR(__xludf.DUMMYFUNCTION("""COMPUTED_VALUE"""),7.2)</f>
        <v>7.2</v>
      </c>
      <c r="H5088" s="9">
        <f>IFERROR(__xludf.DUMMYFUNCTION("""COMPUTED_VALUE"""),1.0)</f>
        <v>1</v>
      </c>
      <c r="I5088" s="9"/>
      <c r="J5088" s="9"/>
      <c r="K5088" s="9"/>
      <c r="L5088" s="9"/>
      <c r="M5088" s="9"/>
      <c r="N5088" s="9"/>
      <c r="O5088" s="9"/>
      <c r="P5088" s="9"/>
      <c r="Q5088" s="9"/>
      <c r="R5088" s="9"/>
      <c r="S5088" s="9"/>
      <c r="T5088" s="9"/>
    </row>
    <row r="5089" ht="15.75" customHeight="1">
      <c r="A5089" s="11">
        <f>IFERROR(__xludf.DUMMYFUNCTION("""COMPUTED_VALUE"""),44471.0)</f>
        <v>44471</v>
      </c>
      <c r="B5089" s="9">
        <f>IFERROR(__xludf.DUMMYFUNCTION("""COMPUTED_VALUE"""),1004000.0)</f>
        <v>1004000</v>
      </c>
      <c r="C5089" s="9">
        <f>IFERROR(__xludf.DUMMYFUNCTION("""COMPUTED_VALUE"""),80633.0)</f>
        <v>80633</v>
      </c>
      <c r="D5089" s="9"/>
      <c r="E5089" s="10" t="str">
        <f>IFERROR(__xludf.DUMMYFUNCTION("""COMPUTED_VALUE"""),"GREENRELAIS")</f>
        <v>GREENRELAIS</v>
      </c>
      <c r="F5089" s="10">
        <f>IFERROR(__xludf.DUMMYFUNCTION("""COMPUTED_VALUE"""),3.07)</f>
        <v>3.07</v>
      </c>
      <c r="G5089" s="9">
        <f>IFERROR(__xludf.DUMMYFUNCTION("""COMPUTED_VALUE"""),3.07)</f>
        <v>3.07</v>
      </c>
      <c r="H5089" s="9">
        <f>IFERROR(__xludf.DUMMYFUNCTION("""COMPUTED_VALUE"""),2.0)</f>
        <v>2</v>
      </c>
      <c r="I5089" s="9"/>
      <c r="J5089" s="9"/>
      <c r="K5089" s="9"/>
      <c r="L5089" s="9"/>
      <c r="M5089" s="9"/>
      <c r="N5089" s="9"/>
      <c r="O5089" s="9"/>
      <c r="P5089" s="9"/>
      <c r="Q5089" s="9"/>
      <c r="R5089" s="9"/>
      <c r="S5089" s="9"/>
      <c r="T5089" s="9"/>
    </row>
    <row r="5090" ht="15.75" customHeight="1">
      <c r="A5090" s="11">
        <f>IFERROR(__xludf.DUMMYFUNCTION("""COMPUTED_VALUE"""),44471.0)</f>
        <v>44471</v>
      </c>
      <c r="B5090" s="9">
        <f>IFERROR(__xludf.DUMMYFUNCTION("""COMPUTED_VALUE"""),1004000.0)</f>
        <v>1004000</v>
      </c>
      <c r="C5090" s="9">
        <f>IFERROR(__xludf.DUMMYFUNCTION("""COMPUTED_VALUE"""),104384.0)</f>
        <v>104384</v>
      </c>
      <c r="D5090" s="10" t="str">
        <f>IFERROR(__xludf.DUMMYFUNCTION("""COMPUTED_VALUE"""),"Offre Speciale")</f>
        <v>Offre Speciale</v>
      </c>
      <c r="E5090" s="10" t="str">
        <f>IFERROR(__xludf.DUMMYFUNCTION("""COMPUTED_VALUE"""),"GREENRELAIS")</f>
        <v>GREENRELAIS</v>
      </c>
      <c r="F5090" s="10">
        <f>IFERROR(__xludf.DUMMYFUNCTION("""COMPUTED_VALUE"""),20.6829268292682)</f>
        <v>20.68292683</v>
      </c>
      <c r="G5090" s="9">
        <f>IFERROR(__xludf.DUMMYFUNCTION("""COMPUTED_VALUE"""),16.96)</f>
        <v>16.96</v>
      </c>
      <c r="H5090" s="9">
        <f>IFERROR(__xludf.DUMMYFUNCTION("""COMPUTED_VALUE"""),2.0)</f>
        <v>2</v>
      </c>
      <c r="I5090" s="9"/>
      <c r="J5090" s="9"/>
      <c r="K5090" s="9"/>
      <c r="L5090" s="9"/>
      <c r="M5090" s="9"/>
      <c r="N5090" s="9"/>
      <c r="O5090" s="9"/>
      <c r="P5090" s="9"/>
      <c r="Q5090" s="9"/>
      <c r="R5090" s="9"/>
      <c r="S5090" s="9"/>
      <c r="T5090" s="9"/>
    </row>
    <row r="5091" ht="15.75" customHeight="1">
      <c r="A5091" s="11">
        <f>IFERROR(__xludf.DUMMYFUNCTION("""COMPUTED_VALUE"""),44471.0)</f>
        <v>44471</v>
      </c>
      <c r="B5091" s="9">
        <f>IFERROR(__xludf.DUMMYFUNCTION("""COMPUTED_VALUE"""),1004000.0)</f>
        <v>1004000</v>
      </c>
      <c r="C5091" s="9">
        <f>IFERROR(__xludf.DUMMYFUNCTION("""COMPUTED_VALUE"""),7263.0)</f>
        <v>7263</v>
      </c>
      <c r="D5091" s="9"/>
      <c r="E5091" s="10" t="str">
        <f>IFERROR(__xludf.DUMMYFUNCTION("""COMPUTED_VALUE"""),"GREENRELAIS")</f>
        <v>GREENRELAIS</v>
      </c>
      <c r="F5091" s="10">
        <f>IFERROR(__xludf.DUMMYFUNCTION("""COMPUTED_VALUE"""),4.44)</f>
        <v>4.44</v>
      </c>
      <c r="G5091" s="9">
        <f>IFERROR(__xludf.DUMMYFUNCTION("""COMPUTED_VALUE"""),4.44)</f>
        <v>4.44</v>
      </c>
      <c r="H5091" s="9">
        <f>IFERROR(__xludf.DUMMYFUNCTION("""COMPUTED_VALUE"""),2.0)</f>
        <v>2</v>
      </c>
      <c r="I5091" s="9"/>
      <c r="J5091" s="9"/>
      <c r="K5091" s="9"/>
      <c r="L5091" s="9"/>
      <c r="M5091" s="9"/>
      <c r="N5091" s="9"/>
      <c r="O5091" s="9"/>
      <c r="P5091" s="9"/>
      <c r="Q5091" s="9"/>
      <c r="R5091" s="9"/>
      <c r="S5091" s="9"/>
      <c r="T5091" s="9"/>
    </row>
    <row r="5092" ht="15.75" customHeight="1">
      <c r="A5092" s="11">
        <f>IFERROR(__xludf.DUMMYFUNCTION("""COMPUTED_VALUE"""),44471.0)</f>
        <v>44471</v>
      </c>
      <c r="B5092" s="9">
        <f>IFERROR(__xludf.DUMMYFUNCTION("""COMPUTED_VALUE"""),1004000.0)</f>
        <v>1004000</v>
      </c>
      <c r="C5092" s="9">
        <f>IFERROR(__xludf.DUMMYFUNCTION("""COMPUTED_VALUE"""),7263.0)</f>
        <v>7263</v>
      </c>
      <c r="D5092" s="9"/>
      <c r="E5092" s="10" t="str">
        <f>IFERROR(__xludf.DUMMYFUNCTION("""COMPUTED_VALUE"""),"GREENRELAIS")</f>
        <v>GREENRELAIS</v>
      </c>
      <c r="F5092" s="10">
        <f>IFERROR(__xludf.DUMMYFUNCTION("""COMPUTED_VALUE"""),6.6)</f>
        <v>6.6</v>
      </c>
      <c r="G5092" s="9">
        <f>IFERROR(__xludf.DUMMYFUNCTION("""COMPUTED_VALUE"""),6.6)</f>
        <v>6.6</v>
      </c>
      <c r="H5092" s="9">
        <f>IFERROR(__xludf.DUMMYFUNCTION("""COMPUTED_VALUE"""),3.0)</f>
        <v>3</v>
      </c>
      <c r="I5092" s="9"/>
      <c r="J5092" s="9"/>
      <c r="K5092" s="9"/>
      <c r="L5092" s="9"/>
      <c r="M5092" s="9"/>
      <c r="N5092" s="9"/>
      <c r="O5092" s="9"/>
      <c r="P5092" s="9"/>
      <c r="Q5092" s="9"/>
      <c r="R5092" s="9"/>
      <c r="S5092" s="9"/>
      <c r="T5092" s="9"/>
    </row>
    <row r="5093" ht="15.75" customHeight="1">
      <c r="A5093" s="11">
        <f>IFERROR(__xludf.DUMMYFUNCTION("""COMPUTED_VALUE"""),44471.0)</f>
        <v>44471</v>
      </c>
      <c r="B5093" s="9">
        <f>IFERROR(__xludf.DUMMYFUNCTION("""COMPUTED_VALUE"""),1004001.0)</f>
        <v>1004001</v>
      </c>
      <c r="C5093" s="9">
        <f>IFERROR(__xludf.DUMMYFUNCTION("""COMPUTED_VALUE"""),112249.0)</f>
        <v>112249</v>
      </c>
      <c r="D5093" s="9"/>
      <c r="E5093" s="9"/>
      <c r="F5093" s="9">
        <f>IFERROR(__xludf.DUMMYFUNCTION("""COMPUTED_VALUE"""),37.06)</f>
        <v>37.06</v>
      </c>
      <c r="G5093" s="9">
        <f>IFERROR(__xludf.DUMMYFUNCTION("""COMPUTED_VALUE"""),37.06)</f>
        <v>37.06</v>
      </c>
      <c r="H5093" s="9">
        <f>IFERROR(__xludf.DUMMYFUNCTION("""COMPUTED_VALUE"""),10.0)</f>
        <v>10</v>
      </c>
      <c r="I5093" s="9"/>
      <c r="J5093" s="9"/>
      <c r="K5093" s="9"/>
      <c r="L5093" s="9"/>
      <c r="M5093" s="9"/>
      <c r="N5093" s="9"/>
      <c r="O5093" s="9"/>
      <c r="P5093" s="9"/>
      <c r="Q5093" s="9"/>
      <c r="R5093" s="9"/>
      <c r="S5093" s="9"/>
      <c r="T5093" s="9"/>
    </row>
    <row r="5094" ht="15.75" customHeight="1">
      <c r="A5094" s="11">
        <f>IFERROR(__xludf.DUMMYFUNCTION("""COMPUTED_VALUE"""),44471.0)</f>
        <v>44471</v>
      </c>
      <c r="B5094" s="9">
        <f>IFERROR(__xludf.DUMMYFUNCTION("""COMPUTED_VALUE"""),1004002.0)</f>
        <v>1004002</v>
      </c>
      <c r="C5094" s="9">
        <f>IFERROR(__xludf.DUMMYFUNCTION("""COMPUTED_VALUE"""),158482.0)</f>
        <v>158482</v>
      </c>
      <c r="D5094" s="9"/>
      <c r="E5094" s="10" t="str">
        <f>IFERROR(__xludf.DUMMYFUNCTION("""COMPUTED_VALUE"""),"PREMIERE")</f>
        <v>PREMIERE</v>
      </c>
      <c r="F5094" s="10">
        <f>IFERROR(__xludf.DUMMYFUNCTION("""COMPUTED_VALUE"""),3.02)</f>
        <v>3.02</v>
      </c>
      <c r="G5094" s="9">
        <f>IFERROR(__xludf.DUMMYFUNCTION("""COMPUTED_VALUE"""),3.02)</f>
        <v>3.02</v>
      </c>
      <c r="H5094" s="9">
        <f>IFERROR(__xludf.DUMMYFUNCTION("""COMPUTED_VALUE"""),1.0)</f>
        <v>1</v>
      </c>
      <c r="I5094" s="9"/>
      <c r="J5094" s="9"/>
      <c r="K5094" s="9"/>
      <c r="L5094" s="9"/>
      <c r="M5094" s="9"/>
      <c r="N5094" s="9"/>
      <c r="O5094" s="9"/>
      <c r="P5094" s="9"/>
      <c r="Q5094" s="9"/>
      <c r="R5094" s="9"/>
      <c r="S5094" s="9"/>
      <c r="T5094" s="9"/>
    </row>
    <row r="5095" ht="15.75" customHeight="1">
      <c r="A5095" s="11">
        <f>IFERROR(__xludf.DUMMYFUNCTION("""COMPUTED_VALUE"""),44471.0)</f>
        <v>44471</v>
      </c>
      <c r="B5095" s="9">
        <f>IFERROR(__xludf.DUMMYFUNCTION("""COMPUTED_VALUE"""),1004002.0)</f>
        <v>1004002</v>
      </c>
      <c r="C5095" s="9">
        <f>IFERROR(__xludf.DUMMYFUNCTION("""COMPUTED_VALUE"""),182193.0)</f>
        <v>182193</v>
      </c>
      <c r="D5095" s="9"/>
      <c r="E5095" s="10" t="str">
        <f>IFERROR(__xludf.DUMMYFUNCTION("""COMPUTED_VALUE"""),"PREMIERE")</f>
        <v>PREMIERE</v>
      </c>
      <c r="F5095" s="10">
        <f>IFERROR(__xludf.DUMMYFUNCTION("""COMPUTED_VALUE"""),5.54)</f>
        <v>5.54</v>
      </c>
      <c r="G5095" s="9">
        <f>IFERROR(__xludf.DUMMYFUNCTION("""COMPUTED_VALUE"""),5.54)</f>
        <v>5.54</v>
      </c>
      <c r="H5095" s="9">
        <f>IFERROR(__xludf.DUMMYFUNCTION("""COMPUTED_VALUE"""),1.0)</f>
        <v>1</v>
      </c>
      <c r="I5095" s="9"/>
      <c r="J5095" s="9"/>
      <c r="K5095" s="9"/>
      <c r="L5095" s="9"/>
      <c r="M5095" s="9"/>
      <c r="N5095" s="9"/>
      <c r="O5095" s="9"/>
      <c r="P5095" s="9"/>
      <c r="Q5095" s="9"/>
      <c r="R5095" s="9"/>
      <c r="S5095" s="9"/>
      <c r="T5095" s="9"/>
    </row>
    <row r="5096" ht="15.75" customHeight="1">
      <c r="A5096" s="11">
        <f>IFERROR(__xludf.DUMMYFUNCTION("""COMPUTED_VALUE"""),44471.0)</f>
        <v>44471</v>
      </c>
      <c r="B5096" s="9">
        <f>IFERROR(__xludf.DUMMYFUNCTION("""COMPUTED_VALUE"""),1004002.0)</f>
        <v>1004002</v>
      </c>
      <c r="C5096" s="9">
        <f>IFERROR(__xludf.DUMMYFUNCTION("""COMPUTED_VALUE"""),120261.0)</f>
        <v>120261</v>
      </c>
      <c r="D5096" s="9"/>
      <c r="E5096" s="10" t="str">
        <f>IFERROR(__xludf.DUMMYFUNCTION("""COMPUTED_VALUE"""),"PREMIERE")</f>
        <v>PREMIERE</v>
      </c>
      <c r="F5096" s="10">
        <f>IFERROR(__xludf.DUMMYFUNCTION("""COMPUTED_VALUE"""),2.54)</f>
        <v>2.54</v>
      </c>
      <c r="G5096" s="9">
        <f>IFERROR(__xludf.DUMMYFUNCTION("""COMPUTED_VALUE"""),2.54)</f>
        <v>2.54</v>
      </c>
      <c r="H5096" s="9">
        <f>IFERROR(__xludf.DUMMYFUNCTION("""COMPUTED_VALUE"""),1.0)</f>
        <v>1</v>
      </c>
      <c r="I5096" s="9"/>
      <c r="J5096" s="9"/>
      <c r="K5096" s="9"/>
      <c r="L5096" s="9"/>
      <c r="M5096" s="9"/>
      <c r="N5096" s="9"/>
      <c r="O5096" s="9"/>
      <c r="P5096" s="9"/>
      <c r="Q5096" s="9"/>
      <c r="R5096" s="9"/>
      <c r="S5096" s="9"/>
      <c r="T5096" s="9"/>
    </row>
    <row r="5097" ht="15.75" customHeight="1">
      <c r="A5097" s="11">
        <f>IFERROR(__xludf.DUMMYFUNCTION("""COMPUTED_VALUE"""),44471.0)</f>
        <v>44471</v>
      </c>
      <c r="B5097" s="9">
        <f>IFERROR(__xludf.DUMMYFUNCTION("""COMPUTED_VALUE"""),1004002.0)</f>
        <v>1004002</v>
      </c>
      <c r="C5097" s="9">
        <f>IFERROR(__xludf.DUMMYFUNCTION("""COMPUTED_VALUE"""),79109.0)</f>
        <v>79109</v>
      </c>
      <c r="D5097" s="9"/>
      <c r="E5097" s="10" t="str">
        <f>IFERROR(__xludf.DUMMYFUNCTION("""COMPUTED_VALUE"""),"PREMIERE")</f>
        <v>PREMIERE</v>
      </c>
      <c r="F5097" s="10">
        <f>IFERROR(__xludf.DUMMYFUNCTION("""COMPUTED_VALUE"""),4.33)</f>
        <v>4.33</v>
      </c>
      <c r="G5097" s="9">
        <f>IFERROR(__xludf.DUMMYFUNCTION("""COMPUTED_VALUE"""),4.33)</f>
        <v>4.33</v>
      </c>
      <c r="H5097" s="9">
        <f>IFERROR(__xludf.DUMMYFUNCTION("""COMPUTED_VALUE"""),1.0)</f>
        <v>1</v>
      </c>
      <c r="I5097" s="9"/>
      <c r="J5097" s="9"/>
      <c r="K5097" s="9"/>
      <c r="L5097" s="9"/>
      <c r="M5097" s="9"/>
      <c r="N5097" s="9"/>
      <c r="O5097" s="9"/>
      <c r="P5097" s="9"/>
      <c r="Q5097" s="9"/>
      <c r="R5097" s="9"/>
      <c r="S5097" s="9"/>
      <c r="T5097" s="9"/>
    </row>
    <row r="5098" ht="15.75" customHeight="1">
      <c r="A5098" s="11">
        <f>IFERROR(__xludf.DUMMYFUNCTION("""COMPUTED_VALUE"""),44471.0)</f>
        <v>44471</v>
      </c>
      <c r="B5098" s="9">
        <f>IFERROR(__xludf.DUMMYFUNCTION("""COMPUTED_VALUE"""),1004002.0)</f>
        <v>1004002</v>
      </c>
      <c r="C5098" s="9">
        <f>IFERROR(__xludf.DUMMYFUNCTION("""COMPUTED_VALUE"""),77197.0)</f>
        <v>77197</v>
      </c>
      <c r="D5098" s="9"/>
      <c r="E5098" s="10" t="str">
        <f>IFERROR(__xludf.DUMMYFUNCTION("""COMPUTED_VALUE"""),"PREMIERE")</f>
        <v>PREMIERE</v>
      </c>
      <c r="F5098" s="10">
        <f>IFERROR(__xludf.DUMMYFUNCTION("""COMPUTED_VALUE"""),3.84)</f>
        <v>3.84</v>
      </c>
      <c r="G5098" s="9">
        <f>IFERROR(__xludf.DUMMYFUNCTION("""COMPUTED_VALUE"""),3.84)</f>
        <v>3.84</v>
      </c>
      <c r="H5098" s="9">
        <f>IFERROR(__xludf.DUMMYFUNCTION("""COMPUTED_VALUE"""),1.0)</f>
        <v>1</v>
      </c>
      <c r="I5098" s="9"/>
      <c r="J5098" s="9"/>
      <c r="K5098" s="9"/>
      <c r="L5098" s="9"/>
      <c r="M5098" s="9"/>
      <c r="N5098" s="9"/>
      <c r="O5098" s="9"/>
      <c r="P5098" s="9"/>
      <c r="Q5098" s="9"/>
      <c r="R5098" s="9"/>
      <c r="S5098" s="9"/>
      <c r="T5098" s="9"/>
    </row>
    <row r="5099" ht="15.75" customHeight="1">
      <c r="A5099" s="11">
        <f>IFERROR(__xludf.DUMMYFUNCTION("""COMPUTED_VALUE"""),44471.0)</f>
        <v>44471</v>
      </c>
      <c r="B5099" s="9">
        <f>IFERROR(__xludf.DUMMYFUNCTION("""COMPUTED_VALUE"""),1004002.0)</f>
        <v>1004002</v>
      </c>
      <c r="C5099" s="9">
        <f>IFERROR(__xludf.DUMMYFUNCTION("""COMPUTED_VALUE"""),80809.0)</f>
        <v>80809</v>
      </c>
      <c r="D5099" s="9"/>
      <c r="E5099" s="10" t="str">
        <f>IFERROR(__xludf.DUMMYFUNCTION("""COMPUTED_VALUE"""),"PREMIERE")</f>
        <v>PREMIERE</v>
      </c>
      <c r="F5099" s="10">
        <f>IFERROR(__xludf.DUMMYFUNCTION("""COMPUTED_VALUE"""),1.55)</f>
        <v>1.55</v>
      </c>
      <c r="G5099" s="9">
        <f>IFERROR(__xludf.DUMMYFUNCTION("""COMPUTED_VALUE"""),1.55)</f>
        <v>1.55</v>
      </c>
      <c r="H5099" s="9">
        <f>IFERROR(__xludf.DUMMYFUNCTION("""COMPUTED_VALUE"""),1.0)</f>
        <v>1</v>
      </c>
      <c r="I5099" s="9"/>
      <c r="J5099" s="9"/>
      <c r="K5099" s="9"/>
      <c r="L5099" s="9"/>
      <c r="M5099" s="9"/>
      <c r="N5099" s="9"/>
      <c r="O5099" s="9"/>
      <c r="P5099" s="9"/>
      <c r="Q5099" s="9"/>
      <c r="R5099" s="9"/>
      <c r="S5099" s="9"/>
      <c r="T5099" s="9"/>
    </row>
    <row r="5100" ht="15.75" customHeight="1">
      <c r="A5100" s="11">
        <f>IFERROR(__xludf.DUMMYFUNCTION("""COMPUTED_VALUE"""),44471.0)</f>
        <v>44471</v>
      </c>
      <c r="B5100" s="9">
        <f>IFERROR(__xludf.DUMMYFUNCTION("""COMPUTED_VALUE"""),1004002.0)</f>
        <v>1004002</v>
      </c>
      <c r="C5100" s="9">
        <f>IFERROR(__xludf.DUMMYFUNCTION("""COMPUTED_VALUE"""),113645.0)</f>
        <v>113645</v>
      </c>
      <c r="D5100" s="9"/>
      <c r="E5100" s="10" t="str">
        <f>IFERROR(__xludf.DUMMYFUNCTION("""COMPUTED_VALUE"""),"PREMIERE")</f>
        <v>PREMIERE</v>
      </c>
      <c r="F5100" s="10">
        <f>IFERROR(__xludf.DUMMYFUNCTION("""COMPUTED_VALUE"""),16.42)</f>
        <v>16.42</v>
      </c>
      <c r="G5100" s="9">
        <f>IFERROR(__xludf.DUMMYFUNCTION("""COMPUTED_VALUE"""),16.42)</f>
        <v>16.42</v>
      </c>
      <c r="H5100" s="9">
        <f>IFERROR(__xludf.DUMMYFUNCTION("""COMPUTED_VALUE"""),1.0)</f>
        <v>1</v>
      </c>
      <c r="I5100" s="9"/>
      <c r="J5100" s="9"/>
      <c r="K5100" s="9"/>
      <c r="L5100" s="9"/>
      <c r="M5100" s="9"/>
      <c r="N5100" s="9"/>
      <c r="O5100" s="9"/>
      <c r="P5100" s="9"/>
      <c r="Q5100" s="9"/>
      <c r="R5100" s="9"/>
      <c r="S5100" s="9"/>
      <c r="T5100" s="9"/>
    </row>
    <row r="5101" ht="15.75" customHeight="1">
      <c r="A5101" s="11">
        <f>IFERROR(__xludf.DUMMYFUNCTION("""COMPUTED_VALUE"""),44471.0)</f>
        <v>44471</v>
      </c>
      <c r="B5101" s="9">
        <f>IFERROR(__xludf.DUMMYFUNCTION("""COMPUTED_VALUE"""),1004003.0)</f>
        <v>1004003</v>
      </c>
      <c r="C5101" s="9">
        <f>IFERROR(__xludf.DUMMYFUNCTION("""COMPUTED_VALUE"""),118158.0)</f>
        <v>118158</v>
      </c>
      <c r="D5101" s="9"/>
      <c r="E5101" s="9"/>
      <c r="F5101" s="9">
        <f>IFERROR(__xludf.DUMMYFUNCTION("""COMPUTED_VALUE"""),1.34)</f>
        <v>1.34</v>
      </c>
      <c r="G5101" s="9">
        <f>IFERROR(__xludf.DUMMYFUNCTION("""COMPUTED_VALUE"""),1.34)</f>
        <v>1.34</v>
      </c>
      <c r="H5101" s="9">
        <f>IFERROR(__xludf.DUMMYFUNCTION("""COMPUTED_VALUE"""),1.0)</f>
        <v>1</v>
      </c>
      <c r="I5101" s="9"/>
      <c r="J5101" s="9"/>
      <c r="K5101" s="9"/>
      <c r="L5101" s="9"/>
      <c r="M5101" s="9"/>
      <c r="N5101" s="9"/>
      <c r="O5101" s="9"/>
      <c r="P5101" s="9"/>
      <c r="Q5101" s="9"/>
      <c r="R5101" s="9"/>
      <c r="S5101" s="9"/>
      <c r="T5101" s="9"/>
    </row>
    <row r="5102" ht="15.75" customHeight="1">
      <c r="A5102" s="11">
        <f>IFERROR(__xludf.DUMMYFUNCTION("""COMPUTED_VALUE"""),44471.0)</f>
        <v>44471</v>
      </c>
      <c r="B5102" s="9">
        <f>IFERROR(__xludf.DUMMYFUNCTION("""COMPUTED_VALUE"""),1004003.0)</f>
        <v>1004003</v>
      </c>
      <c r="C5102" s="9">
        <f>IFERROR(__xludf.DUMMYFUNCTION("""COMPUTED_VALUE"""),121872.0)</f>
        <v>121872</v>
      </c>
      <c r="D5102" s="9"/>
      <c r="E5102" s="9"/>
      <c r="F5102" s="9">
        <f>IFERROR(__xludf.DUMMYFUNCTION("""COMPUTED_VALUE"""),16.0)</f>
        <v>16</v>
      </c>
      <c r="G5102" s="9">
        <f>IFERROR(__xludf.DUMMYFUNCTION("""COMPUTED_VALUE"""),16.0)</f>
        <v>16</v>
      </c>
      <c r="H5102" s="9">
        <f>IFERROR(__xludf.DUMMYFUNCTION("""COMPUTED_VALUE"""),2.0)</f>
        <v>2</v>
      </c>
      <c r="I5102" s="9"/>
      <c r="J5102" s="9"/>
      <c r="K5102" s="9"/>
      <c r="L5102" s="9"/>
      <c r="M5102" s="9"/>
      <c r="N5102" s="9"/>
      <c r="O5102" s="9"/>
      <c r="P5102" s="9"/>
      <c r="Q5102" s="9"/>
      <c r="R5102" s="9"/>
      <c r="S5102" s="9"/>
      <c r="T5102" s="9"/>
    </row>
    <row r="5103" ht="15.75" customHeight="1">
      <c r="A5103" s="11">
        <f>IFERROR(__xludf.DUMMYFUNCTION("""COMPUTED_VALUE"""),44471.0)</f>
        <v>44471</v>
      </c>
      <c r="B5103" s="9">
        <f>IFERROR(__xludf.DUMMYFUNCTION("""COMPUTED_VALUE"""),1004004.0)</f>
        <v>1004004</v>
      </c>
      <c r="C5103" s="9">
        <f>IFERROR(__xludf.DUMMYFUNCTION("""COMPUTED_VALUE"""),79762.0)</f>
        <v>79762</v>
      </c>
      <c r="D5103" s="9"/>
      <c r="E5103" s="10" t="str">
        <f>IFERROR(__xludf.DUMMYFUNCTION("""COMPUTED_VALUE"""),"PREMIERE")</f>
        <v>PREMIERE</v>
      </c>
      <c r="F5103" s="10">
        <f>IFERROR(__xludf.DUMMYFUNCTION("""COMPUTED_VALUE"""),9.7)</f>
        <v>9.7</v>
      </c>
      <c r="G5103" s="9">
        <f>IFERROR(__xludf.DUMMYFUNCTION("""COMPUTED_VALUE"""),9.7)</f>
        <v>9.7</v>
      </c>
      <c r="H5103" s="9">
        <f>IFERROR(__xludf.DUMMYFUNCTION("""COMPUTED_VALUE"""),1.0)</f>
        <v>1</v>
      </c>
      <c r="I5103" s="9"/>
      <c r="J5103" s="9"/>
      <c r="K5103" s="9"/>
      <c r="L5103" s="9"/>
      <c r="M5103" s="9"/>
      <c r="N5103" s="9"/>
      <c r="O5103" s="9"/>
      <c r="P5103" s="9"/>
      <c r="Q5103" s="9"/>
      <c r="R5103" s="9"/>
      <c r="S5103" s="9"/>
      <c r="T5103" s="9"/>
    </row>
    <row r="5104" ht="15.75" customHeight="1">
      <c r="A5104" s="11">
        <f>IFERROR(__xludf.DUMMYFUNCTION("""COMPUTED_VALUE"""),44471.0)</f>
        <v>44471</v>
      </c>
      <c r="B5104" s="9">
        <f>IFERROR(__xludf.DUMMYFUNCTION("""COMPUTED_VALUE"""),1004004.0)</f>
        <v>1004004</v>
      </c>
      <c r="C5104" s="9">
        <f>IFERROR(__xludf.DUMMYFUNCTION("""COMPUTED_VALUE"""),10535.0)</f>
        <v>10535</v>
      </c>
      <c r="D5104" s="10" t="str">
        <f>IFERROR(__xludf.DUMMYFUNCTION("""COMPUTED_VALUE"""),"Vive le bio")</f>
        <v>Vive le bio</v>
      </c>
      <c r="E5104" s="10" t="str">
        <f>IFERROR(__xludf.DUMMYFUNCTION("""COMPUTED_VALUE"""),"PREMIERE")</f>
        <v>PREMIERE</v>
      </c>
      <c r="F5104" s="10">
        <f>IFERROR(__xludf.DUMMYFUNCTION("""COMPUTED_VALUE"""),4.27777777777777)</f>
        <v>4.277777778</v>
      </c>
      <c r="G5104" s="9">
        <f>IFERROR(__xludf.DUMMYFUNCTION("""COMPUTED_VALUE"""),3.85)</f>
        <v>3.85</v>
      </c>
      <c r="H5104" s="9">
        <f>IFERROR(__xludf.DUMMYFUNCTION("""COMPUTED_VALUE"""),1.0)</f>
        <v>1</v>
      </c>
      <c r="I5104" s="9"/>
      <c r="J5104" s="9"/>
      <c r="K5104" s="9"/>
      <c r="L5104" s="9"/>
      <c r="M5104" s="9"/>
      <c r="N5104" s="9"/>
      <c r="O5104" s="9"/>
      <c r="P5104" s="9"/>
      <c r="Q5104" s="9"/>
      <c r="R5104" s="9"/>
      <c r="S5104" s="9"/>
      <c r="T5104" s="9"/>
    </row>
    <row r="5105" ht="15.75" customHeight="1">
      <c r="A5105" s="11">
        <f>IFERROR(__xludf.DUMMYFUNCTION("""COMPUTED_VALUE"""),44471.0)</f>
        <v>44471</v>
      </c>
      <c r="B5105" s="9">
        <f>IFERROR(__xludf.DUMMYFUNCTION("""COMPUTED_VALUE"""),1004004.0)</f>
        <v>1004004</v>
      </c>
      <c r="C5105" s="9">
        <f>IFERROR(__xludf.DUMMYFUNCTION("""COMPUTED_VALUE"""),87193.0)</f>
        <v>87193</v>
      </c>
      <c r="D5105" s="9"/>
      <c r="E5105" s="10" t="str">
        <f>IFERROR(__xludf.DUMMYFUNCTION("""COMPUTED_VALUE"""),"PREMIERE")</f>
        <v>PREMIERE</v>
      </c>
      <c r="F5105" s="10">
        <f>IFERROR(__xludf.DUMMYFUNCTION("""COMPUTED_VALUE"""),6.97)</f>
        <v>6.97</v>
      </c>
      <c r="G5105" s="9">
        <f>IFERROR(__xludf.DUMMYFUNCTION("""COMPUTED_VALUE"""),6.97)</f>
        <v>6.97</v>
      </c>
      <c r="H5105" s="9">
        <f>IFERROR(__xludf.DUMMYFUNCTION("""COMPUTED_VALUE"""),1.0)</f>
        <v>1</v>
      </c>
      <c r="I5105" s="9"/>
      <c r="J5105" s="9"/>
      <c r="K5105" s="9"/>
      <c r="L5105" s="9"/>
      <c r="M5105" s="9"/>
      <c r="N5105" s="9"/>
      <c r="O5105" s="9"/>
      <c r="P5105" s="9"/>
      <c r="Q5105" s="9"/>
      <c r="R5105" s="9"/>
      <c r="S5105" s="9"/>
      <c r="T5105" s="9"/>
    </row>
    <row r="5106" ht="15.75" customHeight="1">
      <c r="A5106" s="11">
        <f>IFERROR(__xludf.DUMMYFUNCTION("""COMPUTED_VALUE"""),44471.0)</f>
        <v>44471</v>
      </c>
      <c r="B5106" s="9">
        <f>IFERROR(__xludf.DUMMYFUNCTION("""COMPUTED_VALUE"""),1004004.0)</f>
        <v>1004004</v>
      </c>
      <c r="C5106" s="9">
        <f>IFERROR(__xludf.DUMMYFUNCTION("""COMPUTED_VALUE"""),76046.0)</f>
        <v>76046</v>
      </c>
      <c r="D5106" s="10" t="str">
        <f>IFERROR(__xludf.DUMMYFUNCTION("""COMPUTED_VALUE"""),"Vive le bio")</f>
        <v>Vive le bio</v>
      </c>
      <c r="E5106" s="10" t="str">
        <f>IFERROR(__xludf.DUMMYFUNCTION("""COMPUTED_VALUE"""),"PREMIERE")</f>
        <v>PREMIERE</v>
      </c>
      <c r="F5106" s="10">
        <f>IFERROR(__xludf.DUMMYFUNCTION("""COMPUTED_VALUE"""),17.0666666666666)</f>
        <v>17.06666667</v>
      </c>
      <c r="G5106" s="9">
        <f>IFERROR(__xludf.DUMMYFUNCTION("""COMPUTED_VALUE"""),15.36)</f>
        <v>15.36</v>
      </c>
      <c r="H5106" s="9">
        <f>IFERROR(__xludf.DUMMYFUNCTION("""COMPUTED_VALUE"""),2.0)</f>
        <v>2</v>
      </c>
      <c r="I5106" s="9"/>
      <c r="J5106" s="9"/>
      <c r="K5106" s="9"/>
      <c r="L5106" s="9"/>
      <c r="M5106" s="9"/>
      <c r="N5106" s="9"/>
      <c r="O5106" s="9"/>
      <c r="P5106" s="9"/>
      <c r="Q5106" s="9"/>
      <c r="R5106" s="9"/>
      <c r="S5106" s="9"/>
      <c r="T5106" s="9"/>
    </row>
    <row r="5107" ht="15.75" customHeight="1">
      <c r="A5107" s="11">
        <f>IFERROR(__xludf.DUMMYFUNCTION("""COMPUTED_VALUE"""),44471.0)</f>
        <v>44471</v>
      </c>
      <c r="B5107" s="9">
        <f>IFERROR(__xludf.DUMMYFUNCTION("""COMPUTED_VALUE"""),1004005.0)</f>
        <v>1004005</v>
      </c>
      <c r="C5107" s="9">
        <f>IFERROR(__xludf.DUMMYFUNCTION("""COMPUTED_VALUE"""),117275.0)</f>
        <v>117275</v>
      </c>
      <c r="D5107" s="9"/>
      <c r="E5107" s="10" t="str">
        <f>IFERROR(__xludf.DUMMYFUNCTION("""COMPUTED_VALUE"""),"PREMIERE")</f>
        <v>PREMIERE</v>
      </c>
      <c r="F5107" s="10">
        <f>IFERROR(__xludf.DUMMYFUNCTION("""COMPUTED_VALUE"""),34.99)</f>
        <v>34.99</v>
      </c>
      <c r="G5107" s="9">
        <f>IFERROR(__xludf.DUMMYFUNCTION("""COMPUTED_VALUE"""),34.99)</f>
        <v>34.99</v>
      </c>
      <c r="H5107" s="9">
        <f>IFERROR(__xludf.DUMMYFUNCTION("""COMPUTED_VALUE"""),1.0)</f>
        <v>1</v>
      </c>
      <c r="I5107" s="9"/>
      <c r="J5107" s="9"/>
      <c r="K5107" s="9"/>
      <c r="L5107" s="9"/>
      <c r="M5107" s="9"/>
      <c r="N5107" s="9"/>
      <c r="O5107" s="9"/>
      <c r="P5107" s="9"/>
      <c r="Q5107" s="9"/>
      <c r="R5107" s="9"/>
      <c r="S5107" s="9"/>
      <c r="T5107" s="9"/>
    </row>
    <row r="5108" ht="15.75" customHeight="1">
      <c r="A5108" s="11">
        <f>IFERROR(__xludf.DUMMYFUNCTION("""COMPUTED_VALUE"""),44471.0)</f>
        <v>44471</v>
      </c>
      <c r="B5108" s="9">
        <f>IFERROR(__xludf.DUMMYFUNCTION("""COMPUTED_VALUE"""),1004006.0)</f>
        <v>1004006</v>
      </c>
      <c r="C5108" s="9">
        <f>IFERROR(__xludf.DUMMYFUNCTION("""COMPUTED_VALUE"""),122421.0)</f>
        <v>122421</v>
      </c>
      <c r="D5108" s="9"/>
      <c r="E5108" s="10" t="str">
        <f>IFERROR(__xludf.DUMMYFUNCTION("""COMPUTED_VALUE"""),"PREMIERE")</f>
        <v>PREMIERE</v>
      </c>
      <c r="F5108" s="10">
        <f>IFERROR(__xludf.DUMMYFUNCTION("""COMPUTED_VALUE"""),13.04)</f>
        <v>13.04</v>
      </c>
      <c r="G5108" s="9">
        <f>IFERROR(__xludf.DUMMYFUNCTION("""COMPUTED_VALUE"""),13.04)</f>
        <v>13.04</v>
      </c>
      <c r="H5108" s="9">
        <f>IFERROR(__xludf.DUMMYFUNCTION("""COMPUTED_VALUE"""),1.0)</f>
        <v>1</v>
      </c>
      <c r="I5108" s="9"/>
      <c r="J5108" s="9"/>
      <c r="K5108" s="9"/>
      <c r="L5108" s="9"/>
      <c r="M5108" s="9"/>
      <c r="N5108" s="9"/>
      <c r="O5108" s="9"/>
      <c r="P5108" s="9"/>
      <c r="Q5108" s="9"/>
      <c r="R5108" s="9"/>
      <c r="S5108" s="9"/>
      <c r="T5108" s="9"/>
    </row>
    <row r="5109" ht="15.75" customHeight="1">
      <c r="A5109" s="11">
        <f>IFERROR(__xludf.DUMMYFUNCTION("""COMPUTED_VALUE"""),44471.0)</f>
        <v>44471</v>
      </c>
      <c r="B5109" s="9">
        <f>IFERROR(__xludf.DUMMYFUNCTION("""COMPUTED_VALUE"""),1004006.0)</f>
        <v>1004006</v>
      </c>
      <c r="C5109" s="9">
        <f>IFERROR(__xludf.DUMMYFUNCTION("""COMPUTED_VALUE"""),120310.0)</f>
        <v>120310</v>
      </c>
      <c r="D5109" s="9"/>
      <c r="E5109" s="10" t="str">
        <f>IFERROR(__xludf.DUMMYFUNCTION("""COMPUTED_VALUE"""),"PREMIERE")</f>
        <v>PREMIERE</v>
      </c>
      <c r="F5109" s="10">
        <f>IFERROR(__xludf.DUMMYFUNCTION("""COMPUTED_VALUE"""),4.37)</f>
        <v>4.37</v>
      </c>
      <c r="G5109" s="9">
        <f>IFERROR(__xludf.DUMMYFUNCTION("""COMPUTED_VALUE"""),4.37)</f>
        <v>4.37</v>
      </c>
      <c r="H5109" s="9">
        <f>IFERROR(__xludf.DUMMYFUNCTION("""COMPUTED_VALUE"""),1.0)</f>
        <v>1</v>
      </c>
      <c r="I5109" s="9"/>
      <c r="J5109" s="9"/>
      <c r="K5109" s="9"/>
      <c r="L5109" s="9"/>
      <c r="M5109" s="9"/>
      <c r="N5109" s="9"/>
      <c r="O5109" s="9"/>
      <c r="P5109" s="9"/>
      <c r="Q5109" s="9"/>
      <c r="R5109" s="9"/>
      <c r="S5109" s="9"/>
      <c r="T5109" s="9"/>
    </row>
    <row r="5110" ht="15.75" customHeight="1">
      <c r="A5110" s="11">
        <f>IFERROR(__xludf.DUMMYFUNCTION("""COMPUTED_VALUE"""),44471.0)</f>
        <v>44471</v>
      </c>
      <c r="B5110" s="9">
        <f>IFERROR(__xludf.DUMMYFUNCTION("""COMPUTED_VALUE"""),1004006.0)</f>
        <v>1004006</v>
      </c>
      <c r="C5110" s="9">
        <f>IFERROR(__xludf.DUMMYFUNCTION("""COMPUTED_VALUE"""),77772.0)</f>
        <v>77772</v>
      </c>
      <c r="D5110" s="9"/>
      <c r="E5110" s="10" t="str">
        <f>IFERROR(__xludf.DUMMYFUNCTION("""COMPUTED_VALUE"""),"PREMIERE")</f>
        <v>PREMIERE</v>
      </c>
      <c r="F5110" s="10">
        <f>IFERROR(__xludf.DUMMYFUNCTION("""COMPUTED_VALUE"""),18.43)</f>
        <v>18.43</v>
      </c>
      <c r="G5110" s="9">
        <f>IFERROR(__xludf.DUMMYFUNCTION("""COMPUTED_VALUE"""),18.43)</f>
        <v>18.43</v>
      </c>
      <c r="H5110" s="9">
        <f>IFERROR(__xludf.DUMMYFUNCTION("""COMPUTED_VALUE"""),1.0)</f>
        <v>1</v>
      </c>
      <c r="I5110" s="9"/>
      <c r="J5110" s="9"/>
      <c r="K5110" s="9"/>
      <c r="L5110" s="9"/>
      <c r="M5110" s="9"/>
      <c r="N5110" s="9"/>
      <c r="O5110" s="9"/>
      <c r="P5110" s="9"/>
      <c r="Q5110" s="9"/>
      <c r="R5110" s="9"/>
      <c r="S5110" s="9"/>
      <c r="T5110" s="9"/>
    </row>
    <row r="5111" ht="15.75" customHeight="1">
      <c r="A5111" s="11">
        <f>IFERROR(__xludf.DUMMYFUNCTION("""COMPUTED_VALUE"""),44471.0)</f>
        <v>44471</v>
      </c>
      <c r="B5111" s="9">
        <f>IFERROR(__xludf.DUMMYFUNCTION("""COMPUTED_VALUE"""),1004007.0)</f>
        <v>1004007</v>
      </c>
      <c r="C5111" s="9">
        <f>IFERROR(__xludf.DUMMYFUNCTION("""COMPUTED_VALUE"""),6521.0)</f>
        <v>6521</v>
      </c>
      <c r="D5111" s="9"/>
      <c r="E5111" s="9"/>
      <c r="F5111" s="9">
        <f>IFERROR(__xludf.DUMMYFUNCTION("""COMPUTED_VALUE"""),8.81)</f>
        <v>8.81</v>
      </c>
      <c r="G5111" s="9">
        <f>IFERROR(__xludf.DUMMYFUNCTION("""COMPUTED_VALUE"""),8.81)</f>
        <v>8.81</v>
      </c>
      <c r="H5111" s="9">
        <f>IFERROR(__xludf.DUMMYFUNCTION("""COMPUTED_VALUE"""),1.0)</f>
        <v>1</v>
      </c>
      <c r="I5111" s="9"/>
      <c r="J5111" s="9"/>
      <c r="K5111" s="9"/>
      <c r="L5111" s="9"/>
      <c r="M5111" s="9"/>
      <c r="N5111" s="9"/>
      <c r="O5111" s="9"/>
      <c r="P5111" s="9"/>
      <c r="Q5111" s="9"/>
      <c r="R5111" s="9"/>
      <c r="S5111" s="9"/>
      <c r="T5111" s="9"/>
    </row>
    <row r="5112" ht="15.75" customHeight="1">
      <c r="A5112" s="11">
        <f>IFERROR(__xludf.DUMMYFUNCTION("""COMPUTED_VALUE"""),44471.0)</f>
        <v>44471</v>
      </c>
      <c r="B5112" s="9">
        <f>IFERROR(__xludf.DUMMYFUNCTION("""COMPUTED_VALUE"""),1004007.0)</f>
        <v>1004007</v>
      </c>
      <c r="C5112" s="9">
        <f>IFERROR(__xludf.DUMMYFUNCTION("""COMPUTED_VALUE"""),6519.0)</f>
        <v>6519</v>
      </c>
      <c r="D5112" s="9"/>
      <c r="E5112" s="9"/>
      <c r="F5112" s="9">
        <f>IFERROR(__xludf.DUMMYFUNCTION("""COMPUTED_VALUE"""),8.81)</f>
        <v>8.81</v>
      </c>
      <c r="G5112" s="9">
        <f>IFERROR(__xludf.DUMMYFUNCTION("""COMPUTED_VALUE"""),8.81)</f>
        <v>8.81</v>
      </c>
      <c r="H5112" s="9">
        <f>IFERROR(__xludf.DUMMYFUNCTION("""COMPUTED_VALUE"""),1.0)</f>
        <v>1</v>
      </c>
      <c r="I5112" s="9"/>
      <c r="J5112" s="9"/>
      <c r="K5112" s="9"/>
      <c r="L5112" s="9"/>
      <c r="M5112" s="9"/>
      <c r="N5112" s="9"/>
      <c r="O5112" s="9"/>
      <c r="P5112" s="9"/>
      <c r="Q5112" s="9"/>
      <c r="R5112" s="9"/>
      <c r="S5112" s="9"/>
      <c r="T5112" s="9"/>
    </row>
    <row r="5113" ht="15.75" customHeight="1">
      <c r="A5113" s="11">
        <f>IFERROR(__xludf.DUMMYFUNCTION("""COMPUTED_VALUE"""),44471.0)</f>
        <v>44471</v>
      </c>
      <c r="B5113" s="9">
        <f>IFERROR(__xludf.DUMMYFUNCTION("""COMPUTED_VALUE"""),1004007.0)</f>
        <v>1004007</v>
      </c>
      <c r="C5113" s="9">
        <f>IFERROR(__xludf.DUMMYFUNCTION("""COMPUTED_VALUE"""),122378.0)</f>
        <v>122378</v>
      </c>
      <c r="D5113" s="9"/>
      <c r="E5113" s="9"/>
      <c r="F5113" s="9">
        <f>IFERROR(__xludf.DUMMYFUNCTION("""COMPUTED_VALUE"""),6.79)</f>
        <v>6.79</v>
      </c>
      <c r="G5113" s="9">
        <f>IFERROR(__xludf.DUMMYFUNCTION("""COMPUTED_VALUE"""),6.79)</f>
        <v>6.79</v>
      </c>
      <c r="H5113" s="9">
        <f>IFERROR(__xludf.DUMMYFUNCTION("""COMPUTED_VALUE"""),1.0)</f>
        <v>1</v>
      </c>
      <c r="I5113" s="9"/>
      <c r="J5113" s="9"/>
      <c r="K5113" s="9"/>
      <c r="L5113" s="9"/>
      <c r="M5113" s="9"/>
      <c r="N5113" s="9"/>
      <c r="O5113" s="9"/>
      <c r="P5113" s="9"/>
      <c r="Q5113" s="9"/>
      <c r="R5113" s="9"/>
      <c r="S5113" s="9"/>
      <c r="T5113" s="9"/>
    </row>
    <row r="5114" ht="15.75" customHeight="1">
      <c r="A5114" s="11">
        <f>IFERROR(__xludf.DUMMYFUNCTION("""COMPUTED_VALUE"""),44471.0)</f>
        <v>44471</v>
      </c>
      <c r="B5114" s="9">
        <f>IFERROR(__xludf.DUMMYFUNCTION("""COMPUTED_VALUE"""),1004007.0)</f>
        <v>1004007</v>
      </c>
      <c r="C5114" s="9">
        <f>IFERROR(__xludf.DUMMYFUNCTION("""COMPUTED_VALUE"""),122374.0)</f>
        <v>122374</v>
      </c>
      <c r="D5114" s="9"/>
      <c r="E5114" s="9"/>
      <c r="F5114" s="9">
        <f>IFERROR(__xludf.DUMMYFUNCTION("""COMPUTED_VALUE"""),5.66)</f>
        <v>5.66</v>
      </c>
      <c r="G5114" s="9">
        <f>IFERROR(__xludf.DUMMYFUNCTION("""COMPUTED_VALUE"""),5.66)</f>
        <v>5.66</v>
      </c>
      <c r="H5114" s="9">
        <f>IFERROR(__xludf.DUMMYFUNCTION("""COMPUTED_VALUE"""),1.0)</f>
        <v>1</v>
      </c>
      <c r="I5114" s="9"/>
      <c r="J5114" s="9"/>
      <c r="K5114" s="9"/>
      <c r="L5114" s="9"/>
      <c r="M5114" s="9"/>
      <c r="N5114" s="9"/>
      <c r="O5114" s="9"/>
      <c r="P5114" s="9"/>
      <c r="Q5114" s="9"/>
      <c r="R5114" s="9"/>
      <c r="S5114" s="9"/>
      <c r="T5114" s="9"/>
    </row>
    <row r="5115" ht="15.75" customHeight="1">
      <c r="A5115" s="11">
        <f>IFERROR(__xludf.DUMMYFUNCTION("""COMPUTED_VALUE"""),44471.0)</f>
        <v>44471</v>
      </c>
      <c r="B5115" s="9">
        <f>IFERROR(__xludf.DUMMYFUNCTION("""COMPUTED_VALUE"""),1004007.0)</f>
        <v>1004007</v>
      </c>
      <c r="C5115" s="9">
        <f>IFERROR(__xludf.DUMMYFUNCTION("""COMPUTED_VALUE"""),2792.0)</f>
        <v>2792</v>
      </c>
      <c r="D5115" s="9"/>
      <c r="E5115" s="9"/>
      <c r="F5115" s="9">
        <f>IFERROR(__xludf.DUMMYFUNCTION("""COMPUTED_VALUE"""),7.68)</f>
        <v>7.68</v>
      </c>
      <c r="G5115" s="9">
        <f>IFERROR(__xludf.DUMMYFUNCTION("""COMPUTED_VALUE"""),7.68)</f>
        <v>7.68</v>
      </c>
      <c r="H5115" s="9">
        <f>IFERROR(__xludf.DUMMYFUNCTION("""COMPUTED_VALUE"""),1.0)</f>
        <v>1</v>
      </c>
      <c r="I5115" s="9"/>
      <c r="J5115" s="9"/>
      <c r="K5115" s="9"/>
      <c r="L5115" s="9"/>
      <c r="M5115" s="9"/>
      <c r="N5115" s="9"/>
      <c r="O5115" s="9"/>
      <c r="P5115" s="9"/>
      <c r="Q5115" s="9"/>
      <c r="R5115" s="9"/>
      <c r="S5115" s="9"/>
      <c r="T5115" s="9"/>
    </row>
    <row r="5116" ht="15.75" customHeight="1">
      <c r="A5116" s="11">
        <f>IFERROR(__xludf.DUMMYFUNCTION("""COMPUTED_VALUE"""),44471.0)</f>
        <v>44471</v>
      </c>
      <c r="B5116" s="9">
        <f>IFERROR(__xludf.DUMMYFUNCTION("""COMPUTED_VALUE"""),1004007.0)</f>
        <v>1004007</v>
      </c>
      <c r="C5116" s="9">
        <f>IFERROR(__xludf.DUMMYFUNCTION("""COMPUTED_VALUE"""),80809.0)</f>
        <v>80809</v>
      </c>
      <c r="D5116" s="9"/>
      <c r="E5116" s="9"/>
      <c r="F5116" s="9">
        <f>IFERROR(__xludf.DUMMYFUNCTION("""COMPUTED_VALUE"""),3.1)</f>
        <v>3.1</v>
      </c>
      <c r="G5116" s="9">
        <f>IFERROR(__xludf.DUMMYFUNCTION("""COMPUTED_VALUE"""),3.1)</f>
        <v>3.1</v>
      </c>
      <c r="H5116" s="9">
        <f>IFERROR(__xludf.DUMMYFUNCTION("""COMPUTED_VALUE"""),2.0)</f>
        <v>2</v>
      </c>
      <c r="I5116" s="9"/>
      <c r="J5116" s="9"/>
      <c r="K5116" s="9"/>
      <c r="L5116" s="9"/>
      <c r="M5116" s="9"/>
      <c r="N5116" s="9"/>
      <c r="O5116" s="9"/>
      <c r="P5116" s="9"/>
      <c r="Q5116" s="9"/>
      <c r="R5116" s="9"/>
      <c r="S5116" s="9"/>
      <c r="T5116" s="9"/>
    </row>
    <row r="5117" ht="15.75" customHeight="1">
      <c r="A5117" s="11">
        <f>IFERROR(__xludf.DUMMYFUNCTION("""COMPUTED_VALUE"""),44471.0)</f>
        <v>44471</v>
      </c>
      <c r="B5117" s="9">
        <f>IFERROR(__xludf.DUMMYFUNCTION("""COMPUTED_VALUE"""),1004007.0)</f>
        <v>1004007</v>
      </c>
      <c r="C5117" s="9">
        <f>IFERROR(__xludf.DUMMYFUNCTION("""COMPUTED_VALUE"""),111946.0)</f>
        <v>111946</v>
      </c>
      <c r="D5117" s="9"/>
      <c r="E5117" s="9"/>
      <c r="F5117" s="9">
        <f>IFERROR(__xludf.DUMMYFUNCTION("""COMPUTED_VALUE"""),6.96)</f>
        <v>6.96</v>
      </c>
      <c r="G5117" s="9">
        <f>IFERROR(__xludf.DUMMYFUNCTION("""COMPUTED_VALUE"""),6.96)</f>
        <v>6.96</v>
      </c>
      <c r="H5117" s="9">
        <f>IFERROR(__xludf.DUMMYFUNCTION("""COMPUTED_VALUE"""),2.0)</f>
        <v>2</v>
      </c>
      <c r="I5117" s="9"/>
      <c r="J5117" s="9"/>
      <c r="K5117" s="9"/>
      <c r="L5117" s="9"/>
      <c r="M5117" s="9"/>
      <c r="N5117" s="9"/>
      <c r="O5117" s="9"/>
      <c r="P5117" s="9"/>
      <c r="Q5117" s="9"/>
      <c r="R5117" s="9"/>
      <c r="S5117" s="9"/>
      <c r="T5117" s="9"/>
    </row>
    <row r="5118" ht="15.75" customHeight="1">
      <c r="A5118" s="11">
        <f>IFERROR(__xludf.DUMMYFUNCTION("""COMPUTED_VALUE"""),44471.0)</f>
        <v>44471</v>
      </c>
      <c r="B5118" s="9">
        <f>IFERROR(__xludf.DUMMYFUNCTION("""COMPUTED_VALUE"""),1004008.0)</f>
        <v>1004008</v>
      </c>
      <c r="C5118" s="9">
        <f>IFERROR(__xludf.DUMMYFUNCTION("""COMPUTED_VALUE"""),73581.0)</f>
        <v>73581</v>
      </c>
      <c r="D5118" s="9"/>
      <c r="E5118" s="9"/>
      <c r="F5118" s="9">
        <f>IFERROR(__xludf.DUMMYFUNCTION("""COMPUTED_VALUE"""),8.34)</f>
        <v>8.34</v>
      </c>
      <c r="G5118" s="9">
        <f>IFERROR(__xludf.DUMMYFUNCTION("""COMPUTED_VALUE"""),8.34)</f>
        <v>8.34</v>
      </c>
      <c r="H5118" s="9">
        <f>IFERROR(__xludf.DUMMYFUNCTION("""COMPUTED_VALUE"""),2.0)</f>
        <v>2</v>
      </c>
      <c r="I5118" s="9"/>
      <c r="J5118" s="9"/>
      <c r="K5118" s="9"/>
      <c r="L5118" s="9"/>
      <c r="M5118" s="9"/>
      <c r="N5118" s="9"/>
      <c r="O5118" s="9"/>
      <c r="P5118" s="9"/>
      <c r="Q5118" s="9"/>
      <c r="R5118" s="9"/>
      <c r="S5118" s="9"/>
      <c r="T5118" s="9"/>
    </row>
    <row r="5119" ht="15.75" customHeight="1">
      <c r="A5119" s="11">
        <f>IFERROR(__xludf.DUMMYFUNCTION("""COMPUTED_VALUE"""),44471.0)</f>
        <v>44471</v>
      </c>
      <c r="B5119" s="9">
        <f>IFERROR(__xludf.DUMMYFUNCTION("""COMPUTED_VALUE"""),1004008.0)</f>
        <v>1004008</v>
      </c>
      <c r="C5119" s="9">
        <f>IFERROR(__xludf.DUMMYFUNCTION("""COMPUTED_VALUE"""),5584.0)</f>
        <v>5584</v>
      </c>
      <c r="D5119" s="9"/>
      <c r="E5119" s="9"/>
      <c r="F5119" s="9">
        <f>IFERROR(__xludf.DUMMYFUNCTION("""COMPUTED_VALUE"""),47.35)</f>
        <v>47.35</v>
      </c>
      <c r="G5119" s="9">
        <f>IFERROR(__xludf.DUMMYFUNCTION("""COMPUTED_VALUE"""),47.35)</f>
        <v>47.35</v>
      </c>
      <c r="H5119" s="9">
        <f>IFERROR(__xludf.DUMMYFUNCTION("""COMPUTED_VALUE"""),10.0)</f>
        <v>10</v>
      </c>
      <c r="I5119" s="9"/>
      <c r="J5119" s="9"/>
      <c r="K5119" s="9"/>
      <c r="L5119" s="9"/>
      <c r="M5119" s="9"/>
      <c r="N5119" s="9"/>
      <c r="O5119" s="9"/>
      <c r="P5119" s="9"/>
      <c r="Q5119" s="9"/>
      <c r="R5119" s="9"/>
      <c r="S5119" s="9"/>
      <c r="T5119" s="9"/>
    </row>
    <row r="5120" ht="15.75" customHeight="1">
      <c r="A5120" s="11">
        <f>IFERROR(__xludf.DUMMYFUNCTION("""COMPUTED_VALUE"""),44471.0)</f>
        <v>44471</v>
      </c>
      <c r="B5120" s="9">
        <f>IFERROR(__xludf.DUMMYFUNCTION("""COMPUTED_VALUE"""),1004009.0)</f>
        <v>1004009</v>
      </c>
      <c r="C5120" s="9">
        <f>IFERROR(__xludf.DUMMYFUNCTION("""COMPUTED_VALUE"""),103589.0)</f>
        <v>103589</v>
      </c>
      <c r="D5120" s="10" t="str">
        <f>IFERROR(__xludf.DUMMYFUNCTION("""COMPUTED_VALUE"""),"Love &amp; Green Couches et Culottes sept 2021")</f>
        <v>Love &amp; Green Couches et Culottes sept 2021</v>
      </c>
      <c r="E5120" s="10"/>
      <c r="F5120" s="9">
        <f>IFERROR(__xludf.DUMMYFUNCTION("""COMPUTED_VALUE"""),46.9857142857142)</f>
        <v>46.98571429</v>
      </c>
      <c r="G5120" s="9">
        <f>IFERROR(__xludf.DUMMYFUNCTION("""COMPUTED_VALUE"""),32.89)</f>
        <v>32.89</v>
      </c>
      <c r="H5120" s="9">
        <f>IFERROR(__xludf.DUMMYFUNCTION("""COMPUTED_VALUE"""),3.0)</f>
        <v>3</v>
      </c>
      <c r="I5120" s="9"/>
      <c r="J5120" s="9"/>
      <c r="K5120" s="9"/>
      <c r="L5120" s="9"/>
      <c r="M5120" s="9"/>
      <c r="N5120" s="9"/>
      <c r="O5120" s="9"/>
      <c r="P5120" s="9"/>
      <c r="Q5120" s="9"/>
      <c r="R5120" s="9"/>
      <c r="S5120" s="9"/>
      <c r="T5120" s="9"/>
    </row>
    <row r="5121" ht="15.75" customHeight="1">
      <c r="A5121" s="11">
        <f>IFERROR(__xludf.DUMMYFUNCTION("""COMPUTED_VALUE"""),44471.0)</f>
        <v>44471</v>
      </c>
      <c r="B5121" s="9">
        <f>IFERROR(__xludf.DUMMYFUNCTION("""COMPUTED_VALUE"""),1004010.0)</f>
        <v>1004010</v>
      </c>
      <c r="C5121" s="9">
        <f>IFERROR(__xludf.DUMMYFUNCTION("""COMPUTED_VALUE"""),87000.0)</f>
        <v>87000</v>
      </c>
      <c r="D5121" s="9"/>
      <c r="E5121" s="9"/>
      <c r="F5121" s="9">
        <f>IFERROR(__xludf.DUMMYFUNCTION("""COMPUTED_VALUE"""),2.5)</f>
        <v>2.5</v>
      </c>
      <c r="G5121" s="9">
        <f>IFERROR(__xludf.DUMMYFUNCTION("""COMPUTED_VALUE"""),2.5)</f>
        <v>2.5</v>
      </c>
      <c r="H5121" s="9">
        <f>IFERROR(__xludf.DUMMYFUNCTION("""COMPUTED_VALUE"""),1.0)</f>
        <v>1</v>
      </c>
      <c r="I5121" s="9"/>
      <c r="J5121" s="9"/>
      <c r="K5121" s="9"/>
      <c r="L5121" s="9"/>
      <c r="M5121" s="9"/>
      <c r="N5121" s="9"/>
      <c r="O5121" s="9"/>
      <c r="P5121" s="9"/>
      <c r="Q5121" s="9"/>
      <c r="R5121" s="9"/>
      <c r="S5121" s="9"/>
      <c r="T5121" s="9"/>
    </row>
    <row r="5122" ht="15.75" customHeight="1">
      <c r="A5122" s="11">
        <f>IFERROR(__xludf.DUMMYFUNCTION("""COMPUTED_VALUE"""),44471.0)</f>
        <v>44471</v>
      </c>
      <c r="B5122" s="9">
        <f>IFERROR(__xludf.DUMMYFUNCTION("""COMPUTED_VALUE"""),1004010.0)</f>
        <v>1004010</v>
      </c>
      <c r="C5122" s="9">
        <f>IFERROR(__xludf.DUMMYFUNCTION("""COMPUTED_VALUE"""),122704.0)</f>
        <v>122704</v>
      </c>
      <c r="D5122" s="9"/>
      <c r="E5122" s="9"/>
      <c r="F5122" s="9">
        <f>IFERROR(__xludf.DUMMYFUNCTION("""COMPUTED_VALUE"""),3.0)</f>
        <v>3</v>
      </c>
      <c r="G5122" s="9">
        <f>IFERROR(__xludf.DUMMYFUNCTION("""COMPUTED_VALUE"""),3.0)</f>
        <v>3</v>
      </c>
      <c r="H5122" s="9">
        <f>IFERROR(__xludf.DUMMYFUNCTION("""COMPUTED_VALUE"""),1.0)</f>
        <v>1</v>
      </c>
      <c r="I5122" s="9"/>
      <c r="J5122" s="9"/>
      <c r="K5122" s="9"/>
      <c r="L5122" s="9"/>
      <c r="M5122" s="9"/>
      <c r="N5122" s="9"/>
      <c r="O5122" s="9"/>
      <c r="P5122" s="9"/>
      <c r="Q5122" s="9"/>
      <c r="R5122" s="9"/>
      <c r="S5122" s="9"/>
      <c r="T5122" s="9"/>
    </row>
    <row r="5123" ht="15.75" customHeight="1">
      <c r="A5123" s="11">
        <f>IFERROR(__xludf.DUMMYFUNCTION("""COMPUTED_VALUE"""),44471.0)</f>
        <v>44471</v>
      </c>
      <c r="B5123" s="9">
        <f>IFERROR(__xludf.DUMMYFUNCTION("""COMPUTED_VALUE"""),1004010.0)</f>
        <v>1004010</v>
      </c>
      <c r="C5123" s="9">
        <f>IFERROR(__xludf.DUMMYFUNCTION("""COMPUTED_VALUE"""),47386.0)</f>
        <v>47386</v>
      </c>
      <c r="D5123" s="9"/>
      <c r="E5123" s="9"/>
      <c r="F5123" s="9">
        <f>IFERROR(__xludf.DUMMYFUNCTION("""COMPUTED_VALUE"""),3.25)</f>
        <v>3.25</v>
      </c>
      <c r="G5123" s="9">
        <f>IFERROR(__xludf.DUMMYFUNCTION("""COMPUTED_VALUE"""),3.25)</f>
        <v>3.25</v>
      </c>
      <c r="H5123" s="9">
        <f>IFERROR(__xludf.DUMMYFUNCTION("""COMPUTED_VALUE"""),1.0)</f>
        <v>1</v>
      </c>
      <c r="I5123" s="9"/>
      <c r="J5123" s="9"/>
      <c r="K5123" s="9"/>
      <c r="L5123" s="9"/>
      <c r="M5123" s="9"/>
      <c r="N5123" s="9"/>
      <c r="O5123" s="9"/>
      <c r="P5123" s="9"/>
      <c r="Q5123" s="9"/>
      <c r="R5123" s="9"/>
      <c r="S5123" s="9"/>
      <c r="T5123" s="9"/>
    </row>
    <row r="5124" ht="15.75" customHeight="1">
      <c r="A5124" s="11">
        <f>IFERROR(__xludf.DUMMYFUNCTION("""COMPUTED_VALUE"""),44471.0)</f>
        <v>44471</v>
      </c>
      <c r="B5124" s="9">
        <f>IFERROR(__xludf.DUMMYFUNCTION("""COMPUTED_VALUE"""),1004010.0)</f>
        <v>1004010</v>
      </c>
      <c r="C5124" s="9">
        <f>IFERROR(__xludf.DUMMYFUNCTION("""COMPUTED_VALUE"""),11449.0)</f>
        <v>11449</v>
      </c>
      <c r="D5124" s="9"/>
      <c r="E5124" s="9"/>
      <c r="F5124" s="9">
        <f>IFERROR(__xludf.DUMMYFUNCTION("""COMPUTED_VALUE"""),17.79)</f>
        <v>17.79</v>
      </c>
      <c r="G5124" s="9">
        <f>IFERROR(__xludf.DUMMYFUNCTION("""COMPUTED_VALUE"""),17.79)</f>
        <v>17.79</v>
      </c>
      <c r="H5124" s="9">
        <f>IFERROR(__xludf.DUMMYFUNCTION("""COMPUTED_VALUE"""),1.0)</f>
        <v>1</v>
      </c>
      <c r="I5124" s="9"/>
      <c r="J5124" s="9"/>
      <c r="K5124" s="9"/>
      <c r="L5124" s="9"/>
      <c r="M5124" s="9"/>
      <c r="N5124" s="9"/>
      <c r="O5124" s="9"/>
      <c r="P5124" s="9"/>
      <c r="Q5124" s="9"/>
      <c r="R5124" s="9"/>
      <c r="S5124" s="9"/>
      <c r="T5124" s="9"/>
    </row>
    <row r="5125" ht="15.75" customHeight="1">
      <c r="A5125" s="11">
        <f>IFERROR(__xludf.DUMMYFUNCTION("""COMPUTED_VALUE"""),44471.0)</f>
        <v>44471</v>
      </c>
      <c r="B5125" s="9">
        <f>IFERROR(__xludf.DUMMYFUNCTION("""COMPUTED_VALUE"""),1004010.0)</f>
        <v>1004010</v>
      </c>
      <c r="C5125" s="9">
        <f>IFERROR(__xludf.DUMMYFUNCTION("""COMPUTED_VALUE"""),86999.0)</f>
        <v>86999</v>
      </c>
      <c r="D5125" s="9"/>
      <c r="E5125" s="9"/>
      <c r="F5125" s="9">
        <f>IFERROR(__xludf.DUMMYFUNCTION("""COMPUTED_VALUE"""),2.51)</f>
        <v>2.51</v>
      </c>
      <c r="G5125" s="9">
        <f>IFERROR(__xludf.DUMMYFUNCTION("""COMPUTED_VALUE"""),2.51)</f>
        <v>2.51</v>
      </c>
      <c r="H5125" s="9">
        <f>IFERROR(__xludf.DUMMYFUNCTION("""COMPUTED_VALUE"""),1.0)</f>
        <v>1</v>
      </c>
      <c r="I5125" s="9"/>
      <c r="J5125" s="9"/>
      <c r="K5125" s="9"/>
      <c r="L5125" s="9"/>
      <c r="M5125" s="9"/>
      <c r="N5125" s="9"/>
      <c r="O5125" s="9"/>
      <c r="P5125" s="9"/>
      <c r="Q5125" s="9"/>
      <c r="R5125" s="9"/>
      <c r="S5125" s="9"/>
      <c r="T5125" s="9"/>
    </row>
    <row r="5126" ht="15.75" customHeight="1">
      <c r="A5126" s="11">
        <f>IFERROR(__xludf.DUMMYFUNCTION("""COMPUTED_VALUE"""),44471.0)</f>
        <v>44471</v>
      </c>
      <c r="B5126" s="9">
        <f>IFERROR(__xludf.DUMMYFUNCTION("""COMPUTED_VALUE"""),1004010.0)</f>
        <v>1004010</v>
      </c>
      <c r="C5126" s="9">
        <f>IFERROR(__xludf.DUMMYFUNCTION("""COMPUTED_VALUE"""),24167.0)</f>
        <v>24167</v>
      </c>
      <c r="D5126" s="9"/>
      <c r="E5126" s="9"/>
      <c r="F5126" s="9">
        <f>IFERROR(__xludf.DUMMYFUNCTION("""COMPUTED_VALUE"""),2.51)</f>
        <v>2.51</v>
      </c>
      <c r="G5126" s="9">
        <f>IFERROR(__xludf.DUMMYFUNCTION("""COMPUTED_VALUE"""),2.51)</f>
        <v>2.51</v>
      </c>
      <c r="H5126" s="9">
        <f>IFERROR(__xludf.DUMMYFUNCTION("""COMPUTED_VALUE"""),1.0)</f>
        <v>1</v>
      </c>
      <c r="I5126" s="9"/>
      <c r="J5126" s="9"/>
      <c r="K5126" s="9"/>
      <c r="L5126" s="9"/>
      <c r="M5126" s="9"/>
      <c r="N5126" s="9"/>
      <c r="O5126" s="9"/>
      <c r="P5126" s="9"/>
      <c r="Q5126" s="9"/>
      <c r="R5126" s="9"/>
      <c r="S5126" s="9"/>
      <c r="T5126" s="9"/>
    </row>
    <row r="5127" ht="15.75" customHeight="1">
      <c r="A5127" s="11">
        <f>IFERROR(__xludf.DUMMYFUNCTION("""COMPUTED_VALUE"""),44471.0)</f>
        <v>44471</v>
      </c>
      <c r="B5127" s="9">
        <f>IFERROR(__xludf.DUMMYFUNCTION("""COMPUTED_VALUE"""),1004010.0)</f>
        <v>1004010</v>
      </c>
      <c r="C5127" s="9">
        <f>IFERROR(__xludf.DUMMYFUNCTION("""COMPUTED_VALUE"""),28536.0)</f>
        <v>28536</v>
      </c>
      <c r="D5127" s="9"/>
      <c r="E5127" s="9"/>
      <c r="F5127" s="9">
        <f>IFERROR(__xludf.DUMMYFUNCTION("""COMPUTED_VALUE"""),6.02)</f>
        <v>6.02</v>
      </c>
      <c r="G5127" s="9">
        <f>IFERROR(__xludf.DUMMYFUNCTION("""COMPUTED_VALUE"""),6.02)</f>
        <v>6.02</v>
      </c>
      <c r="H5127" s="9">
        <f>IFERROR(__xludf.DUMMYFUNCTION("""COMPUTED_VALUE"""),1.0)</f>
        <v>1</v>
      </c>
      <c r="I5127" s="9"/>
      <c r="J5127" s="9"/>
      <c r="K5127" s="9"/>
      <c r="L5127" s="9"/>
      <c r="M5127" s="9"/>
      <c r="N5127" s="9"/>
      <c r="O5127" s="9"/>
      <c r="P5127" s="9"/>
      <c r="Q5127" s="9"/>
      <c r="R5127" s="9"/>
      <c r="S5127" s="9"/>
      <c r="T5127" s="9"/>
    </row>
    <row r="5128" ht="15.75" customHeight="1">
      <c r="A5128" s="11">
        <f>IFERROR(__xludf.DUMMYFUNCTION("""COMPUTED_VALUE"""),44471.0)</f>
        <v>44471</v>
      </c>
      <c r="B5128" s="9">
        <f>IFERROR(__xludf.DUMMYFUNCTION("""COMPUTED_VALUE"""),1004010.0)</f>
        <v>1004010</v>
      </c>
      <c r="C5128" s="9">
        <f>IFERROR(__xludf.DUMMYFUNCTION("""COMPUTED_VALUE"""),103458.0)</f>
        <v>103458</v>
      </c>
      <c r="D5128" s="9"/>
      <c r="E5128" s="9"/>
      <c r="F5128" s="9">
        <f>IFERROR(__xludf.DUMMYFUNCTION("""COMPUTED_VALUE"""),6.27)</f>
        <v>6.27</v>
      </c>
      <c r="G5128" s="9">
        <f>IFERROR(__xludf.DUMMYFUNCTION("""COMPUTED_VALUE"""),6.27)</f>
        <v>6.27</v>
      </c>
      <c r="H5128" s="9">
        <f>IFERROR(__xludf.DUMMYFUNCTION("""COMPUTED_VALUE"""),1.0)</f>
        <v>1</v>
      </c>
      <c r="I5128" s="9"/>
      <c r="J5128" s="9"/>
      <c r="K5128" s="9"/>
      <c r="L5128" s="9"/>
      <c r="M5128" s="9"/>
      <c r="N5128" s="9"/>
      <c r="O5128" s="9"/>
      <c r="P5128" s="9"/>
      <c r="Q5128" s="9"/>
      <c r="R5128" s="9"/>
      <c r="S5128" s="9"/>
      <c r="T5128" s="9"/>
    </row>
    <row r="5129" ht="15.75" customHeight="1">
      <c r="A5129" s="11">
        <f>IFERROR(__xludf.DUMMYFUNCTION("""COMPUTED_VALUE"""),44471.0)</f>
        <v>44471</v>
      </c>
      <c r="B5129" s="9">
        <f>IFERROR(__xludf.DUMMYFUNCTION("""COMPUTED_VALUE"""),1004010.0)</f>
        <v>1004010</v>
      </c>
      <c r="C5129" s="9">
        <f>IFERROR(__xludf.DUMMYFUNCTION("""COMPUTED_VALUE"""),76609.0)</f>
        <v>76609</v>
      </c>
      <c r="D5129" s="9"/>
      <c r="E5129" s="9"/>
      <c r="F5129" s="9">
        <f>IFERROR(__xludf.DUMMYFUNCTION("""COMPUTED_VALUE"""),3.02)</f>
        <v>3.02</v>
      </c>
      <c r="G5129" s="9">
        <f>IFERROR(__xludf.DUMMYFUNCTION("""COMPUTED_VALUE"""),3.02)</f>
        <v>3.02</v>
      </c>
      <c r="H5129" s="9">
        <f>IFERROR(__xludf.DUMMYFUNCTION("""COMPUTED_VALUE"""),1.0)</f>
        <v>1</v>
      </c>
      <c r="I5129" s="9"/>
      <c r="J5129" s="9"/>
      <c r="K5129" s="9"/>
      <c r="L5129" s="9"/>
      <c r="M5129" s="9"/>
      <c r="N5129" s="9"/>
      <c r="O5129" s="9"/>
      <c r="P5129" s="9"/>
      <c r="Q5129" s="9"/>
      <c r="R5129" s="9"/>
      <c r="S5129" s="9"/>
      <c r="T5129" s="9"/>
    </row>
    <row r="5130" ht="15.75" customHeight="1">
      <c r="A5130" s="11">
        <f>IFERROR(__xludf.DUMMYFUNCTION("""COMPUTED_VALUE"""),44471.0)</f>
        <v>44471</v>
      </c>
      <c r="B5130" s="9">
        <f>IFERROR(__xludf.DUMMYFUNCTION("""COMPUTED_VALUE"""),1004010.0)</f>
        <v>1004010</v>
      </c>
      <c r="C5130" s="9">
        <f>IFERROR(__xludf.DUMMYFUNCTION("""COMPUTED_VALUE"""),86994.0)</f>
        <v>86994</v>
      </c>
      <c r="D5130" s="10" t="str">
        <f>IFERROR(__xludf.DUMMYFUNCTION("""COMPUTED_VALUE"""),"Vive le bio")</f>
        <v>Vive le bio</v>
      </c>
      <c r="E5130" s="10"/>
      <c r="F5130" s="9">
        <f>IFERROR(__xludf.DUMMYFUNCTION("""COMPUTED_VALUE"""),2.88421052631579)</f>
        <v>2.884210526</v>
      </c>
      <c r="G5130" s="9">
        <f>IFERROR(__xludf.DUMMYFUNCTION("""COMPUTED_VALUE"""),2.74)</f>
        <v>2.74</v>
      </c>
      <c r="H5130" s="9">
        <f>IFERROR(__xludf.DUMMYFUNCTION("""COMPUTED_VALUE"""),1.0)</f>
        <v>1</v>
      </c>
      <c r="I5130" s="9"/>
      <c r="J5130" s="9"/>
      <c r="K5130" s="9"/>
      <c r="L5130" s="9"/>
      <c r="M5130" s="9"/>
      <c r="N5130" s="9"/>
      <c r="O5130" s="9"/>
      <c r="P5130" s="9"/>
      <c r="Q5130" s="9"/>
      <c r="R5130" s="9"/>
      <c r="S5130" s="9"/>
      <c r="T5130" s="9"/>
    </row>
    <row r="5131" ht="15.75" customHeight="1">
      <c r="A5131" s="11">
        <f>IFERROR(__xludf.DUMMYFUNCTION("""COMPUTED_VALUE"""),44471.0)</f>
        <v>44471</v>
      </c>
      <c r="B5131" s="9">
        <f>IFERROR(__xludf.DUMMYFUNCTION("""COMPUTED_VALUE"""),1004010.0)</f>
        <v>1004010</v>
      </c>
      <c r="C5131" s="9">
        <f>IFERROR(__xludf.DUMMYFUNCTION("""COMPUTED_VALUE"""),86972.0)</f>
        <v>86972</v>
      </c>
      <c r="D5131" s="9"/>
      <c r="E5131" s="9"/>
      <c r="F5131" s="9">
        <f>IFERROR(__xludf.DUMMYFUNCTION("""COMPUTED_VALUE"""),2.4)</f>
        <v>2.4</v>
      </c>
      <c r="G5131" s="9">
        <f>IFERROR(__xludf.DUMMYFUNCTION("""COMPUTED_VALUE"""),2.4)</f>
        <v>2.4</v>
      </c>
      <c r="H5131" s="9">
        <f>IFERROR(__xludf.DUMMYFUNCTION("""COMPUTED_VALUE"""),1.0)</f>
        <v>1</v>
      </c>
      <c r="I5131" s="9"/>
      <c r="J5131" s="9"/>
      <c r="K5131" s="9"/>
      <c r="L5131" s="9"/>
      <c r="M5131" s="9"/>
      <c r="N5131" s="9"/>
      <c r="O5131" s="9"/>
      <c r="P5131" s="9"/>
      <c r="Q5131" s="9"/>
      <c r="R5131" s="9"/>
      <c r="S5131" s="9"/>
      <c r="T5131" s="9"/>
    </row>
    <row r="5132" ht="15.75" customHeight="1">
      <c r="A5132" s="11">
        <f>IFERROR(__xludf.DUMMYFUNCTION("""COMPUTED_VALUE"""),44471.0)</f>
        <v>44471</v>
      </c>
      <c r="B5132" s="9">
        <f>IFERROR(__xludf.DUMMYFUNCTION("""COMPUTED_VALUE"""),1004010.0)</f>
        <v>1004010</v>
      </c>
      <c r="C5132" s="9">
        <f>IFERROR(__xludf.DUMMYFUNCTION("""COMPUTED_VALUE"""),111041.0)</f>
        <v>111041</v>
      </c>
      <c r="D5132" s="9"/>
      <c r="E5132" s="9"/>
      <c r="F5132" s="9">
        <f>IFERROR(__xludf.DUMMYFUNCTION("""COMPUTED_VALUE"""),2.65)</f>
        <v>2.65</v>
      </c>
      <c r="G5132" s="9">
        <f>IFERROR(__xludf.DUMMYFUNCTION("""COMPUTED_VALUE"""),2.65)</f>
        <v>2.65</v>
      </c>
      <c r="H5132" s="9">
        <f>IFERROR(__xludf.DUMMYFUNCTION("""COMPUTED_VALUE"""),1.0)</f>
        <v>1</v>
      </c>
      <c r="I5132" s="9"/>
      <c r="J5132" s="9"/>
      <c r="K5132" s="9"/>
      <c r="L5132" s="9"/>
      <c r="M5132" s="9"/>
      <c r="N5132" s="9"/>
      <c r="O5132" s="9"/>
      <c r="P5132" s="9"/>
      <c r="Q5132" s="9"/>
      <c r="R5132" s="9"/>
      <c r="S5132" s="9"/>
      <c r="T5132" s="9"/>
    </row>
    <row r="5133" ht="15.75" customHeight="1">
      <c r="A5133" s="11">
        <f>IFERROR(__xludf.DUMMYFUNCTION("""COMPUTED_VALUE"""),44471.0)</f>
        <v>44471</v>
      </c>
      <c r="B5133" s="9">
        <f>IFERROR(__xludf.DUMMYFUNCTION("""COMPUTED_VALUE"""),1004010.0)</f>
        <v>1004010</v>
      </c>
      <c r="C5133" s="9">
        <f>IFERROR(__xludf.DUMMYFUNCTION("""COMPUTED_VALUE"""),86987.0)</f>
        <v>86987</v>
      </c>
      <c r="D5133" s="9"/>
      <c r="E5133" s="9"/>
      <c r="F5133" s="9">
        <f>IFERROR(__xludf.DUMMYFUNCTION("""COMPUTED_VALUE"""),3.03)</f>
        <v>3.03</v>
      </c>
      <c r="G5133" s="9">
        <f>IFERROR(__xludf.DUMMYFUNCTION("""COMPUTED_VALUE"""),3.03)</f>
        <v>3.03</v>
      </c>
      <c r="H5133" s="9">
        <f>IFERROR(__xludf.DUMMYFUNCTION("""COMPUTED_VALUE"""),1.0)</f>
        <v>1</v>
      </c>
      <c r="I5133" s="9"/>
      <c r="J5133" s="9"/>
      <c r="K5133" s="9"/>
      <c r="L5133" s="9"/>
      <c r="M5133" s="9"/>
      <c r="N5133" s="9"/>
      <c r="O5133" s="9"/>
      <c r="P5133" s="9"/>
      <c r="Q5133" s="9"/>
      <c r="R5133" s="9"/>
      <c r="S5133" s="9"/>
      <c r="T5133" s="9"/>
    </row>
    <row r="5134" ht="15.75" customHeight="1">
      <c r="A5134" s="11">
        <f>IFERROR(__xludf.DUMMYFUNCTION("""COMPUTED_VALUE"""),44471.0)</f>
        <v>44471</v>
      </c>
      <c r="B5134" s="9">
        <f>IFERROR(__xludf.DUMMYFUNCTION("""COMPUTED_VALUE"""),1004010.0)</f>
        <v>1004010</v>
      </c>
      <c r="C5134" s="9">
        <f>IFERROR(__xludf.DUMMYFUNCTION("""COMPUTED_VALUE"""),80673.0)</f>
        <v>80673</v>
      </c>
      <c r="D5134" s="9"/>
      <c r="E5134" s="9"/>
      <c r="F5134" s="9">
        <f>IFERROR(__xludf.DUMMYFUNCTION("""COMPUTED_VALUE"""),2.67)</f>
        <v>2.67</v>
      </c>
      <c r="G5134" s="9">
        <f>IFERROR(__xludf.DUMMYFUNCTION("""COMPUTED_VALUE"""),2.67)</f>
        <v>2.67</v>
      </c>
      <c r="H5134" s="9">
        <f>IFERROR(__xludf.DUMMYFUNCTION("""COMPUTED_VALUE"""),1.0)</f>
        <v>1</v>
      </c>
      <c r="I5134" s="9"/>
      <c r="J5134" s="9"/>
      <c r="K5134" s="9"/>
      <c r="L5134" s="9"/>
      <c r="M5134" s="9"/>
      <c r="N5134" s="9"/>
      <c r="O5134" s="9"/>
      <c r="P5134" s="9"/>
      <c r="Q5134" s="9"/>
      <c r="R5134" s="9"/>
      <c r="S5134" s="9"/>
      <c r="T5134" s="9"/>
    </row>
    <row r="5135" ht="15.75" customHeight="1">
      <c r="A5135" s="11">
        <f>IFERROR(__xludf.DUMMYFUNCTION("""COMPUTED_VALUE"""),44471.0)</f>
        <v>44471</v>
      </c>
      <c r="B5135" s="9">
        <f>IFERROR(__xludf.DUMMYFUNCTION("""COMPUTED_VALUE"""),1004010.0)</f>
        <v>1004010</v>
      </c>
      <c r="C5135" s="9">
        <f>IFERROR(__xludf.DUMMYFUNCTION("""COMPUTED_VALUE"""),80584.0)</f>
        <v>80584</v>
      </c>
      <c r="D5135" s="9"/>
      <c r="E5135" s="9"/>
      <c r="F5135" s="9">
        <f>IFERROR(__xludf.DUMMYFUNCTION("""COMPUTED_VALUE"""),13.93)</f>
        <v>13.93</v>
      </c>
      <c r="G5135" s="9">
        <f>IFERROR(__xludf.DUMMYFUNCTION("""COMPUTED_VALUE"""),13.93)</f>
        <v>13.93</v>
      </c>
      <c r="H5135" s="9">
        <f>IFERROR(__xludf.DUMMYFUNCTION("""COMPUTED_VALUE"""),1.0)</f>
        <v>1</v>
      </c>
      <c r="I5135" s="9"/>
      <c r="J5135" s="9"/>
      <c r="K5135" s="9"/>
      <c r="L5135" s="9"/>
      <c r="M5135" s="9"/>
      <c r="N5135" s="9"/>
      <c r="O5135" s="9"/>
      <c r="P5135" s="9"/>
      <c r="Q5135" s="9"/>
      <c r="R5135" s="9"/>
      <c r="S5135" s="9"/>
      <c r="T5135" s="9"/>
    </row>
    <row r="5136" ht="15.75" customHeight="1">
      <c r="A5136" s="11">
        <f>IFERROR(__xludf.DUMMYFUNCTION("""COMPUTED_VALUE"""),44471.0)</f>
        <v>44471</v>
      </c>
      <c r="B5136" s="9">
        <f>IFERROR(__xludf.DUMMYFUNCTION("""COMPUTED_VALUE"""),1004010.0)</f>
        <v>1004010</v>
      </c>
      <c r="C5136" s="9">
        <f>IFERROR(__xludf.DUMMYFUNCTION("""COMPUTED_VALUE"""),47389.0)</f>
        <v>47389</v>
      </c>
      <c r="D5136" s="9"/>
      <c r="E5136" s="9"/>
      <c r="F5136" s="9">
        <f>IFERROR(__xludf.DUMMYFUNCTION("""COMPUTED_VALUE"""),2.68)</f>
        <v>2.68</v>
      </c>
      <c r="G5136" s="9">
        <f>IFERROR(__xludf.DUMMYFUNCTION("""COMPUTED_VALUE"""),2.68)</f>
        <v>2.68</v>
      </c>
      <c r="H5136" s="9">
        <f>IFERROR(__xludf.DUMMYFUNCTION("""COMPUTED_VALUE"""),1.0)</f>
        <v>1</v>
      </c>
      <c r="I5136" s="9"/>
      <c r="J5136" s="9"/>
      <c r="K5136" s="9"/>
      <c r="L5136" s="9"/>
      <c r="M5136" s="9"/>
      <c r="N5136" s="9"/>
      <c r="O5136" s="9"/>
      <c r="P5136" s="9"/>
      <c r="Q5136" s="9"/>
      <c r="R5136" s="9"/>
      <c r="S5136" s="9"/>
      <c r="T5136" s="9"/>
    </row>
    <row r="5137" ht="15.75" customHeight="1">
      <c r="A5137" s="11">
        <f>IFERROR(__xludf.DUMMYFUNCTION("""COMPUTED_VALUE"""),44471.0)</f>
        <v>44471</v>
      </c>
      <c r="B5137" s="9">
        <f>IFERROR(__xludf.DUMMYFUNCTION("""COMPUTED_VALUE"""),1004010.0)</f>
        <v>1004010</v>
      </c>
      <c r="C5137" s="9">
        <f>IFERROR(__xludf.DUMMYFUNCTION("""COMPUTED_VALUE"""),14041.0)</f>
        <v>14041</v>
      </c>
      <c r="D5137" s="9"/>
      <c r="E5137" s="9"/>
      <c r="F5137" s="9">
        <f>IFERROR(__xludf.DUMMYFUNCTION("""COMPUTED_VALUE"""),17.98)</f>
        <v>17.98</v>
      </c>
      <c r="G5137" s="9">
        <f>IFERROR(__xludf.DUMMYFUNCTION("""COMPUTED_VALUE"""),17.98)</f>
        <v>17.98</v>
      </c>
      <c r="H5137" s="9">
        <f>IFERROR(__xludf.DUMMYFUNCTION("""COMPUTED_VALUE"""),1.0)</f>
        <v>1</v>
      </c>
      <c r="I5137" s="9"/>
      <c r="J5137" s="9"/>
      <c r="K5137" s="9"/>
      <c r="L5137" s="9"/>
      <c r="M5137" s="9"/>
      <c r="N5137" s="9"/>
      <c r="O5137" s="9"/>
      <c r="P5137" s="9"/>
      <c r="Q5137" s="9"/>
      <c r="R5137" s="9"/>
      <c r="S5137" s="9"/>
      <c r="T5137" s="9"/>
    </row>
    <row r="5138" ht="15.75" customHeight="1">
      <c r="A5138" s="11">
        <f>IFERROR(__xludf.DUMMYFUNCTION("""COMPUTED_VALUE"""),44471.0)</f>
        <v>44471</v>
      </c>
      <c r="B5138" s="9">
        <f>IFERROR(__xludf.DUMMYFUNCTION("""COMPUTED_VALUE"""),1004010.0)</f>
        <v>1004010</v>
      </c>
      <c r="C5138" s="9">
        <f>IFERROR(__xludf.DUMMYFUNCTION("""COMPUTED_VALUE"""),111797.0)</f>
        <v>111797</v>
      </c>
      <c r="D5138" s="10" t="str">
        <f>IFERROR(__xludf.DUMMYFUNCTION("""COMPUTED_VALUE"""),"Offre speciale")</f>
        <v>Offre speciale</v>
      </c>
      <c r="E5138" s="10"/>
      <c r="F5138" s="9">
        <f>IFERROR(__xludf.DUMMYFUNCTION("""COMPUTED_VALUE"""),8.26666666666666)</f>
        <v>8.266666667</v>
      </c>
      <c r="G5138" s="9">
        <f>IFERROR(__xludf.DUMMYFUNCTION("""COMPUTED_VALUE"""),7.44)</f>
        <v>7.44</v>
      </c>
      <c r="H5138" s="9">
        <f>IFERROR(__xludf.DUMMYFUNCTION("""COMPUTED_VALUE"""),1.0)</f>
        <v>1</v>
      </c>
      <c r="I5138" s="9"/>
      <c r="J5138" s="9"/>
      <c r="K5138" s="9"/>
      <c r="L5138" s="9"/>
      <c r="M5138" s="9"/>
      <c r="N5138" s="9"/>
      <c r="O5138" s="9"/>
      <c r="P5138" s="9"/>
      <c r="Q5138" s="9"/>
      <c r="R5138" s="9"/>
      <c r="S5138" s="9"/>
      <c r="T5138" s="9"/>
    </row>
    <row r="5139" ht="15.75" customHeight="1">
      <c r="A5139" s="11">
        <f>IFERROR(__xludf.DUMMYFUNCTION("""COMPUTED_VALUE"""),44471.0)</f>
        <v>44471</v>
      </c>
      <c r="B5139" s="9">
        <f>IFERROR(__xludf.DUMMYFUNCTION("""COMPUTED_VALUE"""),1004010.0)</f>
        <v>1004010</v>
      </c>
      <c r="C5139" s="9">
        <f>IFERROR(__xludf.DUMMYFUNCTION("""COMPUTED_VALUE"""),80682.0)</f>
        <v>80682</v>
      </c>
      <c r="D5139" s="9"/>
      <c r="E5139" s="9"/>
      <c r="F5139" s="9">
        <f>IFERROR(__xludf.DUMMYFUNCTION("""COMPUTED_VALUE"""),2.32)</f>
        <v>2.32</v>
      </c>
      <c r="G5139" s="9">
        <f>IFERROR(__xludf.DUMMYFUNCTION("""COMPUTED_VALUE"""),2.32)</f>
        <v>2.32</v>
      </c>
      <c r="H5139" s="9">
        <f>IFERROR(__xludf.DUMMYFUNCTION("""COMPUTED_VALUE"""),1.0)</f>
        <v>1</v>
      </c>
      <c r="I5139" s="9"/>
      <c r="J5139" s="9"/>
      <c r="K5139" s="9"/>
      <c r="L5139" s="9"/>
      <c r="M5139" s="9"/>
      <c r="N5139" s="9"/>
      <c r="O5139" s="9"/>
      <c r="P5139" s="9"/>
      <c r="Q5139" s="9"/>
      <c r="R5139" s="9"/>
      <c r="S5139" s="9"/>
      <c r="T5139" s="9"/>
    </row>
    <row r="5140" ht="15.75" customHeight="1">
      <c r="A5140" s="11">
        <f>IFERROR(__xludf.DUMMYFUNCTION("""COMPUTED_VALUE"""),44471.0)</f>
        <v>44471</v>
      </c>
      <c r="B5140" s="9">
        <f>IFERROR(__xludf.DUMMYFUNCTION("""COMPUTED_VALUE"""),1004010.0)</f>
        <v>1004010</v>
      </c>
      <c r="C5140" s="9">
        <f>IFERROR(__xludf.DUMMYFUNCTION("""COMPUTED_VALUE"""),86973.0)</f>
        <v>86973</v>
      </c>
      <c r="D5140" s="9"/>
      <c r="E5140" s="9"/>
      <c r="F5140" s="9">
        <f>IFERROR(__xludf.DUMMYFUNCTION("""COMPUTED_VALUE"""),2.7)</f>
        <v>2.7</v>
      </c>
      <c r="G5140" s="9">
        <f>IFERROR(__xludf.DUMMYFUNCTION("""COMPUTED_VALUE"""),2.7)</f>
        <v>2.7</v>
      </c>
      <c r="H5140" s="9">
        <f>IFERROR(__xludf.DUMMYFUNCTION("""COMPUTED_VALUE"""),1.0)</f>
        <v>1</v>
      </c>
      <c r="I5140" s="9"/>
      <c r="J5140" s="9"/>
      <c r="K5140" s="9"/>
      <c r="L5140" s="9"/>
      <c r="M5140" s="9"/>
      <c r="N5140" s="9"/>
      <c r="O5140" s="9"/>
      <c r="P5140" s="9"/>
      <c r="Q5140" s="9"/>
      <c r="R5140" s="9"/>
      <c r="S5140" s="9"/>
      <c r="T5140" s="9"/>
    </row>
    <row r="5141" ht="15.75" customHeight="1">
      <c r="A5141" s="11">
        <f>IFERROR(__xludf.DUMMYFUNCTION("""COMPUTED_VALUE"""),44471.0)</f>
        <v>44471</v>
      </c>
      <c r="B5141" s="9">
        <f>IFERROR(__xludf.DUMMYFUNCTION("""COMPUTED_VALUE"""),1004010.0)</f>
        <v>1004010</v>
      </c>
      <c r="C5141" s="9">
        <f>IFERROR(__xludf.DUMMYFUNCTION("""COMPUTED_VALUE"""),43241.0)</f>
        <v>43241</v>
      </c>
      <c r="D5141" s="9"/>
      <c r="E5141" s="9"/>
      <c r="F5141" s="9">
        <f>IFERROR(__xludf.DUMMYFUNCTION("""COMPUTED_VALUE"""),2.83)</f>
        <v>2.83</v>
      </c>
      <c r="G5141" s="9">
        <f>IFERROR(__xludf.DUMMYFUNCTION("""COMPUTED_VALUE"""),2.83)</f>
        <v>2.83</v>
      </c>
      <c r="H5141" s="9">
        <f>IFERROR(__xludf.DUMMYFUNCTION("""COMPUTED_VALUE"""),1.0)</f>
        <v>1</v>
      </c>
      <c r="I5141" s="9"/>
      <c r="J5141" s="9"/>
      <c r="K5141" s="9"/>
      <c r="L5141" s="9"/>
      <c r="M5141" s="9"/>
      <c r="N5141" s="9"/>
      <c r="O5141" s="9"/>
      <c r="P5141" s="9"/>
      <c r="Q5141" s="9"/>
      <c r="R5141" s="9"/>
      <c r="S5141" s="9"/>
      <c r="T5141" s="9"/>
    </row>
    <row r="5142" ht="15.75" customHeight="1">
      <c r="A5142" s="11">
        <f>IFERROR(__xludf.DUMMYFUNCTION("""COMPUTED_VALUE"""),44471.0)</f>
        <v>44471</v>
      </c>
      <c r="B5142" s="9">
        <f>IFERROR(__xludf.DUMMYFUNCTION("""COMPUTED_VALUE"""),1004010.0)</f>
        <v>1004010</v>
      </c>
      <c r="C5142" s="9">
        <f>IFERROR(__xludf.DUMMYFUNCTION("""COMPUTED_VALUE"""),129481.0)</f>
        <v>129481</v>
      </c>
      <c r="D5142" s="9"/>
      <c r="E5142" s="9"/>
      <c r="F5142" s="9">
        <f>IFERROR(__xludf.DUMMYFUNCTION("""COMPUTED_VALUE"""),2.21)</f>
        <v>2.21</v>
      </c>
      <c r="G5142" s="9">
        <f>IFERROR(__xludf.DUMMYFUNCTION("""COMPUTED_VALUE"""),2.21)</f>
        <v>2.21</v>
      </c>
      <c r="H5142" s="9">
        <f>IFERROR(__xludf.DUMMYFUNCTION("""COMPUTED_VALUE"""),1.0)</f>
        <v>1</v>
      </c>
      <c r="I5142" s="9"/>
      <c r="J5142" s="9"/>
      <c r="K5142" s="9"/>
      <c r="L5142" s="9"/>
      <c r="M5142" s="9"/>
      <c r="N5142" s="9"/>
      <c r="O5142" s="9"/>
      <c r="P5142" s="9"/>
      <c r="Q5142" s="9"/>
      <c r="R5142" s="9"/>
      <c r="S5142" s="9"/>
      <c r="T5142" s="9"/>
    </row>
    <row r="5143" ht="15.75" customHeight="1">
      <c r="A5143" s="11">
        <f>IFERROR(__xludf.DUMMYFUNCTION("""COMPUTED_VALUE"""),44471.0)</f>
        <v>44471</v>
      </c>
      <c r="B5143" s="9">
        <f>IFERROR(__xludf.DUMMYFUNCTION("""COMPUTED_VALUE"""),1004010.0)</f>
        <v>1004010</v>
      </c>
      <c r="C5143" s="9">
        <f>IFERROR(__xludf.DUMMYFUNCTION("""COMPUTED_VALUE"""),86985.0)</f>
        <v>86985</v>
      </c>
      <c r="D5143" s="9"/>
      <c r="E5143" s="9"/>
      <c r="F5143" s="9">
        <f>IFERROR(__xludf.DUMMYFUNCTION("""COMPUTED_VALUE"""),3.71)</f>
        <v>3.71</v>
      </c>
      <c r="G5143" s="9">
        <f>IFERROR(__xludf.DUMMYFUNCTION("""COMPUTED_VALUE"""),3.71)</f>
        <v>3.71</v>
      </c>
      <c r="H5143" s="9">
        <f>IFERROR(__xludf.DUMMYFUNCTION("""COMPUTED_VALUE"""),1.0)</f>
        <v>1</v>
      </c>
      <c r="I5143" s="9"/>
      <c r="J5143" s="9"/>
      <c r="K5143" s="9"/>
      <c r="L5143" s="9"/>
      <c r="M5143" s="9"/>
      <c r="N5143" s="9"/>
      <c r="O5143" s="9"/>
      <c r="P5143" s="9"/>
      <c r="Q5143" s="9"/>
      <c r="R5143" s="9"/>
      <c r="S5143" s="9"/>
      <c r="T5143" s="9"/>
    </row>
    <row r="5144" ht="15.75" customHeight="1">
      <c r="A5144" s="11">
        <f>IFERROR(__xludf.DUMMYFUNCTION("""COMPUTED_VALUE"""),44471.0)</f>
        <v>44471</v>
      </c>
      <c r="B5144" s="9">
        <f>IFERROR(__xludf.DUMMYFUNCTION("""COMPUTED_VALUE"""),1004010.0)</f>
        <v>1004010</v>
      </c>
      <c r="C5144" s="9">
        <f>IFERROR(__xludf.DUMMYFUNCTION("""COMPUTED_VALUE"""),82381.0)</f>
        <v>82381</v>
      </c>
      <c r="D5144" s="9"/>
      <c r="E5144" s="9"/>
      <c r="F5144" s="9">
        <f>IFERROR(__xludf.DUMMYFUNCTION("""COMPUTED_VALUE"""),2.59)</f>
        <v>2.59</v>
      </c>
      <c r="G5144" s="9">
        <f>IFERROR(__xludf.DUMMYFUNCTION("""COMPUTED_VALUE"""),2.59)</f>
        <v>2.59</v>
      </c>
      <c r="H5144" s="9">
        <f>IFERROR(__xludf.DUMMYFUNCTION("""COMPUTED_VALUE"""),1.0)</f>
        <v>1</v>
      </c>
      <c r="I5144" s="9"/>
      <c r="J5144" s="9"/>
      <c r="K5144" s="9"/>
      <c r="L5144" s="9"/>
      <c r="M5144" s="9"/>
      <c r="N5144" s="9"/>
      <c r="O5144" s="9"/>
      <c r="P5144" s="9"/>
      <c r="Q5144" s="9"/>
      <c r="R5144" s="9"/>
      <c r="S5144" s="9"/>
      <c r="T5144" s="9"/>
    </row>
    <row r="5145" ht="15.75" customHeight="1">
      <c r="A5145" s="11">
        <f>IFERROR(__xludf.DUMMYFUNCTION("""COMPUTED_VALUE"""),44471.0)</f>
        <v>44471</v>
      </c>
      <c r="B5145" s="9">
        <f>IFERROR(__xludf.DUMMYFUNCTION("""COMPUTED_VALUE"""),1004010.0)</f>
        <v>1004010</v>
      </c>
      <c r="C5145" s="9">
        <f>IFERROR(__xludf.DUMMYFUNCTION("""COMPUTED_VALUE"""),69453.0)</f>
        <v>69453</v>
      </c>
      <c r="D5145" s="9"/>
      <c r="E5145" s="9"/>
      <c r="F5145" s="9">
        <f>IFERROR(__xludf.DUMMYFUNCTION("""COMPUTED_VALUE"""),2.59)</f>
        <v>2.59</v>
      </c>
      <c r="G5145" s="9">
        <f>IFERROR(__xludf.DUMMYFUNCTION("""COMPUTED_VALUE"""),2.59)</f>
        <v>2.59</v>
      </c>
      <c r="H5145" s="9">
        <f>IFERROR(__xludf.DUMMYFUNCTION("""COMPUTED_VALUE"""),1.0)</f>
        <v>1</v>
      </c>
      <c r="I5145" s="9"/>
      <c r="J5145" s="9"/>
      <c r="K5145" s="9"/>
      <c r="L5145" s="9"/>
      <c r="M5145" s="9"/>
      <c r="N5145" s="9"/>
      <c r="O5145" s="9"/>
      <c r="P5145" s="9"/>
      <c r="Q5145" s="9"/>
      <c r="R5145" s="9"/>
      <c r="S5145" s="9"/>
      <c r="T5145" s="9"/>
    </row>
    <row r="5146" ht="15.75" customHeight="1">
      <c r="A5146" s="11">
        <f>IFERROR(__xludf.DUMMYFUNCTION("""COMPUTED_VALUE"""),44471.0)</f>
        <v>44471</v>
      </c>
      <c r="B5146" s="9">
        <f>IFERROR(__xludf.DUMMYFUNCTION("""COMPUTED_VALUE"""),1004010.0)</f>
        <v>1004010</v>
      </c>
      <c r="C5146" s="9">
        <f>IFERROR(__xludf.DUMMYFUNCTION("""COMPUTED_VALUE"""),42198.0)</f>
        <v>42198</v>
      </c>
      <c r="D5146" s="9"/>
      <c r="E5146" s="9"/>
      <c r="F5146" s="9">
        <f>IFERROR(__xludf.DUMMYFUNCTION("""COMPUTED_VALUE"""),4.18)</f>
        <v>4.18</v>
      </c>
      <c r="G5146" s="9">
        <f>IFERROR(__xludf.DUMMYFUNCTION("""COMPUTED_VALUE"""),4.18)</f>
        <v>4.18</v>
      </c>
      <c r="H5146" s="9">
        <f>IFERROR(__xludf.DUMMYFUNCTION("""COMPUTED_VALUE"""),1.0)</f>
        <v>1</v>
      </c>
      <c r="I5146" s="9"/>
      <c r="J5146" s="9"/>
      <c r="K5146" s="9"/>
      <c r="L5146" s="9"/>
      <c r="M5146" s="9"/>
      <c r="N5146" s="9"/>
      <c r="O5146" s="9"/>
      <c r="P5146" s="9"/>
      <c r="Q5146" s="9"/>
      <c r="R5146" s="9"/>
      <c r="S5146" s="9"/>
      <c r="T5146" s="9"/>
    </row>
    <row r="5147" ht="15.75" customHeight="1">
      <c r="A5147" s="11">
        <f>IFERROR(__xludf.DUMMYFUNCTION("""COMPUTED_VALUE"""),44471.0)</f>
        <v>44471</v>
      </c>
      <c r="B5147" s="9">
        <f>IFERROR(__xludf.DUMMYFUNCTION("""COMPUTED_VALUE"""),1004010.0)</f>
        <v>1004010</v>
      </c>
      <c r="C5147" s="9">
        <f>IFERROR(__xludf.DUMMYFUNCTION("""COMPUTED_VALUE"""),46823.0)</f>
        <v>46823</v>
      </c>
      <c r="D5147" s="9"/>
      <c r="E5147" s="9"/>
      <c r="F5147" s="9">
        <f>IFERROR(__xludf.DUMMYFUNCTION("""COMPUTED_VALUE"""),4.18)</f>
        <v>4.18</v>
      </c>
      <c r="G5147" s="9">
        <f>IFERROR(__xludf.DUMMYFUNCTION("""COMPUTED_VALUE"""),4.18)</f>
        <v>4.18</v>
      </c>
      <c r="H5147" s="9">
        <f>IFERROR(__xludf.DUMMYFUNCTION("""COMPUTED_VALUE"""),1.0)</f>
        <v>1</v>
      </c>
      <c r="I5147" s="9"/>
      <c r="J5147" s="9"/>
      <c r="K5147" s="9"/>
      <c r="L5147" s="9"/>
      <c r="M5147" s="9"/>
      <c r="N5147" s="9"/>
      <c r="O5147" s="9"/>
      <c r="P5147" s="9"/>
      <c r="Q5147" s="9"/>
      <c r="R5147" s="9"/>
      <c r="S5147" s="9"/>
      <c r="T5147" s="9"/>
    </row>
    <row r="5148" ht="15.75" customHeight="1">
      <c r="A5148" s="11">
        <f>IFERROR(__xludf.DUMMYFUNCTION("""COMPUTED_VALUE"""),44471.0)</f>
        <v>44471</v>
      </c>
      <c r="B5148" s="9">
        <f>IFERROR(__xludf.DUMMYFUNCTION("""COMPUTED_VALUE"""),1004010.0)</f>
        <v>1004010</v>
      </c>
      <c r="C5148" s="9">
        <f>IFERROR(__xludf.DUMMYFUNCTION("""COMPUTED_VALUE"""),110573.0)</f>
        <v>110573</v>
      </c>
      <c r="D5148" s="9"/>
      <c r="E5148" s="9"/>
      <c r="F5148" s="9">
        <f>IFERROR(__xludf.DUMMYFUNCTION("""COMPUTED_VALUE"""),1.92)</f>
        <v>1.92</v>
      </c>
      <c r="G5148" s="9">
        <f>IFERROR(__xludf.DUMMYFUNCTION("""COMPUTED_VALUE"""),1.92)</f>
        <v>1.92</v>
      </c>
      <c r="H5148" s="9">
        <f>IFERROR(__xludf.DUMMYFUNCTION("""COMPUTED_VALUE"""),1.0)</f>
        <v>1</v>
      </c>
      <c r="I5148" s="9"/>
      <c r="J5148" s="9"/>
      <c r="K5148" s="9"/>
      <c r="L5148" s="9"/>
      <c r="M5148" s="9"/>
      <c r="N5148" s="9"/>
      <c r="O5148" s="9"/>
      <c r="P5148" s="9"/>
      <c r="Q5148" s="9"/>
      <c r="R5148" s="9"/>
      <c r="S5148" s="9"/>
      <c r="T5148" s="9"/>
    </row>
    <row r="5149" ht="15.75" customHeight="1">
      <c r="A5149" s="11">
        <f>IFERROR(__xludf.DUMMYFUNCTION("""COMPUTED_VALUE"""),44471.0)</f>
        <v>44471</v>
      </c>
      <c r="B5149" s="9">
        <f>IFERROR(__xludf.DUMMYFUNCTION("""COMPUTED_VALUE"""),1004010.0)</f>
        <v>1004010</v>
      </c>
      <c r="C5149" s="9">
        <f>IFERROR(__xludf.DUMMYFUNCTION("""COMPUTED_VALUE"""),86166.0)</f>
        <v>86166</v>
      </c>
      <c r="D5149" s="10" t="str">
        <f>IFERROR(__xludf.DUMMYFUNCTION("""COMPUTED_VALUE"""),"Vive le bio")</f>
        <v>Vive le bio</v>
      </c>
      <c r="E5149" s="10"/>
      <c r="F5149" s="9">
        <f>IFERROR(__xludf.DUMMYFUNCTION("""COMPUTED_VALUE"""),13.0555555555555)</f>
        <v>13.05555556</v>
      </c>
      <c r="G5149" s="9">
        <f>IFERROR(__xludf.DUMMYFUNCTION("""COMPUTED_VALUE"""),11.75)</f>
        <v>11.75</v>
      </c>
      <c r="H5149" s="9">
        <f>IFERROR(__xludf.DUMMYFUNCTION("""COMPUTED_VALUE"""),1.0)</f>
        <v>1</v>
      </c>
      <c r="I5149" s="9"/>
      <c r="J5149" s="9"/>
      <c r="K5149" s="9"/>
      <c r="L5149" s="9"/>
      <c r="M5149" s="9"/>
      <c r="N5149" s="9"/>
      <c r="O5149" s="9"/>
      <c r="P5149" s="9"/>
      <c r="Q5149" s="9"/>
      <c r="R5149" s="9"/>
      <c r="S5149" s="9"/>
      <c r="T5149" s="9"/>
    </row>
    <row r="5150" ht="15.75" customHeight="1">
      <c r="A5150" s="11">
        <f>IFERROR(__xludf.DUMMYFUNCTION("""COMPUTED_VALUE"""),44471.0)</f>
        <v>44471</v>
      </c>
      <c r="B5150" s="9">
        <f>IFERROR(__xludf.DUMMYFUNCTION("""COMPUTED_VALUE"""),1004010.0)</f>
        <v>1004010</v>
      </c>
      <c r="C5150" s="9">
        <f>IFERROR(__xludf.DUMMYFUNCTION("""COMPUTED_VALUE"""),86980.0)</f>
        <v>86980</v>
      </c>
      <c r="D5150" s="9"/>
      <c r="E5150" s="9"/>
      <c r="F5150" s="9">
        <f>IFERROR(__xludf.DUMMYFUNCTION("""COMPUTED_VALUE"""),2.35)</f>
        <v>2.35</v>
      </c>
      <c r="G5150" s="9">
        <f>IFERROR(__xludf.DUMMYFUNCTION("""COMPUTED_VALUE"""),2.35)</f>
        <v>2.35</v>
      </c>
      <c r="H5150" s="9">
        <f>IFERROR(__xludf.DUMMYFUNCTION("""COMPUTED_VALUE"""),1.0)</f>
        <v>1</v>
      </c>
      <c r="I5150" s="9"/>
      <c r="J5150" s="9"/>
      <c r="K5150" s="9"/>
      <c r="L5150" s="9"/>
      <c r="M5150" s="9"/>
      <c r="N5150" s="9"/>
      <c r="O5150" s="9"/>
      <c r="P5150" s="9"/>
      <c r="Q5150" s="9"/>
      <c r="R5150" s="9"/>
      <c r="S5150" s="9"/>
      <c r="T5150" s="9"/>
    </row>
    <row r="5151" ht="15.75" customHeight="1">
      <c r="A5151" s="11">
        <f>IFERROR(__xludf.DUMMYFUNCTION("""COMPUTED_VALUE"""),44471.0)</f>
        <v>44471</v>
      </c>
      <c r="B5151" s="9">
        <f>IFERROR(__xludf.DUMMYFUNCTION("""COMPUTED_VALUE"""),1004010.0)</f>
        <v>1004010</v>
      </c>
      <c r="C5151" s="9">
        <f>IFERROR(__xludf.DUMMYFUNCTION("""COMPUTED_VALUE"""),199268.0)</f>
        <v>199268</v>
      </c>
      <c r="D5151" s="9"/>
      <c r="E5151" s="9"/>
      <c r="F5151" s="9">
        <f>IFERROR(__xludf.DUMMYFUNCTION("""COMPUTED_VALUE"""),3.85)</f>
        <v>3.85</v>
      </c>
      <c r="G5151" s="9">
        <f>IFERROR(__xludf.DUMMYFUNCTION("""COMPUTED_VALUE"""),3.85)</f>
        <v>3.85</v>
      </c>
      <c r="H5151" s="9">
        <f>IFERROR(__xludf.DUMMYFUNCTION("""COMPUTED_VALUE"""),1.0)</f>
        <v>1</v>
      </c>
      <c r="I5151" s="9"/>
      <c r="J5151" s="9"/>
      <c r="K5151" s="9"/>
      <c r="L5151" s="9"/>
      <c r="M5151" s="9"/>
      <c r="N5151" s="9"/>
      <c r="O5151" s="9"/>
      <c r="P5151" s="9"/>
      <c r="Q5151" s="9"/>
      <c r="R5151" s="9"/>
      <c r="S5151" s="9"/>
      <c r="T5151" s="9"/>
    </row>
    <row r="5152" ht="15.75" customHeight="1">
      <c r="A5152" s="11">
        <f>IFERROR(__xludf.DUMMYFUNCTION("""COMPUTED_VALUE"""),44471.0)</f>
        <v>44471</v>
      </c>
      <c r="B5152" s="9">
        <f>IFERROR(__xludf.DUMMYFUNCTION("""COMPUTED_VALUE"""),1004010.0)</f>
        <v>1004010</v>
      </c>
      <c r="C5152" s="9">
        <f>IFERROR(__xludf.DUMMYFUNCTION("""COMPUTED_VALUE"""),71398.0)</f>
        <v>71398</v>
      </c>
      <c r="D5152" s="10" t="str">
        <f>IFERROR(__xludf.DUMMYFUNCTION("""COMPUTED_VALUE"""),"Offre speciale")</f>
        <v>Offre speciale</v>
      </c>
      <c r="E5152" s="10"/>
      <c r="F5152" s="9">
        <f>IFERROR(__xludf.DUMMYFUNCTION("""COMPUTED_VALUE"""),4.70588235294117)</f>
        <v>4.705882353</v>
      </c>
      <c r="G5152" s="9">
        <f>IFERROR(__xludf.DUMMYFUNCTION("""COMPUTED_VALUE"""),4.0)</f>
        <v>4</v>
      </c>
      <c r="H5152" s="9">
        <f>IFERROR(__xludf.DUMMYFUNCTION("""COMPUTED_VALUE"""),1.0)</f>
        <v>1</v>
      </c>
      <c r="I5152" s="9"/>
      <c r="J5152" s="9"/>
      <c r="K5152" s="9"/>
      <c r="L5152" s="9"/>
      <c r="M5152" s="9"/>
      <c r="N5152" s="9"/>
      <c r="O5152" s="9"/>
      <c r="P5152" s="9"/>
      <c r="Q5152" s="9"/>
      <c r="R5152" s="9"/>
      <c r="S5152" s="9"/>
      <c r="T5152" s="9"/>
    </row>
    <row r="5153" ht="15.75" customHeight="1">
      <c r="A5153" s="11">
        <f>IFERROR(__xludf.DUMMYFUNCTION("""COMPUTED_VALUE"""),44471.0)</f>
        <v>44471</v>
      </c>
      <c r="B5153" s="9">
        <f>IFERROR(__xludf.DUMMYFUNCTION("""COMPUTED_VALUE"""),1004010.0)</f>
        <v>1004010</v>
      </c>
      <c r="C5153" s="9">
        <f>IFERROR(__xludf.DUMMYFUNCTION("""COMPUTED_VALUE"""),42190.0)</f>
        <v>42190</v>
      </c>
      <c r="D5153" s="9"/>
      <c r="E5153" s="9"/>
      <c r="F5153" s="9">
        <f>IFERROR(__xludf.DUMMYFUNCTION("""COMPUTED_VALUE"""),3.48)</f>
        <v>3.48</v>
      </c>
      <c r="G5153" s="9">
        <f>IFERROR(__xludf.DUMMYFUNCTION("""COMPUTED_VALUE"""),3.48)</f>
        <v>3.48</v>
      </c>
      <c r="H5153" s="9">
        <f>IFERROR(__xludf.DUMMYFUNCTION("""COMPUTED_VALUE"""),1.0)</f>
        <v>1</v>
      </c>
      <c r="I5153" s="9"/>
      <c r="J5153" s="9"/>
      <c r="K5153" s="9"/>
      <c r="L5153" s="9"/>
      <c r="M5153" s="9"/>
      <c r="N5153" s="9"/>
      <c r="O5153" s="9"/>
      <c r="P5153" s="9"/>
      <c r="Q5153" s="9"/>
      <c r="R5153" s="9"/>
      <c r="S5153" s="9"/>
      <c r="T5153" s="9"/>
    </row>
    <row r="5154" ht="15.75" customHeight="1">
      <c r="A5154" s="11">
        <f>IFERROR(__xludf.DUMMYFUNCTION("""COMPUTED_VALUE"""),44471.0)</f>
        <v>44471</v>
      </c>
      <c r="B5154" s="9">
        <f>IFERROR(__xludf.DUMMYFUNCTION("""COMPUTED_VALUE"""),1004010.0)</f>
        <v>1004010</v>
      </c>
      <c r="C5154" s="9">
        <f>IFERROR(__xludf.DUMMYFUNCTION("""COMPUTED_VALUE"""),81653.0)</f>
        <v>81653</v>
      </c>
      <c r="D5154" s="9"/>
      <c r="E5154" s="9"/>
      <c r="F5154" s="9">
        <f>IFERROR(__xludf.DUMMYFUNCTION("""COMPUTED_VALUE"""),6.71)</f>
        <v>6.71</v>
      </c>
      <c r="G5154" s="9">
        <f>IFERROR(__xludf.DUMMYFUNCTION("""COMPUTED_VALUE"""),6.71)</f>
        <v>6.71</v>
      </c>
      <c r="H5154" s="9">
        <f>IFERROR(__xludf.DUMMYFUNCTION("""COMPUTED_VALUE"""),1.0)</f>
        <v>1</v>
      </c>
      <c r="I5154" s="9"/>
      <c r="J5154" s="9"/>
      <c r="K5154" s="9"/>
      <c r="L5154" s="9"/>
      <c r="M5154" s="9"/>
      <c r="N5154" s="9"/>
      <c r="O5154" s="9"/>
      <c r="P5154" s="9"/>
      <c r="Q5154" s="9"/>
      <c r="R5154" s="9"/>
      <c r="S5154" s="9"/>
      <c r="T5154" s="9"/>
    </row>
    <row r="5155" ht="15.75" customHeight="1">
      <c r="A5155" s="11">
        <f>IFERROR(__xludf.DUMMYFUNCTION("""COMPUTED_VALUE"""),44471.0)</f>
        <v>44471</v>
      </c>
      <c r="B5155" s="9">
        <f>IFERROR(__xludf.DUMMYFUNCTION("""COMPUTED_VALUE"""),1004010.0)</f>
        <v>1004010</v>
      </c>
      <c r="C5155" s="9">
        <f>IFERROR(__xludf.DUMMYFUNCTION("""COMPUTED_VALUE"""),12648.0)</f>
        <v>12648</v>
      </c>
      <c r="D5155" s="9"/>
      <c r="E5155" s="9"/>
      <c r="F5155" s="9">
        <f>IFERROR(__xludf.DUMMYFUNCTION("""COMPUTED_VALUE"""),9.69)</f>
        <v>9.69</v>
      </c>
      <c r="G5155" s="9">
        <f>IFERROR(__xludf.DUMMYFUNCTION("""COMPUTED_VALUE"""),9.69)</f>
        <v>9.69</v>
      </c>
      <c r="H5155" s="9">
        <f>IFERROR(__xludf.DUMMYFUNCTION("""COMPUTED_VALUE"""),1.0)</f>
        <v>1</v>
      </c>
      <c r="I5155" s="9"/>
      <c r="J5155" s="9"/>
      <c r="K5155" s="9"/>
      <c r="L5155" s="9"/>
      <c r="M5155" s="9"/>
      <c r="N5155" s="9"/>
      <c r="O5155" s="9"/>
      <c r="P5155" s="9"/>
      <c r="Q5155" s="9"/>
      <c r="R5155" s="9"/>
      <c r="S5155" s="9"/>
      <c r="T5155" s="9"/>
    </row>
    <row r="5156" ht="15.75" customHeight="1">
      <c r="A5156" s="11">
        <f>IFERROR(__xludf.DUMMYFUNCTION("""COMPUTED_VALUE"""),44471.0)</f>
        <v>44471</v>
      </c>
      <c r="B5156" s="9">
        <f>IFERROR(__xludf.DUMMYFUNCTION("""COMPUTED_VALUE"""),1004010.0)</f>
        <v>1004010</v>
      </c>
      <c r="C5156" s="9">
        <f>IFERROR(__xludf.DUMMYFUNCTION("""COMPUTED_VALUE"""),47621.0)</f>
        <v>47621</v>
      </c>
      <c r="D5156" s="9"/>
      <c r="E5156" s="9"/>
      <c r="F5156" s="9">
        <f>IFERROR(__xludf.DUMMYFUNCTION("""COMPUTED_VALUE"""),2.99)</f>
        <v>2.99</v>
      </c>
      <c r="G5156" s="9">
        <f>IFERROR(__xludf.DUMMYFUNCTION("""COMPUTED_VALUE"""),2.99)</f>
        <v>2.99</v>
      </c>
      <c r="H5156" s="9">
        <f>IFERROR(__xludf.DUMMYFUNCTION("""COMPUTED_VALUE"""),1.0)</f>
        <v>1</v>
      </c>
      <c r="I5156" s="9"/>
      <c r="J5156" s="9"/>
      <c r="K5156" s="9"/>
      <c r="L5156" s="9"/>
      <c r="M5156" s="9"/>
      <c r="N5156" s="9"/>
      <c r="O5156" s="9"/>
      <c r="P5156" s="9"/>
      <c r="Q5156" s="9"/>
      <c r="R5156" s="9"/>
      <c r="S5156" s="9"/>
      <c r="T5156" s="9"/>
    </row>
    <row r="5157" ht="15.75" customHeight="1">
      <c r="A5157" s="11">
        <f>IFERROR(__xludf.DUMMYFUNCTION("""COMPUTED_VALUE"""),44471.0)</f>
        <v>44471</v>
      </c>
      <c r="B5157" s="9">
        <f>IFERROR(__xludf.DUMMYFUNCTION("""COMPUTED_VALUE"""),1004010.0)</f>
        <v>1004010</v>
      </c>
      <c r="C5157" s="9">
        <f>IFERROR(__xludf.DUMMYFUNCTION("""COMPUTED_VALUE"""),47601.0)</f>
        <v>47601</v>
      </c>
      <c r="D5157" s="9"/>
      <c r="E5157" s="9"/>
      <c r="F5157" s="9">
        <f>IFERROR(__xludf.DUMMYFUNCTION("""COMPUTED_VALUE"""),4.73)</f>
        <v>4.73</v>
      </c>
      <c r="G5157" s="9">
        <f>IFERROR(__xludf.DUMMYFUNCTION("""COMPUTED_VALUE"""),4.73)</f>
        <v>4.73</v>
      </c>
      <c r="H5157" s="9">
        <f>IFERROR(__xludf.DUMMYFUNCTION("""COMPUTED_VALUE"""),1.0)</f>
        <v>1</v>
      </c>
      <c r="I5157" s="9"/>
      <c r="J5157" s="9"/>
      <c r="K5157" s="9"/>
      <c r="L5157" s="9"/>
      <c r="M5157" s="9"/>
      <c r="N5157" s="9"/>
      <c r="O5157" s="9"/>
      <c r="P5157" s="9"/>
      <c r="Q5157" s="9"/>
      <c r="R5157" s="9"/>
      <c r="S5157" s="9"/>
      <c r="T5157" s="9"/>
    </row>
    <row r="5158" ht="15.75" customHeight="1">
      <c r="A5158" s="11">
        <f>IFERROR(__xludf.DUMMYFUNCTION("""COMPUTED_VALUE"""),44471.0)</f>
        <v>44471</v>
      </c>
      <c r="B5158" s="9">
        <f>IFERROR(__xludf.DUMMYFUNCTION("""COMPUTED_VALUE"""),1004010.0)</f>
        <v>1004010</v>
      </c>
      <c r="C5158" s="9">
        <f>IFERROR(__xludf.DUMMYFUNCTION("""COMPUTED_VALUE"""),99981.0)</f>
        <v>99981</v>
      </c>
      <c r="D5158" s="9"/>
      <c r="E5158" s="9"/>
      <c r="F5158" s="9">
        <f>IFERROR(__xludf.DUMMYFUNCTION("""COMPUTED_VALUE"""),2.62)</f>
        <v>2.62</v>
      </c>
      <c r="G5158" s="9">
        <f>IFERROR(__xludf.DUMMYFUNCTION("""COMPUTED_VALUE"""),2.62)</f>
        <v>2.62</v>
      </c>
      <c r="H5158" s="9">
        <f>IFERROR(__xludf.DUMMYFUNCTION("""COMPUTED_VALUE"""),1.0)</f>
        <v>1</v>
      </c>
      <c r="I5158" s="9"/>
      <c r="J5158" s="9"/>
      <c r="K5158" s="9"/>
      <c r="L5158" s="9"/>
      <c r="M5158" s="9"/>
      <c r="N5158" s="9"/>
      <c r="O5158" s="9"/>
      <c r="P5158" s="9"/>
      <c r="Q5158" s="9"/>
      <c r="R5158" s="9"/>
      <c r="S5158" s="9"/>
      <c r="T5158" s="9"/>
    </row>
    <row r="5159" ht="15.75" customHeight="1">
      <c r="A5159" s="11">
        <f>IFERROR(__xludf.DUMMYFUNCTION("""COMPUTED_VALUE"""),44471.0)</f>
        <v>44471</v>
      </c>
      <c r="B5159" s="9">
        <f>IFERROR(__xludf.DUMMYFUNCTION("""COMPUTED_VALUE"""),1004010.0)</f>
        <v>1004010</v>
      </c>
      <c r="C5159" s="9">
        <f>IFERROR(__xludf.DUMMYFUNCTION("""COMPUTED_VALUE"""),952.0)</f>
        <v>952</v>
      </c>
      <c r="D5159" s="9"/>
      <c r="E5159" s="9"/>
      <c r="F5159" s="9">
        <f>IFERROR(__xludf.DUMMYFUNCTION("""COMPUTED_VALUE"""),2.87)</f>
        <v>2.87</v>
      </c>
      <c r="G5159" s="9">
        <f>IFERROR(__xludf.DUMMYFUNCTION("""COMPUTED_VALUE"""),2.87)</f>
        <v>2.87</v>
      </c>
      <c r="H5159" s="9">
        <f>IFERROR(__xludf.DUMMYFUNCTION("""COMPUTED_VALUE"""),1.0)</f>
        <v>1</v>
      </c>
      <c r="I5159" s="9"/>
      <c r="J5159" s="9"/>
      <c r="K5159" s="9"/>
      <c r="L5159" s="9"/>
      <c r="M5159" s="9"/>
      <c r="N5159" s="9"/>
      <c r="O5159" s="9"/>
      <c r="P5159" s="9"/>
      <c r="Q5159" s="9"/>
      <c r="R5159" s="9"/>
      <c r="S5159" s="9"/>
      <c r="T5159" s="9"/>
    </row>
    <row r="5160" ht="15.75" customHeight="1">
      <c r="A5160" s="11">
        <f>IFERROR(__xludf.DUMMYFUNCTION("""COMPUTED_VALUE"""),44471.0)</f>
        <v>44471</v>
      </c>
      <c r="B5160" s="9">
        <f>IFERROR(__xludf.DUMMYFUNCTION("""COMPUTED_VALUE"""),1004010.0)</f>
        <v>1004010</v>
      </c>
      <c r="C5160" s="9">
        <f>IFERROR(__xludf.DUMMYFUNCTION("""COMPUTED_VALUE"""),118197.0)</f>
        <v>118197</v>
      </c>
      <c r="D5160" s="9"/>
      <c r="E5160" s="9"/>
      <c r="F5160" s="9">
        <f>IFERROR(__xludf.DUMMYFUNCTION("""COMPUTED_VALUE"""),5.26)</f>
        <v>5.26</v>
      </c>
      <c r="G5160" s="9">
        <f>IFERROR(__xludf.DUMMYFUNCTION("""COMPUTED_VALUE"""),5.26)</f>
        <v>5.26</v>
      </c>
      <c r="H5160" s="9">
        <f>IFERROR(__xludf.DUMMYFUNCTION("""COMPUTED_VALUE"""),2.0)</f>
        <v>2</v>
      </c>
      <c r="I5160" s="9"/>
      <c r="J5160" s="9"/>
      <c r="K5160" s="9"/>
      <c r="L5160" s="9"/>
      <c r="M5160" s="9"/>
      <c r="N5160" s="9"/>
      <c r="O5160" s="9"/>
      <c r="P5160" s="9"/>
      <c r="Q5160" s="9"/>
      <c r="R5160" s="9"/>
      <c r="S5160" s="9"/>
      <c r="T5160" s="9"/>
    </row>
    <row r="5161" ht="15.75" customHeight="1">
      <c r="A5161" s="11">
        <f>IFERROR(__xludf.DUMMYFUNCTION("""COMPUTED_VALUE"""),44471.0)</f>
        <v>44471</v>
      </c>
      <c r="B5161" s="9">
        <f>IFERROR(__xludf.DUMMYFUNCTION("""COMPUTED_VALUE"""),1004010.0)</f>
        <v>1004010</v>
      </c>
      <c r="C5161" s="9">
        <f>IFERROR(__xludf.DUMMYFUNCTION("""COMPUTED_VALUE"""),118196.0)</f>
        <v>118196</v>
      </c>
      <c r="D5161" s="9"/>
      <c r="E5161" s="9"/>
      <c r="F5161" s="9">
        <f>IFERROR(__xludf.DUMMYFUNCTION("""COMPUTED_VALUE"""),6.28)</f>
        <v>6.28</v>
      </c>
      <c r="G5161" s="9">
        <f>IFERROR(__xludf.DUMMYFUNCTION("""COMPUTED_VALUE"""),6.28)</f>
        <v>6.28</v>
      </c>
      <c r="H5161" s="9">
        <f>IFERROR(__xludf.DUMMYFUNCTION("""COMPUTED_VALUE"""),2.0)</f>
        <v>2</v>
      </c>
      <c r="I5161" s="9"/>
      <c r="J5161" s="9"/>
      <c r="K5161" s="9"/>
      <c r="L5161" s="9"/>
      <c r="M5161" s="9"/>
      <c r="N5161" s="9"/>
      <c r="O5161" s="9"/>
      <c r="P5161" s="9"/>
      <c r="Q5161" s="9"/>
      <c r="R5161" s="9"/>
      <c r="S5161" s="9"/>
      <c r="T5161" s="9"/>
    </row>
    <row r="5162" ht="15.75" customHeight="1">
      <c r="A5162" s="11">
        <f>IFERROR(__xludf.DUMMYFUNCTION("""COMPUTED_VALUE"""),44471.0)</f>
        <v>44471</v>
      </c>
      <c r="B5162" s="9">
        <f>IFERROR(__xludf.DUMMYFUNCTION("""COMPUTED_VALUE"""),1004010.0)</f>
        <v>1004010</v>
      </c>
      <c r="C5162" s="9">
        <f>IFERROR(__xludf.DUMMYFUNCTION("""COMPUTED_VALUE"""),107349.0)</f>
        <v>107349</v>
      </c>
      <c r="D5162" s="9"/>
      <c r="E5162" s="9"/>
      <c r="F5162" s="9">
        <f>IFERROR(__xludf.DUMMYFUNCTION("""COMPUTED_VALUE"""),5.39)</f>
        <v>5.39</v>
      </c>
      <c r="G5162" s="9">
        <f>IFERROR(__xludf.DUMMYFUNCTION("""COMPUTED_VALUE"""),5.39)</f>
        <v>5.39</v>
      </c>
      <c r="H5162" s="9">
        <f>IFERROR(__xludf.DUMMYFUNCTION("""COMPUTED_VALUE"""),2.0)</f>
        <v>2</v>
      </c>
      <c r="I5162" s="9"/>
      <c r="J5162" s="9"/>
      <c r="K5162" s="9"/>
      <c r="L5162" s="9"/>
      <c r="M5162" s="9"/>
      <c r="N5162" s="9"/>
      <c r="O5162" s="9"/>
      <c r="P5162" s="9"/>
      <c r="Q5162" s="9"/>
      <c r="R5162" s="9"/>
      <c r="S5162" s="9"/>
      <c r="T5162" s="9"/>
    </row>
    <row r="5163" ht="15.75" customHeight="1">
      <c r="A5163" s="11">
        <f>IFERROR(__xludf.DUMMYFUNCTION("""COMPUTED_VALUE"""),44471.0)</f>
        <v>44471</v>
      </c>
      <c r="B5163" s="9">
        <f>IFERROR(__xludf.DUMMYFUNCTION("""COMPUTED_VALUE"""),1004010.0)</f>
        <v>1004010</v>
      </c>
      <c r="C5163" s="9">
        <f>IFERROR(__xludf.DUMMYFUNCTION("""COMPUTED_VALUE"""),110006.0)</f>
        <v>110006</v>
      </c>
      <c r="D5163" s="9"/>
      <c r="E5163" s="9"/>
      <c r="F5163" s="9">
        <f>IFERROR(__xludf.DUMMYFUNCTION("""COMPUTED_VALUE"""),5.43)</f>
        <v>5.43</v>
      </c>
      <c r="G5163" s="9">
        <f>IFERROR(__xludf.DUMMYFUNCTION("""COMPUTED_VALUE"""),5.43)</f>
        <v>5.43</v>
      </c>
      <c r="H5163" s="9">
        <f>IFERROR(__xludf.DUMMYFUNCTION("""COMPUTED_VALUE"""),2.0)</f>
        <v>2</v>
      </c>
      <c r="I5163" s="9"/>
      <c r="J5163" s="9"/>
      <c r="K5163" s="9"/>
      <c r="L5163" s="9"/>
      <c r="M5163" s="9"/>
      <c r="N5163" s="9"/>
      <c r="O5163" s="9"/>
      <c r="P5163" s="9"/>
      <c r="Q5163" s="9"/>
      <c r="R5163" s="9"/>
      <c r="S5163" s="9"/>
      <c r="T5163" s="9"/>
    </row>
    <row r="5164" ht="15.75" customHeight="1">
      <c r="A5164" s="11">
        <f>IFERROR(__xludf.DUMMYFUNCTION("""COMPUTED_VALUE"""),44471.0)</f>
        <v>44471</v>
      </c>
      <c r="B5164" s="9">
        <f>IFERROR(__xludf.DUMMYFUNCTION("""COMPUTED_VALUE"""),1004010.0)</f>
        <v>1004010</v>
      </c>
      <c r="C5164" s="9">
        <f>IFERROR(__xludf.DUMMYFUNCTION("""COMPUTED_VALUE"""),46043.0)</f>
        <v>46043</v>
      </c>
      <c r="D5164" s="10" t="str">
        <f>IFERROR(__xludf.DUMMYFUNCTION("""COMPUTED_VALUE"""),"Offre speciale")</f>
        <v>Offre speciale</v>
      </c>
      <c r="E5164" s="10"/>
      <c r="F5164" s="9">
        <f>IFERROR(__xludf.DUMMYFUNCTION("""COMPUTED_VALUE"""),6.85555555555555)</f>
        <v>6.855555556</v>
      </c>
      <c r="G5164" s="9">
        <f>IFERROR(__xludf.DUMMYFUNCTION("""COMPUTED_VALUE"""),6.17)</f>
        <v>6.17</v>
      </c>
      <c r="H5164" s="9">
        <f>IFERROR(__xludf.DUMMYFUNCTION("""COMPUTED_VALUE"""),2.0)</f>
        <v>2</v>
      </c>
      <c r="I5164" s="9"/>
      <c r="J5164" s="9"/>
      <c r="K5164" s="9"/>
      <c r="L5164" s="9"/>
      <c r="M5164" s="9"/>
      <c r="N5164" s="9"/>
      <c r="O5164" s="9"/>
      <c r="P5164" s="9"/>
      <c r="Q5164" s="9"/>
      <c r="R5164" s="9"/>
      <c r="S5164" s="9"/>
      <c r="T5164" s="9"/>
    </row>
    <row r="5165" ht="15.75" customHeight="1">
      <c r="A5165" s="11">
        <f>IFERROR(__xludf.DUMMYFUNCTION("""COMPUTED_VALUE"""),44471.0)</f>
        <v>44471</v>
      </c>
      <c r="B5165" s="9">
        <f>IFERROR(__xludf.DUMMYFUNCTION("""COMPUTED_VALUE"""),1004010.0)</f>
        <v>1004010</v>
      </c>
      <c r="C5165" s="9">
        <f>IFERROR(__xludf.DUMMYFUNCTION("""COMPUTED_VALUE"""),48634.0)</f>
        <v>48634</v>
      </c>
      <c r="D5165" s="9"/>
      <c r="E5165" s="9"/>
      <c r="F5165" s="9">
        <f>IFERROR(__xludf.DUMMYFUNCTION("""COMPUTED_VALUE"""),9.48)</f>
        <v>9.48</v>
      </c>
      <c r="G5165" s="9">
        <f>IFERROR(__xludf.DUMMYFUNCTION("""COMPUTED_VALUE"""),9.48)</f>
        <v>9.48</v>
      </c>
      <c r="H5165" s="9">
        <f>IFERROR(__xludf.DUMMYFUNCTION("""COMPUTED_VALUE"""),2.0)</f>
        <v>2</v>
      </c>
      <c r="I5165" s="9"/>
      <c r="J5165" s="9"/>
      <c r="K5165" s="9"/>
      <c r="L5165" s="9"/>
      <c r="M5165" s="9"/>
      <c r="N5165" s="9"/>
      <c r="O5165" s="9"/>
      <c r="P5165" s="9"/>
      <c r="Q5165" s="9"/>
      <c r="R5165" s="9"/>
      <c r="S5165" s="9"/>
      <c r="T5165" s="9"/>
    </row>
    <row r="5166" ht="15.75" customHeight="1">
      <c r="A5166" s="11">
        <f>IFERROR(__xludf.DUMMYFUNCTION("""COMPUTED_VALUE"""),44471.0)</f>
        <v>44471</v>
      </c>
      <c r="B5166" s="9">
        <f>IFERROR(__xludf.DUMMYFUNCTION("""COMPUTED_VALUE"""),1004010.0)</f>
        <v>1004010</v>
      </c>
      <c r="C5166" s="9">
        <f>IFERROR(__xludf.DUMMYFUNCTION("""COMPUTED_VALUE"""),122702.0)</f>
        <v>122702</v>
      </c>
      <c r="D5166" s="10" t="str">
        <f>IFERROR(__xludf.DUMMYFUNCTION("""COMPUTED_VALUE"""),"Offre speciale")</f>
        <v>Offre speciale</v>
      </c>
      <c r="E5166" s="10"/>
      <c r="F5166" s="9">
        <f>IFERROR(__xludf.DUMMYFUNCTION("""COMPUTED_VALUE"""),13.3777777777777)</f>
        <v>13.37777778</v>
      </c>
      <c r="G5166" s="9">
        <f>IFERROR(__xludf.DUMMYFUNCTION("""COMPUTED_VALUE"""),12.04)</f>
        <v>12.04</v>
      </c>
      <c r="H5166" s="9">
        <f>IFERROR(__xludf.DUMMYFUNCTION("""COMPUTED_VALUE"""),3.0)</f>
        <v>3</v>
      </c>
      <c r="I5166" s="9"/>
      <c r="J5166" s="9"/>
      <c r="K5166" s="9"/>
      <c r="L5166" s="9"/>
      <c r="M5166" s="9"/>
      <c r="N5166" s="9"/>
      <c r="O5166" s="9"/>
      <c r="P5166" s="9"/>
      <c r="Q5166" s="9"/>
      <c r="R5166" s="9"/>
      <c r="S5166" s="9"/>
      <c r="T5166" s="9"/>
    </row>
    <row r="5167" ht="15.75" customHeight="1">
      <c r="A5167" s="11">
        <f>IFERROR(__xludf.DUMMYFUNCTION("""COMPUTED_VALUE"""),44471.0)</f>
        <v>44471</v>
      </c>
      <c r="B5167" s="9">
        <f>IFERROR(__xludf.DUMMYFUNCTION("""COMPUTED_VALUE"""),1004010.0)</f>
        <v>1004010</v>
      </c>
      <c r="C5167" s="9">
        <f>IFERROR(__xludf.DUMMYFUNCTION("""COMPUTED_VALUE"""),110001.0)</f>
        <v>110001</v>
      </c>
      <c r="D5167" s="9"/>
      <c r="E5167" s="9"/>
      <c r="F5167" s="9">
        <f>IFERROR(__xludf.DUMMYFUNCTION("""COMPUTED_VALUE"""),7.78)</f>
        <v>7.78</v>
      </c>
      <c r="G5167" s="9">
        <f>IFERROR(__xludf.DUMMYFUNCTION("""COMPUTED_VALUE"""),7.78)</f>
        <v>7.78</v>
      </c>
      <c r="H5167" s="9">
        <f>IFERROR(__xludf.DUMMYFUNCTION("""COMPUTED_VALUE"""),3.0)</f>
        <v>3</v>
      </c>
      <c r="I5167" s="9"/>
      <c r="J5167" s="9"/>
      <c r="K5167" s="9"/>
      <c r="L5167" s="9"/>
      <c r="M5167" s="9"/>
      <c r="N5167" s="9"/>
      <c r="O5167" s="9"/>
      <c r="P5167" s="9"/>
      <c r="Q5167" s="9"/>
      <c r="R5167" s="9"/>
      <c r="S5167" s="9"/>
      <c r="T5167" s="9"/>
    </row>
    <row r="5168" ht="15.75" customHeight="1">
      <c r="A5168" s="11">
        <f>IFERROR(__xludf.DUMMYFUNCTION("""COMPUTED_VALUE"""),44471.0)</f>
        <v>44471</v>
      </c>
      <c r="B5168" s="9">
        <f>IFERROR(__xludf.DUMMYFUNCTION("""COMPUTED_VALUE"""),1004010.0)</f>
        <v>1004010</v>
      </c>
      <c r="C5168" s="9">
        <f>IFERROR(__xludf.DUMMYFUNCTION("""COMPUTED_VALUE"""),115769.0)</f>
        <v>115769</v>
      </c>
      <c r="D5168" s="9"/>
      <c r="E5168" s="9"/>
      <c r="F5168" s="9">
        <f>IFERROR(__xludf.DUMMYFUNCTION("""COMPUTED_VALUE"""),5.36)</f>
        <v>5.36</v>
      </c>
      <c r="G5168" s="9">
        <f>IFERROR(__xludf.DUMMYFUNCTION("""COMPUTED_VALUE"""),5.36)</f>
        <v>5.36</v>
      </c>
      <c r="H5168" s="9">
        <f>IFERROR(__xludf.DUMMYFUNCTION("""COMPUTED_VALUE"""),3.0)</f>
        <v>3</v>
      </c>
      <c r="I5168" s="9"/>
      <c r="J5168" s="9"/>
      <c r="K5168" s="9"/>
      <c r="L5168" s="9"/>
      <c r="M5168" s="9"/>
      <c r="N5168" s="9"/>
      <c r="O5168" s="9"/>
      <c r="P5168" s="9"/>
      <c r="Q5168" s="9"/>
      <c r="R5168" s="9"/>
      <c r="S5168" s="9"/>
      <c r="T5168" s="9"/>
    </row>
    <row r="5169" ht="15.75" customHeight="1">
      <c r="A5169" s="11">
        <f>IFERROR(__xludf.DUMMYFUNCTION("""COMPUTED_VALUE"""),44471.0)</f>
        <v>44471</v>
      </c>
      <c r="B5169" s="9">
        <f>IFERROR(__xludf.DUMMYFUNCTION("""COMPUTED_VALUE"""),1004010.0)</f>
        <v>1004010</v>
      </c>
      <c r="C5169" s="9">
        <f>IFERROR(__xludf.DUMMYFUNCTION("""COMPUTED_VALUE"""),43238.0)</f>
        <v>43238</v>
      </c>
      <c r="D5169" s="9"/>
      <c r="E5169" s="9"/>
      <c r="F5169" s="9">
        <f>IFERROR(__xludf.DUMMYFUNCTION("""COMPUTED_VALUE"""),27.05)</f>
        <v>27.05</v>
      </c>
      <c r="G5169" s="9">
        <f>IFERROR(__xludf.DUMMYFUNCTION("""COMPUTED_VALUE"""),27.05)</f>
        <v>27.05</v>
      </c>
      <c r="H5169" s="9">
        <f>IFERROR(__xludf.DUMMYFUNCTION("""COMPUTED_VALUE"""),4.0)</f>
        <v>4</v>
      </c>
      <c r="I5169" s="9"/>
      <c r="J5169" s="9"/>
      <c r="K5169" s="9"/>
      <c r="L5169" s="9"/>
      <c r="M5169" s="9"/>
      <c r="N5169" s="9"/>
      <c r="O5169" s="9"/>
      <c r="P5169" s="9"/>
      <c r="Q5169" s="9"/>
      <c r="R5169" s="9"/>
      <c r="S5169" s="9"/>
      <c r="T5169" s="9"/>
    </row>
    <row r="5170" ht="15.75" customHeight="1">
      <c r="A5170" s="11">
        <f>IFERROR(__xludf.DUMMYFUNCTION("""COMPUTED_VALUE"""),44471.0)</f>
        <v>44471</v>
      </c>
      <c r="B5170" s="9">
        <f>IFERROR(__xludf.DUMMYFUNCTION("""COMPUTED_VALUE"""),1004010.0)</f>
        <v>1004010</v>
      </c>
      <c r="C5170" s="9">
        <f>IFERROR(__xludf.DUMMYFUNCTION("""COMPUTED_VALUE"""),47400.0)</f>
        <v>47400</v>
      </c>
      <c r="D5170" s="10" t="str">
        <f>IFERROR(__xludf.DUMMYFUNCTION("""COMPUTED_VALUE"""),"Vive le bio")</f>
        <v>Vive le bio</v>
      </c>
      <c r="E5170" s="10"/>
      <c r="F5170" s="9">
        <f>IFERROR(__xludf.DUMMYFUNCTION("""COMPUTED_VALUE"""),20.3888888888888)</f>
        <v>20.38888889</v>
      </c>
      <c r="G5170" s="9">
        <f>IFERROR(__xludf.DUMMYFUNCTION("""COMPUTED_VALUE"""),18.35)</f>
        <v>18.35</v>
      </c>
      <c r="H5170" s="9">
        <f>IFERROR(__xludf.DUMMYFUNCTION("""COMPUTED_VALUE"""),5.0)</f>
        <v>5</v>
      </c>
      <c r="I5170" s="9"/>
      <c r="J5170" s="9"/>
      <c r="K5170" s="9"/>
      <c r="L5170" s="9"/>
      <c r="M5170" s="9"/>
      <c r="N5170" s="9"/>
      <c r="O5170" s="9"/>
      <c r="P5170" s="9"/>
      <c r="Q5170" s="9"/>
      <c r="R5170" s="9"/>
      <c r="S5170" s="9"/>
      <c r="T5170" s="9"/>
    </row>
    <row r="5171" ht="15.75" customHeight="1">
      <c r="A5171" s="11">
        <f>IFERROR(__xludf.DUMMYFUNCTION("""COMPUTED_VALUE"""),44471.0)</f>
        <v>44471</v>
      </c>
      <c r="B5171" s="9">
        <f>IFERROR(__xludf.DUMMYFUNCTION("""COMPUTED_VALUE"""),1004011.0)</f>
        <v>1004011</v>
      </c>
      <c r="C5171" s="9">
        <f>IFERROR(__xludf.DUMMYFUNCTION("""COMPUTED_VALUE"""),122231.0)</f>
        <v>122231</v>
      </c>
      <c r="D5171" s="9"/>
      <c r="E5171" s="10" t="str">
        <f>IFERROR(__xludf.DUMMYFUNCTION("""COMPUTED_VALUE"""),"HAPPEEZ")</f>
        <v>HAPPEEZ</v>
      </c>
      <c r="F5171" s="10">
        <f>IFERROR(__xludf.DUMMYFUNCTION("""COMPUTED_VALUE"""),4.0)</f>
        <v>4</v>
      </c>
      <c r="G5171" s="9">
        <f>IFERROR(__xludf.DUMMYFUNCTION("""COMPUTED_VALUE"""),4.0)</f>
        <v>4</v>
      </c>
      <c r="H5171" s="9">
        <f>IFERROR(__xludf.DUMMYFUNCTION("""COMPUTED_VALUE"""),1.0)</f>
        <v>1</v>
      </c>
      <c r="I5171" s="9"/>
      <c r="J5171" s="9"/>
      <c r="K5171" s="9"/>
      <c r="L5171" s="9"/>
      <c r="M5171" s="9"/>
      <c r="N5171" s="9"/>
      <c r="O5171" s="9"/>
      <c r="P5171" s="9"/>
      <c r="Q5171" s="9"/>
      <c r="R5171" s="9"/>
      <c r="S5171" s="9"/>
      <c r="T5171" s="9"/>
    </row>
    <row r="5172" ht="15.75" customHeight="1">
      <c r="A5172" s="11">
        <f>IFERROR(__xludf.DUMMYFUNCTION("""COMPUTED_VALUE"""),44471.0)</f>
        <v>44471</v>
      </c>
      <c r="B5172" s="9">
        <f>IFERROR(__xludf.DUMMYFUNCTION("""COMPUTED_VALUE"""),1004011.0)</f>
        <v>1004011</v>
      </c>
      <c r="C5172" s="9">
        <f>IFERROR(__xludf.DUMMYFUNCTION("""COMPUTED_VALUE"""),83745.0)</f>
        <v>83745</v>
      </c>
      <c r="D5172" s="9"/>
      <c r="E5172" s="10" t="str">
        <f>IFERROR(__xludf.DUMMYFUNCTION("""COMPUTED_VALUE"""),"HAPPEEZ")</f>
        <v>HAPPEEZ</v>
      </c>
      <c r="F5172" s="10">
        <f>IFERROR(__xludf.DUMMYFUNCTION("""COMPUTED_VALUE"""),2.26)</f>
        <v>2.26</v>
      </c>
      <c r="G5172" s="9">
        <f>IFERROR(__xludf.DUMMYFUNCTION("""COMPUTED_VALUE"""),2.26)</f>
        <v>2.26</v>
      </c>
      <c r="H5172" s="9">
        <f>IFERROR(__xludf.DUMMYFUNCTION("""COMPUTED_VALUE"""),1.0)</f>
        <v>1</v>
      </c>
      <c r="I5172" s="9"/>
      <c r="J5172" s="9"/>
      <c r="K5172" s="9"/>
      <c r="L5172" s="9"/>
      <c r="M5172" s="9"/>
      <c r="N5172" s="9"/>
      <c r="O5172" s="9"/>
      <c r="P5172" s="9"/>
      <c r="Q5172" s="9"/>
      <c r="R5172" s="9"/>
      <c r="S5172" s="9"/>
      <c r="T5172" s="9"/>
    </row>
    <row r="5173" ht="15.75" customHeight="1">
      <c r="A5173" s="11">
        <f>IFERROR(__xludf.DUMMYFUNCTION("""COMPUTED_VALUE"""),44471.0)</f>
        <v>44471</v>
      </c>
      <c r="B5173" s="9">
        <f>IFERROR(__xludf.DUMMYFUNCTION("""COMPUTED_VALUE"""),1004011.0)</f>
        <v>1004011</v>
      </c>
      <c r="C5173" s="9">
        <f>IFERROR(__xludf.DUMMYFUNCTION("""COMPUTED_VALUE"""),79819.0)</f>
        <v>79819</v>
      </c>
      <c r="D5173" s="9"/>
      <c r="E5173" s="10" t="str">
        <f>IFERROR(__xludf.DUMMYFUNCTION("""COMPUTED_VALUE"""),"HAPPEEZ")</f>
        <v>HAPPEEZ</v>
      </c>
      <c r="F5173" s="10">
        <f>IFERROR(__xludf.DUMMYFUNCTION("""COMPUTED_VALUE"""),5.77)</f>
        <v>5.77</v>
      </c>
      <c r="G5173" s="9">
        <f>IFERROR(__xludf.DUMMYFUNCTION("""COMPUTED_VALUE"""),5.77)</f>
        <v>5.77</v>
      </c>
      <c r="H5173" s="9">
        <f>IFERROR(__xludf.DUMMYFUNCTION("""COMPUTED_VALUE"""),1.0)</f>
        <v>1</v>
      </c>
      <c r="I5173" s="9"/>
      <c r="J5173" s="9"/>
      <c r="K5173" s="9"/>
      <c r="L5173" s="9"/>
      <c r="M5173" s="9"/>
      <c r="N5173" s="9"/>
      <c r="O5173" s="9"/>
      <c r="P5173" s="9"/>
      <c r="Q5173" s="9"/>
      <c r="R5173" s="9"/>
      <c r="S5173" s="9"/>
      <c r="T5173" s="9"/>
    </row>
    <row r="5174" ht="15.75" customHeight="1">
      <c r="A5174" s="11">
        <f>IFERROR(__xludf.DUMMYFUNCTION("""COMPUTED_VALUE"""),44471.0)</f>
        <v>44471</v>
      </c>
      <c r="B5174" s="9">
        <f>IFERROR(__xludf.DUMMYFUNCTION("""COMPUTED_VALUE"""),1004011.0)</f>
        <v>1004011</v>
      </c>
      <c r="C5174" s="9">
        <f>IFERROR(__xludf.DUMMYFUNCTION("""COMPUTED_VALUE"""),100248.0)</f>
        <v>100248</v>
      </c>
      <c r="D5174" s="9"/>
      <c r="E5174" s="10" t="str">
        <f>IFERROR(__xludf.DUMMYFUNCTION("""COMPUTED_VALUE"""),"HAPPEEZ")</f>
        <v>HAPPEEZ</v>
      </c>
      <c r="F5174" s="10">
        <f>IFERROR(__xludf.DUMMYFUNCTION("""COMPUTED_VALUE"""),7.52)</f>
        <v>7.52</v>
      </c>
      <c r="G5174" s="9">
        <f>IFERROR(__xludf.DUMMYFUNCTION("""COMPUTED_VALUE"""),7.52)</f>
        <v>7.52</v>
      </c>
      <c r="H5174" s="9">
        <f>IFERROR(__xludf.DUMMYFUNCTION("""COMPUTED_VALUE"""),1.0)</f>
        <v>1</v>
      </c>
      <c r="I5174" s="9"/>
      <c r="J5174" s="9"/>
      <c r="K5174" s="9"/>
      <c r="L5174" s="9"/>
      <c r="M5174" s="9"/>
      <c r="N5174" s="9"/>
      <c r="O5174" s="9"/>
      <c r="P5174" s="9"/>
      <c r="Q5174" s="9"/>
      <c r="R5174" s="9"/>
      <c r="S5174" s="9"/>
      <c r="T5174" s="9"/>
    </row>
    <row r="5175" ht="15.75" customHeight="1">
      <c r="A5175" s="11">
        <f>IFERROR(__xludf.DUMMYFUNCTION("""COMPUTED_VALUE"""),44471.0)</f>
        <v>44471</v>
      </c>
      <c r="B5175" s="9">
        <f>IFERROR(__xludf.DUMMYFUNCTION("""COMPUTED_VALUE"""),1004011.0)</f>
        <v>1004011</v>
      </c>
      <c r="C5175" s="9">
        <f>IFERROR(__xludf.DUMMYFUNCTION("""COMPUTED_VALUE"""),92209.0)</f>
        <v>92209</v>
      </c>
      <c r="D5175" s="9"/>
      <c r="E5175" s="10" t="str">
        <f>IFERROR(__xludf.DUMMYFUNCTION("""COMPUTED_VALUE"""),"HAPPEEZ")</f>
        <v>HAPPEEZ</v>
      </c>
      <c r="F5175" s="10">
        <f>IFERROR(__xludf.DUMMYFUNCTION("""COMPUTED_VALUE"""),13.54)</f>
        <v>13.54</v>
      </c>
      <c r="G5175" s="9">
        <f>IFERROR(__xludf.DUMMYFUNCTION("""COMPUTED_VALUE"""),13.54)</f>
        <v>13.54</v>
      </c>
      <c r="H5175" s="9">
        <f>IFERROR(__xludf.DUMMYFUNCTION("""COMPUTED_VALUE"""),1.0)</f>
        <v>1</v>
      </c>
      <c r="I5175" s="9"/>
      <c r="J5175" s="9"/>
      <c r="K5175" s="9"/>
      <c r="L5175" s="9"/>
      <c r="M5175" s="9"/>
      <c r="N5175" s="9"/>
      <c r="O5175" s="9"/>
      <c r="P5175" s="9"/>
      <c r="Q5175" s="9"/>
      <c r="R5175" s="9"/>
      <c r="S5175" s="9"/>
      <c r="T5175" s="9"/>
    </row>
    <row r="5176" ht="15.75" customHeight="1">
      <c r="A5176" s="11">
        <f>IFERROR(__xludf.DUMMYFUNCTION("""COMPUTED_VALUE"""),44471.0)</f>
        <v>44471</v>
      </c>
      <c r="B5176" s="9">
        <f>IFERROR(__xludf.DUMMYFUNCTION("""COMPUTED_VALUE"""),1004011.0)</f>
        <v>1004011</v>
      </c>
      <c r="C5176" s="9">
        <f>IFERROR(__xludf.DUMMYFUNCTION("""COMPUTED_VALUE"""),109381.0)</f>
        <v>109381</v>
      </c>
      <c r="D5176" s="9"/>
      <c r="E5176" s="10" t="str">
        <f>IFERROR(__xludf.DUMMYFUNCTION("""COMPUTED_VALUE"""),"HAPPEEZ")</f>
        <v>HAPPEEZ</v>
      </c>
      <c r="F5176" s="10">
        <f>IFERROR(__xludf.DUMMYFUNCTION("""COMPUTED_VALUE"""),2.14)</f>
        <v>2.14</v>
      </c>
      <c r="G5176" s="9">
        <f>IFERROR(__xludf.DUMMYFUNCTION("""COMPUTED_VALUE"""),2.14)</f>
        <v>2.14</v>
      </c>
      <c r="H5176" s="9">
        <f>IFERROR(__xludf.DUMMYFUNCTION("""COMPUTED_VALUE"""),1.0)</f>
        <v>1</v>
      </c>
      <c r="I5176" s="9"/>
      <c r="J5176" s="9"/>
      <c r="K5176" s="9"/>
      <c r="L5176" s="9"/>
      <c r="M5176" s="9"/>
      <c r="N5176" s="9"/>
      <c r="O5176" s="9"/>
      <c r="P5176" s="9"/>
      <c r="Q5176" s="9"/>
      <c r="R5176" s="9"/>
      <c r="S5176" s="9"/>
      <c r="T5176" s="9"/>
    </row>
    <row r="5177" ht="15.75" customHeight="1">
      <c r="A5177" s="11">
        <f>IFERROR(__xludf.DUMMYFUNCTION("""COMPUTED_VALUE"""),44471.0)</f>
        <v>44471</v>
      </c>
      <c r="B5177" s="9">
        <f>IFERROR(__xludf.DUMMYFUNCTION("""COMPUTED_VALUE"""),1004011.0)</f>
        <v>1004011</v>
      </c>
      <c r="C5177" s="9">
        <f>IFERROR(__xludf.DUMMYFUNCTION("""COMPUTED_VALUE"""),71399.0)</f>
        <v>71399</v>
      </c>
      <c r="D5177" s="9"/>
      <c r="E5177" s="10" t="str">
        <f>IFERROR(__xludf.DUMMYFUNCTION("""COMPUTED_VALUE"""),"HAPPEEZ")</f>
        <v>HAPPEEZ</v>
      </c>
      <c r="F5177" s="10">
        <f>IFERROR(__xludf.DUMMYFUNCTION("""COMPUTED_VALUE"""),6.28)</f>
        <v>6.28</v>
      </c>
      <c r="G5177" s="9">
        <f>IFERROR(__xludf.DUMMYFUNCTION("""COMPUTED_VALUE"""),6.28)</f>
        <v>6.28</v>
      </c>
      <c r="H5177" s="9">
        <f>IFERROR(__xludf.DUMMYFUNCTION("""COMPUTED_VALUE"""),1.0)</f>
        <v>1</v>
      </c>
      <c r="I5177" s="9"/>
      <c r="J5177" s="9"/>
      <c r="K5177" s="9"/>
      <c r="L5177" s="9"/>
      <c r="M5177" s="9"/>
      <c r="N5177" s="9"/>
      <c r="O5177" s="9"/>
      <c r="P5177" s="9"/>
      <c r="Q5177" s="9"/>
      <c r="R5177" s="9"/>
      <c r="S5177" s="9"/>
      <c r="T5177" s="9"/>
    </row>
    <row r="5178" ht="15.75" customHeight="1">
      <c r="A5178" s="11">
        <f>IFERROR(__xludf.DUMMYFUNCTION("""COMPUTED_VALUE"""),44471.0)</f>
        <v>44471</v>
      </c>
      <c r="B5178" s="9">
        <f>IFERROR(__xludf.DUMMYFUNCTION("""COMPUTED_VALUE"""),1004011.0)</f>
        <v>1004011</v>
      </c>
      <c r="C5178" s="9">
        <f>IFERROR(__xludf.DUMMYFUNCTION("""COMPUTED_VALUE"""),92653.0)</f>
        <v>92653</v>
      </c>
      <c r="D5178" s="9"/>
      <c r="E5178" s="10" t="str">
        <f>IFERROR(__xludf.DUMMYFUNCTION("""COMPUTED_VALUE"""),"HAPPEEZ")</f>
        <v>HAPPEEZ</v>
      </c>
      <c r="F5178" s="10">
        <f>IFERROR(__xludf.DUMMYFUNCTION("""COMPUTED_VALUE"""),10.58)</f>
        <v>10.58</v>
      </c>
      <c r="G5178" s="9">
        <f>IFERROR(__xludf.DUMMYFUNCTION("""COMPUTED_VALUE"""),10.58)</f>
        <v>10.58</v>
      </c>
      <c r="H5178" s="9">
        <f>IFERROR(__xludf.DUMMYFUNCTION("""COMPUTED_VALUE"""),1.0)</f>
        <v>1</v>
      </c>
      <c r="I5178" s="9"/>
      <c r="J5178" s="9"/>
      <c r="K5178" s="9"/>
      <c r="L5178" s="9"/>
      <c r="M5178" s="9"/>
      <c r="N5178" s="9"/>
      <c r="O5178" s="9"/>
      <c r="P5178" s="9"/>
      <c r="Q5178" s="9"/>
      <c r="R5178" s="9"/>
      <c r="S5178" s="9"/>
      <c r="T5178" s="9"/>
    </row>
    <row r="5179" ht="15.75" customHeight="1">
      <c r="A5179" s="11">
        <f>IFERROR(__xludf.DUMMYFUNCTION("""COMPUTED_VALUE"""),44471.0)</f>
        <v>44471</v>
      </c>
      <c r="B5179" s="9">
        <f>IFERROR(__xludf.DUMMYFUNCTION("""COMPUTED_VALUE"""),1004011.0)</f>
        <v>1004011</v>
      </c>
      <c r="C5179" s="9">
        <f>IFERROR(__xludf.DUMMYFUNCTION("""COMPUTED_VALUE"""),80623.0)</f>
        <v>80623</v>
      </c>
      <c r="D5179" s="9"/>
      <c r="E5179" s="10" t="str">
        <f>IFERROR(__xludf.DUMMYFUNCTION("""COMPUTED_VALUE"""),"HAPPEEZ")</f>
        <v>HAPPEEZ</v>
      </c>
      <c r="F5179" s="10">
        <f>IFERROR(__xludf.DUMMYFUNCTION("""COMPUTED_VALUE"""),8.12)</f>
        <v>8.12</v>
      </c>
      <c r="G5179" s="9">
        <f>IFERROR(__xludf.DUMMYFUNCTION("""COMPUTED_VALUE"""),8.12)</f>
        <v>8.12</v>
      </c>
      <c r="H5179" s="9">
        <f>IFERROR(__xludf.DUMMYFUNCTION("""COMPUTED_VALUE"""),1.0)</f>
        <v>1</v>
      </c>
      <c r="I5179" s="9"/>
      <c r="J5179" s="9"/>
      <c r="K5179" s="9"/>
      <c r="L5179" s="9"/>
      <c r="M5179" s="9"/>
      <c r="N5179" s="9"/>
      <c r="O5179" s="9"/>
      <c r="P5179" s="9"/>
      <c r="Q5179" s="9"/>
      <c r="R5179" s="9"/>
      <c r="S5179" s="9"/>
      <c r="T5179" s="9"/>
    </row>
    <row r="5180" ht="15.75" customHeight="1">
      <c r="A5180" s="11">
        <f>IFERROR(__xludf.DUMMYFUNCTION("""COMPUTED_VALUE"""),44471.0)</f>
        <v>44471</v>
      </c>
      <c r="B5180" s="9">
        <f>IFERROR(__xludf.DUMMYFUNCTION("""COMPUTED_VALUE"""),1004011.0)</f>
        <v>1004011</v>
      </c>
      <c r="C5180" s="9">
        <f>IFERROR(__xludf.DUMMYFUNCTION("""COMPUTED_VALUE"""),11823.0)</f>
        <v>11823</v>
      </c>
      <c r="D5180" s="10" t="str">
        <f>IFERROR(__xludf.DUMMYFUNCTION("""COMPUTED_VALUE"""),"Offre Speciale")</f>
        <v>Offre Speciale</v>
      </c>
      <c r="E5180" s="10" t="str">
        <f>IFERROR(__xludf.DUMMYFUNCTION("""COMPUTED_VALUE"""),"HAPPEEZ")</f>
        <v>HAPPEEZ</v>
      </c>
      <c r="F5180" s="10">
        <f>IFERROR(__xludf.DUMMYFUNCTION("""COMPUTED_VALUE"""),10.5696202531645)</f>
        <v>10.56962025</v>
      </c>
      <c r="G5180" s="9">
        <f>IFERROR(__xludf.DUMMYFUNCTION("""COMPUTED_VALUE"""),8.35)</f>
        <v>8.35</v>
      </c>
      <c r="H5180" s="9">
        <f>IFERROR(__xludf.DUMMYFUNCTION("""COMPUTED_VALUE"""),1.0)</f>
        <v>1</v>
      </c>
      <c r="I5180" s="9"/>
      <c r="J5180" s="9"/>
      <c r="K5180" s="9"/>
      <c r="L5180" s="9"/>
      <c r="M5180" s="9"/>
      <c r="N5180" s="9"/>
      <c r="O5180" s="9"/>
      <c r="P5180" s="9"/>
      <c r="Q5180" s="9"/>
      <c r="R5180" s="9"/>
      <c r="S5180" s="9"/>
      <c r="T5180" s="9"/>
    </row>
    <row r="5181" ht="15.75" customHeight="1">
      <c r="A5181" s="11">
        <f>IFERROR(__xludf.DUMMYFUNCTION("""COMPUTED_VALUE"""),44471.0)</f>
        <v>44471</v>
      </c>
      <c r="B5181" s="9">
        <f>IFERROR(__xludf.DUMMYFUNCTION("""COMPUTED_VALUE"""),1004011.0)</f>
        <v>1004011</v>
      </c>
      <c r="C5181" s="9">
        <f>IFERROR(__xludf.DUMMYFUNCTION("""COMPUTED_VALUE"""),11895.0)</f>
        <v>11895</v>
      </c>
      <c r="D5181" s="10" t="str">
        <f>IFERROR(__xludf.DUMMYFUNCTION("""COMPUTED_VALUE"""),"Offre Speciale")</f>
        <v>Offre Speciale</v>
      </c>
      <c r="E5181" s="10" t="str">
        <f>IFERROR(__xludf.DUMMYFUNCTION("""COMPUTED_VALUE"""),"HAPPEEZ")</f>
        <v>HAPPEEZ</v>
      </c>
      <c r="F5181" s="10">
        <f>IFERROR(__xludf.DUMMYFUNCTION("""COMPUTED_VALUE"""),12.5696202531645)</f>
        <v>12.56962025</v>
      </c>
      <c r="G5181" s="9">
        <f>IFERROR(__xludf.DUMMYFUNCTION("""COMPUTED_VALUE"""),9.93)</f>
        <v>9.93</v>
      </c>
      <c r="H5181" s="9">
        <f>IFERROR(__xludf.DUMMYFUNCTION("""COMPUTED_VALUE"""),1.0)</f>
        <v>1</v>
      </c>
      <c r="I5181" s="9"/>
      <c r="J5181" s="9"/>
      <c r="K5181" s="9"/>
      <c r="L5181" s="9"/>
      <c r="M5181" s="9"/>
      <c r="N5181" s="9"/>
      <c r="O5181" s="9"/>
      <c r="P5181" s="9"/>
      <c r="Q5181" s="9"/>
      <c r="R5181" s="9"/>
      <c r="S5181" s="9"/>
      <c r="T5181" s="9"/>
    </row>
    <row r="5182" ht="15.75" customHeight="1">
      <c r="A5182" s="11">
        <f>IFERROR(__xludf.DUMMYFUNCTION("""COMPUTED_VALUE"""),44471.0)</f>
        <v>44471</v>
      </c>
      <c r="B5182" s="9">
        <f>IFERROR(__xludf.DUMMYFUNCTION("""COMPUTED_VALUE"""),1004011.0)</f>
        <v>1004011</v>
      </c>
      <c r="C5182" s="9">
        <f>IFERROR(__xludf.DUMMYFUNCTION("""COMPUTED_VALUE"""),92200.0)</f>
        <v>92200</v>
      </c>
      <c r="D5182" s="9"/>
      <c r="E5182" s="10" t="str">
        <f>IFERROR(__xludf.DUMMYFUNCTION("""COMPUTED_VALUE"""),"HAPPEEZ")</f>
        <v>HAPPEEZ</v>
      </c>
      <c r="F5182" s="10">
        <f>IFERROR(__xludf.DUMMYFUNCTION("""COMPUTED_VALUE"""),17.78)</f>
        <v>17.78</v>
      </c>
      <c r="G5182" s="9">
        <f>IFERROR(__xludf.DUMMYFUNCTION("""COMPUTED_VALUE"""),17.78)</f>
        <v>17.78</v>
      </c>
      <c r="H5182" s="9">
        <f>IFERROR(__xludf.DUMMYFUNCTION("""COMPUTED_VALUE"""),1.0)</f>
        <v>1</v>
      </c>
      <c r="I5182" s="9"/>
      <c r="J5182" s="9"/>
      <c r="K5182" s="9"/>
      <c r="L5182" s="9"/>
      <c r="M5182" s="9"/>
      <c r="N5182" s="9"/>
      <c r="O5182" s="9"/>
      <c r="P5182" s="9"/>
      <c r="Q5182" s="9"/>
      <c r="R5182" s="9"/>
      <c r="S5182" s="9"/>
      <c r="T5182" s="9"/>
    </row>
    <row r="5183" ht="15.75" customHeight="1">
      <c r="A5183" s="11">
        <f>IFERROR(__xludf.DUMMYFUNCTION("""COMPUTED_VALUE"""),44471.0)</f>
        <v>44471</v>
      </c>
      <c r="B5183" s="9">
        <f>IFERROR(__xludf.DUMMYFUNCTION("""COMPUTED_VALUE"""),1004011.0)</f>
        <v>1004011</v>
      </c>
      <c r="C5183" s="9">
        <f>IFERROR(__xludf.DUMMYFUNCTION("""COMPUTED_VALUE"""),113096.0)</f>
        <v>113096</v>
      </c>
      <c r="D5183" s="9"/>
      <c r="E5183" s="10" t="str">
        <f>IFERROR(__xludf.DUMMYFUNCTION("""COMPUTED_VALUE"""),"HAPPEEZ")</f>
        <v>HAPPEEZ</v>
      </c>
      <c r="F5183" s="10">
        <f>IFERROR(__xludf.DUMMYFUNCTION("""COMPUTED_VALUE"""),3.29)</f>
        <v>3.29</v>
      </c>
      <c r="G5183" s="9">
        <f>IFERROR(__xludf.DUMMYFUNCTION("""COMPUTED_VALUE"""),3.29)</f>
        <v>3.29</v>
      </c>
      <c r="H5183" s="9">
        <f>IFERROR(__xludf.DUMMYFUNCTION("""COMPUTED_VALUE"""),1.0)</f>
        <v>1</v>
      </c>
      <c r="I5183" s="9"/>
      <c r="J5183" s="9"/>
      <c r="K5183" s="9"/>
      <c r="L5183" s="9"/>
      <c r="M5183" s="9"/>
      <c r="N5183" s="9"/>
      <c r="O5183" s="9"/>
      <c r="P5183" s="9"/>
      <c r="Q5183" s="9"/>
      <c r="R5183" s="9"/>
      <c r="S5183" s="9"/>
      <c r="T5183" s="9"/>
    </row>
    <row r="5184" ht="15.75" customHeight="1">
      <c r="A5184" s="11">
        <f>IFERROR(__xludf.DUMMYFUNCTION("""COMPUTED_VALUE"""),44471.0)</f>
        <v>44471</v>
      </c>
      <c r="B5184" s="9">
        <f>IFERROR(__xludf.DUMMYFUNCTION("""COMPUTED_VALUE"""),1004011.0)</f>
        <v>1004011</v>
      </c>
      <c r="C5184" s="9">
        <f>IFERROR(__xludf.DUMMYFUNCTION("""COMPUTED_VALUE"""),72089.0)</f>
        <v>72089</v>
      </c>
      <c r="D5184" s="10" t="str">
        <f>IFERROR(__xludf.DUMMYFUNCTION("""COMPUTED_VALUE"""),"Offre Speciale")</f>
        <v>Offre Speciale</v>
      </c>
      <c r="E5184" s="10" t="str">
        <f>IFERROR(__xludf.DUMMYFUNCTION("""COMPUTED_VALUE"""),"HAPPEEZ")</f>
        <v>HAPPEEZ</v>
      </c>
      <c r="F5184" s="10">
        <f>IFERROR(__xludf.DUMMYFUNCTION("""COMPUTED_VALUE"""),6.58823529411764)</f>
        <v>6.588235294</v>
      </c>
      <c r="G5184" s="9">
        <f>IFERROR(__xludf.DUMMYFUNCTION("""COMPUTED_VALUE"""),5.6)</f>
        <v>5.6</v>
      </c>
      <c r="H5184" s="9">
        <f>IFERROR(__xludf.DUMMYFUNCTION("""COMPUTED_VALUE"""),1.0)</f>
        <v>1</v>
      </c>
      <c r="I5184" s="9"/>
      <c r="J5184" s="9"/>
      <c r="K5184" s="9"/>
      <c r="L5184" s="9"/>
      <c r="M5184" s="9"/>
      <c r="N5184" s="9"/>
      <c r="O5184" s="9"/>
      <c r="P5184" s="9"/>
      <c r="Q5184" s="9"/>
      <c r="R5184" s="9"/>
      <c r="S5184" s="9"/>
      <c r="T5184" s="9"/>
    </row>
    <row r="5185" ht="15.75" customHeight="1">
      <c r="A5185" s="11">
        <f>IFERROR(__xludf.DUMMYFUNCTION("""COMPUTED_VALUE"""),44471.0)</f>
        <v>44471</v>
      </c>
      <c r="B5185" s="9">
        <f>IFERROR(__xludf.DUMMYFUNCTION("""COMPUTED_VALUE"""),1004011.0)</f>
        <v>1004011</v>
      </c>
      <c r="C5185" s="9">
        <f>IFERROR(__xludf.DUMMYFUNCTION("""COMPUTED_VALUE"""),46476.0)</f>
        <v>46476</v>
      </c>
      <c r="D5185" s="9"/>
      <c r="E5185" s="10" t="str">
        <f>IFERROR(__xludf.DUMMYFUNCTION("""COMPUTED_VALUE"""),"HAPPEEZ")</f>
        <v>HAPPEEZ</v>
      </c>
      <c r="F5185" s="10">
        <f>IFERROR(__xludf.DUMMYFUNCTION("""COMPUTED_VALUE"""),8.93)</f>
        <v>8.93</v>
      </c>
      <c r="G5185" s="9">
        <f>IFERROR(__xludf.DUMMYFUNCTION("""COMPUTED_VALUE"""),8.93)</f>
        <v>8.93</v>
      </c>
      <c r="H5185" s="9">
        <f>IFERROR(__xludf.DUMMYFUNCTION("""COMPUTED_VALUE"""),1.0)</f>
        <v>1</v>
      </c>
      <c r="I5185" s="9"/>
      <c r="J5185" s="9"/>
      <c r="K5185" s="9"/>
      <c r="L5185" s="9"/>
      <c r="M5185" s="9"/>
      <c r="N5185" s="9"/>
      <c r="O5185" s="9"/>
      <c r="P5185" s="9"/>
      <c r="Q5185" s="9"/>
      <c r="R5185" s="9"/>
      <c r="S5185" s="9"/>
      <c r="T5185" s="9"/>
    </row>
    <row r="5186" ht="15.75" customHeight="1">
      <c r="A5186" s="11">
        <f>IFERROR(__xludf.DUMMYFUNCTION("""COMPUTED_VALUE"""),44471.0)</f>
        <v>44471</v>
      </c>
      <c r="B5186" s="9">
        <f>IFERROR(__xludf.DUMMYFUNCTION("""COMPUTED_VALUE"""),1004011.0)</f>
        <v>1004011</v>
      </c>
      <c r="C5186" s="9">
        <f>IFERROR(__xludf.DUMMYFUNCTION("""COMPUTED_VALUE"""),81463.0)</f>
        <v>81463</v>
      </c>
      <c r="D5186" s="9"/>
      <c r="E5186" s="10" t="str">
        <f>IFERROR(__xludf.DUMMYFUNCTION("""COMPUTED_VALUE"""),"HAPPEEZ")</f>
        <v>HAPPEEZ</v>
      </c>
      <c r="F5186" s="10">
        <f>IFERROR(__xludf.DUMMYFUNCTION("""COMPUTED_VALUE"""),8.93)</f>
        <v>8.93</v>
      </c>
      <c r="G5186" s="9">
        <f>IFERROR(__xludf.DUMMYFUNCTION("""COMPUTED_VALUE"""),8.93)</f>
        <v>8.93</v>
      </c>
      <c r="H5186" s="9">
        <f>IFERROR(__xludf.DUMMYFUNCTION("""COMPUTED_VALUE"""),1.0)</f>
        <v>1</v>
      </c>
      <c r="I5186" s="9"/>
      <c r="J5186" s="9"/>
      <c r="K5186" s="9"/>
      <c r="L5186" s="9"/>
      <c r="M5186" s="9"/>
      <c r="N5186" s="9"/>
      <c r="O5186" s="9"/>
      <c r="P5186" s="9"/>
      <c r="Q5186" s="9"/>
      <c r="R5186" s="9"/>
      <c r="S5186" s="9"/>
      <c r="T5186" s="9"/>
    </row>
    <row r="5187" ht="15.75" customHeight="1">
      <c r="A5187" s="11">
        <f>IFERROR(__xludf.DUMMYFUNCTION("""COMPUTED_VALUE"""),44471.0)</f>
        <v>44471</v>
      </c>
      <c r="B5187" s="9">
        <f>IFERROR(__xludf.DUMMYFUNCTION("""COMPUTED_VALUE"""),1004011.0)</f>
        <v>1004011</v>
      </c>
      <c r="C5187" s="9">
        <f>IFERROR(__xludf.DUMMYFUNCTION("""COMPUTED_VALUE"""),118158.0)</f>
        <v>118158</v>
      </c>
      <c r="D5187" s="9"/>
      <c r="E5187" s="10" t="str">
        <f>IFERROR(__xludf.DUMMYFUNCTION("""COMPUTED_VALUE"""),"HAPPEEZ")</f>
        <v>HAPPEEZ</v>
      </c>
      <c r="F5187" s="10">
        <f>IFERROR(__xludf.DUMMYFUNCTION("""COMPUTED_VALUE"""),1.34)</f>
        <v>1.34</v>
      </c>
      <c r="G5187" s="9">
        <f>IFERROR(__xludf.DUMMYFUNCTION("""COMPUTED_VALUE"""),1.34)</f>
        <v>1.34</v>
      </c>
      <c r="H5187" s="9">
        <f>IFERROR(__xludf.DUMMYFUNCTION("""COMPUTED_VALUE"""),1.0)</f>
        <v>1</v>
      </c>
      <c r="I5187" s="9"/>
      <c r="J5187" s="9"/>
      <c r="K5187" s="9"/>
      <c r="L5187" s="9"/>
      <c r="M5187" s="9"/>
      <c r="N5187" s="9"/>
      <c r="O5187" s="9"/>
      <c r="P5187" s="9"/>
      <c r="Q5187" s="9"/>
      <c r="R5187" s="9"/>
      <c r="S5187" s="9"/>
      <c r="T5187" s="9"/>
    </row>
    <row r="5188" ht="15.75" customHeight="1">
      <c r="A5188" s="11">
        <f>IFERROR(__xludf.DUMMYFUNCTION("""COMPUTED_VALUE"""),44471.0)</f>
        <v>44471</v>
      </c>
      <c r="B5188" s="9">
        <f>IFERROR(__xludf.DUMMYFUNCTION("""COMPUTED_VALUE"""),1004011.0)</f>
        <v>1004011</v>
      </c>
      <c r="C5188" s="9">
        <f>IFERROR(__xludf.DUMMYFUNCTION("""COMPUTED_VALUE"""),81902.0)</f>
        <v>81902</v>
      </c>
      <c r="D5188" s="10" t="str">
        <f>IFERROR(__xludf.DUMMYFUNCTION("""COMPUTED_VALUE"""),"Offre Speciale")</f>
        <v>Offre Speciale</v>
      </c>
      <c r="E5188" s="10" t="str">
        <f>IFERROR(__xludf.DUMMYFUNCTION("""COMPUTED_VALUE"""),"HAPPEEZ")</f>
        <v>HAPPEEZ</v>
      </c>
      <c r="F5188" s="10">
        <f>IFERROR(__xludf.DUMMYFUNCTION("""COMPUTED_VALUE"""),12.6444444444444)</f>
        <v>12.64444444</v>
      </c>
      <c r="G5188" s="9">
        <f>IFERROR(__xludf.DUMMYFUNCTION("""COMPUTED_VALUE"""),11.38)</f>
        <v>11.38</v>
      </c>
      <c r="H5188" s="9">
        <f>IFERROR(__xludf.DUMMYFUNCTION("""COMPUTED_VALUE"""),1.0)</f>
        <v>1</v>
      </c>
      <c r="I5188" s="9"/>
      <c r="J5188" s="9"/>
      <c r="K5188" s="9"/>
      <c r="L5188" s="9"/>
      <c r="M5188" s="9"/>
      <c r="N5188" s="9"/>
      <c r="O5188" s="9"/>
      <c r="P5188" s="9"/>
      <c r="Q5188" s="9"/>
      <c r="R5188" s="9"/>
      <c r="S5188" s="9"/>
      <c r="T5188" s="9"/>
    </row>
    <row r="5189" ht="15.75" customHeight="1">
      <c r="A5189" s="11">
        <f>IFERROR(__xludf.DUMMYFUNCTION("""COMPUTED_VALUE"""),44471.0)</f>
        <v>44471</v>
      </c>
      <c r="B5189" s="9">
        <f>IFERROR(__xludf.DUMMYFUNCTION("""COMPUTED_VALUE"""),1004011.0)</f>
        <v>1004011</v>
      </c>
      <c r="C5189" s="9">
        <f>IFERROR(__xludf.DUMMYFUNCTION("""COMPUTED_VALUE"""),29819.0)</f>
        <v>29819</v>
      </c>
      <c r="D5189" s="9"/>
      <c r="E5189" s="10" t="str">
        <f>IFERROR(__xludf.DUMMYFUNCTION("""COMPUTED_VALUE"""),"HAPPEEZ")</f>
        <v>HAPPEEZ</v>
      </c>
      <c r="F5189" s="10">
        <f>IFERROR(__xludf.DUMMYFUNCTION("""COMPUTED_VALUE"""),20.14)</f>
        <v>20.14</v>
      </c>
      <c r="G5189" s="9">
        <f>IFERROR(__xludf.DUMMYFUNCTION("""COMPUTED_VALUE"""),20.14)</f>
        <v>20.14</v>
      </c>
      <c r="H5189" s="9">
        <f>IFERROR(__xludf.DUMMYFUNCTION("""COMPUTED_VALUE"""),1.0)</f>
        <v>1</v>
      </c>
      <c r="I5189" s="9"/>
      <c r="J5189" s="9"/>
      <c r="K5189" s="9"/>
      <c r="L5189" s="9"/>
      <c r="M5189" s="9"/>
      <c r="N5189" s="9"/>
      <c r="O5189" s="9"/>
      <c r="P5189" s="9"/>
      <c r="Q5189" s="9"/>
      <c r="R5189" s="9"/>
      <c r="S5189" s="9"/>
      <c r="T5189" s="9"/>
    </row>
    <row r="5190" ht="15.75" customHeight="1">
      <c r="A5190" s="11">
        <f>IFERROR(__xludf.DUMMYFUNCTION("""COMPUTED_VALUE"""),44471.0)</f>
        <v>44471</v>
      </c>
      <c r="B5190" s="9">
        <f>IFERROR(__xludf.DUMMYFUNCTION("""COMPUTED_VALUE"""),1004011.0)</f>
        <v>1004011</v>
      </c>
      <c r="C5190" s="9">
        <f>IFERROR(__xludf.DUMMYFUNCTION("""COMPUTED_VALUE"""),22036.0)</f>
        <v>22036</v>
      </c>
      <c r="D5190" s="9"/>
      <c r="E5190" s="10" t="str">
        <f>IFERROR(__xludf.DUMMYFUNCTION("""COMPUTED_VALUE"""),"HAPPEEZ")</f>
        <v>HAPPEEZ</v>
      </c>
      <c r="F5190" s="10">
        <f>IFERROR(__xludf.DUMMYFUNCTION("""COMPUTED_VALUE"""),1.79)</f>
        <v>1.79</v>
      </c>
      <c r="G5190" s="9">
        <f>IFERROR(__xludf.DUMMYFUNCTION("""COMPUTED_VALUE"""),1.79)</f>
        <v>1.79</v>
      </c>
      <c r="H5190" s="9">
        <f>IFERROR(__xludf.DUMMYFUNCTION("""COMPUTED_VALUE"""),1.0)</f>
        <v>1</v>
      </c>
      <c r="I5190" s="9"/>
      <c r="J5190" s="9"/>
      <c r="K5190" s="9"/>
      <c r="L5190" s="9"/>
      <c r="M5190" s="9"/>
      <c r="N5190" s="9"/>
      <c r="O5190" s="9"/>
      <c r="P5190" s="9"/>
      <c r="Q5190" s="9"/>
      <c r="R5190" s="9"/>
      <c r="S5190" s="9"/>
      <c r="T5190" s="9"/>
    </row>
    <row r="5191" ht="15.75" customHeight="1">
      <c r="A5191" s="11">
        <f>IFERROR(__xludf.DUMMYFUNCTION("""COMPUTED_VALUE"""),44471.0)</f>
        <v>44471</v>
      </c>
      <c r="B5191" s="9">
        <f>IFERROR(__xludf.DUMMYFUNCTION("""COMPUTED_VALUE"""),1004011.0)</f>
        <v>1004011</v>
      </c>
      <c r="C5191" s="9">
        <f>IFERROR(__xludf.DUMMYFUNCTION("""COMPUTED_VALUE"""),81678.0)</f>
        <v>81678</v>
      </c>
      <c r="D5191" s="9"/>
      <c r="E5191" s="10" t="str">
        <f>IFERROR(__xludf.DUMMYFUNCTION("""COMPUTED_VALUE"""),"HAPPEEZ")</f>
        <v>HAPPEEZ</v>
      </c>
      <c r="F5191" s="10">
        <f>IFERROR(__xludf.DUMMYFUNCTION("""COMPUTED_VALUE"""),11.86)</f>
        <v>11.86</v>
      </c>
      <c r="G5191" s="9">
        <f>IFERROR(__xludf.DUMMYFUNCTION("""COMPUTED_VALUE"""),11.86)</f>
        <v>11.86</v>
      </c>
      <c r="H5191" s="9">
        <f>IFERROR(__xludf.DUMMYFUNCTION("""COMPUTED_VALUE"""),1.0)</f>
        <v>1</v>
      </c>
      <c r="I5191" s="9"/>
      <c r="J5191" s="9"/>
      <c r="K5191" s="9"/>
      <c r="L5191" s="9"/>
      <c r="M5191" s="9"/>
      <c r="N5191" s="9"/>
      <c r="O5191" s="9"/>
      <c r="P5191" s="9"/>
      <c r="Q5191" s="9"/>
      <c r="R5191" s="9"/>
      <c r="S5191" s="9"/>
      <c r="T5191" s="9"/>
    </row>
    <row r="5192" ht="15.75" customHeight="1">
      <c r="A5192" s="11">
        <f>IFERROR(__xludf.DUMMYFUNCTION("""COMPUTED_VALUE"""),44471.0)</f>
        <v>44471</v>
      </c>
      <c r="B5192" s="9">
        <f>IFERROR(__xludf.DUMMYFUNCTION("""COMPUTED_VALUE"""),1004011.0)</f>
        <v>1004011</v>
      </c>
      <c r="C5192" s="9">
        <f>IFERROR(__xludf.DUMMYFUNCTION("""COMPUTED_VALUE"""),149506.0)</f>
        <v>149506</v>
      </c>
      <c r="D5192" s="10" t="str">
        <f>IFERROR(__xludf.DUMMYFUNCTION("""COMPUTED_VALUE"""),"Vive le bio")</f>
        <v>Vive le bio</v>
      </c>
      <c r="E5192" s="10" t="str">
        <f>IFERROR(__xludf.DUMMYFUNCTION("""COMPUTED_VALUE"""),"HAPPEEZ")</f>
        <v>HAPPEEZ</v>
      </c>
      <c r="F5192" s="10">
        <f>IFERROR(__xludf.DUMMYFUNCTION("""COMPUTED_VALUE"""),3.38888888888888)</f>
        <v>3.388888889</v>
      </c>
      <c r="G5192" s="9">
        <f>IFERROR(__xludf.DUMMYFUNCTION("""COMPUTED_VALUE"""),3.05)</f>
        <v>3.05</v>
      </c>
      <c r="H5192" s="9">
        <f>IFERROR(__xludf.DUMMYFUNCTION("""COMPUTED_VALUE"""),1.0)</f>
        <v>1</v>
      </c>
      <c r="I5192" s="9"/>
      <c r="J5192" s="9"/>
      <c r="K5192" s="9"/>
      <c r="L5192" s="9"/>
      <c r="M5192" s="9"/>
      <c r="N5192" s="9"/>
      <c r="O5192" s="9"/>
      <c r="P5192" s="9"/>
      <c r="Q5192" s="9"/>
      <c r="R5192" s="9"/>
      <c r="S5192" s="9"/>
      <c r="T5192" s="9"/>
    </row>
    <row r="5193" ht="15.75" customHeight="1">
      <c r="A5193" s="11">
        <f>IFERROR(__xludf.DUMMYFUNCTION("""COMPUTED_VALUE"""),44471.0)</f>
        <v>44471</v>
      </c>
      <c r="B5193" s="9">
        <f>IFERROR(__xludf.DUMMYFUNCTION("""COMPUTED_VALUE"""),1004011.0)</f>
        <v>1004011</v>
      </c>
      <c r="C5193" s="9">
        <f>IFERROR(__xludf.DUMMYFUNCTION("""COMPUTED_VALUE"""),107364.0)</f>
        <v>107364</v>
      </c>
      <c r="D5193" s="9"/>
      <c r="E5193" s="10" t="str">
        <f>IFERROR(__xludf.DUMMYFUNCTION("""COMPUTED_VALUE"""),"HAPPEEZ")</f>
        <v>HAPPEEZ</v>
      </c>
      <c r="F5193" s="10">
        <f>IFERROR(__xludf.DUMMYFUNCTION("""COMPUTED_VALUE"""),12.67)</f>
        <v>12.67</v>
      </c>
      <c r="G5193" s="9">
        <f>IFERROR(__xludf.DUMMYFUNCTION("""COMPUTED_VALUE"""),12.67)</f>
        <v>12.67</v>
      </c>
      <c r="H5193" s="9">
        <f>IFERROR(__xludf.DUMMYFUNCTION("""COMPUTED_VALUE"""),1.0)</f>
        <v>1</v>
      </c>
      <c r="I5193" s="9"/>
      <c r="J5193" s="9"/>
      <c r="K5193" s="9"/>
      <c r="L5193" s="9"/>
      <c r="M5193" s="9"/>
      <c r="N5193" s="9"/>
      <c r="O5193" s="9"/>
      <c r="P5193" s="9"/>
      <c r="Q5193" s="9"/>
      <c r="R5193" s="9"/>
      <c r="S5193" s="9"/>
      <c r="T5193" s="9"/>
    </row>
    <row r="5194" ht="15.75" customHeight="1">
      <c r="A5194" s="11">
        <f>IFERROR(__xludf.DUMMYFUNCTION("""COMPUTED_VALUE"""),44471.0)</f>
        <v>44471</v>
      </c>
      <c r="B5194" s="9">
        <f>IFERROR(__xludf.DUMMYFUNCTION("""COMPUTED_VALUE"""),1004011.0)</f>
        <v>1004011</v>
      </c>
      <c r="C5194" s="9">
        <f>IFERROR(__xludf.DUMMYFUNCTION("""COMPUTED_VALUE"""),87287.0)</f>
        <v>87287</v>
      </c>
      <c r="D5194" s="9"/>
      <c r="E5194" s="10" t="str">
        <f>IFERROR(__xludf.DUMMYFUNCTION("""COMPUTED_VALUE"""),"HAPPEEZ")</f>
        <v>HAPPEEZ</v>
      </c>
      <c r="F5194" s="10">
        <f>IFERROR(__xludf.DUMMYFUNCTION("""COMPUTED_VALUE"""),2.23)</f>
        <v>2.23</v>
      </c>
      <c r="G5194" s="9">
        <f>IFERROR(__xludf.DUMMYFUNCTION("""COMPUTED_VALUE"""),2.23)</f>
        <v>2.23</v>
      </c>
      <c r="H5194" s="9">
        <f>IFERROR(__xludf.DUMMYFUNCTION("""COMPUTED_VALUE"""),1.0)</f>
        <v>1</v>
      </c>
      <c r="I5194" s="9"/>
      <c r="J5194" s="9"/>
      <c r="K5194" s="9"/>
      <c r="L5194" s="9"/>
      <c r="M5194" s="9"/>
      <c r="N5194" s="9"/>
      <c r="O5194" s="9"/>
      <c r="P5194" s="9"/>
      <c r="Q5194" s="9"/>
      <c r="R5194" s="9"/>
      <c r="S5194" s="9"/>
      <c r="T5194" s="9"/>
    </row>
    <row r="5195" ht="15.75" customHeight="1">
      <c r="A5195" s="11">
        <f>IFERROR(__xludf.DUMMYFUNCTION("""COMPUTED_VALUE"""),44471.0)</f>
        <v>44471</v>
      </c>
      <c r="B5195" s="9">
        <f>IFERROR(__xludf.DUMMYFUNCTION("""COMPUTED_VALUE"""),1004011.0)</f>
        <v>1004011</v>
      </c>
      <c r="C5195" s="9">
        <f>IFERROR(__xludf.DUMMYFUNCTION("""COMPUTED_VALUE"""),89450.0)</f>
        <v>89450</v>
      </c>
      <c r="D5195" s="9"/>
      <c r="E5195" s="10" t="str">
        <f>IFERROR(__xludf.DUMMYFUNCTION("""COMPUTED_VALUE"""),"HAPPEEZ")</f>
        <v>HAPPEEZ</v>
      </c>
      <c r="F5195" s="10">
        <f>IFERROR(__xludf.DUMMYFUNCTION("""COMPUTED_VALUE"""),6.71)</f>
        <v>6.71</v>
      </c>
      <c r="G5195" s="9">
        <f>IFERROR(__xludf.DUMMYFUNCTION("""COMPUTED_VALUE"""),6.71)</f>
        <v>6.71</v>
      </c>
      <c r="H5195" s="9">
        <f>IFERROR(__xludf.DUMMYFUNCTION("""COMPUTED_VALUE"""),1.0)</f>
        <v>1</v>
      </c>
      <c r="I5195" s="9"/>
      <c r="J5195" s="9"/>
      <c r="K5195" s="9"/>
      <c r="L5195" s="9"/>
      <c r="M5195" s="9"/>
      <c r="N5195" s="9"/>
      <c r="O5195" s="9"/>
      <c r="P5195" s="9"/>
      <c r="Q5195" s="9"/>
      <c r="R5195" s="9"/>
      <c r="S5195" s="9"/>
      <c r="T5195" s="9"/>
    </row>
    <row r="5196" ht="15.75" customHeight="1">
      <c r="A5196" s="11">
        <f>IFERROR(__xludf.DUMMYFUNCTION("""COMPUTED_VALUE"""),44471.0)</f>
        <v>44471</v>
      </c>
      <c r="B5196" s="9">
        <f>IFERROR(__xludf.DUMMYFUNCTION("""COMPUTED_VALUE"""),1004011.0)</f>
        <v>1004011</v>
      </c>
      <c r="C5196" s="9">
        <f>IFERROR(__xludf.DUMMYFUNCTION("""COMPUTED_VALUE"""),12648.0)</f>
        <v>12648</v>
      </c>
      <c r="D5196" s="9"/>
      <c r="E5196" s="10" t="str">
        <f>IFERROR(__xludf.DUMMYFUNCTION("""COMPUTED_VALUE"""),"HAPPEEZ")</f>
        <v>HAPPEEZ</v>
      </c>
      <c r="F5196" s="10">
        <f>IFERROR(__xludf.DUMMYFUNCTION("""COMPUTED_VALUE"""),9.69)</f>
        <v>9.69</v>
      </c>
      <c r="G5196" s="9">
        <f>IFERROR(__xludf.DUMMYFUNCTION("""COMPUTED_VALUE"""),9.69)</f>
        <v>9.69</v>
      </c>
      <c r="H5196" s="9">
        <f>IFERROR(__xludf.DUMMYFUNCTION("""COMPUTED_VALUE"""),1.0)</f>
        <v>1</v>
      </c>
      <c r="I5196" s="9"/>
      <c r="J5196" s="9"/>
      <c r="K5196" s="9"/>
      <c r="L5196" s="9"/>
      <c r="M5196" s="9"/>
      <c r="N5196" s="9"/>
      <c r="O5196" s="9"/>
      <c r="P5196" s="9"/>
      <c r="Q5196" s="9"/>
      <c r="R5196" s="9"/>
      <c r="S5196" s="9"/>
      <c r="T5196" s="9"/>
    </row>
    <row r="5197" ht="15.75" customHeight="1">
      <c r="A5197" s="11">
        <f>IFERROR(__xludf.DUMMYFUNCTION("""COMPUTED_VALUE"""),44471.0)</f>
        <v>44471</v>
      </c>
      <c r="B5197" s="9">
        <f>IFERROR(__xludf.DUMMYFUNCTION("""COMPUTED_VALUE"""),1004011.0)</f>
        <v>1004011</v>
      </c>
      <c r="C5197" s="9">
        <f>IFERROR(__xludf.DUMMYFUNCTION("""COMPUTED_VALUE"""),108897.0)</f>
        <v>108897</v>
      </c>
      <c r="D5197" s="9"/>
      <c r="E5197" s="10" t="str">
        <f>IFERROR(__xludf.DUMMYFUNCTION("""COMPUTED_VALUE"""),"HAPPEEZ")</f>
        <v>HAPPEEZ</v>
      </c>
      <c r="F5197" s="10">
        <f>IFERROR(__xludf.DUMMYFUNCTION("""COMPUTED_VALUE"""),1.93)</f>
        <v>1.93</v>
      </c>
      <c r="G5197" s="9">
        <f>IFERROR(__xludf.DUMMYFUNCTION("""COMPUTED_VALUE"""),1.93)</f>
        <v>1.93</v>
      </c>
      <c r="H5197" s="9">
        <f>IFERROR(__xludf.DUMMYFUNCTION("""COMPUTED_VALUE"""),1.0)</f>
        <v>1</v>
      </c>
      <c r="I5197" s="9"/>
      <c r="J5197" s="9"/>
      <c r="K5197" s="9"/>
      <c r="L5197" s="9"/>
      <c r="M5197" s="9"/>
      <c r="N5197" s="9"/>
      <c r="O5197" s="9"/>
      <c r="P5197" s="9"/>
      <c r="Q5197" s="9"/>
      <c r="R5197" s="9"/>
      <c r="S5197" s="9"/>
      <c r="T5197" s="9"/>
    </row>
    <row r="5198" ht="15.75" customHeight="1">
      <c r="A5198" s="11">
        <f>IFERROR(__xludf.DUMMYFUNCTION("""COMPUTED_VALUE"""),44471.0)</f>
        <v>44471</v>
      </c>
      <c r="B5198" s="9">
        <f>IFERROR(__xludf.DUMMYFUNCTION("""COMPUTED_VALUE"""),1004011.0)</f>
        <v>1004011</v>
      </c>
      <c r="C5198" s="9">
        <f>IFERROR(__xludf.DUMMYFUNCTION("""COMPUTED_VALUE"""),92204.0)</f>
        <v>92204</v>
      </c>
      <c r="D5198" s="9"/>
      <c r="E5198" s="10" t="str">
        <f>IFERROR(__xludf.DUMMYFUNCTION("""COMPUTED_VALUE"""),"HAPPEEZ")</f>
        <v>HAPPEEZ</v>
      </c>
      <c r="F5198" s="10">
        <f>IFERROR(__xludf.DUMMYFUNCTION("""COMPUTED_VALUE"""),17.42)</f>
        <v>17.42</v>
      </c>
      <c r="G5198" s="9">
        <f>IFERROR(__xludf.DUMMYFUNCTION("""COMPUTED_VALUE"""),17.42)</f>
        <v>17.42</v>
      </c>
      <c r="H5198" s="9">
        <f>IFERROR(__xludf.DUMMYFUNCTION("""COMPUTED_VALUE"""),1.0)</f>
        <v>1</v>
      </c>
      <c r="I5198" s="9"/>
      <c r="J5198" s="9"/>
      <c r="K5198" s="9"/>
      <c r="L5198" s="9"/>
      <c r="M5198" s="9"/>
      <c r="N5198" s="9"/>
      <c r="O5198" s="9"/>
      <c r="P5198" s="9"/>
      <c r="Q5198" s="9"/>
      <c r="R5198" s="9"/>
      <c r="S5198" s="9"/>
      <c r="T5198" s="9"/>
    </row>
    <row r="5199" ht="15.75" customHeight="1">
      <c r="A5199" s="11">
        <f>IFERROR(__xludf.DUMMYFUNCTION("""COMPUTED_VALUE"""),44471.0)</f>
        <v>44471</v>
      </c>
      <c r="B5199" s="9">
        <f>IFERROR(__xludf.DUMMYFUNCTION("""COMPUTED_VALUE"""),1004011.0)</f>
        <v>1004011</v>
      </c>
      <c r="C5199" s="9">
        <f>IFERROR(__xludf.DUMMYFUNCTION("""COMPUTED_VALUE"""),6037.0)</f>
        <v>6037</v>
      </c>
      <c r="D5199" s="9"/>
      <c r="E5199" s="10" t="str">
        <f>IFERROR(__xludf.DUMMYFUNCTION("""COMPUTED_VALUE"""),"HAPPEEZ")</f>
        <v>HAPPEEZ</v>
      </c>
      <c r="F5199" s="10">
        <f>IFERROR(__xludf.DUMMYFUNCTION("""COMPUTED_VALUE"""),6.73)</f>
        <v>6.73</v>
      </c>
      <c r="G5199" s="9">
        <f>IFERROR(__xludf.DUMMYFUNCTION("""COMPUTED_VALUE"""),6.73)</f>
        <v>6.73</v>
      </c>
      <c r="H5199" s="9">
        <f>IFERROR(__xludf.DUMMYFUNCTION("""COMPUTED_VALUE"""),1.0)</f>
        <v>1</v>
      </c>
      <c r="I5199" s="9"/>
      <c r="J5199" s="9"/>
      <c r="K5199" s="9"/>
      <c r="L5199" s="9"/>
      <c r="M5199" s="9"/>
      <c r="N5199" s="9"/>
      <c r="O5199" s="9"/>
      <c r="P5199" s="9"/>
      <c r="Q5199" s="9"/>
      <c r="R5199" s="9"/>
      <c r="S5199" s="9"/>
      <c r="T5199" s="9"/>
    </row>
    <row r="5200" ht="15.75" customHeight="1">
      <c r="A5200" s="11">
        <f>IFERROR(__xludf.DUMMYFUNCTION("""COMPUTED_VALUE"""),44471.0)</f>
        <v>44471</v>
      </c>
      <c r="B5200" s="9">
        <f>IFERROR(__xludf.DUMMYFUNCTION("""COMPUTED_VALUE"""),1004011.0)</f>
        <v>1004011</v>
      </c>
      <c r="C5200" s="9">
        <f>IFERROR(__xludf.DUMMYFUNCTION("""COMPUTED_VALUE"""),71820.0)</f>
        <v>71820</v>
      </c>
      <c r="D5200" s="9"/>
      <c r="E5200" s="10" t="str">
        <f>IFERROR(__xludf.DUMMYFUNCTION("""COMPUTED_VALUE"""),"HAPPEEZ")</f>
        <v>HAPPEEZ</v>
      </c>
      <c r="F5200" s="10">
        <f>IFERROR(__xludf.DUMMYFUNCTION("""COMPUTED_VALUE"""),14.06)</f>
        <v>14.06</v>
      </c>
      <c r="G5200" s="9">
        <f>IFERROR(__xludf.DUMMYFUNCTION("""COMPUTED_VALUE"""),14.06)</f>
        <v>14.06</v>
      </c>
      <c r="H5200" s="9">
        <f>IFERROR(__xludf.DUMMYFUNCTION("""COMPUTED_VALUE"""),2.0)</f>
        <v>2</v>
      </c>
      <c r="I5200" s="9"/>
      <c r="J5200" s="9"/>
      <c r="K5200" s="9"/>
      <c r="L5200" s="9"/>
      <c r="M5200" s="9"/>
      <c r="N5200" s="9"/>
      <c r="O5200" s="9"/>
      <c r="P5200" s="9"/>
      <c r="Q5200" s="9"/>
      <c r="R5200" s="9"/>
      <c r="S5200" s="9"/>
      <c r="T5200" s="9"/>
    </row>
    <row r="5201" ht="15.75" customHeight="1">
      <c r="A5201" s="11">
        <f>IFERROR(__xludf.DUMMYFUNCTION("""COMPUTED_VALUE"""),44471.0)</f>
        <v>44471</v>
      </c>
      <c r="B5201" s="9">
        <f>IFERROR(__xludf.DUMMYFUNCTION("""COMPUTED_VALUE"""),1004011.0)</f>
        <v>1004011</v>
      </c>
      <c r="C5201" s="9">
        <f>IFERROR(__xludf.DUMMYFUNCTION("""COMPUTED_VALUE"""),89446.0)</f>
        <v>89446</v>
      </c>
      <c r="D5201" s="9"/>
      <c r="E5201" s="10" t="str">
        <f>IFERROR(__xludf.DUMMYFUNCTION("""COMPUTED_VALUE"""),"HAPPEEZ")</f>
        <v>HAPPEEZ</v>
      </c>
      <c r="F5201" s="10">
        <f>IFERROR(__xludf.DUMMYFUNCTION("""COMPUTED_VALUE"""),20.78)</f>
        <v>20.78</v>
      </c>
      <c r="G5201" s="9">
        <f>IFERROR(__xludf.DUMMYFUNCTION("""COMPUTED_VALUE"""),20.78)</f>
        <v>20.78</v>
      </c>
      <c r="H5201" s="9">
        <f>IFERROR(__xludf.DUMMYFUNCTION("""COMPUTED_VALUE"""),2.0)</f>
        <v>2</v>
      </c>
      <c r="I5201" s="9"/>
      <c r="J5201" s="9"/>
      <c r="K5201" s="9"/>
      <c r="L5201" s="9"/>
      <c r="M5201" s="9"/>
      <c r="N5201" s="9"/>
      <c r="O5201" s="9"/>
      <c r="P5201" s="9"/>
      <c r="Q5201" s="9"/>
      <c r="R5201" s="9"/>
      <c r="S5201" s="9"/>
      <c r="T5201" s="9"/>
    </row>
    <row r="5202" ht="15.75" customHeight="1">
      <c r="A5202" s="11">
        <f>IFERROR(__xludf.DUMMYFUNCTION("""COMPUTED_VALUE"""),44471.0)</f>
        <v>44471</v>
      </c>
      <c r="B5202" s="9">
        <f>IFERROR(__xludf.DUMMYFUNCTION("""COMPUTED_VALUE"""),1004011.0)</f>
        <v>1004011</v>
      </c>
      <c r="C5202" s="9">
        <f>IFERROR(__xludf.DUMMYFUNCTION("""COMPUTED_VALUE"""),6044.0)</f>
        <v>6044</v>
      </c>
      <c r="D5202" s="9"/>
      <c r="E5202" s="10" t="str">
        <f>IFERROR(__xludf.DUMMYFUNCTION("""COMPUTED_VALUE"""),"HAPPEEZ")</f>
        <v>HAPPEEZ</v>
      </c>
      <c r="F5202" s="10">
        <f>IFERROR(__xludf.DUMMYFUNCTION("""COMPUTED_VALUE"""),13.49)</f>
        <v>13.49</v>
      </c>
      <c r="G5202" s="9">
        <f>IFERROR(__xludf.DUMMYFUNCTION("""COMPUTED_VALUE"""),13.49)</f>
        <v>13.49</v>
      </c>
      <c r="H5202" s="9">
        <f>IFERROR(__xludf.DUMMYFUNCTION("""COMPUTED_VALUE"""),2.0)</f>
        <v>2</v>
      </c>
      <c r="I5202" s="9"/>
      <c r="J5202" s="9"/>
      <c r="K5202" s="9"/>
      <c r="L5202" s="9"/>
      <c r="M5202" s="9"/>
      <c r="N5202" s="9"/>
      <c r="O5202" s="9"/>
      <c r="P5202" s="9"/>
      <c r="Q5202" s="9"/>
      <c r="R5202" s="9"/>
      <c r="S5202" s="9"/>
      <c r="T5202" s="9"/>
    </row>
    <row r="5203" ht="15.75" customHeight="1">
      <c r="A5203" s="11">
        <f>IFERROR(__xludf.DUMMYFUNCTION("""COMPUTED_VALUE"""),44471.0)</f>
        <v>44471</v>
      </c>
      <c r="B5203" s="9">
        <f>IFERROR(__xludf.DUMMYFUNCTION("""COMPUTED_VALUE"""),1004011.0)</f>
        <v>1004011</v>
      </c>
      <c r="C5203" s="9">
        <f>IFERROR(__xludf.DUMMYFUNCTION("""COMPUTED_VALUE"""),17620.0)</f>
        <v>17620</v>
      </c>
      <c r="D5203" s="9"/>
      <c r="E5203" s="10" t="str">
        <f>IFERROR(__xludf.DUMMYFUNCTION("""COMPUTED_VALUE"""),"HAPPEEZ")</f>
        <v>HAPPEEZ</v>
      </c>
      <c r="F5203" s="10">
        <f>IFERROR(__xludf.DUMMYFUNCTION("""COMPUTED_VALUE"""),17.22)</f>
        <v>17.22</v>
      </c>
      <c r="G5203" s="9">
        <f>IFERROR(__xludf.DUMMYFUNCTION("""COMPUTED_VALUE"""),17.22)</f>
        <v>17.22</v>
      </c>
      <c r="H5203" s="9">
        <f>IFERROR(__xludf.DUMMYFUNCTION("""COMPUTED_VALUE"""),2.0)</f>
        <v>2</v>
      </c>
      <c r="I5203" s="9"/>
      <c r="J5203" s="9"/>
      <c r="K5203" s="9"/>
      <c r="L5203" s="9"/>
      <c r="M5203" s="9"/>
      <c r="N5203" s="9"/>
      <c r="O5203" s="9"/>
      <c r="P5203" s="9"/>
      <c r="Q5203" s="9"/>
      <c r="R5203" s="9"/>
      <c r="S5203" s="9"/>
      <c r="T5203" s="9"/>
    </row>
    <row r="5204" ht="15.75" customHeight="1">
      <c r="A5204" s="11">
        <f>IFERROR(__xludf.DUMMYFUNCTION("""COMPUTED_VALUE"""),44471.0)</f>
        <v>44471</v>
      </c>
      <c r="B5204" s="9">
        <f>IFERROR(__xludf.DUMMYFUNCTION("""COMPUTED_VALUE"""),1004011.0)</f>
        <v>1004011</v>
      </c>
      <c r="C5204" s="9">
        <f>IFERROR(__xludf.DUMMYFUNCTION("""COMPUTED_VALUE"""),77361.0)</f>
        <v>77361</v>
      </c>
      <c r="D5204" s="9"/>
      <c r="E5204" s="10" t="str">
        <f>IFERROR(__xludf.DUMMYFUNCTION("""COMPUTED_VALUE"""),"HAPPEEZ")</f>
        <v>HAPPEEZ</v>
      </c>
      <c r="F5204" s="10">
        <f>IFERROR(__xludf.DUMMYFUNCTION("""COMPUTED_VALUE"""),7.45)</f>
        <v>7.45</v>
      </c>
      <c r="G5204" s="9">
        <f>IFERROR(__xludf.DUMMYFUNCTION("""COMPUTED_VALUE"""),7.45)</f>
        <v>7.45</v>
      </c>
      <c r="H5204" s="9">
        <f>IFERROR(__xludf.DUMMYFUNCTION("""COMPUTED_VALUE"""),2.0)</f>
        <v>2</v>
      </c>
      <c r="I5204" s="9"/>
      <c r="J5204" s="9"/>
      <c r="K5204" s="9"/>
      <c r="L5204" s="9"/>
      <c r="M5204" s="9"/>
      <c r="N5204" s="9"/>
      <c r="O5204" s="9"/>
      <c r="P5204" s="9"/>
      <c r="Q5204" s="9"/>
      <c r="R5204" s="9"/>
      <c r="S5204" s="9"/>
      <c r="T5204" s="9"/>
    </row>
    <row r="5205" ht="15.75" customHeight="1">
      <c r="A5205" s="11">
        <f>IFERROR(__xludf.DUMMYFUNCTION("""COMPUTED_VALUE"""),44471.0)</f>
        <v>44471</v>
      </c>
      <c r="B5205" s="9">
        <f>IFERROR(__xludf.DUMMYFUNCTION("""COMPUTED_VALUE"""),1004011.0)</f>
        <v>1004011</v>
      </c>
      <c r="C5205" s="9">
        <f>IFERROR(__xludf.DUMMYFUNCTION("""COMPUTED_VALUE"""),70201.0)</f>
        <v>70201</v>
      </c>
      <c r="D5205" s="9"/>
      <c r="E5205" s="10" t="str">
        <f>IFERROR(__xludf.DUMMYFUNCTION("""COMPUTED_VALUE"""),"HAPPEEZ")</f>
        <v>HAPPEEZ</v>
      </c>
      <c r="F5205" s="10">
        <f>IFERROR(__xludf.DUMMYFUNCTION("""COMPUTED_VALUE"""),9.17)</f>
        <v>9.17</v>
      </c>
      <c r="G5205" s="9">
        <f>IFERROR(__xludf.DUMMYFUNCTION("""COMPUTED_VALUE"""),9.17)</f>
        <v>9.17</v>
      </c>
      <c r="H5205" s="9">
        <f>IFERROR(__xludf.DUMMYFUNCTION("""COMPUTED_VALUE"""),2.0)</f>
        <v>2</v>
      </c>
      <c r="I5205" s="9"/>
      <c r="J5205" s="9"/>
      <c r="K5205" s="9"/>
      <c r="L5205" s="9"/>
      <c r="M5205" s="9"/>
      <c r="N5205" s="9"/>
      <c r="O5205" s="9"/>
      <c r="P5205" s="9"/>
      <c r="Q5205" s="9"/>
      <c r="R5205" s="9"/>
      <c r="S5205" s="9"/>
      <c r="T5205" s="9"/>
    </row>
    <row r="5206" ht="15.75" customHeight="1">
      <c r="A5206" s="11">
        <f>IFERROR(__xludf.DUMMYFUNCTION("""COMPUTED_VALUE"""),44471.0)</f>
        <v>44471</v>
      </c>
      <c r="B5206" s="9">
        <f>IFERROR(__xludf.DUMMYFUNCTION("""COMPUTED_VALUE"""),1004011.0)</f>
        <v>1004011</v>
      </c>
      <c r="C5206" s="9">
        <f>IFERROR(__xludf.DUMMYFUNCTION("""COMPUTED_VALUE"""),109579.0)</f>
        <v>109579</v>
      </c>
      <c r="D5206" s="9"/>
      <c r="E5206" s="10" t="str">
        <f>IFERROR(__xludf.DUMMYFUNCTION("""COMPUTED_VALUE"""),"HAPPEEZ")</f>
        <v>HAPPEEZ</v>
      </c>
      <c r="F5206" s="10">
        <f>IFERROR(__xludf.DUMMYFUNCTION("""COMPUTED_VALUE"""),53.64)</f>
        <v>53.64</v>
      </c>
      <c r="G5206" s="9">
        <f>IFERROR(__xludf.DUMMYFUNCTION("""COMPUTED_VALUE"""),53.64)</f>
        <v>53.64</v>
      </c>
      <c r="H5206" s="9">
        <f>IFERROR(__xludf.DUMMYFUNCTION("""COMPUTED_VALUE"""),3.0)</f>
        <v>3</v>
      </c>
      <c r="I5206" s="9"/>
      <c r="J5206" s="9"/>
      <c r="K5206" s="9"/>
      <c r="L5206" s="9"/>
      <c r="M5206" s="9"/>
      <c r="N5206" s="9"/>
      <c r="O5206" s="9"/>
      <c r="P5206" s="9"/>
      <c r="Q5206" s="9"/>
      <c r="R5206" s="9"/>
      <c r="S5206" s="9"/>
      <c r="T5206" s="9"/>
    </row>
    <row r="5207" ht="15.75" customHeight="1">
      <c r="A5207" s="11">
        <f>IFERROR(__xludf.DUMMYFUNCTION("""COMPUTED_VALUE"""),44471.0)</f>
        <v>44471</v>
      </c>
      <c r="B5207" s="9">
        <f>IFERROR(__xludf.DUMMYFUNCTION("""COMPUTED_VALUE"""),1004012.0)</f>
        <v>1004012</v>
      </c>
      <c r="C5207" s="9">
        <f>IFERROR(__xludf.DUMMYFUNCTION("""COMPUTED_VALUE"""),90924.0)</f>
        <v>90924</v>
      </c>
      <c r="D5207" s="9"/>
      <c r="E5207" s="10" t="str">
        <f>IFERROR(__xludf.DUMMYFUNCTION("""COMPUTED_VALUE"""),"PREMIERE")</f>
        <v>PREMIERE</v>
      </c>
      <c r="F5207" s="10">
        <f>IFERROR(__xludf.DUMMYFUNCTION("""COMPUTED_VALUE"""),3.41)</f>
        <v>3.41</v>
      </c>
      <c r="G5207" s="9">
        <f>IFERROR(__xludf.DUMMYFUNCTION("""COMPUTED_VALUE"""),3.41)</f>
        <v>3.41</v>
      </c>
      <c r="H5207" s="9">
        <f>IFERROR(__xludf.DUMMYFUNCTION("""COMPUTED_VALUE"""),1.0)</f>
        <v>1</v>
      </c>
      <c r="I5207" s="9"/>
      <c r="J5207" s="9"/>
      <c r="K5207" s="9"/>
      <c r="L5207" s="9"/>
      <c r="M5207" s="9"/>
      <c r="N5207" s="9"/>
      <c r="O5207" s="9"/>
      <c r="P5207" s="9"/>
      <c r="Q5207" s="9"/>
      <c r="R5207" s="9"/>
      <c r="S5207" s="9"/>
      <c r="T5207" s="9"/>
    </row>
    <row r="5208" ht="15.75" customHeight="1">
      <c r="A5208" s="11">
        <f>IFERROR(__xludf.DUMMYFUNCTION("""COMPUTED_VALUE"""),44471.0)</f>
        <v>44471</v>
      </c>
      <c r="B5208" s="9">
        <f>IFERROR(__xludf.DUMMYFUNCTION("""COMPUTED_VALUE"""),1004012.0)</f>
        <v>1004012</v>
      </c>
      <c r="C5208" s="9">
        <f>IFERROR(__xludf.DUMMYFUNCTION("""COMPUTED_VALUE"""),114480.0)</f>
        <v>114480</v>
      </c>
      <c r="D5208" s="9"/>
      <c r="E5208" s="10" t="str">
        <f>IFERROR(__xludf.DUMMYFUNCTION("""COMPUTED_VALUE"""),"PREMIERE")</f>
        <v>PREMIERE</v>
      </c>
      <c r="F5208" s="10">
        <f>IFERROR(__xludf.DUMMYFUNCTION("""COMPUTED_VALUE"""),4.99)</f>
        <v>4.99</v>
      </c>
      <c r="G5208" s="9">
        <f>IFERROR(__xludf.DUMMYFUNCTION("""COMPUTED_VALUE"""),4.99)</f>
        <v>4.99</v>
      </c>
      <c r="H5208" s="9">
        <f>IFERROR(__xludf.DUMMYFUNCTION("""COMPUTED_VALUE"""),1.0)</f>
        <v>1</v>
      </c>
      <c r="I5208" s="9"/>
      <c r="J5208" s="9"/>
      <c r="K5208" s="9"/>
      <c r="L5208" s="9"/>
      <c r="M5208" s="9"/>
      <c r="N5208" s="9"/>
      <c r="O5208" s="9"/>
      <c r="P5208" s="9"/>
      <c r="Q5208" s="9"/>
      <c r="R5208" s="9"/>
      <c r="S5208" s="9"/>
      <c r="T5208" s="9"/>
    </row>
    <row r="5209" ht="15.75" customHeight="1">
      <c r="A5209" s="11">
        <f>IFERROR(__xludf.DUMMYFUNCTION("""COMPUTED_VALUE"""),44471.0)</f>
        <v>44471</v>
      </c>
      <c r="B5209" s="9">
        <f>IFERROR(__xludf.DUMMYFUNCTION("""COMPUTED_VALUE"""),1004012.0)</f>
        <v>1004012</v>
      </c>
      <c r="C5209" s="9">
        <f>IFERROR(__xludf.DUMMYFUNCTION("""COMPUTED_VALUE"""),17596.0)</f>
        <v>17596</v>
      </c>
      <c r="D5209" s="10" t="str">
        <f>IFERROR(__xludf.DUMMYFUNCTION("""COMPUTED_VALUE"""),"Offre speciale")</f>
        <v>Offre speciale</v>
      </c>
      <c r="E5209" s="10" t="str">
        <f>IFERROR(__xludf.DUMMYFUNCTION("""COMPUTED_VALUE"""),"PREMIERE")</f>
        <v>PREMIERE</v>
      </c>
      <c r="F5209" s="10">
        <f>IFERROR(__xludf.DUMMYFUNCTION("""COMPUTED_VALUE"""),15.275)</f>
        <v>15.275</v>
      </c>
      <c r="G5209" s="9">
        <f>IFERROR(__xludf.DUMMYFUNCTION("""COMPUTED_VALUE"""),12.22)</f>
        <v>12.22</v>
      </c>
      <c r="H5209" s="9">
        <f>IFERROR(__xludf.DUMMYFUNCTION("""COMPUTED_VALUE"""),2.0)</f>
        <v>2</v>
      </c>
      <c r="I5209" s="9"/>
      <c r="J5209" s="9"/>
      <c r="K5209" s="9"/>
      <c r="L5209" s="9"/>
      <c r="M5209" s="9"/>
      <c r="N5209" s="9"/>
      <c r="O5209" s="9"/>
      <c r="P5209" s="9"/>
      <c r="Q5209" s="9"/>
      <c r="R5209" s="9"/>
      <c r="S5209" s="9"/>
      <c r="T5209" s="9"/>
    </row>
    <row r="5210" ht="15.75" customHeight="1">
      <c r="A5210" s="11">
        <f>IFERROR(__xludf.DUMMYFUNCTION("""COMPUTED_VALUE"""),44471.0)</f>
        <v>44471</v>
      </c>
      <c r="B5210" s="9">
        <f>IFERROR(__xludf.DUMMYFUNCTION("""COMPUTED_VALUE"""),1004012.0)</f>
        <v>1004012</v>
      </c>
      <c r="C5210" s="9">
        <f>IFERROR(__xludf.DUMMYFUNCTION("""COMPUTED_VALUE"""),74383.0)</f>
        <v>74383</v>
      </c>
      <c r="D5210" s="10" t="str">
        <f>IFERROR(__xludf.DUMMYFUNCTION("""COMPUTED_VALUE"""),"Offre Speciale")</f>
        <v>Offre Speciale</v>
      </c>
      <c r="E5210" s="10" t="str">
        <f>IFERROR(__xludf.DUMMYFUNCTION("""COMPUTED_VALUE"""),"PREMIERE")</f>
        <v>PREMIERE</v>
      </c>
      <c r="F5210" s="10">
        <f>IFERROR(__xludf.DUMMYFUNCTION("""COMPUTED_VALUE"""),20.5176470588235)</f>
        <v>20.51764706</v>
      </c>
      <c r="G5210" s="9">
        <f>IFERROR(__xludf.DUMMYFUNCTION("""COMPUTED_VALUE"""),17.44)</f>
        <v>17.44</v>
      </c>
      <c r="H5210" s="9">
        <f>IFERROR(__xludf.DUMMYFUNCTION("""COMPUTED_VALUE"""),6.0)</f>
        <v>6</v>
      </c>
      <c r="I5210" s="9"/>
      <c r="J5210" s="9"/>
      <c r="K5210" s="9"/>
      <c r="L5210" s="9"/>
      <c r="M5210" s="9"/>
      <c r="N5210" s="9"/>
      <c r="O5210" s="9"/>
      <c r="P5210" s="9"/>
      <c r="Q5210" s="9"/>
      <c r="R5210" s="9"/>
      <c r="S5210" s="9"/>
      <c r="T5210" s="9"/>
    </row>
    <row r="5211" ht="15.75" customHeight="1">
      <c r="A5211" s="11">
        <f>IFERROR(__xludf.DUMMYFUNCTION("""COMPUTED_VALUE"""),44471.0)</f>
        <v>44471</v>
      </c>
      <c r="B5211" s="9">
        <f>IFERROR(__xludf.DUMMYFUNCTION("""COMPUTED_VALUE"""),1004013.0)</f>
        <v>1004013</v>
      </c>
      <c r="C5211" s="9">
        <f>IFERROR(__xludf.DUMMYFUNCTION("""COMPUTED_VALUE"""),20405.0)</f>
        <v>20405</v>
      </c>
      <c r="D5211" s="9"/>
      <c r="E5211" s="10" t="str">
        <f>IFERROR(__xludf.DUMMYFUNCTION("""COMPUTED_VALUE"""),"GREENRELAIS")</f>
        <v>GREENRELAIS</v>
      </c>
      <c r="F5211" s="10">
        <f>IFERROR(__xludf.DUMMYFUNCTION("""COMPUTED_VALUE"""),2.39)</f>
        <v>2.39</v>
      </c>
      <c r="G5211" s="9">
        <f>IFERROR(__xludf.DUMMYFUNCTION("""COMPUTED_VALUE"""),2.39)</f>
        <v>2.39</v>
      </c>
      <c r="H5211" s="9">
        <f>IFERROR(__xludf.DUMMYFUNCTION("""COMPUTED_VALUE"""),1.0)</f>
        <v>1</v>
      </c>
      <c r="I5211" s="9"/>
      <c r="J5211" s="9"/>
      <c r="K5211" s="9"/>
      <c r="L5211" s="9"/>
      <c r="M5211" s="9"/>
      <c r="N5211" s="9"/>
      <c r="O5211" s="9"/>
      <c r="P5211" s="9"/>
      <c r="Q5211" s="9"/>
      <c r="R5211" s="9"/>
      <c r="S5211" s="9"/>
      <c r="T5211" s="9"/>
    </row>
    <row r="5212" ht="15.75" customHeight="1">
      <c r="A5212" s="11">
        <f>IFERROR(__xludf.DUMMYFUNCTION("""COMPUTED_VALUE"""),44471.0)</f>
        <v>44471</v>
      </c>
      <c r="B5212" s="9">
        <f>IFERROR(__xludf.DUMMYFUNCTION("""COMPUTED_VALUE"""),1004013.0)</f>
        <v>1004013</v>
      </c>
      <c r="C5212" s="9">
        <f>IFERROR(__xludf.DUMMYFUNCTION("""COMPUTED_VALUE"""),41328.0)</f>
        <v>41328</v>
      </c>
      <c r="D5212" s="9"/>
      <c r="E5212" s="10" t="str">
        <f>IFERROR(__xludf.DUMMYFUNCTION("""COMPUTED_VALUE"""),"GREENRELAIS")</f>
        <v>GREENRELAIS</v>
      </c>
      <c r="F5212" s="10">
        <f>IFERROR(__xludf.DUMMYFUNCTION("""COMPUTED_VALUE"""),2.54)</f>
        <v>2.54</v>
      </c>
      <c r="G5212" s="9">
        <f>IFERROR(__xludf.DUMMYFUNCTION("""COMPUTED_VALUE"""),2.54)</f>
        <v>2.54</v>
      </c>
      <c r="H5212" s="9">
        <f>IFERROR(__xludf.DUMMYFUNCTION("""COMPUTED_VALUE"""),1.0)</f>
        <v>1</v>
      </c>
      <c r="I5212" s="9"/>
      <c r="J5212" s="9"/>
      <c r="K5212" s="9"/>
      <c r="L5212" s="9"/>
      <c r="M5212" s="9"/>
      <c r="N5212" s="9"/>
      <c r="O5212" s="9"/>
      <c r="P5212" s="9"/>
      <c r="Q5212" s="9"/>
      <c r="R5212" s="9"/>
      <c r="S5212" s="9"/>
      <c r="T5212" s="9"/>
    </row>
    <row r="5213" ht="15.75" customHeight="1">
      <c r="A5213" s="11">
        <f>IFERROR(__xludf.DUMMYFUNCTION("""COMPUTED_VALUE"""),44471.0)</f>
        <v>44471</v>
      </c>
      <c r="B5213" s="9">
        <f>IFERROR(__xludf.DUMMYFUNCTION("""COMPUTED_VALUE"""),1004013.0)</f>
        <v>1004013</v>
      </c>
      <c r="C5213" s="9">
        <f>IFERROR(__xludf.DUMMYFUNCTION("""COMPUTED_VALUE"""),72320.0)</f>
        <v>72320</v>
      </c>
      <c r="D5213" s="9"/>
      <c r="E5213" s="10" t="str">
        <f>IFERROR(__xludf.DUMMYFUNCTION("""COMPUTED_VALUE"""),"GREENRELAIS")</f>
        <v>GREENRELAIS</v>
      </c>
      <c r="F5213" s="10">
        <f>IFERROR(__xludf.DUMMYFUNCTION("""COMPUTED_VALUE"""),5.66)</f>
        <v>5.66</v>
      </c>
      <c r="G5213" s="9">
        <f>IFERROR(__xludf.DUMMYFUNCTION("""COMPUTED_VALUE"""),5.66)</f>
        <v>5.66</v>
      </c>
      <c r="H5213" s="9">
        <f>IFERROR(__xludf.DUMMYFUNCTION("""COMPUTED_VALUE"""),1.0)</f>
        <v>1</v>
      </c>
      <c r="I5213" s="9"/>
      <c r="J5213" s="9"/>
      <c r="K5213" s="9"/>
      <c r="L5213" s="9"/>
      <c r="M5213" s="9"/>
      <c r="N5213" s="9"/>
      <c r="O5213" s="9"/>
      <c r="P5213" s="9"/>
      <c r="Q5213" s="9"/>
      <c r="R5213" s="9"/>
      <c r="S5213" s="9"/>
      <c r="T5213" s="9"/>
    </row>
    <row r="5214" ht="15.75" customHeight="1">
      <c r="A5214" s="11">
        <f>IFERROR(__xludf.DUMMYFUNCTION("""COMPUTED_VALUE"""),44471.0)</f>
        <v>44471</v>
      </c>
      <c r="B5214" s="9">
        <f>IFERROR(__xludf.DUMMYFUNCTION("""COMPUTED_VALUE"""),1004013.0)</f>
        <v>1004013</v>
      </c>
      <c r="C5214" s="9">
        <f>IFERROR(__xludf.DUMMYFUNCTION("""COMPUTED_VALUE"""),69113.0)</f>
        <v>69113</v>
      </c>
      <c r="D5214" s="9"/>
      <c r="E5214" s="10" t="str">
        <f>IFERROR(__xludf.DUMMYFUNCTION("""COMPUTED_VALUE"""),"GREENRELAIS")</f>
        <v>GREENRELAIS</v>
      </c>
      <c r="F5214" s="10">
        <f>IFERROR(__xludf.DUMMYFUNCTION("""COMPUTED_VALUE"""),2.46)</f>
        <v>2.46</v>
      </c>
      <c r="G5214" s="9">
        <f>IFERROR(__xludf.DUMMYFUNCTION("""COMPUTED_VALUE"""),2.46)</f>
        <v>2.46</v>
      </c>
      <c r="H5214" s="9">
        <f>IFERROR(__xludf.DUMMYFUNCTION("""COMPUTED_VALUE"""),1.0)</f>
        <v>1</v>
      </c>
      <c r="I5214" s="9"/>
      <c r="J5214" s="9"/>
      <c r="K5214" s="9"/>
      <c r="L5214" s="9"/>
      <c r="M5214" s="9"/>
      <c r="N5214" s="9"/>
      <c r="O5214" s="9"/>
      <c r="P5214" s="9"/>
      <c r="Q5214" s="9"/>
      <c r="R5214" s="9"/>
      <c r="S5214" s="9"/>
      <c r="T5214" s="9"/>
    </row>
    <row r="5215" ht="15.75" customHeight="1">
      <c r="A5215" s="11">
        <f>IFERROR(__xludf.DUMMYFUNCTION("""COMPUTED_VALUE"""),44471.0)</f>
        <v>44471</v>
      </c>
      <c r="B5215" s="9">
        <f>IFERROR(__xludf.DUMMYFUNCTION("""COMPUTED_VALUE"""),1004013.0)</f>
        <v>1004013</v>
      </c>
      <c r="C5215" s="9">
        <f>IFERROR(__xludf.DUMMYFUNCTION("""COMPUTED_VALUE"""),29582.0)</f>
        <v>29582</v>
      </c>
      <c r="D5215" s="9"/>
      <c r="E5215" s="10" t="str">
        <f>IFERROR(__xludf.DUMMYFUNCTION("""COMPUTED_VALUE"""),"GREENRELAIS")</f>
        <v>GREENRELAIS</v>
      </c>
      <c r="F5215" s="10">
        <f>IFERROR(__xludf.DUMMYFUNCTION("""COMPUTED_VALUE"""),6.43)</f>
        <v>6.43</v>
      </c>
      <c r="G5215" s="9">
        <f>IFERROR(__xludf.DUMMYFUNCTION("""COMPUTED_VALUE"""),6.43)</f>
        <v>6.43</v>
      </c>
      <c r="H5215" s="9">
        <f>IFERROR(__xludf.DUMMYFUNCTION("""COMPUTED_VALUE"""),1.0)</f>
        <v>1</v>
      </c>
      <c r="I5215" s="9"/>
      <c r="J5215" s="9"/>
      <c r="K5215" s="9"/>
      <c r="L5215" s="9"/>
      <c r="M5215" s="9"/>
      <c r="N5215" s="9"/>
      <c r="O5215" s="9"/>
      <c r="P5215" s="9"/>
      <c r="Q5215" s="9"/>
      <c r="R5215" s="9"/>
      <c r="S5215" s="9"/>
      <c r="T5215" s="9"/>
    </row>
    <row r="5216" ht="15.75" customHeight="1">
      <c r="A5216" s="11">
        <f>IFERROR(__xludf.DUMMYFUNCTION("""COMPUTED_VALUE"""),44471.0)</f>
        <v>44471</v>
      </c>
      <c r="B5216" s="9">
        <f>IFERROR(__xludf.DUMMYFUNCTION("""COMPUTED_VALUE"""),1004013.0)</f>
        <v>1004013</v>
      </c>
      <c r="C5216" s="9">
        <f>IFERROR(__xludf.DUMMYFUNCTION("""COMPUTED_VALUE"""),98637.0)</f>
        <v>98637</v>
      </c>
      <c r="D5216" s="9"/>
      <c r="E5216" s="10" t="str">
        <f>IFERROR(__xludf.DUMMYFUNCTION("""COMPUTED_VALUE"""),"GREENRELAIS")</f>
        <v>GREENRELAIS</v>
      </c>
      <c r="F5216" s="10">
        <f>IFERROR(__xludf.DUMMYFUNCTION("""COMPUTED_VALUE"""),6.95)</f>
        <v>6.95</v>
      </c>
      <c r="G5216" s="9">
        <f>IFERROR(__xludf.DUMMYFUNCTION("""COMPUTED_VALUE"""),6.95)</f>
        <v>6.95</v>
      </c>
      <c r="H5216" s="9">
        <f>IFERROR(__xludf.DUMMYFUNCTION("""COMPUTED_VALUE"""),1.0)</f>
        <v>1</v>
      </c>
      <c r="I5216" s="9"/>
      <c r="J5216" s="9"/>
      <c r="K5216" s="9"/>
      <c r="L5216" s="9"/>
      <c r="M5216" s="9"/>
      <c r="N5216" s="9"/>
      <c r="O5216" s="9"/>
      <c r="P5216" s="9"/>
      <c r="Q5216" s="9"/>
      <c r="R5216" s="9"/>
      <c r="S5216" s="9"/>
      <c r="T5216" s="9"/>
    </row>
    <row r="5217" ht="15.75" customHeight="1">
      <c r="A5217" s="11">
        <f>IFERROR(__xludf.DUMMYFUNCTION("""COMPUTED_VALUE"""),44471.0)</f>
        <v>44471</v>
      </c>
      <c r="B5217" s="9">
        <f>IFERROR(__xludf.DUMMYFUNCTION("""COMPUTED_VALUE"""),1004013.0)</f>
        <v>1004013</v>
      </c>
      <c r="C5217" s="9">
        <f>IFERROR(__xludf.DUMMYFUNCTION("""COMPUTED_VALUE"""),46716.0)</f>
        <v>46716</v>
      </c>
      <c r="D5217" s="10" t="str">
        <f>IFERROR(__xludf.DUMMYFUNCTION("""COMPUTED_VALUE"""),"Vive le bio")</f>
        <v>Vive le bio</v>
      </c>
      <c r="E5217" s="10" t="str">
        <f>IFERROR(__xludf.DUMMYFUNCTION("""COMPUTED_VALUE"""),"GREENRELAIS")</f>
        <v>GREENRELAIS</v>
      </c>
      <c r="F5217" s="10">
        <f>IFERROR(__xludf.DUMMYFUNCTION("""COMPUTED_VALUE"""),1.8)</f>
        <v>1.8</v>
      </c>
      <c r="G5217" s="9">
        <f>IFERROR(__xludf.DUMMYFUNCTION("""COMPUTED_VALUE"""),1.71)</f>
        <v>1.71</v>
      </c>
      <c r="H5217" s="9">
        <f>IFERROR(__xludf.DUMMYFUNCTION("""COMPUTED_VALUE"""),1.0)</f>
        <v>1</v>
      </c>
      <c r="I5217" s="9"/>
      <c r="J5217" s="9"/>
      <c r="K5217" s="9"/>
      <c r="L5217" s="9"/>
      <c r="M5217" s="9"/>
      <c r="N5217" s="9"/>
      <c r="O5217" s="9"/>
      <c r="P5217" s="9"/>
      <c r="Q5217" s="9"/>
      <c r="R5217" s="9"/>
      <c r="S5217" s="9"/>
      <c r="T5217" s="9"/>
    </row>
    <row r="5218" ht="15.75" customHeight="1">
      <c r="A5218" s="11">
        <f>IFERROR(__xludf.DUMMYFUNCTION("""COMPUTED_VALUE"""),44471.0)</f>
        <v>44471</v>
      </c>
      <c r="B5218" s="9">
        <f>IFERROR(__xludf.DUMMYFUNCTION("""COMPUTED_VALUE"""),1004013.0)</f>
        <v>1004013</v>
      </c>
      <c r="C5218" s="9">
        <f>IFERROR(__xludf.DUMMYFUNCTION("""COMPUTED_VALUE"""),89130.0)</f>
        <v>89130</v>
      </c>
      <c r="D5218" s="9"/>
      <c r="E5218" s="10" t="str">
        <f>IFERROR(__xludf.DUMMYFUNCTION("""COMPUTED_VALUE"""),"GREENRELAIS")</f>
        <v>GREENRELAIS</v>
      </c>
      <c r="F5218" s="10">
        <f>IFERROR(__xludf.DUMMYFUNCTION("""COMPUTED_VALUE"""),3.98)</f>
        <v>3.98</v>
      </c>
      <c r="G5218" s="9">
        <f>IFERROR(__xludf.DUMMYFUNCTION("""COMPUTED_VALUE"""),3.98)</f>
        <v>3.98</v>
      </c>
      <c r="H5218" s="9">
        <f>IFERROR(__xludf.DUMMYFUNCTION("""COMPUTED_VALUE"""),1.0)</f>
        <v>1</v>
      </c>
      <c r="I5218" s="9"/>
      <c r="J5218" s="9"/>
      <c r="K5218" s="9"/>
      <c r="L5218" s="9"/>
      <c r="M5218" s="9"/>
      <c r="N5218" s="9"/>
      <c r="O5218" s="9"/>
      <c r="P5218" s="9"/>
      <c r="Q5218" s="9"/>
      <c r="R5218" s="9"/>
      <c r="S5218" s="9"/>
      <c r="T5218" s="9"/>
    </row>
    <row r="5219" ht="15.75" customHeight="1">
      <c r="A5219" s="11">
        <f>IFERROR(__xludf.DUMMYFUNCTION("""COMPUTED_VALUE"""),44471.0)</f>
        <v>44471</v>
      </c>
      <c r="B5219" s="9">
        <f>IFERROR(__xludf.DUMMYFUNCTION("""COMPUTED_VALUE"""),1004013.0)</f>
        <v>1004013</v>
      </c>
      <c r="C5219" s="9">
        <f>IFERROR(__xludf.DUMMYFUNCTION("""COMPUTED_VALUE"""),121990.0)</f>
        <v>121990</v>
      </c>
      <c r="D5219" s="9"/>
      <c r="E5219" s="10" t="str">
        <f>IFERROR(__xludf.DUMMYFUNCTION("""COMPUTED_VALUE"""),"GREENRELAIS")</f>
        <v>GREENRELAIS</v>
      </c>
      <c r="F5219" s="10">
        <f>IFERROR(__xludf.DUMMYFUNCTION("""COMPUTED_VALUE"""),2.49)</f>
        <v>2.49</v>
      </c>
      <c r="G5219" s="9">
        <f>IFERROR(__xludf.DUMMYFUNCTION("""COMPUTED_VALUE"""),2.49)</f>
        <v>2.49</v>
      </c>
      <c r="H5219" s="9">
        <f>IFERROR(__xludf.DUMMYFUNCTION("""COMPUTED_VALUE"""),1.0)</f>
        <v>1</v>
      </c>
      <c r="I5219" s="9"/>
      <c r="J5219" s="9"/>
      <c r="K5219" s="9"/>
      <c r="L5219" s="9"/>
      <c r="M5219" s="9"/>
      <c r="N5219" s="9"/>
      <c r="O5219" s="9"/>
      <c r="P5219" s="9"/>
      <c r="Q5219" s="9"/>
      <c r="R5219" s="9"/>
      <c r="S5219" s="9"/>
      <c r="T5219" s="9"/>
    </row>
    <row r="5220" ht="15.75" customHeight="1">
      <c r="A5220" s="11">
        <f>IFERROR(__xludf.DUMMYFUNCTION("""COMPUTED_VALUE"""),44471.0)</f>
        <v>44471</v>
      </c>
      <c r="B5220" s="9">
        <f>IFERROR(__xludf.DUMMYFUNCTION("""COMPUTED_VALUE"""),1004013.0)</f>
        <v>1004013</v>
      </c>
      <c r="C5220" s="9">
        <f>IFERROR(__xludf.DUMMYFUNCTION("""COMPUTED_VALUE"""),109579.0)</f>
        <v>109579</v>
      </c>
      <c r="D5220" s="9"/>
      <c r="E5220" s="10" t="str">
        <f>IFERROR(__xludf.DUMMYFUNCTION("""COMPUTED_VALUE"""),"GREENRELAIS")</f>
        <v>GREENRELAIS</v>
      </c>
      <c r="F5220" s="10">
        <f>IFERROR(__xludf.DUMMYFUNCTION("""COMPUTED_VALUE"""),35.76)</f>
        <v>35.76</v>
      </c>
      <c r="G5220" s="9">
        <f>IFERROR(__xludf.DUMMYFUNCTION("""COMPUTED_VALUE"""),35.76)</f>
        <v>35.76</v>
      </c>
      <c r="H5220" s="9">
        <f>IFERROR(__xludf.DUMMYFUNCTION("""COMPUTED_VALUE"""),2.0)</f>
        <v>2</v>
      </c>
      <c r="I5220" s="9"/>
      <c r="J5220" s="9"/>
      <c r="K5220" s="9"/>
      <c r="L5220" s="9"/>
      <c r="M5220" s="9"/>
      <c r="N5220" s="9"/>
      <c r="O5220" s="9"/>
      <c r="P5220" s="9"/>
      <c r="Q5220" s="9"/>
      <c r="R5220" s="9"/>
      <c r="S5220" s="9"/>
      <c r="T5220" s="9"/>
    </row>
    <row r="5221" ht="15.75" customHeight="1">
      <c r="A5221" s="11">
        <f>IFERROR(__xludf.DUMMYFUNCTION("""COMPUTED_VALUE"""),44471.0)</f>
        <v>44471</v>
      </c>
      <c r="B5221" s="9">
        <f>IFERROR(__xludf.DUMMYFUNCTION("""COMPUTED_VALUE"""),1004013.0)</f>
        <v>1004013</v>
      </c>
      <c r="C5221" s="9">
        <f>IFERROR(__xludf.DUMMYFUNCTION("""COMPUTED_VALUE"""),43944.0)</f>
        <v>43944</v>
      </c>
      <c r="D5221" s="9"/>
      <c r="E5221" s="10" t="str">
        <f>IFERROR(__xludf.DUMMYFUNCTION("""COMPUTED_VALUE"""),"GREENRELAIS")</f>
        <v>GREENRELAIS</v>
      </c>
      <c r="F5221" s="10">
        <f>IFERROR(__xludf.DUMMYFUNCTION("""COMPUTED_VALUE"""),49.12)</f>
        <v>49.12</v>
      </c>
      <c r="G5221" s="9">
        <f>IFERROR(__xludf.DUMMYFUNCTION("""COMPUTED_VALUE"""),49.12)</f>
        <v>49.12</v>
      </c>
      <c r="H5221" s="9">
        <f>IFERROR(__xludf.DUMMYFUNCTION("""COMPUTED_VALUE"""),3.0)</f>
        <v>3</v>
      </c>
      <c r="I5221" s="9"/>
      <c r="J5221" s="9"/>
      <c r="K5221" s="9"/>
      <c r="L5221" s="9"/>
      <c r="M5221" s="9"/>
      <c r="N5221" s="9"/>
      <c r="O5221" s="9"/>
      <c r="P5221" s="9"/>
      <c r="Q5221" s="9"/>
      <c r="R5221" s="9"/>
      <c r="S5221" s="9"/>
      <c r="T5221" s="9"/>
    </row>
    <row r="5222" ht="15.75" customHeight="1">
      <c r="A5222" s="11">
        <f>IFERROR(__xludf.DUMMYFUNCTION("""COMPUTED_VALUE"""),44471.0)</f>
        <v>44471</v>
      </c>
      <c r="B5222" s="9">
        <f>IFERROR(__xludf.DUMMYFUNCTION("""COMPUTED_VALUE"""),1004014.0)</f>
        <v>1004014</v>
      </c>
      <c r="C5222" s="9">
        <f>IFERROR(__xludf.DUMMYFUNCTION("""COMPUTED_VALUE"""),10573.0)</f>
        <v>10573</v>
      </c>
      <c r="D5222" s="9"/>
      <c r="E5222" s="9"/>
      <c r="F5222" s="9">
        <f>IFERROR(__xludf.DUMMYFUNCTION("""COMPUTED_VALUE"""),4.27)</f>
        <v>4.27</v>
      </c>
      <c r="G5222" s="9">
        <f>IFERROR(__xludf.DUMMYFUNCTION("""COMPUTED_VALUE"""),4.27)</f>
        <v>4.27</v>
      </c>
      <c r="H5222" s="9">
        <f>IFERROR(__xludf.DUMMYFUNCTION("""COMPUTED_VALUE"""),1.0)</f>
        <v>1</v>
      </c>
      <c r="I5222" s="9"/>
      <c r="J5222" s="9"/>
      <c r="K5222" s="9"/>
      <c r="L5222" s="9"/>
      <c r="M5222" s="9"/>
      <c r="N5222" s="9"/>
      <c r="O5222" s="9"/>
      <c r="P5222" s="9"/>
      <c r="Q5222" s="9"/>
      <c r="R5222" s="9"/>
      <c r="S5222" s="9"/>
      <c r="T5222" s="9"/>
    </row>
    <row r="5223" ht="15.75" customHeight="1">
      <c r="A5223" s="11">
        <f>IFERROR(__xludf.DUMMYFUNCTION("""COMPUTED_VALUE"""),44471.0)</f>
        <v>44471</v>
      </c>
      <c r="B5223" s="9">
        <f>IFERROR(__xludf.DUMMYFUNCTION("""COMPUTED_VALUE"""),1004014.0)</f>
        <v>1004014</v>
      </c>
      <c r="C5223" s="9">
        <f>IFERROR(__xludf.DUMMYFUNCTION("""COMPUTED_VALUE"""),86972.0)</f>
        <v>86972</v>
      </c>
      <c r="D5223" s="9"/>
      <c r="E5223" s="9"/>
      <c r="F5223" s="9">
        <f>IFERROR(__xludf.DUMMYFUNCTION("""COMPUTED_VALUE"""),2.4)</f>
        <v>2.4</v>
      </c>
      <c r="G5223" s="9">
        <f>IFERROR(__xludf.DUMMYFUNCTION("""COMPUTED_VALUE"""),2.4)</f>
        <v>2.4</v>
      </c>
      <c r="H5223" s="9">
        <f>IFERROR(__xludf.DUMMYFUNCTION("""COMPUTED_VALUE"""),1.0)</f>
        <v>1</v>
      </c>
      <c r="I5223" s="9"/>
      <c r="J5223" s="9"/>
      <c r="K5223" s="9"/>
      <c r="L5223" s="9"/>
      <c r="M5223" s="9"/>
      <c r="N5223" s="9"/>
      <c r="O5223" s="9"/>
      <c r="P5223" s="9"/>
      <c r="Q5223" s="9"/>
      <c r="R5223" s="9"/>
      <c r="S5223" s="9"/>
      <c r="T5223" s="9"/>
    </row>
    <row r="5224" ht="15.75" customHeight="1">
      <c r="A5224" s="11">
        <f>IFERROR(__xludf.DUMMYFUNCTION("""COMPUTED_VALUE"""),44471.0)</f>
        <v>44471</v>
      </c>
      <c r="B5224" s="9">
        <f>IFERROR(__xludf.DUMMYFUNCTION("""COMPUTED_VALUE"""),1004014.0)</f>
        <v>1004014</v>
      </c>
      <c r="C5224" s="9">
        <f>IFERROR(__xludf.DUMMYFUNCTION("""COMPUTED_VALUE"""),80673.0)</f>
        <v>80673</v>
      </c>
      <c r="D5224" s="9"/>
      <c r="E5224" s="9"/>
      <c r="F5224" s="9">
        <f>IFERROR(__xludf.DUMMYFUNCTION("""COMPUTED_VALUE"""),2.67)</f>
        <v>2.67</v>
      </c>
      <c r="G5224" s="9">
        <f>IFERROR(__xludf.DUMMYFUNCTION("""COMPUTED_VALUE"""),2.67)</f>
        <v>2.67</v>
      </c>
      <c r="H5224" s="9">
        <f>IFERROR(__xludf.DUMMYFUNCTION("""COMPUTED_VALUE"""),1.0)</f>
        <v>1</v>
      </c>
      <c r="I5224" s="9"/>
      <c r="J5224" s="9"/>
      <c r="K5224" s="9"/>
      <c r="L5224" s="9"/>
      <c r="M5224" s="9"/>
      <c r="N5224" s="9"/>
      <c r="O5224" s="9"/>
      <c r="P5224" s="9"/>
      <c r="Q5224" s="9"/>
      <c r="R5224" s="9"/>
      <c r="S5224" s="9"/>
      <c r="T5224" s="9"/>
    </row>
    <row r="5225" ht="15.75" customHeight="1">
      <c r="A5225" s="11">
        <f>IFERROR(__xludf.DUMMYFUNCTION("""COMPUTED_VALUE"""),44471.0)</f>
        <v>44471</v>
      </c>
      <c r="B5225" s="9">
        <f>IFERROR(__xludf.DUMMYFUNCTION("""COMPUTED_VALUE"""),1004014.0)</f>
        <v>1004014</v>
      </c>
      <c r="C5225" s="9">
        <f>IFERROR(__xludf.DUMMYFUNCTION("""COMPUTED_VALUE"""),71834.0)</f>
        <v>71834</v>
      </c>
      <c r="D5225" s="9"/>
      <c r="E5225" s="9"/>
      <c r="F5225" s="9">
        <f>IFERROR(__xludf.DUMMYFUNCTION("""COMPUTED_VALUE"""),2.55)</f>
        <v>2.55</v>
      </c>
      <c r="G5225" s="9">
        <f>IFERROR(__xludf.DUMMYFUNCTION("""COMPUTED_VALUE"""),2.55)</f>
        <v>2.55</v>
      </c>
      <c r="H5225" s="9">
        <f>IFERROR(__xludf.DUMMYFUNCTION("""COMPUTED_VALUE"""),1.0)</f>
        <v>1</v>
      </c>
      <c r="I5225" s="9"/>
      <c r="J5225" s="9"/>
      <c r="K5225" s="9"/>
      <c r="L5225" s="9"/>
      <c r="M5225" s="9"/>
      <c r="N5225" s="9"/>
      <c r="O5225" s="9"/>
      <c r="P5225" s="9"/>
      <c r="Q5225" s="9"/>
      <c r="R5225" s="9"/>
      <c r="S5225" s="9"/>
      <c r="T5225" s="9"/>
    </row>
    <row r="5226" ht="15.75" customHeight="1">
      <c r="A5226" s="11">
        <f>IFERROR(__xludf.DUMMYFUNCTION("""COMPUTED_VALUE"""),44471.0)</f>
        <v>44471</v>
      </c>
      <c r="B5226" s="9">
        <f>IFERROR(__xludf.DUMMYFUNCTION("""COMPUTED_VALUE"""),1004014.0)</f>
        <v>1004014</v>
      </c>
      <c r="C5226" s="9">
        <f>IFERROR(__xludf.DUMMYFUNCTION("""COMPUTED_VALUE"""),20243.0)</f>
        <v>20243</v>
      </c>
      <c r="D5226" s="10" t="str">
        <f>IFERROR(__xludf.DUMMYFUNCTION("""COMPUTED_VALUE"""),"Vive le bio")</f>
        <v>Vive le bio</v>
      </c>
      <c r="E5226" s="10"/>
      <c r="F5226" s="9">
        <f>IFERROR(__xludf.DUMMYFUNCTION("""COMPUTED_VALUE"""),15.2)</f>
        <v>15.2</v>
      </c>
      <c r="G5226" s="9">
        <f>IFERROR(__xludf.DUMMYFUNCTION("""COMPUTED_VALUE"""),13.68)</f>
        <v>13.68</v>
      </c>
      <c r="H5226" s="9">
        <f>IFERROR(__xludf.DUMMYFUNCTION("""COMPUTED_VALUE"""),1.0)</f>
        <v>1</v>
      </c>
      <c r="I5226" s="9"/>
      <c r="J5226" s="9"/>
      <c r="K5226" s="9"/>
      <c r="L5226" s="9"/>
      <c r="M5226" s="9"/>
      <c r="N5226" s="9"/>
      <c r="O5226" s="9"/>
      <c r="P5226" s="9"/>
      <c r="Q5226" s="9"/>
      <c r="R5226" s="9"/>
      <c r="S5226" s="9"/>
      <c r="T5226" s="9"/>
    </row>
    <row r="5227" ht="15.75" customHeight="1">
      <c r="A5227" s="11">
        <f>IFERROR(__xludf.DUMMYFUNCTION("""COMPUTED_VALUE"""),44471.0)</f>
        <v>44471</v>
      </c>
      <c r="B5227" s="9">
        <f>IFERROR(__xludf.DUMMYFUNCTION("""COMPUTED_VALUE"""),1004014.0)</f>
        <v>1004014</v>
      </c>
      <c r="C5227" s="9">
        <f>IFERROR(__xludf.DUMMYFUNCTION("""COMPUTED_VALUE"""),71836.0)</f>
        <v>71836</v>
      </c>
      <c r="D5227" s="9"/>
      <c r="E5227" s="9"/>
      <c r="F5227" s="9">
        <f>IFERROR(__xludf.DUMMYFUNCTION("""COMPUTED_VALUE"""),2.93)</f>
        <v>2.93</v>
      </c>
      <c r="G5227" s="9">
        <f>IFERROR(__xludf.DUMMYFUNCTION("""COMPUTED_VALUE"""),2.93)</f>
        <v>2.93</v>
      </c>
      <c r="H5227" s="9">
        <f>IFERROR(__xludf.DUMMYFUNCTION("""COMPUTED_VALUE"""),1.0)</f>
        <v>1</v>
      </c>
      <c r="I5227" s="9"/>
      <c r="J5227" s="9"/>
      <c r="K5227" s="9"/>
      <c r="L5227" s="9"/>
      <c r="M5227" s="9"/>
      <c r="N5227" s="9"/>
      <c r="O5227" s="9"/>
      <c r="P5227" s="9"/>
      <c r="Q5227" s="9"/>
      <c r="R5227" s="9"/>
      <c r="S5227" s="9"/>
      <c r="T5227" s="9"/>
    </row>
    <row r="5228" ht="15.75" customHeight="1">
      <c r="A5228" s="11">
        <f>IFERROR(__xludf.DUMMYFUNCTION("""COMPUTED_VALUE"""),44471.0)</f>
        <v>44471</v>
      </c>
      <c r="B5228" s="9">
        <f>IFERROR(__xludf.DUMMYFUNCTION("""COMPUTED_VALUE"""),1004014.0)</f>
        <v>1004014</v>
      </c>
      <c r="C5228" s="9">
        <f>IFERROR(__xludf.DUMMYFUNCTION("""COMPUTED_VALUE"""),80682.0)</f>
        <v>80682</v>
      </c>
      <c r="D5228" s="9"/>
      <c r="E5228" s="9"/>
      <c r="F5228" s="9">
        <f>IFERROR(__xludf.DUMMYFUNCTION("""COMPUTED_VALUE"""),2.32)</f>
        <v>2.32</v>
      </c>
      <c r="G5228" s="9">
        <f>IFERROR(__xludf.DUMMYFUNCTION("""COMPUTED_VALUE"""),2.32)</f>
        <v>2.32</v>
      </c>
      <c r="H5228" s="9">
        <f>IFERROR(__xludf.DUMMYFUNCTION("""COMPUTED_VALUE"""),1.0)</f>
        <v>1</v>
      </c>
      <c r="I5228" s="9"/>
      <c r="J5228" s="9"/>
      <c r="K5228" s="9"/>
      <c r="L5228" s="9"/>
      <c r="M5228" s="9"/>
      <c r="N5228" s="9"/>
      <c r="O5228" s="9"/>
      <c r="P5228" s="9"/>
      <c r="Q5228" s="9"/>
      <c r="R5228" s="9"/>
      <c r="S5228" s="9"/>
      <c r="T5228" s="9"/>
    </row>
    <row r="5229" ht="15.75" customHeight="1">
      <c r="A5229" s="11">
        <f>IFERROR(__xludf.DUMMYFUNCTION("""COMPUTED_VALUE"""),44471.0)</f>
        <v>44471</v>
      </c>
      <c r="B5229" s="9">
        <f>IFERROR(__xludf.DUMMYFUNCTION("""COMPUTED_VALUE"""),1004014.0)</f>
        <v>1004014</v>
      </c>
      <c r="C5229" s="9">
        <f>IFERROR(__xludf.DUMMYFUNCTION("""COMPUTED_VALUE"""),48632.0)</f>
        <v>48632</v>
      </c>
      <c r="D5229" s="9"/>
      <c r="E5229" s="9"/>
      <c r="F5229" s="9">
        <f>IFERROR(__xludf.DUMMYFUNCTION("""COMPUTED_VALUE"""),3.46)</f>
        <v>3.46</v>
      </c>
      <c r="G5229" s="9">
        <f>IFERROR(__xludf.DUMMYFUNCTION("""COMPUTED_VALUE"""),3.46)</f>
        <v>3.46</v>
      </c>
      <c r="H5229" s="9">
        <f>IFERROR(__xludf.DUMMYFUNCTION("""COMPUTED_VALUE"""),1.0)</f>
        <v>1</v>
      </c>
      <c r="I5229" s="9"/>
      <c r="J5229" s="9"/>
      <c r="K5229" s="9"/>
      <c r="L5229" s="9"/>
      <c r="M5229" s="9"/>
      <c r="N5229" s="9"/>
      <c r="O5229" s="9"/>
      <c r="P5229" s="9"/>
      <c r="Q5229" s="9"/>
      <c r="R5229" s="9"/>
      <c r="S5229" s="9"/>
      <c r="T5229" s="9"/>
    </row>
    <row r="5230" ht="15.75" customHeight="1">
      <c r="A5230" s="11">
        <f>IFERROR(__xludf.DUMMYFUNCTION("""COMPUTED_VALUE"""),44471.0)</f>
        <v>44471</v>
      </c>
      <c r="B5230" s="9">
        <f>IFERROR(__xludf.DUMMYFUNCTION("""COMPUTED_VALUE"""),1004014.0)</f>
        <v>1004014</v>
      </c>
      <c r="C5230" s="9">
        <f>IFERROR(__xludf.DUMMYFUNCTION("""COMPUTED_VALUE"""),80678.0)</f>
        <v>80678</v>
      </c>
      <c r="D5230" s="9"/>
      <c r="E5230" s="9"/>
      <c r="F5230" s="9">
        <f>IFERROR(__xludf.DUMMYFUNCTION("""COMPUTED_VALUE"""),4.78)</f>
        <v>4.78</v>
      </c>
      <c r="G5230" s="9">
        <f>IFERROR(__xludf.DUMMYFUNCTION("""COMPUTED_VALUE"""),4.78)</f>
        <v>4.78</v>
      </c>
      <c r="H5230" s="9">
        <f>IFERROR(__xludf.DUMMYFUNCTION("""COMPUTED_VALUE"""),2.0)</f>
        <v>2</v>
      </c>
      <c r="I5230" s="9"/>
      <c r="J5230" s="9"/>
      <c r="K5230" s="9"/>
      <c r="L5230" s="9"/>
      <c r="M5230" s="9"/>
      <c r="N5230" s="9"/>
      <c r="O5230" s="9"/>
      <c r="P5230" s="9"/>
      <c r="Q5230" s="9"/>
      <c r="R5230" s="9"/>
      <c r="S5230" s="9"/>
      <c r="T5230" s="9"/>
    </row>
    <row r="5231" ht="15.75" customHeight="1">
      <c r="A5231" s="11">
        <f>IFERROR(__xludf.DUMMYFUNCTION("""COMPUTED_VALUE"""),44471.0)</f>
        <v>44471</v>
      </c>
      <c r="B5231" s="9">
        <f>IFERROR(__xludf.DUMMYFUNCTION("""COMPUTED_VALUE"""),1004014.0)</f>
        <v>1004014</v>
      </c>
      <c r="C5231" s="9">
        <f>IFERROR(__xludf.DUMMYFUNCTION("""COMPUTED_VALUE"""),107917.0)</f>
        <v>107917</v>
      </c>
      <c r="D5231" s="9"/>
      <c r="E5231" s="9"/>
      <c r="F5231" s="9">
        <f>IFERROR(__xludf.DUMMYFUNCTION("""COMPUTED_VALUE"""),4.06)</f>
        <v>4.06</v>
      </c>
      <c r="G5231" s="9">
        <f>IFERROR(__xludf.DUMMYFUNCTION("""COMPUTED_VALUE"""),4.06)</f>
        <v>4.06</v>
      </c>
      <c r="H5231" s="9">
        <f>IFERROR(__xludf.DUMMYFUNCTION("""COMPUTED_VALUE"""),2.0)</f>
        <v>2</v>
      </c>
      <c r="I5231" s="9"/>
      <c r="J5231" s="9"/>
      <c r="K5231" s="9"/>
      <c r="L5231" s="9"/>
      <c r="M5231" s="9"/>
      <c r="N5231" s="9"/>
      <c r="O5231" s="9"/>
      <c r="P5231" s="9"/>
      <c r="Q5231" s="9"/>
      <c r="R5231" s="9"/>
      <c r="S5231" s="9"/>
      <c r="T5231" s="9"/>
    </row>
    <row r="5232" ht="15.75" customHeight="1">
      <c r="A5232" s="11">
        <f>IFERROR(__xludf.DUMMYFUNCTION("""COMPUTED_VALUE"""),44471.0)</f>
        <v>44471</v>
      </c>
      <c r="B5232" s="9">
        <f>IFERROR(__xludf.DUMMYFUNCTION("""COMPUTED_VALUE"""),1004014.0)</f>
        <v>1004014</v>
      </c>
      <c r="C5232" s="9">
        <f>IFERROR(__xludf.DUMMYFUNCTION("""COMPUTED_VALUE"""),74383.0)</f>
        <v>74383</v>
      </c>
      <c r="D5232" s="10" t="str">
        <f>IFERROR(__xludf.DUMMYFUNCTION("""COMPUTED_VALUE"""),"Offre Speciale")</f>
        <v>Offre Speciale</v>
      </c>
      <c r="E5232" s="10"/>
      <c r="F5232" s="9">
        <f>IFERROR(__xludf.DUMMYFUNCTION("""COMPUTED_VALUE"""),6.83529411764705)</f>
        <v>6.835294118</v>
      </c>
      <c r="G5232" s="9">
        <f>IFERROR(__xludf.DUMMYFUNCTION("""COMPUTED_VALUE"""),5.81)</f>
        <v>5.81</v>
      </c>
      <c r="H5232" s="9">
        <f>IFERROR(__xludf.DUMMYFUNCTION("""COMPUTED_VALUE"""),2.0)</f>
        <v>2</v>
      </c>
      <c r="I5232" s="9"/>
      <c r="J5232" s="9"/>
      <c r="K5232" s="9"/>
      <c r="L5232" s="9"/>
      <c r="M5232" s="9"/>
      <c r="N5232" s="9"/>
      <c r="O5232" s="9"/>
      <c r="P5232" s="9"/>
      <c r="Q5232" s="9"/>
      <c r="R5232" s="9"/>
      <c r="S5232" s="9"/>
      <c r="T5232" s="9"/>
    </row>
    <row r="5233" ht="15.75" customHeight="1">
      <c r="A5233" s="11">
        <f>IFERROR(__xludf.DUMMYFUNCTION("""COMPUTED_VALUE"""),44471.0)</f>
        <v>44471</v>
      </c>
      <c r="B5233" s="9">
        <f>IFERROR(__xludf.DUMMYFUNCTION("""COMPUTED_VALUE"""),1004014.0)</f>
        <v>1004014</v>
      </c>
      <c r="C5233" s="9">
        <f>IFERROR(__xludf.DUMMYFUNCTION("""COMPUTED_VALUE"""),86994.0)</f>
        <v>86994</v>
      </c>
      <c r="D5233" s="10" t="str">
        <f>IFERROR(__xludf.DUMMYFUNCTION("""COMPUTED_VALUE"""),"Vive le bio")</f>
        <v>Vive le bio</v>
      </c>
      <c r="E5233" s="10"/>
      <c r="F5233" s="9">
        <f>IFERROR(__xludf.DUMMYFUNCTION("""COMPUTED_VALUE"""),5.7578947368421)</f>
        <v>5.757894737</v>
      </c>
      <c r="G5233" s="9">
        <f>IFERROR(__xludf.DUMMYFUNCTION("""COMPUTED_VALUE"""),5.47)</f>
        <v>5.47</v>
      </c>
      <c r="H5233" s="9">
        <f>IFERROR(__xludf.DUMMYFUNCTION("""COMPUTED_VALUE"""),2.0)</f>
        <v>2</v>
      </c>
      <c r="I5233" s="9"/>
      <c r="J5233" s="9"/>
      <c r="K5233" s="9"/>
      <c r="L5233" s="9"/>
      <c r="M5233" s="9"/>
      <c r="N5233" s="9"/>
      <c r="O5233" s="9"/>
      <c r="P5233" s="9"/>
      <c r="Q5233" s="9"/>
      <c r="R5233" s="9"/>
      <c r="S5233" s="9"/>
      <c r="T5233" s="9"/>
    </row>
    <row r="5234" ht="15.75" customHeight="1">
      <c r="A5234" s="11">
        <f>IFERROR(__xludf.DUMMYFUNCTION("""COMPUTED_VALUE"""),44471.0)</f>
        <v>44471</v>
      </c>
      <c r="B5234" s="9">
        <f>IFERROR(__xludf.DUMMYFUNCTION("""COMPUTED_VALUE"""),1004014.0)</f>
        <v>1004014</v>
      </c>
      <c r="C5234" s="9">
        <f>IFERROR(__xludf.DUMMYFUNCTION("""COMPUTED_VALUE"""),70236.0)</f>
        <v>70236</v>
      </c>
      <c r="D5234" s="9"/>
      <c r="E5234" s="9"/>
      <c r="F5234" s="9">
        <f>IFERROR(__xludf.DUMMYFUNCTION("""COMPUTED_VALUE"""),4.63)</f>
        <v>4.63</v>
      </c>
      <c r="G5234" s="9">
        <f>IFERROR(__xludf.DUMMYFUNCTION("""COMPUTED_VALUE"""),4.63)</f>
        <v>4.63</v>
      </c>
      <c r="H5234" s="9">
        <f>IFERROR(__xludf.DUMMYFUNCTION("""COMPUTED_VALUE"""),2.0)</f>
        <v>2</v>
      </c>
      <c r="I5234" s="9"/>
      <c r="J5234" s="9"/>
      <c r="K5234" s="9"/>
      <c r="L5234" s="9"/>
      <c r="M5234" s="9"/>
      <c r="N5234" s="9"/>
      <c r="O5234" s="9"/>
      <c r="P5234" s="9"/>
      <c r="Q5234" s="9"/>
      <c r="R5234" s="9"/>
      <c r="S5234" s="9"/>
      <c r="T5234" s="9"/>
    </row>
    <row r="5235" ht="15.75" customHeight="1">
      <c r="A5235" s="11">
        <f>IFERROR(__xludf.DUMMYFUNCTION("""COMPUTED_VALUE"""),44471.0)</f>
        <v>44471</v>
      </c>
      <c r="B5235" s="9">
        <f>IFERROR(__xludf.DUMMYFUNCTION("""COMPUTED_VALUE"""),1004014.0)</f>
        <v>1004014</v>
      </c>
      <c r="C5235" s="9">
        <f>IFERROR(__xludf.DUMMYFUNCTION("""COMPUTED_VALUE"""),70238.0)</f>
        <v>70238</v>
      </c>
      <c r="D5235" s="9"/>
      <c r="E5235" s="9"/>
      <c r="F5235" s="9">
        <f>IFERROR(__xludf.DUMMYFUNCTION("""COMPUTED_VALUE"""),4.63)</f>
        <v>4.63</v>
      </c>
      <c r="G5235" s="9">
        <f>IFERROR(__xludf.DUMMYFUNCTION("""COMPUTED_VALUE"""),4.63)</f>
        <v>4.63</v>
      </c>
      <c r="H5235" s="9">
        <f>IFERROR(__xludf.DUMMYFUNCTION("""COMPUTED_VALUE"""),2.0)</f>
        <v>2</v>
      </c>
      <c r="I5235" s="9"/>
      <c r="J5235" s="9"/>
      <c r="K5235" s="9"/>
      <c r="L5235" s="9"/>
      <c r="M5235" s="9"/>
      <c r="N5235" s="9"/>
      <c r="O5235" s="9"/>
      <c r="P5235" s="9"/>
      <c r="Q5235" s="9"/>
      <c r="R5235" s="9"/>
      <c r="S5235" s="9"/>
      <c r="T5235" s="9"/>
    </row>
    <row r="5236" ht="15.75" customHeight="1">
      <c r="A5236" s="11">
        <f>IFERROR(__xludf.DUMMYFUNCTION("""COMPUTED_VALUE"""),44471.0)</f>
        <v>44471</v>
      </c>
      <c r="B5236" s="9">
        <f>IFERROR(__xludf.DUMMYFUNCTION("""COMPUTED_VALUE"""),1004014.0)</f>
        <v>1004014</v>
      </c>
      <c r="C5236" s="9">
        <f>IFERROR(__xludf.DUMMYFUNCTION("""COMPUTED_VALUE"""),70239.0)</f>
        <v>70239</v>
      </c>
      <c r="D5236" s="9"/>
      <c r="E5236" s="9"/>
      <c r="F5236" s="9">
        <f>IFERROR(__xludf.DUMMYFUNCTION("""COMPUTED_VALUE"""),4.63)</f>
        <v>4.63</v>
      </c>
      <c r="G5236" s="9">
        <f>IFERROR(__xludf.DUMMYFUNCTION("""COMPUTED_VALUE"""),4.63)</f>
        <v>4.63</v>
      </c>
      <c r="H5236" s="9">
        <f>IFERROR(__xludf.DUMMYFUNCTION("""COMPUTED_VALUE"""),2.0)</f>
        <v>2</v>
      </c>
      <c r="I5236" s="9"/>
      <c r="J5236" s="9"/>
      <c r="K5236" s="9"/>
      <c r="L5236" s="9"/>
      <c r="M5236" s="9"/>
      <c r="N5236" s="9"/>
      <c r="O5236" s="9"/>
      <c r="P5236" s="9"/>
      <c r="Q5236" s="9"/>
      <c r="R5236" s="9"/>
      <c r="S5236" s="9"/>
      <c r="T5236" s="9"/>
    </row>
    <row r="5237" ht="15.75" customHeight="1">
      <c r="A5237" s="11">
        <f>IFERROR(__xludf.DUMMYFUNCTION("""COMPUTED_VALUE"""),44471.0)</f>
        <v>44471</v>
      </c>
      <c r="B5237" s="9">
        <f>IFERROR(__xludf.DUMMYFUNCTION("""COMPUTED_VALUE"""),1004014.0)</f>
        <v>1004014</v>
      </c>
      <c r="C5237" s="9">
        <f>IFERROR(__xludf.DUMMYFUNCTION("""COMPUTED_VALUE"""),10569.0)</f>
        <v>10569</v>
      </c>
      <c r="D5237" s="9"/>
      <c r="E5237" s="9"/>
      <c r="F5237" s="9">
        <f>IFERROR(__xludf.DUMMYFUNCTION("""COMPUTED_VALUE"""),22.85)</f>
        <v>22.85</v>
      </c>
      <c r="G5237" s="9">
        <f>IFERROR(__xludf.DUMMYFUNCTION("""COMPUTED_VALUE"""),22.85)</f>
        <v>22.85</v>
      </c>
      <c r="H5237" s="9">
        <f>IFERROR(__xludf.DUMMYFUNCTION("""COMPUTED_VALUE"""),3.0)</f>
        <v>3</v>
      </c>
      <c r="I5237" s="9"/>
      <c r="J5237" s="9"/>
      <c r="K5237" s="9"/>
      <c r="L5237" s="9"/>
      <c r="M5237" s="9"/>
      <c r="N5237" s="9"/>
      <c r="O5237" s="9"/>
      <c r="P5237" s="9"/>
      <c r="Q5237" s="9"/>
      <c r="R5237" s="9"/>
      <c r="S5237" s="9"/>
      <c r="T5237" s="9"/>
    </row>
    <row r="5238" ht="15.75" customHeight="1">
      <c r="A5238" s="11">
        <f>IFERROR(__xludf.DUMMYFUNCTION("""COMPUTED_VALUE"""),44471.0)</f>
        <v>44471</v>
      </c>
      <c r="B5238" s="9">
        <f>IFERROR(__xludf.DUMMYFUNCTION("""COMPUTED_VALUE"""),1004015.0)</f>
        <v>1004015</v>
      </c>
      <c r="C5238" s="9">
        <f>IFERROR(__xludf.DUMMYFUNCTION("""COMPUTED_VALUE"""),103592.0)</f>
        <v>103592</v>
      </c>
      <c r="D5238" s="10" t="str">
        <f>IFERROR(__xludf.DUMMYFUNCTION("""COMPUTED_VALUE"""),"Love &amp; Green Couches et Culottes sept 2021")</f>
        <v>Love &amp; Green Couches et Culottes sept 2021</v>
      </c>
      <c r="E5238" s="10" t="str">
        <f>IFERROR(__xludf.DUMMYFUNCTION("""COMPUTED_VALUE"""),"GREENRELAIS")</f>
        <v>GREENRELAIS</v>
      </c>
      <c r="F5238" s="10">
        <f>IFERROR(__xludf.DUMMYFUNCTION("""COMPUTED_VALUE"""),124.042857142857)</f>
        <v>124.0428571</v>
      </c>
      <c r="G5238" s="9">
        <f>IFERROR(__xludf.DUMMYFUNCTION("""COMPUTED_VALUE"""),86.83)</f>
        <v>86.83</v>
      </c>
      <c r="H5238" s="9">
        <f>IFERROR(__xludf.DUMMYFUNCTION("""COMPUTED_VALUE"""),8.0)</f>
        <v>8</v>
      </c>
      <c r="I5238" s="9"/>
      <c r="J5238" s="9"/>
      <c r="K5238" s="9"/>
      <c r="L5238" s="9"/>
      <c r="M5238" s="9"/>
      <c r="N5238" s="9"/>
      <c r="O5238" s="9"/>
      <c r="P5238" s="9"/>
      <c r="Q5238" s="9"/>
      <c r="R5238" s="9"/>
      <c r="S5238" s="9"/>
      <c r="T5238" s="9"/>
    </row>
    <row r="5239" ht="15.75" customHeight="1">
      <c r="A5239" s="11">
        <f>IFERROR(__xludf.DUMMYFUNCTION("""COMPUTED_VALUE"""),44471.0)</f>
        <v>44471</v>
      </c>
      <c r="B5239" s="9">
        <f>IFERROR(__xludf.DUMMYFUNCTION("""COMPUTED_VALUE"""),1004016.0)</f>
        <v>1004016</v>
      </c>
      <c r="C5239" s="9">
        <f>IFERROR(__xludf.DUMMYFUNCTION("""COMPUTED_VALUE"""),180822.0)</f>
        <v>180822</v>
      </c>
      <c r="D5239" s="9"/>
      <c r="E5239" s="10" t="str">
        <f>IFERROR(__xludf.DUMMYFUNCTION("""COMPUTED_VALUE"""),"GREENRELAIS")</f>
        <v>GREENRELAIS</v>
      </c>
      <c r="F5239" s="10">
        <f>IFERROR(__xludf.DUMMYFUNCTION("""COMPUTED_VALUE"""),13.08)</f>
        <v>13.08</v>
      </c>
      <c r="G5239" s="9">
        <f>IFERROR(__xludf.DUMMYFUNCTION("""COMPUTED_VALUE"""),13.08)</f>
        <v>13.08</v>
      </c>
      <c r="H5239" s="9">
        <f>IFERROR(__xludf.DUMMYFUNCTION("""COMPUTED_VALUE"""),1.0)</f>
        <v>1</v>
      </c>
      <c r="I5239" s="9"/>
      <c r="J5239" s="9"/>
      <c r="K5239" s="9"/>
      <c r="L5239" s="9"/>
      <c r="M5239" s="9"/>
      <c r="N5239" s="9"/>
      <c r="O5239" s="9"/>
      <c r="P5239" s="9"/>
      <c r="Q5239" s="9"/>
      <c r="R5239" s="9"/>
      <c r="S5239" s="9"/>
      <c r="T5239" s="9"/>
    </row>
    <row r="5240" ht="15.75" customHeight="1">
      <c r="A5240" s="11">
        <f>IFERROR(__xludf.DUMMYFUNCTION("""COMPUTED_VALUE"""),44471.0)</f>
        <v>44471</v>
      </c>
      <c r="B5240" s="9">
        <f>IFERROR(__xludf.DUMMYFUNCTION("""COMPUTED_VALUE"""),1004016.0)</f>
        <v>1004016</v>
      </c>
      <c r="C5240" s="9">
        <f>IFERROR(__xludf.DUMMYFUNCTION("""COMPUTED_VALUE"""),105905.0)</f>
        <v>105905</v>
      </c>
      <c r="D5240" s="9"/>
      <c r="E5240" s="10" t="str">
        <f>IFERROR(__xludf.DUMMYFUNCTION("""COMPUTED_VALUE"""),"GREENRELAIS")</f>
        <v>GREENRELAIS</v>
      </c>
      <c r="F5240" s="10">
        <f>IFERROR(__xludf.DUMMYFUNCTION("""COMPUTED_VALUE"""),6.56)</f>
        <v>6.56</v>
      </c>
      <c r="G5240" s="9">
        <f>IFERROR(__xludf.DUMMYFUNCTION("""COMPUTED_VALUE"""),6.56)</f>
        <v>6.56</v>
      </c>
      <c r="H5240" s="9">
        <f>IFERROR(__xludf.DUMMYFUNCTION("""COMPUTED_VALUE"""),1.0)</f>
        <v>1</v>
      </c>
      <c r="I5240" s="9"/>
      <c r="J5240" s="9"/>
      <c r="K5240" s="9"/>
      <c r="L5240" s="9"/>
      <c r="M5240" s="9"/>
      <c r="N5240" s="9"/>
      <c r="O5240" s="9"/>
      <c r="P5240" s="9"/>
      <c r="Q5240" s="9"/>
      <c r="R5240" s="9"/>
      <c r="S5240" s="9"/>
      <c r="T5240" s="9"/>
    </row>
    <row r="5241" ht="15.75" customHeight="1">
      <c r="A5241" s="11">
        <f>IFERROR(__xludf.DUMMYFUNCTION("""COMPUTED_VALUE"""),44471.0)</f>
        <v>44471</v>
      </c>
      <c r="B5241" s="9">
        <f>IFERROR(__xludf.DUMMYFUNCTION("""COMPUTED_VALUE"""),1004016.0)</f>
        <v>1004016</v>
      </c>
      <c r="C5241" s="9">
        <f>IFERROR(__xludf.DUMMYFUNCTION("""COMPUTED_VALUE"""),108458.0)</f>
        <v>108458</v>
      </c>
      <c r="D5241" s="9"/>
      <c r="E5241" s="10" t="str">
        <f>IFERROR(__xludf.DUMMYFUNCTION("""COMPUTED_VALUE"""),"GREENRELAIS")</f>
        <v>GREENRELAIS</v>
      </c>
      <c r="F5241" s="10">
        <f>IFERROR(__xludf.DUMMYFUNCTION("""COMPUTED_VALUE"""),9.32)</f>
        <v>9.32</v>
      </c>
      <c r="G5241" s="9">
        <f>IFERROR(__xludf.DUMMYFUNCTION("""COMPUTED_VALUE"""),9.32)</f>
        <v>9.32</v>
      </c>
      <c r="H5241" s="9">
        <f>IFERROR(__xludf.DUMMYFUNCTION("""COMPUTED_VALUE"""),1.0)</f>
        <v>1</v>
      </c>
      <c r="I5241" s="9"/>
      <c r="J5241" s="9"/>
      <c r="K5241" s="9"/>
      <c r="L5241" s="9"/>
      <c r="M5241" s="9"/>
      <c r="N5241" s="9"/>
      <c r="O5241" s="9"/>
      <c r="P5241" s="9"/>
      <c r="Q5241" s="9"/>
      <c r="R5241" s="9"/>
      <c r="S5241" s="9"/>
      <c r="T5241" s="9"/>
    </row>
    <row r="5242" ht="15.75" customHeight="1">
      <c r="A5242" s="11">
        <f>IFERROR(__xludf.DUMMYFUNCTION("""COMPUTED_VALUE"""),44471.0)</f>
        <v>44471</v>
      </c>
      <c r="B5242" s="9">
        <f>IFERROR(__xludf.DUMMYFUNCTION("""COMPUTED_VALUE"""),1004016.0)</f>
        <v>1004016</v>
      </c>
      <c r="C5242" s="9">
        <f>IFERROR(__xludf.DUMMYFUNCTION("""COMPUTED_VALUE"""),113129.0)</f>
        <v>113129</v>
      </c>
      <c r="D5242" s="9"/>
      <c r="E5242" s="10" t="str">
        <f>IFERROR(__xludf.DUMMYFUNCTION("""COMPUTED_VALUE"""),"GREENRELAIS")</f>
        <v>GREENRELAIS</v>
      </c>
      <c r="F5242" s="10">
        <f>IFERROR(__xludf.DUMMYFUNCTION("""COMPUTED_VALUE"""),117.46)</f>
        <v>117.46</v>
      </c>
      <c r="G5242" s="9">
        <f>IFERROR(__xludf.DUMMYFUNCTION("""COMPUTED_VALUE"""),117.46)</f>
        <v>117.46</v>
      </c>
      <c r="H5242" s="9">
        <f>IFERROR(__xludf.DUMMYFUNCTION("""COMPUTED_VALUE"""),8.0)</f>
        <v>8</v>
      </c>
      <c r="I5242" s="9"/>
      <c r="J5242" s="9"/>
      <c r="K5242" s="9"/>
      <c r="L5242" s="9"/>
      <c r="M5242" s="9"/>
      <c r="N5242" s="9"/>
      <c r="O5242" s="9"/>
      <c r="P5242" s="9"/>
      <c r="Q5242" s="9"/>
      <c r="R5242" s="9"/>
      <c r="S5242" s="9"/>
      <c r="T5242" s="9"/>
    </row>
    <row r="5243" ht="15.75" customHeight="1">
      <c r="A5243" s="11">
        <f>IFERROR(__xludf.DUMMYFUNCTION("""COMPUTED_VALUE"""),44471.0)</f>
        <v>44471</v>
      </c>
      <c r="B5243" s="9">
        <f>IFERROR(__xludf.DUMMYFUNCTION("""COMPUTED_VALUE"""),1004017.0)</f>
        <v>1004017</v>
      </c>
      <c r="C5243" s="9">
        <f>IFERROR(__xludf.DUMMYFUNCTION("""COMPUTED_VALUE"""),98337.0)</f>
        <v>98337</v>
      </c>
      <c r="D5243" s="9"/>
      <c r="E5243" s="9"/>
      <c r="F5243" s="9">
        <f>IFERROR(__xludf.DUMMYFUNCTION("""COMPUTED_VALUE"""),31.99)</f>
        <v>31.99</v>
      </c>
      <c r="G5243" s="9">
        <f>IFERROR(__xludf.DUMMYFUNCTION("""COMPUTED_VALUE"""),31.99)</f>
        <v>31.99</v>
      </c>
      <c r="H5243" s="9">
        <f>IFERROR(__xludf.DUMMYFUNCTION("""COMPUTED_VALUE"""),8.0)</f>
        <v>8</v>
      </c>
      <c r="I5243" s="9"/>
      <c r="J5243" s="9"/>
      <c r="K5243" s="9"/>
      <c r="L5243" s="9"/>
      <c r="M5243" s="9"/>
      <c r="N5243" s="9"/>
      <c r="O5243" s="9"/>
      <c r="P5243" s="9"/>
      <c r="Q5243" s="9"/>
      <c r="R5243" s="9"/>
      <c r="S5243" s="9"/>
      <c r="T5243" s="9"/>
    </row>
    <row r="5244" ht="15.75" customHeight="1">
      <c r="A5244" s="11">
        <f>IFERROR(__xludf.DUMMYFUNCTION("""COMPUTED_VALUE"""),44471.0)</f>
        <v>44471</v>
      </c>
      <c r="B5244" s="9">
        <f>IFERROR(__xludf.DUMMYFUNCTION("""COMPUTED_VALUE"""),1004018.0)</f>
        <v>1004018</v>
      </c>
      <c r="C5244" s="9">
        <f>IFERROR(__xludf.DUMMYFUNCTION("""COMPUTED_VALUE"""),89127.0)</f>
        <v>89127</v>
      </c>
      <c r="D5244" s="9"/>
      <c r="E5244" s="9"/>
      <c r="F5244" s="9">
        <f>IFERROR(__xludf.DUMMYFUNCTION("""COMPUTED_VALUE"""),3.51)</f>
        <v>3.51</v>
      </c>
      <c r="G5244" s="9">
        <f>IFERROR(__xludf.DUMMYFUNCTION("""COMPUTED_VALUE"""),3.51)</f>
        <v>3.51</v>
      </c>
      <c r="H5244" s="9">
        <f>IFERROR(__xludf.DUMMYFUNCTION("""COMPUTED_VALUE"""),1.0)</f>
        <v>1</v>
      </c>
      <c r="I5244" s="9"/>
      <c r="J5244" s="9"/>
      <c r="K5244" s="9"/>
      <c r="L5244" s="9"/>
      <c r="M5244" s="9"/>
      <c r="N5244" s="9"/>
      <c r="O5244" s="9"/>
      <c r="P5244" s="9"/>
      <c r="Q5244" s="9"/>
      <c r="R5244" s="9"/>
      <c r="S5244" s="9"/>
      <c r="T5244" s="9"/>
    </row>
    <row r="5245" ht="15.75" customHeight="1">
      <c r="A5245" s="11">
        <f>IFERROR(__xludf.DUMMYFUNCTION("""COMPUTED_VALUE"""),44471.0)</f>
        <v>44471</v>
      </c>
      <c r="B5245" s="9">
        <f>IFERROR(__xludf.DUMMYFUNCTION("""COMPUTED_VALUE"""),1004018.0)</f>
        <v>1004018</v>
      </c>
      <c r="C5245" s="9">
        <f>IFERROR(__xludf.DUMMYFUNCTION("""COMPUTED_VALUE"""),100436.0)</f>
        <v>100436</v>
      </c>
      <c r="D5245" s="9"/>
      <c r="E5245" s="9"/>
      <c r="F5245" s="9">
        <f>IFERROR(__xludf.DUMMYFUNCTION("""COMPUTED_VALUE"""),4.17)</f>
        <v>4.17</v>
      </c>
      <c r="G5245" s="9">
        <f>IFERROR(__xludf.DUMMYFUNCTION("""COMPUTED_VALUE"""),4.17)</f>
        <v>4.17</v>
      </c>
      <c r="H5245" s="9">
        <f>IFERROR(__xludf.DUMMYFUNCTION("""COMPUTED_VALUE"""),1.0)</f>
        <v>1</v>
      </c>
      <c r="I5245" s="9"/>
      <c r="J5245" s="9"/>
      <c r="K5245" s="9"/>
      <c r="L5245" s="9"/>
      <c r="M5245" s="9"/>
      <c r="N5245" s="9"/>
      <c r="O5245" s="9"/>
      <c r="P5245" s="9"/>
      <c r="Q5245" s="9"/>
      <c r="R5245" s="9"/>
      <c r="S5245" s="9"/>
      <c r="T5245" s="9"/>
    </row>
    <row r="5246" ht="15.75" customHeight="1">
      <c r="A5246" s="11">
        <f>IFERROR(__xludf.DUMMYFUNCTION("""COMPUTED_VALUE"""),44471.0)</f>
        <v>44471</v>
      </c>
      <c r="B5246" s="9">
        <f>IFERROR(__xludf.DUMMYFUNCTION("""COMPUTED_VALUE"""),1004018.0)</f>
        <v>1004018</v>
      </c>
      <c r="C5246" s="9">
        <f>IFERROR(__xludf.DUMMYFUNCTION("""COMPUTED_VALUE"""),29444.0)</f>
        <v>29444</v>
      </c>
      <c r="D5246" s="9"/>
      <c r="E5246" s="9"/>
      <c r="F5246" s="9">
        <f>IFERROR(__xludf.DUMMYFUNCTION("""COMPUTED_VALUE"""),6.67)</f>
        <v>6.67</v>
      </c>
      <c r="G5246" s="9">
        <f>IFERROR(__xludf.DUMMYFUNCTION("""COMPUTED_VALUE"""),6.67)</f>
        <v>6.67</v>
      </c>
      <c r="H5246" s="9">
        <f>IFERROR(__xludf.DUMMYFUNCTION("""COMPUTED_VALUE"""),1.0)</f>
        <v>1</v>
      </c>
      <c r="I5246" s="9"/>
      <c r="J5246" s="9"/>
      <c r="K5246" s="9"/>
      <c r="L5246" s="9"/>
      <c r="M5246" s="9"/>
      <c r="N5246" s="9"/>
      <c r="O5246" s="9"/>
      <c r="P5246" s="9"/>
      <c r="Q5246" s="9"/>
      <c r="R5246" s="9"/>
      <c r="S5246" s="9"/>
      <c r="T5246" s="9"/>
    </row>
    <row r="5247" ht="15.75" customHeight="1">
      <c r="A5247" s="11">
        <f>IFERROR(__xludf.DUMMYFUNCTION("""COMPUTED_VALUE"""),44471.0)</f>
        <v>44471</v>
      </c>
      <c r="B5247" s="9">
        <f>IFERROR(__xludf.DUMMYFUNCTION("""COMPUTED_VALUE"""),1004018.0)</f>
        <v>1004018</v>
      </c>
      <c r="C5247" s="9">
        <f>IFERROR(__xludf.DUMMYFUNCTION("""COMPUTED_VALUE"""),29499.0)</f>
        <v>29499</v>
      </c>
      <c r="D5247" s="9"/>
      <c r="E5247" s="9"/>
      <c r="F5247" s="9">
        <f>IFERROR(__xludf.DUMMYFUNCTION("""COMPUTED_VALUE"""),3.98)</f>
        <v>3.98</v>
      </c>
      <c r="G5247" s="9">
        <f>IFERROR(__xludf.DUMMYFUNCTION("""COMPUTED_VALUE"""),3.98)</f>
        <v>3.98</v>
      </c>
      <c r="H5247" s="9">
        <f>IFERROR(__xludf.DUMMYFUNCTION("""COMPUTED_VALUE"""),1.0)</f>
        <v>1</v>
      </c>
      <c r="I5247" s="9"/>
      <c r="J5247" s="9"/>
      <c r="K5247" s="9"/>
      <c r="L5247" s="9"/>
      <c r="M5247" s="9"/>
      <c r="N5247" s="9"/>
      <c r="O5247" s="9"/>
      <c r="P5247" s="9"/>
      <c r="Q5247" s="9"/>
      <c r="R5247" s="9"/>
      <c r="S5247" s="9"/>
      <c r="T5247" s="9"/>
    </row>
    <row r="5248" ht="15.75" customHeight="1">
      <c r="A5248" s="11">
        <f>IFERROR(__xludf.DUMMYFUNCTION("""COMPUTED_VALUE"""),44471.0)</f>
        <v>44471</v>
      </c>
      <c r="B5248" s="9">
        <f>IFERROR(__xludf.DUMMYFUNCTION("""COMPUTED_VALUE"""),1004018.0)</f>
        <v>1004018</v>
      </c>
      <c r="C5248" s="9">
        <f>IFERROR(__xludf.DUMMYFUNCTION("""COMPUTED_VALUE"""),29485.0)</f>
        <v>29485</v>
      </c>
      <c r="D5248" s="9"/>
      <c r="E5248" s="9"/>
      <c r="F5248" s="9">
        <f>IFERROR(__xludf.DUMMYFUNCTION("""COMPUTED_VALUE"""),3.98)</f>
        <v>3.98</v>
      </c>
      <c r="G5248" s="9">
        <f>IFERROR(__xludf.DUMMYFUNCTION("""COMPUTED_VALUE"""),3.98)</f>
        <v>3.98</v>
      </c>
      <c r="H5248" s="9">
        <f>IFERROR(__xludf.DUMMYFUNCTION("""COMPUTED_VALUE"""),1.0)</f>
        <v>1</v>
      </c>
      <c r="I5248" s="9"/>
      <c r="J5248" s="9"/>
      <c r="K5248" s="9"/>
      <c r="L5248" s="9"/>
      <c r="M5248" s="9"/>
      <c r="N5248" s="9"/>
      <c r="O5248" s="9"/>
      <c r="P5248" s="9"/>
      <c r="Q5248" s="9"/>
      <c r="R5248" s="9"/>
      <c r="S5248" s="9"/>
      <c r="T5248" s="9"/>
    </row>
    <row r="5249" ht="15.75" customHeight="1">
      <c r="A5249" s="11">
        <f>IFERROR(__xludf.DUMMYFUNCTION("""COMPUTED_VALUE"""),44471.0)</f>
        <v>44471</v>
      </c>
      <c r="B5249" s="9">
        <f>IFERROR(__xludf.DUMMYFUNCTION("""COMPUTED_VALUE"""),1004018.0)</f>
        <v>1004018</v>
      </c>
      <c r="C5249" s="9">
        <f>IFERROR(__xludf.DUMMYFUNCTION("""COMPUTED_VALUE"""),49108.0)</f>
        <v>49108</v>
      </c>
      <c r="D5249" s="9"/>
      <c r="E5249" s="9"/>
      <c r="F5249" s="9">
        <f>IFERROR(__xludf.DUMMYFUNCTION("""COMPUTED_VALUE"""),3.98)</f>
        <v>3.98</v>
      </c>
      <c r="G5249" s="9">
        <f>IFERROR(__xludf.DUMMYFUNCTION("""COMPUTED_VALUE"""),3.98)</f>
        <v>3.98</v>
      </c>
      <c r="H5249" s="9">
        <f>IFERROR(__xludf.DUMMYFUNCTION("""COMPUTED_VALUE"""),1.0)</f>
        <v>1</v>
      </c>
      <c r="I5249" s="9"/>
      <c r="J5249" s="9"/>
      <c r="K5249" s="9"/>
      <c r="L5249" s="9"/>
      <c r="M5249" s="9"/>
      <c r="N5249" s="9"/>
      <c r="O5249" s="9"/>
      <c r="P5249" s="9"/>
      <c r="Q5249" s="9"/>
      <c r="R5249" s="9"/>
      <c r="S5249" s="9"/>
      <c r="T5249" s="9"/>
    </row>
    <row r="5250" ht="15.75" customHeight="1">
      <c r="A5250" s="11">
        <f>IFERROR(__xludf.DUMMYFUNCTION("""COMPUTED_VALUE"""),44471.0)</f>
        <v>44471</v>
      </c>
      <c r="B5250" s="9">
        <f>IFERROR(__xludf.DUMMYFUNCTION("""COMPUTED_VALUE"""),1004018.0)</f>
        <v>1004018</v>
      </c>
      <c r="C5250" s="9">
        <f>IFERROR(__xludf.DUMMYFUNCTION("""COMPUTED_VALUE"""),29587.0)</f>
        <v>29587</v>
      </c>
      <c r="D5250" s="9"/>
      <c r="E5250" s="9"/>
      <c r="F5250" s="9">
        <f>IFERROR(__xludf.DUMMYFUNCTION("""COMPUTED_VALUE"""),6.47)</f>
        <v>6.47</v>
      </c>
      <c r="G5250" s="9">
        <f>IFERROR(__xludf.DUMMYFUNCTION("""COMPUTED_VALUE"""),6.47)</f>
        <v>6.47</v>
      </c>
      <c r="H5250" s="9">
        <f>IFERROR(__xludf.DUMMYFUNCTION("""COMPUTED_VALUE"""),1.0)</f>
        <v>1</v>
      </c>
      <c r="I5250" s="9"/>
      <c r="J5250" s="9"/>
      <c r="K5250" s="9"/>
      <c r="L5250" s="9"/>
      <c r="M5250" s="9"/>
      <c r="N5250" s="9"/>
      <c r="O5250" s="9"/>
      <c r="P5250" s="9"/>
      <c r="Q5250" s="9"/>
      <c r="R5250" s="9"/>
      <c r="S5250" s="9"/>
      <c r="T5250" s="9"/>
    </row>
    <row r="5251" ht="15.75" customHeight="1">
      <c r="A5251" s="11">
        <f>IFERROR(__xludf.DUMMYFUNCTION("""COMPUTED_VALUE"""),44471.0)</f>
        <v>44471</v>
      </c>
      <c r="B5251" s="9">
        <f>IFERROR(__xludf.DUMMYFUNCTION("""COMPUTED_VALUE"""),1004019.0)</f>
        <v>1004019</v>
      </c>
      <c r="C5251" s="9">
        <f>IFERROR(__xludf.DUMMYFUNCTION("""COMPUTED_VALUE"""),119257.0)</f>
        <v>119257</v>
      </c>
      <c r="D5251" s="9"/>
      <c r="E5251" s="10" t="str">
        <f>IFERROR(__xludf.DUMMYFUNCTION("""COMPUTED_VALUE"""),"GREENRELAIS")</f>
        <v>GREENRELAIS</v>
      </c>
      <c r="F5251" s="10">
        <f>IFERROR(__xludf.DUMMYFUNCTION("""COMPUTED_VALUE"""),1.63)</f>
        <v>1.63</v>
      </c>
      <c r="G5251" s="9">
        <f>IFERROR(__xludf.DUMMYFUNCTION("""COMPUTED_VALUE"""),1.63)</f>
        <v>1.63</v>
      </c>
      <c r="H5251" s="9">
        <f>IFERROR(__xludf.DUMMYFUNCTION("""COMPUTED_VALUE"""),1.0)</f>
        <v>1</v>
      </c>
      <c r="I5251" s="9"/>
      <c r="J5251" s="9"/>
      <c r="K5251" s="9"/>
      <c r="L5251" s="9"/>
      <c r="M5251" s="9"/>
      <c r="N5251" s="9"/>
      <c r="O5251" s="9"/>
      <c r="P5251" s="9"/>
      <c r="Q5251" s="9"/>
      <c r="R5251" s="9"/>
      <c r="S5251" s="9"/>
      <c r="T5251" s="9"/>
    </row>
    <row r="5252" ht="15.75" customHeight="1">
      <c r="A5252" s="11">
        <f>IFERROR(__xludf.DUMMYFUNCTION("""COMPUTED_VALUE"""),44471.0)</f>
        <v>44471</v>
      </c>
      <c r="B5252" s="9">
        <f>IFERROR(__xludf.DUMMYFUNCTION("""COMPUTED_VALUE"""),1004019.0)</f>
        <v>1004019</v>
      </c>
      <c r="C5252" s="9">
        <f>IFERROR(__xludf.DUMMYFUNCTION("""COMPUTED_VALUE"""),68412.0)</f>
        <v>68412</v>
      </c>
      <c r="D5252" s="9"/>
      <c r="E5252" s="10" t="str">
        <f>IFERROR(__xludf.DUMMYFUNCTION("""COMPUTED_VALUE"""),"GREENRELAIS")</f>
        <v>GREENRELAIS</v>
      </c>
      <c r="F5252" s="10">
        <f>IFERROR(__xludf.DUMMYFUNCTION("""COMPUTED_VALUE"""),1.83)</f>
        <v>1.83</v>
      </c>
      <c r="G5252" s="9">
        <f>IFERROR(__xludf.DUMMYFUNCTION("""COMPUTED_VALUE"""),1.83)</f>
        <v>1.83</v>
      </c>
      <c r="H5252" s="9">
        <f>IFERROR(__xludf.DUMMYFUNCTION("""COMPUTED_VALUE"""),1.0)</f>
        <v>1</v>
      </c>
      <c r="I5252" s="9"/>
      <c r="J5252" s="9"/>
      <c r="K5252" s="9"/>
      <c r="L5252" s="9"/>
      <c r="M5252" s="9"/>
      <c r="N5252" s="9"/>
      <c r="O5252" s="9"/>
      <c r="P5252" s="9"/>
      <c r="Q5252" s="9"/>
      <c r="R5252" s="9"/>
      <c r="S5252" s="9"/>
      <c r="T5252" s="9"/>
    </row>
    <row r="5253" ht="15.75" customHeight="1">
      <c r="A5253" s="11">
        <f>IFERROR(__xludf.DUMMYFUNCTION("""COMPUTED_VALUE"""),44471.0)</f>
        <v>44471</v>
      </c>
      <c r="B5253" s="9">
        <f>IFERROR(__xludf.DUMMYFUNCTION("""COMPUTED_VALUE"""),1004019.0)</f>
        <v>1004019</v>
      </c>
      <c r="C5253" s="9">
        <f>IFERROR(__xludf.DUMMYFUNCTION("""COMPUTED_VALUE"""),110776.0)</f>
        <v>110776</v>
      </c>
      <c r="D5253" s="10" t="str">
        <f>IFERROR(__xludf.DUMMYFUNCTION("""COMPUTED_VALUE"""),"Vive le bio")</f>
        <v>Vive le bio</v>
      </c>
      <c r="E5253" s="10" t="str">
        <f>IFERROR(__xludf.DUMMYFUNCTION("""COMPUTED_VALUE"""),"GREENRELAIS")</f>
        <v>GREENRELAIS</v>
      </c>
      <c r="F5253" s="10">
        <f>IFERROR(__xludf.DUMMYFUNCTION("""COMPUTED_VALUE"""),2.8)</f>
        <v>2.8</v>
      </c>
      <c r="G5253" s="9">
        <f>IFERROR(__xludf.DUMMYFUNCTION("""COMPUTED_VALUE"""),2.52)</f>
        <v>2.52</v>
      </c>
      <c r="H5253" s="9">
        <f>IFERROR(__xludf.DUMMYFUNCTION("""COMPUTED_VALUE"""),1.0)</f>
        <v>1</v>
      </c>
      <c r="I5253" s="9"/>
      <c r="J5253" s="9"/>
      <c r="K5253" s="9"/>
      <c r="L5253" s="9"/>
      <c r="M5253" s="9"/>
      <c r="N5253" s="9"/>
      <c r="O5253" s="9"/>
      <c r="P5253" s="9"/>
      <c r="Q5253" s="9"/>
      <c r="R5253" s="9"/>
      <c r="S5253" s="9"/>
      <c r="T5253" s="9"/>
    </row>
    <row r="5254" ht="15.75" customHeight="1">
      <c r="A5254" s="11">
        <f>IFERROR(__xludf.DUMMYFUNCTION("""COMPUTED_VALUE"""),44471.0)</f>
        <v>44471</v>
      </c>
      <c r="B5254" s="9">
        <f>IFERROR(__xludf.DUMMYFUNCTION("""COMPUTED_VALUE"""),1004019.0)</f>
        <v>1004019</v>
      </c>
      <c r="C5254" s="9">
        <f>IFERROR(__xludf.DUMMYFUNCTION("""COMPUTED_VALUE"""),88976.0)</f>
        <v>88976</v>
      </c>
      <c r="D5254" s="9"/>
      <c r="E5254" s="10" t="str">
        <f>IFERROR(__xludf.DUMMYFUNCTION("""COMPUTED_VALUE"""),"GREENRELAIS")</f>
        <v>GREENRELAIS</v>
      </c>
      <c r="F5254" s="10">
        <f>IFERROR(__xludf.DUMMYFUNCTION("""COMPUTED_VALUE"""),1.4)</f>
        <v>1.4</v>
      </c>
      <c r="G5254" s="9">
        <f>IFERROR(__xludf.DUMMYFUNCTION("""COMPUTED_VALUE"""),1.4)</f>
        <v>1.4</v>
      </c>
      <c r="H5254" s="9">
        <f>IFERROR(__xludf.DUMMYFUNCTION("""COMPUTED_VALUE"""),1.0)</f>
        <v>1</v>
      </c>
      <c r="I5254" s="9"/>
      <c r="J5254" s="9"/>
      <c r="K5254" s="9"/>
      <c r="L5254" s="9"/>
      <c r="M5254" s="9"/>
      <c r="N5254" s="9"/>
      <c r="O5254" s="9"/>
      <c r="P5254" s="9"/>
      <c r="Q5254" s="9"/>
      <c r="R5254" s="9"/>
      <c r="S5254" s="9"/>
      <c r="T5254" s="9"/>
    </row>
    <row r="5255" ht="15.75" customHeight="1">
      <c r="A5255" s="11">
        <f>IFERROR(__xludf.DUMMYFUNCTION("""COMPUTED_VALUE"""),44471.0)</f>
        <v>44471</v>
      </c>
      <c r="B5255" s="9">
        <f>IFERROR(__xludf.DUMMYFUNCTION("""COMPUTED_VALUE"""),1004019.0)</f>
        <v>1004019</v>
      </c>
      <c r="C5255" s="9">
        <f>IFERROR(__xludf.DUMMYFUNCTION("""COMPUTED_VALUE"""),45538.0)</f>
        <v>45538</v>
      </c>
      <c r="D5255" s="9"/>
      <c r="E5255" s="10" t="str">
        <f>IFERROR(__xludf.DUMMYFUNCTION("""COMPUTED_VALUE"""),"GREENRELAIS")</f>
        <v>GREENRELAIS</v>
      </c>
      <c r="F5255" s="10">
        <f>IFERROR(__xludf.DUMMYFUNCTION("""COMPUTED_VALUE"""),6.66)</f>
        <v>6.66</v>
      </c>
      <c r="G5255" s="9">
        <f>IFERROR(__xludf.DUMMYFUNCTION("""COMPUTED_VALUE"""),6.66)</f>
        <v>6.66</v>
      </c>
      <c r="H5255" s="9">
        <f>IFERROR(__xludf.DUMMYFUNCTION("""COMPUTED_VALUE"""),1.0)</f>
        <v>1</v>
      </c>
      <c r="I5255" s="9"/>
      <c r="J5255" s="9"/>
      <c r="K5255" s="9"/>
      <c r="L5255" s="9"/>
      <c r="M5255" s="9"/>
      <c r="N5255" s="9"/>
      <c r="O5255" s="9"/>
      <c r="P5255" s="9"/>
      <c r="Q5255" s="9"/>
      <c r="R5255" s="9"/>
      <c r="S5255" s="9"/>
      <c r="T5255" s="9"/>
    </row>
    <row r="5256" ht="15.75" customHeight="1">
      <c r="A5256" s="11">
        <f>IFERROR(__xludf.DUMMYFUNCTION("""COMPUTED_VALUE"""),44471.0)</f>
        <v>44471</v>
      </c>
      <c r="B5256" s="9">
        <f>IFERROR(__xludf.DUMMYFUNCTION("""COMPUTED_VALUE"""),1004019.0)</f>
        <v>1004019</v>
      </c>
      <c r="C5256" s="9">
        <f>IFERROR(__xludf.DUMMYFUNCTION("""COMPUTED_VALUE"""),28494.0)</f>
        <v>28494</v>
      </c>
      <c r="D5256" s="9"/>
      <c r="E5256" s="10" t="str">
        <f>IFERROR(__xludf.DUMMYFUNCTION("""COMPUTED_VALUE"""),"GREENRELAIS")</f>
        <v>GREENRELAIS</v>
      </c>
      <c r="F5256" s="10">
        <f>IFERROR(__xludf.DUMMYFUNCTION("""COMPUTED_VALUE"""),4.42)</f>
        <v>4.42</v>
      </c>
      <c r="G5256" s="9">
        <f>IFERROR(__xludf.DUMMYFUNCTION("""COMPUTED_VALUE"""),4.42)</f>
        <v>4.42</v>
      </c>
      <c r="H5256" s="9">
        <f>IFERROR(__xludf.DUMMYFUNCTION("""COMPUTED_VALUE"""),1.0)</f>
        <v>1</v>
      </c>
      <c r="I5256" s="9"/>
      <c r="J5256" s="9"/>
      <c r="K5256" s="9"/>
      <c r="L5256" s="9"/>
      <c r="M5256" s="9"/>
      <c r="N5256" s="9"/>
      <c r="O5256" s="9"/>
      <c r="P5256" s="9"/>
      <c r="Q5256" s="9"/>
      <c r="R5256" s="9"/>
      <c r="S5256" s="9"/>
      <c r="T5256" s="9"/>
    </row>
    <row r="5257" ht="15.75" customHeight="1">
      <c r="A5257" s="11">
        <f>IFERROR(__xludf.DUMMYFUNCTION("""COMPUTED_VALUE"""),44471.0)</f>
        <v>44471</v>
      </c>
      <c r="B5257" s="9">
        <f>IFERROR(__xludf.DUMMYFUNCTION("""COMPUTED_VALUE"""),1004019.0)</f>
        <v>1004019</v>
      </c>
      <c r="C5257" s="9">
        <f>IFERROR(__xludf.DUMMYFUNCTION("""COMPUTED_VALUE"""),109185.0)</f>
        <v>109185</v>
      </c>
      <c r="D5257" s="9"/>
      <c r="E5257" s="10" t="str">
        <f>IFERROR(__xludf.DUMMYFUNCTION("""COMPUTED_VALUE"""),"GREENRELAIS")</f>
        <v>GREENRELAIS</v>
      </c>
      <c r="F5257" s="10">
        <f>IFERROR(__xludf.DUMMYFUNCTION("""COMPUTED_VALUE"""),9.67)</f>
        <v>9.67</v>
      </c>
      <c r="G5257" s="9">
        <f>IFERROR(__xludf.DUMMYFUNCTION("""COMPUTED_VALUE"""),9.67)</f>
        <v>9.67</v>
      </c>
      <c r="H5257" s="9">
        <f>IFERROR(__xludf.DUMMYFUNCTION("""COMPUTED_VALUE"""),1.0)</f>
        <v>1</v>
      </c>
      <c r="I5257" s="9"/>
      <c r="J5257" s="9"/>
      <c r="K5257" s="9"/>
      <c r="L5257" s="9"/>
      <c r="M5257" s="9"/>
      <c r="N5257" s="9"/>
      <c r="O5257" s="9"/>
      <c r="P5257" s="9"/>
      <c r="Q5257" s="9"/>
      <c r="R5257" s="9"/>
      <c r="S5257" s="9"/>
      <c r="T5257" s="9"/>
    </row>
    <row r="5258" ht="15.75" customHeight="1">
      <c r="A5258" s="11">
        <f>IFERROR(__xludf.DUMMYFUNCTION("""COMPUTED_VALUE"""),44471.0)</f>
        <v>44471</v>
      </c>
      <c r="B5258" s="9">
        <f>IFERROR(__xludf.DUMMYFUNCTION("""COMPUTED_VALUE"""),1004019.0)</f>
        <v>1004019</v>
      </c>
      <c r="C5258" s="9">
        <f>IFERROR(__xludf.DUMMYFUNCTION("""COMPUTED_VALUE"""),105169.0)</f>
        <v>105169</v>
      </c>
      <c r="D5258" s="10" t="str">
        <f>IFERROR(__xludf.DUMMYFUNCTION("""COMPUTED_VALUE"""),"Vive le bio")</f>
        <v>Vive le bio</v>
      </c>
      <c r="E5258" s="10" t="str">
        <f>IFERROR(__xludf.DUMMYFUNCTION("""COMPUTED_VALUE"""),"GREENRELAIS")</f>
        <v>GREENRELAIS</v>
      </c>
      <c r="F5258" s="10">
        <f>IFERROR(__xludf.DUMMYFUNCTION("""COMPUTED_VALUE"""),5.65555555555555)</f>
        <v>5.655555556</v>
      </c>
      <c r="G5258" s="9">
        <f>IFERROR(__xludf.DUMMYFUNCTION("""COMPUTED_VALUE"""),5.09)</f>
        <v>5.09</v>
      </c>
      <c r="H5258" s="9">
        <f>IFERROR(__xludf.DUMMYFUNCTION("""COMPUTED_VALUE"""),1.0)</f>
        <v>1</v>
      </c>
      <c r="I5258" s="9"/>
      <c r="J5258" s="9"/>
      <c r="K5258" s="9"/>
      <c r="L5258" s="9"/>
      <c r="M5258" s="9"/>
      <c r="N5258" s="9"/>
      <c r="O5258" s="9"/>
      <c r="P5258" s="9"/>
      <c r="Q5258" s="9"/>
      <c r="R5258" s="9"/>
      <c r="S5258" s="9"/>
      <c r="T5258" s="9"/>
    </row>
    <row r="5259" ht="15.75" customHeight="1">
      <c r="A5259" s="11">
        <f>IFERROR(__xludf.DUMMYFUNCTION("""COMPUTED_VALUE"""),44471.0)</f>
        <v>44471</v>
      </c>
      <c r="B5259" s="9">
        <f>IFERROR(__xludf.DUMMYFUNCTION("""COMPUTED_VALUE"""),1004019.0)</f>
        <v>1004019</v>
      </c>
      <c r="C5259" s="9">
        <f>IFERROR(__xludf.DUMMYFUNCTION("""COMPUTED_VALUE"""),50367.0)</f>
        <v>50367</v>
      </c>
      <c r="D5259" s="9"/>
      <c r="E5259" s="10" t="str">
        <f>IFERROR(__xludf.DUMMYFUNCTION("""COMPUTED_VALUE"""),"GREENRELAIS")</f>
        <v>GREENRELAIS</v>
      </c>
      <c r="F5259" s="10">
        <f>IFERROR(__xludf.DUMMYFUNCTION("""COMPUTED_VALUE"""),5.07)</f>
        <v>5.07</v>
      </c>
      <c r="G5259" s="9">
        <f>IFERROR(__xludf.DUMMYFUNCTION("""COMPUTED_VALUE"""),5.07)</f>
        <v>5.07</v>
      </c>
      <c r="H5259" s="9">
        <f>IFERROR(__xludf.DUMMYFUNCTION("""COMPUTED_VALUE"""),2.0)</f>
        <v>2</v>
      </c>
      <c r="I5259" s="9"/>
      <c r="J5259" s="9"/>
      <c r="K5259" s="9"/>
      <c r="L5259" s="9"/>
      <c r="M5259" s="9"/>
      <c r="N5259" s="9"/>
      <c r="O5259" s="9"/>
      <c r="P5259" s="9"/>
      <c r="Q5259" s="9"/>
      <c r="R5259" s="9"/>
      <c r="S5259" s="9"/>
      <c r="T5259" s="9"/>
    </row>
    <row r="5260" ht="15.75" customHeight="1">
      <c r="A5260" s="11">
        <f>IFERROR(__xludf.DUMMYFUNCTION("""COMPUTED_VALUE"""),44471.0)</f>
        <v>44471</v>
      </c>
      <c r="B5260" s="9">
        <f>IFERROR(__xludf.DUMMYFUNCTION("""COMPUTED_VALUE"""),1004019.0)</f>
        <v>1004019</v>
      </c>
      <c r="C5260" s="9">
        <f>IFERROR(__xludf.DUMMYFUNCTION("""COMPUTED_VALUE"""),90854.0)</f>
        <v>90854</v>
      </c>
      <c r="D5260" s="9"/>
      <c r="E5260" s="10" t="str">
        <f>IFERROR(__xludf.DUMMYFUNCTION("""COMPUTED_VALUE"""),"GREENRELAIS")</f>
        <v>GREENRELAIS</v>
      </c>
      <c r="F5260" s="10">
        <f>IFERROR(__xludf.DUMMYFUNCTION("""COMPUTED_VALUE"""),5.61)</f>
        <v>5.61</v>
      </c>
      <c r="G5260" s="9">
        <f>IFERROR(__xludf.DUMMYFUNCTION("""COMPUTED_VALUE"""),5.61)</f>
        <v>5.61</v>
      </c>
      <c r="H5260" s="9">
        <f>IFERROR(__xludf.DUMMYFUNCTION("""COMPUTED_VALUE"""),2.0)</f>
        <v>2</v>
      </c>
      <c r="I5260" s="9"/>
      <c r="J5260" s="9"/>
      <c r="K5260" s="9"/>
      <c r="L5260" s="9"/>
      <c r="M5260" s="9"/>
      <c r="N5260" s="9"/>
      <c r="O5260" s="9"/>
      <c r="P5260" s="9"/>
      <c r="Q5260" s="9"/>
      <c r="R5260" s="9"/>
      <c r="S5260" s="9"/>
      <c r="T5260" s="9"/>
    </row>
    <row r="5261" ht="15.75" customHeight="1">
      <c r="A5261" s="11">
        <f>IFERROR(__xludf.DUMMYFUNCTION("""COMPUTED_VALUE"""),44471.0)</f>
        <v>44471</v>
      </c>
      <c r="B5261" s="9">
        <f>IFERROR(__xludf.DUMMYFUNCTION("""COMPUTED_VALUE"""),1004019.0)</f>
        <v>1004019</v>
      </c>
      <c r="C5261" s="9">
        <f>IFERROR(__xludf.DUMMYFUNCTION("""COMPUTED_VALUE"""),88990.0)</f>
        <v>88990</v>
      </c>
      <c r="D5261" s="9"/>
      <c r="E5261" s="10" t="str">
        <f>IFERROR(__xludf.DUMMYFUNCTION("""COMPUTED_VALUE"""),"GREENRELAIS")</f>
        <v>GREENRELAIS</v>
      </c>
      <c r="F5261" s="10">
        <f>IFERROR(__xludf.DUMMYFUNCTION("""COMPUTED_VALUE"""),2.72)</f>
        <v>2.72</v>
      </c>
      <c r="G5261" s="9">
        <f>IFERROR(__xludf.DUMMYFUNCTION("""COMPUTED_VALUE"""),2.72)</f>
        <v>2.72</v>
      </c>
      <c r="H5261" s="9">
        <f>IFERROR(__xludf.DUMMYFUNCTION("""COMPUTED_VALUE"""),2.0)</f>
        <v>2</v>
      </c>
      <c r="I5261" s="9"/>
      <c r="J5261" s="9"/>
      <c r="K5261" s="9"/>
      <c r="L5261" s="9"/>
      <c r="M5261" s="9"/>
      <c r="N5261" s="9"/>
      <c r="O5261" s="9"/>
      <c r="P5261" s="9"/>
      <c r="Q5261" s="9"/>
      <c r="R5261" s="9"/>
      <c r="S5261" s="9"/>
      <c r="T5261" s="9"/>
    </row>
    <row r="5262" ht="15.75" customHeight="1">
      <c r="A5262" s="11">
        <f>IFERROR(__xludf.DUMMYFUNCTION("""COMPUTED_VALUE"""),44471.0)</f>
        <v>44471</v>
      </c>
      <c r="B5262" s="9">
        <f>IFERROR(__xludf.DUMMYFUNCTION("""COMPUTED_VALUE"""),1004019.0)</f>
        <v>1004019</v>
      </c>
      <c r="C5262" s="9">
        <f>IFERROR(__xludf.DUMMYFUNCTION("""COMPUTED_VALUE"""),106779.0)</f>
        <v>106779</v>
      </c>
      <c r="D5262" s="9"/>
      <c r="E5262" s="10" t="str">
        <f>IFERROR(__xludf.DUMMYFUNCTION("""COMPUTED_VALUE"""),"GREENRELAIS")</f>
        <v>GREENRELAIS</v>
      </c>
      <c r="F5262" s="10">
        <f>IFERROR(__xludf.DUMMYFUNCTION("""COMPUTED_VALUE"""),6.8)</f>
        <v>6.8</v>
      </c>
      <c r="G5262" s="9">
        <f>IFERROR(__xludf.DUMMYFUNCTION("""COMPUTED_VALUE"""),6.8)</f>
        <v>6.8</v>
      </c>
      <c r="H5262" s="9">
        <f>IFERROR(__xludf.DUMMYFUNCTION("""COMPUTED_VALUE"""),6.0)</f>
        <v>6</v>
      </c>
      <c r="I5262" s="9"/>
      <c r="J5262" s="9"/>
      <c r="K5262" s="9"/>
      <c r="L5262" s="9"/>
      <c r="M5262" s="9"/>
      <c r="N5262" s="9"/>
      <c r="O5262" s="9"/>
      <c r="P5262" s="9"/>
      <c r="Q5262" s="9"/>
      <c r="R5262" s="9"/>
      <c r="S5262" s="9"/>
      <c r="T5262" s="9"/>
    </row>
    <row r="5263" ht="15.75" customHeight="1">
      <c r="A5263" s="11">
        <f>IFERROR(__xludf.DUMMYFUNCTION("""COMPUTED_VALUE"""),44471.0)</f>
        <v>44471</v>
      </c>
      <c r="B5263" s="9">
        <f>IFERROR(__xludf.DUMMYFUNCTION("""COMPUTED_VALUE"""),1004020.0)</f>
        <v>1004020</v>
      </c>
      <c r="C5263" s="9">
        <f>IFERROR(__xludf.DUMMYFUNCTION("""COMPUTED_VALUE"""),122745.0)</f>
        <v>122745</v>
      </c>
      <c r="D5263" s="9"/>
      <c r="E5263" s="9"/>
      <c r="F5263" s="9">
        <f>IFERROR(__xludf.DUMMYFUNCTION("""COMPUTED_VALUE"""),102.85)</f>
        <v>102.85</v>
      </c>
      <c r="G5263" s="9">
        <f>IFERROR(__xludf.DUMMYFUNCTION("""COMPUTED_VALUE"""),102.85)</f>
        <v>102.85</v>
      </c>
      <c r="H5263" s="9">
        <f>IFERROR(__xludf.DUMMYFUNCTION("""COMPUTED_VALUE"""),6.0)</f>
        <v>6</v>
      </c>
      <c r="I5263" s="9"/>
      <c r="J5263" s="9"/>
      <c r="K5263" s="9"/>
      <c r="L5263" s="9"/>
      <c r="M5263" s="9"/>
      <c r="N5263" s="9"/>
      <c r="O5263" s="9"/>
      <c r="P5263" s="9"/>
      <c r="Q5263" s="9"/>
      <c r="R5263" s="9"/>
      <c r="S5263" s="9"/>
      <c r="T5263" s="9"/>
    </row>
    <row r="5264" ht="15.75" customHeight="1">
      <c r="A5264" s="11">
        <f>IFERROR(__xludf.DUMMYFUNCTION("""COMPUTED_VALUE"""),44471.0)</f>
        <v>44471</v>
      </c>
      <c r="B5264" s="9">
        <f>IFERROR(__xludf.DUMMYFUNCTION("""COMPUTED_VALUE"""),1004021.0)</f>
        <v>1004021</v>
      </c>
      <c r="C5264" s="9">
        <f>IFERROR(__xludf.DUMMYFUNCTION("""COMPUTED_VALUE"""),79043.0)</f>
        <v>79043</v>
      </c>
      <c r="D5264" s="10" t="str">
        <f>IFERROR(__xludf.DUMMYFUNCTION("""COMPUTED_VALUE"""),"Offre Speciale")</f>
        <v>Offre Speciale</v>
      </c>
      <c r="E5264" s="10"/>
      <c r="F5264" s="9">
        <f>IFERROR(__xludf.DUMMYFUNCTION("""COMPUTED_VALUE"""),10.0632911392405)</f>
        <v>10.06329114</v>
      </c>
      <c r="G5264" s="9">
        <f>IFERROR(__xludf.DUMMYFUNCTION("""COMPUTED_VALUE"""),7.95)</f>
        <v>7.95</v>
      </c>
      <c r="H5264" s="9">
        <f>IFERROR(__xludf.DUMMYFUNCTION("""COMPUTED_VALUE"""),1.0)</f>
        <v>1</v>
      </c>
      <c r="I5264" s="9"/>
      <c r="J5264" s="9"/>
      <c r="K5264" s="9"/>
      <c r="L5264" s="9"/>
      <c r="M5264" s="9"/>
      <c r="N5264" s="9"/>
      <c r="O5264" s="9"/>
      <c r="P5264" s="9"/>
      <c r="Q5264" s="9"/>
      <c r="R5264" s="9"/>
      <c r="S5264" s="9"/>
      <c r="T5264" s="9"/>
    </row>
    <row r="5265" ht="15.75" customHeight="1">
      <c r="A5265" s="11">
        <f>IFERROR(__xludf.DUMMYFUNCTION("""COMPUTED_VALUE"""),44471.0)</f>
        <v>44471</v>
      </c>
      <c r="B5265" s="9">
        <f>IFERROR(__xludf.DUMMYFUNCTION("""COMPUTED_VALUE"""),1004021.0)</f>
        <v>1004021</v>
      </c>
      <c r="C5265" s="9">
        <f>IFERROR(__xludf.DUMMYFUNCTION("""COMPUTED_VALUE"""),11771.0)</f>
        <v>11771</v>
      </c>
      <c r="D5265" s="10" t="str">
        <f>IFERROR(__xludf.DUMMYFUNCTION("""COMPUTED_VALUE"""),"Offre Speciale")</f>
        <v>Offre Speciale</v>
      </c>
      <c r="E5265" s="10"/>
      <c r="F5265" s="9">
        <f>IFERROR(__xludf.DUMMYFUNCTION("""COMPUTED_VALUE"""),4.54430379746835)</f>
        <v>4.544303797</v>
      </c>
      <c r="G5265" s="9">
        <f>IFERROR(__xludf.DUMMYFUNCTION("""COMPUTED_VALUE"""),3.59)</f>
        <v>3.59</v>
      </c>
      <c r="H5265" s="9">
        <f>IFERROR(__xludf.DUMMYFUNCTION("""COMPUTED_VALUE"""),1.0)</f>
        <v>1</v>
      </c>
      <c r="I5265" s="9"/>
      <c r="J5265" s="9"/>
      <c r="K5265" s="9"/>
      <c r="L5265" s="9"/>
      <c r="M5265" s="9"/>
      <c r="N5265" s="9"/>
      <c r="O5265" s="9"/>
      <c r="P5265" s="9"/>
      <c r="Q5265" s="9"/>
      <c r="R5265" s="9"/>
      <c r="S5265" s="9"/>
      <c r="T5265" s="9"/>
    </row>
    <row r="5266" ht="15.75" customHeight="1">
      <c r="A5266" s="11">
        <f>IFERROR(__xludf.DUMMYFUNCTION("""COMPUTED_VALUE"""),44471.0)</f>
        <v>44471</v>
      </c>
      <c r="B5266" s="9">
        <f>IFERROR(__xludf.DUMMYFUNCTION("""COMPUTED_VALUE"""),1004021.0)</f>
        <v>1004021</v>
      </c>
      <c r="C5266" s="9">
        <f>IFERROR(__xludf.DUMMYFUNCTION("""COMPUTED_VALUE"""),20049.0)</f>
        <v>20049</v>
      </c>
      <c r="D5266" s="10" t="str">
        <f>IFERROR(__xludf.DUMMYFUNCTION("""COMPUTED_VALUE"""),"Vive le bio")</f>
        <v>Vive le bio</v>
      </c>
      <c r="E5266" s="10"/>
      <c r="F5266" s="9">
        <f>IFERROR(__xludf.DUMMYFUNCTION("""COMPUTED_VALUE"""),17.0222222222222)</f>
        <v>17.02222222</v>
      </c>
      <c r="G5266" s="9">
        <f>IFERROR(__xludf.DUMMYFUNCTION("""COMPUTED_VALUE"""),15.32)</f>
        <v>15.32</v>
      </c>
      <c r="H5266" s="9">
        <f>IFERROR(__xludf.DUMMYFUNCTION("""COMPUTED_VALUE"""),5.0)</f>
        <v>5</v>
      </c>
      <c r="I5266" s="9"/>
      <c r="J5266" s="9"/>
      <c r="K5266" s="9"/>
      <c r="L5266" s="9"/>
      <c r="M5266" s="9"/>
      <c r="N5266" s="9"/>
      <c r="O5266" s="9"/>
      <c r="P5266" s="9"/>
      <c r="Q5266" s="9"/>
      <c r="R5266" s="9"/>
      <c r="S5266" s="9"/>
      <c r="T5266" s="9"/>
    </row>
    <row r="5267" ht="15.75" customHeight="1">
      <c r="A5267" s="11">
        <f>IFERROR(__xludf.DUMMYFUNCTION("""COMPUTED_VALUE"""),44471.0)</f>
        <v>44471</v>
      </c>
      <c r="B5267" s="9">
        <f>IFERROR(__xludf.DUMMYFUNCTION("""COMPUTED_VALUE"""),1004022.0)</f>
        <v>1004022</v>
      </c>
      <c r="C5267" s="9">
        <f>IFERROR(__xludf.DUMMYFUNCTION("""COMPUTED_VALUE"""),43945.0)</f>
        <v>43945</v>
      </c>
      <c r="D5267" s="9"/>
      <c r="E5267" s="10" t="str">
        <f>IFERROR(__xludf.DUMMYFUNCTION("""COMPUTED_VALUE"""),"GREENRELAIS")</f>
        <v>GREENRELAIS</v>
      </c>
      <c r="F5267" s="10">
        <f>IFERROR(__xludf.DUMMYFUNCTION("""COMPUTED_VALUE"""),49.12)</f>
        <v>49.12</v>
      </c>
      <c r="G5267" s="9">
        <f>IFERROR(__xludf.DUMMYFUNCTION("""COMPUTED_VALUE"""),49.12)</f>
        <v>49.12</v>
      </c>
      <c r="H5267" s="9">
        <f>IFERROR(__xludf.DUMMYFUNCTION("""COMPUTED_VALUE"""),3.0)</f>
        <v>3</v>
      </c>
      <c r="I5267" s="9"/>
      <c r="J5267" s="9"/>
      <c r="K5267" s="9"/>
      <c r="L5267" s="9"/>
      <c r="M5267" s="9"/>
      <c r="N5267" s="9"/>
      <c r="O5267" s="9"/>
      <c r="P5267" s="9"/>
      <c r="Q5267" s="9"/>
      <c r="R5267" s="9"/>
      <c r="S5267" s="9"/>
      <c r="T5267" s="9"/>
    </row>
    <row r="5268" ht="15.75" customHeight="1">
      <c r="A5268" s="11">
        <f>IFERROR(__xludf.DUMMYFUNCTION("""COMPUTED_VALUE"""),44471.0)</f>
        <v>44471</v>
      </c>
      <c r="B5268" s="9">
        <f>IFERROR(__xludf.DUMMYFUNCTION("""COMPUTED_VALUE"""),1004022.0)</f>
        <v>1004022</v>
      </c>
      <c r="C5268" s="9">
        <f>IFERROR(__xludf.DUMMYFUNCTION("""COMPUTED_VALUE"""),43944.0)</f>
        <v>43944</v>
      </c>
      <c r="D5268" s="9"/>
      <c r="E5268" s="10" t="str">
        <f>IFERROR(__xludf.DUMMYFUNCTION("""COMPUTED_VALUE"""),"GREENRELAIS")</f>
        <v>GREENRELAIS</v>
      </c>
      <c r="F5268" s="10">
        <f>IFERROR(__xludf.DUMMYFUNCTION("""COMPUTED_VALUE"""),49.12)</f>
        <v>49.12</v>
      </c>
      <c r="G5268" s="9">
        <f>IFERROR(__xludf.DUMMYFUNCTION("""COMPUTED_VALUE"""),49.12)</f>
        <v>49.12</v>
      </c>
      <c r="H5268" s="9">
        <f>IFERROR(__xludf.DUMMYFUNCTION("""COMPUTED_VALUE"""),3.0)</f>
        <v>3</v>
      </c>
      <c r="I5268" s="9"/>
      <c r="J5268" s="9"/>
      <c r="K5268" s="9"/>
      <c r="L5268" s="9"/>
      <c r="M5268" s="9"/>
      <c r="N5268" s="9"/>
      <c r="O5268" s="9"/>
      <c r="P5268" s="9"/>
      <c r="Q5268" s="9"/>
      <c r="R5268" s="9"/>
      <c r="S5268" s="9"/>
      <c r="T5268" s="9"/>
    </row>
    <row r="5269" ht="15.75" customHeight="1">
      <c r="A5269" s="11">
        <f>IFERROR(__xludf.DUMMYFUNCTION("""COMPUTED_VALUE"""),44471.0)</f>
        <v>44471</v>
      </c>
      <c r="B5269" s="9">
        <f>IFERROR(__xludf.DUMMYFUNCTION("""COMPUTED_VALUE"""),1004023.0)</f>
        <v>1004023</v>
      </c>
      <c r="C5269" s="9">
        <f>IFERROR(__xludf.DUMMYFUNCTION("""COMPUTED_VALUE"""),82427.0)</f>
        <v>82427</v>
      </c>
      <c r="D5269" s="9"/>
      <c r="E5269" s="10" t="str">
        <f>IFERROR(__xludf.DUMMYFUNCTION("""COMPUTED_VALUE"""),"PREMIERE")</f>
        <v>PREMIERE</v>
      </c>
      <c r="F5269" s="10">
        <f>IFERROR(__xludf.DUMMYFUNCTION("""COMPUTED_VALUE"""),4.01)</f>
        <v>4.01</v>
      </c>
      <c r="G5269" s="9">
        <f>IFERROR(__xludf.DUMMYFUNCTION("""COMPUTED_VALUE"""),4.01)</f>
        <v>4.01</v>
      </c>
      <c r="H5269" s="9">
        <f>IFERROR(__xludf.DUMMYFUNCTION("""COMPUTED_VALUE"""),1.0)</f>
        <v>1</v>
      </c>
      <c r="I5269" s="9"/>
      <c r="J5269" s="9"/>
      <c r="K5269" s="9"/>
      <c r="L5269" s="9"/>
      <c r="M5269" s="9"/>
      <c r="N5269" s="9"/>
      <c r="O5269" s="9"/>
      <c r="P5269" s="9"/>
      <c r="Q5269" s="9"/>
      <c r="R5269" s="9"/>
      <c r="S5269" s="9"/>
      <c r="T5269" s="9"/>
    </row>
    <row r="5270" ht="15.75" customHeight="1">
      <c r="A5270" s="11">
        <f>IFERROR(__xludf.DUMMYFUNCTION("""COMPUTED_VALUE"""),44471.0)</f>
        <v>44471</v>
      </c>
      <c r="B5270" s="9">
        <f>IFERROR(__xludf.DUMMYFUNCTION("""COMPUTED_VALUE"""),1004023.0)</f>
        <v>1004023</v>
      </c>
      <c r="C5270" s="9">
        <f>IFERROR(__xludf.DUMMYFUNCTION("""COMPUTED_VALUE"""),1634.0)</f>
        <v>1634</v>
      </c>
      <c r="D5270" s="9"/>
      <c r="E5270" s="10" t="str">
        <f>IFERROR(__xludf.DUMMYFUNCTION("""COMPUTED_VALUE"""),"PREMIERE")</f>
        <v>PREMIERE</v>
      </c>
      <c r="F5270" s="10">
        <f>IFERROR(__xludf.DUMMYFUNCTION("""COMPUTED_VALUE"""),2.26)</f>
        <v>2.26</v>
      </c>
      <c r="G5270" s="9">
        <f>IFERROR(__xludf.DUMMYFUNCTION("""COMPUTED_VALUE"""),2.26)</f>
        <v>2.26</v>
      </c>
      <c r="H5270" s="9">
        <f>IFERROR(__xludf.DUMMYFUNCTION("""COMPUTED_VALUE"""),1.0)</f>
        <v>1</v>
      </c>
      <c r="I5270" s="9"/>
      <c r="J5270" s="9"/>
      <c r="K5270" s="9"/>
      <c r="L5270" s="9"/>
      <c r="M5270" s="9"/>
      <c r="N5270" s="9"/>
      <c r="O5270" s="9"/>
      <c r="P5270" s="9"/>
      <c r="Q5270" s="9"/>
      <c r="R5270" s="9"/>
      <c r="S5270" s="9"/>
      <c r="T5270" s="9"/>
    </row>
    <row r="5271" ht="15.75" customHeight="1">
      <c r="A5271" s="11">
        <f>IFERROR(__xludf.DUMMYFUNCTION("""COMPUTED_VALUE"""),44471.0)</f>
        <v>44471</v>
      </c>
      <c r="B5271" s="9">
        <f>IFERROR(__xludf.DUMMYFUNCTION("""COMPUTED_VALUE"""),1004023.0)</f>
        <v>1004023</v>
      </c>
      <c r="C5271" s="9">
        <f>IFERROR(__xludf.DUMMYFUNCTION("""COMPUTED_VALUE"""),80088.0)</f>
        <v>80088</v>
      </c>
      <c r="D5271" s="9"/>
      <c r="E5271" s="10" t="str">
        <f>IFERROR(__xludf.DUMMYFUNCTION("""COMPUTED_VALUE"""),"PREMIERE")</f>
        <v>PREMIERE</v>
      </c>
      <c r="F5271" s="10">
        <f>IFERROR(__xludf.DUMMYFUNCTION("""COMPUTED_VALUE"""),4.03)</f>
        <v>4.03</v>
      </c>
      <c r="G5271" s="9">
        <f>IFERROR(__xludf.DUMMYFUNCTION("""COMPUTED_VALUE"""),4.03)</f>
        <v>4.03</v>
      </c>
      <c r="H5271" s="9">
        <f>IFERROR(__xludf.DUMMYFUNCTION("""COMPUTED_VALUE"""),1.0)</f>
        <v>1</v>
      </c>
      <c r="I5271" s="9"/>
      <c r="J5271" s="9"/>
      <c r="K5271" s="9"/>
      <c r="L5271" s="9"/>
      <c r="M5271" s="9"/>
      <c r="N5271" s="9"/>
      <c r="O5271" s="9"/>
      <c r="P5271" s="9"/>
      <c r="Q5271" s="9"/>
      <c r="R5271" s="9"/>
      <c r="S5271" s="9"/>
      <c r="T5271" s="9"/>
    </row>
    <row r="5272" ht="15.75" customHeight="1">
      <c r="A5272" s="11">
        <f>IFERROR(__xludf.DUMMYFUNCTION("""COMPUTED_VALUE"""),44471.0)</f>
        <v>44471</v>
      </c>
      <c r="B5272" s="9">
        <f>IFERROR(__xludf.DUMMYFUNCTION("""COMPUTED_VALUE"""),1004023.0)</f>
        <v>1004023</v>
      </c>
      <c r="C5272" s="9">
        <f>IFERROR(__xludf.DUMMYFUNCTION("""COMPUTED_VALUE"""),116888.0)</f>
        <v>116888</v>
      </c>
      <c r="D5272" s="9"/>
      <c r="E5272" s="10" t="str">
        <f>IFERROR(__xludf.DUMMYFUNCTION("""COMPUTED_VALUE"""),"PREMIERE")</f>
        <v>PREMIERE</v>
      </c>
      <c r="F5272" s="10">
        <f>IFERROR(__xludf.DUMMYFUNCTION("""COMPUTED_VALUE"""),2.02)</f>
        <v>2.02</v>
      </c>
      <c r="G5272" s="9">
        <f>IFERROR(__xludf.DUMMYFUNCTION("""COMPUTED_VALUE"""),2.02)</f>
        <v>2.02</v>
      </c>
      <c r="H5272" s="9">
        <f>IFERROR(__xludf.DUMMYFUNCTION("""COMPUTED_VALUE"""),1.0)</f>
        <v>1</v>
      </c>
      <c r="I5272" s="9"/>
      <c r="J5272" s="9"/>
      <c r="K5272" s="9"/>
      <c r="L5272" s="9"/>
      <c r="M5272" s="9"/>
      <c r="N5272" s="9"/>
      <c r="O5272" s="9"/>
      <c r="P5272" s="9"/>
      <c r="Q5272" s="9"/>
      <c r="R5272" s="9"/>
      <c r="S5272" s="9"/>
      <c r="T5272" s="9"/>
    </row>
    <row r="5273" ht="15.75" customHeight="1">
      <c r="A5273" s="11">
        <f>IFERROR(__xludf.DUMMYFUNCTION("""COMPUTED_VALUE"""),44471.0)</f>
        <v>44471</v>
      </c>
      <c r="B5273" s="9">
        <f>IFERROR(__xludf.DUMMYFUNCTION("""COMPUTED_VALUE"""),1004023.0)</f>
        <v>1004023</v>
      </c>
      <c r="C5273" s="9">
        <f>IFERROR(__xludf.DUMMYFUNCTION("""COMPUTED_VALUE"""),60366.0)</f>
        <v>60366</v>
      </c>
      <c r="D5273" s="9"/>
      <c r="E5273" s="10" t="str">
        <f>IFERROR(__xludf.DUMMYFUNCTION("""COMPUTED_VALUE"""),"PREMIERE")</f>
        <v>PREMIERE</v>
      </c>
      <c r="F5273" s="10">
        <f>IFERROR(__xludf.DUMMYFUNCTION("""COMPUTED_VALUE"""),2.9)</f>
        <v>2.9</v>
      </c>
      <c r="G5273" s="9">
        <f>IFERROR(__xludf.DUMMYFUNCTION("""COMPUTED_VALUE"""),2.9)</f>
        <v>2.9</v>
      </c>
      <c r="H5273" s="9">
        <f>IFERROR(__xludf.DUMMYFUNCTION("""COMPUTED_VALUE"""),1.0)</f>
        <v>1</v>
      </c>
      <c r="I5273" s="9"/>
      <c r="J5273" s="9"/>
      <c r="K5273" s="9"/>
      <c r="L5273" s="9"/>
      <c r="M5273" s="9"/>
      <c r="N5273" s="9"/>
      <c r="O5273" s="9"/>
      <c r="P5273" s="9"/>
      <c r="Q5273" s="9"/>
      <c r="R5273" s="9"/>
      <c r="S5273" s="9"/>
      <c r="T5273" s="9"/>
    </row>
    <row r="5274" ht="15.75" customHeight="1">
      <c r="A5274" s="11">
        <f>IFERROR(__xludf.DUMMYFUNCTION("""COMPUTED_VALUE"""),44471.0)</f>
        <v>44471</v>
      </c>
      <c r="B5274" s="9">
        <f>IFERROR(__xludf.DUMMYFUNCTION("""COMPUTED_VALUE"""),1004023.0)</f>
        <v>1004023</v>
      </c>
      <c r="C5274" s="9">
        <f>IFERROR(__xludf.DUMMYFUNCTION("""COMPUTED_VALUE"""),116800.0)</f>
        <v>116800</v>
      </c>
      <c r="D5274" s="9"/>
      <c r="E5274" s="10" t="str">
        <f>IFERROR(__xludf.DUMMYFUNCTION("""COMPUTED_VALUE"""),"PREMIERE")</f>
        <v>PREMIERE</v>
      </c>
      <c r="F5274" s="10">
        <f>IFERROR(__xludf.DUMMYFUNCTION("""COMPUTED_VALUE"""),1.95)</f>
        <v>1.95</v>
      </c>
      <c r="G5274" s="9">
        <f>IFERROR(__xludf.DUMMYFUNCTION("""COMPUTED_VALUE"""),1.95)</f>
        <v>1.95</v>
      </c>
      <c r="H5274" s="9">
        <f>IFERROR(__xludf.DUMMYFUNCTION("""COMPUTED_VALUE"""),1.0)</f>
        <v>1</v>
      </c>
      <c r="I5274" s="9"/>
      <c r="J5274" s="9"/>
      <c r="K5274" s="9"/>
      <c r="L5274" s="9"/>
      <c r="M5274" s="9"/>
      <c r="N5274" s="9"/>
      <c r="O5274" s="9"/>
      <c r="P5274" s="9"/>
      <c r="Q5274" s="9"/>
      <c r="R5274" s="9"/>
      <c r="S5274" s="9"/>
      <c r="T5274" s="9"/>
    </row>
    <row r="5275" ht="15.75" customHeight="1">
      <c r="A5275" s="11">
        <f>IFERROR(__xludf.DUMMYFUNCTION("""COMPUTED_VALUE"""),44471.0)</f>
        <v>44471</v>
      </c>
      <c r="B5275" s="9">
        <f>IFERROR(__xludf.DUMMYFUNCTION("""COMPUTED_VALUE"""),1004023.0)</f>
        <v>1004023</v>
      </c>
      <c r="C5275" s="9">
        <f>IFERROR(__xludf.DUMMYFUNCTION("""COMPUTED_VALUE"""),82448.0)</f>
        <v>82448</v>
      </c>
      <c r="D5275" s="10" t="str">
        <f>IFERROR(__xludf.DUMMYFUNCTION("""COMPUTED_VALUE"""),"Zero Dechet")</f>
        <v>Zero Dechet</v>
      </c>
      <c r="E5275" s="10" t="str">
        <f>IFERROR(__xludf.DUMMYFUNCTION("""COMPUTED_VALUE"""),"PREMIERE")</f>
        <v>PREMIERE</v>
      </c>
      <c r="F5275" s="10">
        <f>IFERROR(__xludf.DUMMYFUNCTION("""COMPUTED_VALUE"""),5.7375)</f>
        <v>5.7375</v>
      </c>
      <c r="G5275" s="9">
        <f>IFERROR(__xludf.DUMMYFUNCTION("""COMPUTED_VALUE"""),4.59)</f>
        <v>4.59</v>
      </c>
      <c r="H5275" s="9">
        <f>IFERROR(__xludf.DUMMYFUNCTION("""COMPUTED_VALUE"""),1.0)</f>
        <v>1</v>
      </c>
      <c r="I5275" s="9"/>
      <c r="J5275" s="9"/>
      <c r="K5275" s="9"/>
      <c r="L5275" s="9"/>
      <c r="M5275" s="9"/>
      <c r="N5275" s="9"/>
      <c r="O5275" s="9"/>
      <c r="P5275" s="9"/>
      <c r="Q5275" s="9"/>
      <c r="R5275" s="9"/>
      <c r="S5275" s="9"/>
      <c r="T5275" s="9"/>
    </row>
    <row r="5276" ht="15.75" customHeight="1">
      <c r="A5276" s="11">
        <f>IFERROR(__xludf.DUMMYFUNCTION("""COMPUTED_VALUE"""),44471.0)</f>
        <v>44471</v>
      </c>
      <c r="B5276" s="9">
        <f>IFERROR(__xludf.DUMMYFUNCTION("""COMPUTED_VALUE"""),1004023.0)</f>
        <v>1004023</v>
      </c>
      <c r="C5276" s="9">
        <f>IFERROR(__xludf.DUMMYFUNCTION("""COMPUTED_VALUE"""),73836.0)</f>
        <v>73836</v>
      </c>
      <c r="D5276" s="9"/>
      <c r="E5276" s="10" t="str">
        <f>IFERROR(__xludf.DUMMYFUNCTION("""COMPUTED_VALUE"""),"PREMIERE")</f>
        <v>PREMIERE</v>
      </c>
      <c r="F5276" s="10">
        <f>IFERROR(__xludf.DUMMYFUNCTION("""COMPUTED_VALUE"""),3.16)</f>
        <v>3.16</v>
      </c>
      <c r="G5276" s="9">
        <f>IFERROR(__xludf.DUMMYFUNCTION("""COMPUTED_VALUE"""),3.16)</f>
        <v>3.16</v>
      </c>
      <c r="H5276" s="9">
        <f>IFERROR(__xludf.DUMMYFUNCTION("""COMPUTED_VALUE"""),1.0)</f>
        <v>1</v>
      </c>
      <c r="I5276" s="9"/>
      <c r="J5276" s="9"/>
      <c r="K5276" s="9"/>
      <c r="L5276" s="9"/>
      <c r="M5276" s="9"/>
      <c r="N5276" s="9"/>
      <c r="O5276" s="9"/>
      <c r="P5276" s="9"/>
      <c r="Q5276" s="9"/>
      <c r="R5276" s="9"/>
      <c r="S5276" s="9"/>
      <c r="T5276" s="9"/>
    </row>
    <row r="5277" ht="15.75" customHeight="1">
      <c r="A5277" s="11">
        <f>IFERROR(__xludf.DUMMYFUNCTION("""COMPUTED_VALUE"""),44471.0)</f>
        <v>44471</v>
      </c>
      <c r="B5277" s="9">
        <f>IFERROR(__xludf.DUMMYFUNCTION("""COMPUTED_VALUE"""),1004023.0)</f>
        <v>1004023</v>
      </c>
      <c r="C5277" s="9">
        <f>IFERROR(__xludf.DUMMYFUNCTION("""COMPUTED_VALUE"""),14025.0)</f>
        <v>14025</v>
      </c>
      <c r="D5277" s="9"/>
      <c r="E5277" s="10" t="str">
        <f>IFERROR(__xludf.DUMMYFUNCTION("""COMPUTED_VALUE"""),"PREMIERE")</f>
        <v>PREMIERE</v>
      </c>
      <c r="F5277" s="10">
        <f>IFERROR(__xludf.DUMMYFUNCTION("""COMPUTED_VALUE"""),3.41)</f>
        <v>3.41</v>
      </c>
      <c r="G5277" s="9">
        <f>IFERROR(__xludf.DUMMYFUNCTION("""COMPUTED_VALUE"""),3.41)</f>
        <v>3.41</v>
      </c>
      <c r="H5277" s="9">
        <f>IFERROR(__xludf.DUMMYFUNCTION("""COMPUTED_VALUE"""),1.0)</f>
        <v>1</v>
      </c>
      <c r="I5277" s="9"/>
      <c r="J5277" s="9"/>
      <c r="K5277" s="9"/>
      <c r="L5277" s="9"/>
      <c r="M5277" s="9"/>
      <c r="N5277" s="9"/>
      <c r="O5277" s="9"/>
      <c r="P5277" s="9"/>
      <c r="Q5277" s="9"/>
      <c r="R5277" s="9"/>
      <c r="S5277" s="9"/>
      <c r="T5277" s="9"/>
    </row>
    <row r="5278" ht="15.75" customHeight="1">
      <c r="A5278" s="11">
        <f>IFERROR(__xludf.DUMMYFUNCTION("""COMPUTED_VALUE"""),44471.0)</f>
        <v>44471</v>
      </c>
      <c r="B5278" s="9">
        <f>IFERROR(__xludf.DUMMYFUNCTION("""COMPUTED_VALUE"""),1004023.0)</f>
        <v>1004023</v>
      </c>
      <c r="C5278" s="9">
        <f>IFERROR(__xludf.DUMMYFUNCTION("""COMPUTED_VALUE"""),1297.0)</f>
        <v>1297</v>
      </c>
      <c r="D5278" s="9"/>
      <c r="E5278" s="10" t="str">
        <f>IFERROR(__xludf.DUMMYFUNCTION("""COMPUTED_VALUE"""),"PREMIERE")</f>
        <v>PREMIERE</v>
      </c>
      <c r="F5278" s="10">
        <f>IFERROR(__xludf.DUMMYFUNCTION("""COMPUTED_VALUE"""),6.82)</f>
        <v>6.82</v>
      </c>
      <c r="G5278" s="9">
        <f>IFERROR(__xludf.DUMMYFUNCTION("""COMPUTED_VALUE"""),6.82)</f>
        <v>6.82</v>
      </c>
      <c r="H5278" s="9">
        <f>IFERROR(__xludf.DUMMYFUNCTION("""COMPUTED_VALUE"""),1.0)</f>
        <v>1</v>
      </c>
      <c r="I5278" s="9"/>
      <c r="J5278" s="9"/>
      <c r="K5278" s="9"/>
      <c r="L5278" s="9"/>
      <c r="M5278" s="9"/>
      <c r="N5278" s="9"/>
      <c r="O5278" s="9"/>
      <c r="P5278" s="9"/>
      <c r="Q5278" s="9"/>
      <c r="R5278" s="9"/>
      <c r="S5278" s="9"/>
      <c r="T5278" s="9"/>
    </row>
    <row r="5279" ht="15.75" customHeight="1">
      <c r="A5279" s="11">
        <f>IFERROR(__xludf.DUMMYFUNCTION("""COMPUTED_VALUE"""),44471.0)</f>
        <v>44471</v>
      </c>
      <c r="B5279" s="9">
        <f>IFERROR(__xludf.DUMMYFUNCTION("""COMPUTED_VALUE"""),1004023.0)</f>
        <v>1004023</v>
      </c>
      <c r="C5279" s="9">
        <f>IFERROR(__xludf.DUMMYFUNCTION("""COMPUTED_VALUE"""),119737.0)</f>
        <v>119737</v>
      </c>
      <c r="D5279" s="9"/>
      <c r="E5279" s="10" t="str">
        <f>IFERROR(__xludf.DUMMYFUNCTION("""COMPUTED_VALUE"""),"PREMIERE")</f>
        <v>PREMIERE</v>
      </c>
      <c r="F5279" s="10">
        <f>IFERROR(__xludf.DUMMYFUNCTION("""COMPUTED_VALUE"""),24.07)</f>
        <v>24.07</v>
      </c>
      <c r="G5279" s="9">
        <f>IFERROR(__xludf.DUMMYFUNCTION("""COMPUTED_VALUE"""),24.07)</f>
        <v>24.07</v>
      </c>
      <c r="H5279" s="9">
        <f>IFERROR(__xludf.DUMMYFUNCTION("""COMPUTED_VALUE"""),1.0)</f>
        <v>1</v>
      </c>
      <c r="I5279" s="9"/>
      <c r="J5279" s="9"/>
      <c r="K5279" s="9"/>
      <c r="L5279" s="9"/>
      <c r="M5279" s="9"/>
      <c r="N5279" s="9"/>
      <c r="O5279" s="9"/>
      <c r="P5279" s="9"/>
      <c r="Q5279" s="9"/>
      <c r="R5279" s="9"/>
      <c r="S5279" s="9"/>
      <c r="T5279" s="9"/>
    </row>
    <row r="5280" ht="15.75" customHeight="1">
      <c r="A5280" s="11">
        <f>IFERROR(__xludf.DUMMYFUNCTION("""COMPUTED_VALUE"""),44471.0)</f>
        <v>44471</v>
      </c>
      <c r="B5280" s="9">
        <f>IFERROR(__xludf.DUMMYFUNCTION("""COMPUTED_VALUE"""),1004023.0)</f>
        <v>1004023</v>
      </c>
      <c r="C5280" s="9">
        <f>IFERROR(__xludf.DUMMYFUNCTION("""COMPUTED_VALUE"""),105861.0)</f>
        <v>105861</v>
      </c>
      <c r="D5280" s="10" t="str">
        <f>IFERROR(__xludf.DUMMYFUNCTION("""COMPUTED_VALUE"""),"Vive le bio")</f>
        <v>Vive le bio</v>
      </c>
      <c r="E5280" s="10" t="str">
        <f>IFERROR(__xludf.DUMMYFUNCTION("""COMPUTED_VALUE"""),"PREMIERE")</f>
        <v>PREMIERE</v>
      </c>
      <c r="F5280" s="10">
        <f>IFERROR(__xludf.DUMMYFUNCTION("""COMPUTED_VALUE"""),2.37777777777777)</f>
        <v>2.377777778</v>
      </c>
      <c r="G5280" s="9">
        <f>IFERROR(__xludf.DUMMYFUNCTION("""COMPUTED_VALUE"""),2.14)</f>
        <v>2.14</v>
      </c>
      <c r="H5280" s="9">
        <f>IFERROR(__xludf.DUMMYFUNCTION("""COMPUTED_VALUE"""),1.0)</f>
        <v>1</v>
      </c>
      <c r="I5280" s="9"/>
      <c r="J5280" s="9"/>
      <c r="K5280" s="9"/>
      <c r="L5280" s="9"/>
      <c r="M5280" s="9"/>
      <c r="N5280" s="9"/>
      <c r="O5280" s="9"/>
      <c r="P5280" s="9"/>
      <c r="Q5280" s="9"/>
      <c r="R5280" s="9"/>
      <c r="S5280" s="9"/>
      <c r="T5280" s="9"/>
    </row>
    <row r="5281" ht="15.75" customHeight="1">
      <c r="A5281" s="11">
        <f>IFERROR(__xludf.DUMMYFUNCTION("""COMPUTED_VALUE"""),44471.0)</f>
        <v>44471</v>
      </c>
      <c r="B5281" s="9">
        <f>IFERROR(__xludf.DUMMYFUNCTION("""COMPUTED_VALUE"""),1004023.0)</f>
        <v>1004023</v>
      </c>
      <c r="C5281" s="9">
        <f>IFERROR(__xludf.DUMMYFUNCTION("""COMPUTED_VALUE"""),88976.0)</f>
        <v>88976</v>
      </c>
      <c r="D5281" s="9"/>
      <c r="E5281" s="10" t="str">
        <f>IFERROR(__xludf.DUMMYFUNCTION("""COMPUTED_VALUE"""),"PREMIERE")</f>
        <v>PREMIERE</v>
      </c>
      <c r="F5281" s="10">
        <f>IFERROR(__xludf.DUMMYFUNCTION("""COMPUTED_VALUE"""),1.4)</f>
        <v>1.4</v>
      </c>
      <c r="G5281" s="9">
        <f>IFERROR(__xludf.DUMMYFUNCTION("""COMPUTED_VALUE"""),1.4)</f>
        <v>1.4</v>
      </c>
      <c r="H5281" s="9">
        <f>IFERROR(__xludf.DUMMYFUNCTION("""COMPUTED_VALUE"""),1.0)</f>
        <v>1</v>
      </c>
      <c r="I5281" s="9"/>
      <c r="J5281" s="9"/>
      <c r="K5281" s="9"/>
      <c r="L5281" s="9"/>
      <c r="M5281" s="9"/>
      <c r="N5281" s="9"/>
      <c r="O5281" s="9"/>
      <c r="P5281" s="9"/>
      <c r="Q5281" s="9"/>
      <c r="R5281" s="9"/>
      <c r="S5281" s="9"/>
      <c r="T5281" s="9"/>
    </row>
    <row r="5282" ht="15.75" customHeight="1">
      <c r="A5282" s="11">
        <f>IFERROR(__xludf.DUMMYFUNCTION("""COMPUTED_VALUE"""),44471.0)</f>
        <v>44471</v>
      </c>
      <c r="B5282" s="9">
        <f>IFERROR(__xludf.DUMMYFUNCTION("""COMPUTED_VALUE"""),1004023.0)</f>
        <v>1004023</v>
      </c>
      <c r="C5282" s="9">
        <f>IFERROR(__xludf.DUMMYFUNCTION("""COMPUTED_VALUE"""),26054.0)</f>
        <v>26054</v>
      </c>
      <c r="D5282" s="9"/>
      <c r="E5282" s="10" t="str">
        <f>IFERROR(__xludf.DUMMYFUNCTION("""COMPUTED_VALUE"""),"PREMIERE")</f>
        <v>PREMIERE</v>
      </c>
      <c r="F5282" s="10">
        <f>IFERROR(__xludf.DUMMYFUNCTION("""COMPUTED_VALUE"""),3.07)</f>
        <v>3.07</v>
      </c>
      <c r="G5282" s="9">
        <f>IFERROR(__xludf.DUMMYFUNCTION("""COMPUTED_VALUE"""),3.07)</f>
        <v>3.07</v>
      </c>
      <c r="H5282" s="9">
        <f>IFERROR(__xludf.DUMMYFUNCTION("""COMPUTED_VALUE"""),1.0)</f>
        <v>1</v>
      </c>
      <c r="I5282" s="9"/>
      <c r="J5282" s="9"/>
      <c r="K5282" s="9"/>
      <c r="L5282" s="9"/>
      <c r="M5282" s="9"/>
      <c r="N5282" s="9"/>
      <c r="O5282" s="9"/>
      <c r="P5282" s="9"/>
      <c r="Q5282" s="9"/>
      <c r="R5282" s="9"/>
      <c r="S5282" s="9"/>
      <c r="T5282" s="9"/>
    </row>
    <row r="5283" ht="15.75" customHeight="1">
      <c r="A5283" s="11">
        <f>IFERROR(__xludf.DUMMYFUNCTION("""COMPUTED_VALUE"""),44471.0)</f>
        <v>44471</v>
      </c>
      <c r="B5283" s="9">
        <f>IFERROR(__xludf.DUMMYFUNCTION("""COMPUTED_VALUE"""),1004023.0)</f>
        <v>1004023</v>
      </c>
      <c r="C5283" s="9">
        <f>IFERROR(__xludf.DUMMYFUNCTION("""COMPUTED_VALUE"""),80228.0)</f>
        <v>80228</v>
      </c>
      <c r="D5283" s="9"/>
      <c r="E5283" s="10" t="str">
        <f>IFERROR(__xludf.DUMMYFUNCTION("""COMPUTED_VALUE"""),"PREMIERE")</f>
        <v>PREMIERE</v>
      </c>
      <c r="F5283" s="10">
        <f>IFERROR(__xludf.DUMMYFUNCTION("""COMPUTED_VALUE"""),3.7)</f>
        <v>3.7</v>
      </c>
      <c r="G5283" s="9">
        <f>IFERROR(__xludf.DUMMYFUNCTION("""COMPUTED_VALUE"""),3.7)</f>
        <v>3.7</v>
      </c>
      <c r="H5283" s="9">
        <f>IFERROR(__xludf.DUMMYFUNCTION("""COMPUTED_VALUE"""),1.0)</f>
        <v>1</v>
      </c>
      <c r="I5283" s="9"/>
      <c r="J5283" s="9"/>
      <c r="K5283" s="9"/>
      <c r="L5283" s="9"/>
      <c r="M5283" s="9"/>
      <c r="N5283" s="9"/>
      <c r="O5283" s="9"/>
      <c r="P5283" s="9"/>
      <c r="Q5283" s="9"/>
      <c r="R5283" s="9"/>
      <c r="S5283" s="9"/>
      <c r="T5283" s="9"/>
    </row>
    <row r="5284" ht="15.75" customHeight="1">
      <c r="A5284" s="11">
        <f>IFERROR(__xludf.DUMMYFUNCTION("""COMPUTED_VALUE"""),44471.0)</f>
        <v>44471</v>
      </c>
      <c r="B5284" s="9">
        <f>IFERROR(__xludf.DUMMYFUNCTION("""COMPUTED_VALUE"""),1004023.0)</f>
        <v>1004023</v>
      </c>
      <c r="C5284" s="9">
        <f>IFERROR(__xludf.DUMMYFUNCTION("""COMPUTED_VALUE"""),86183.0)</f>
        <v>86183</v>
      </c>
      <c r="D5284" s="9"/>
      <c r="E5284" s="10" t="str">
        <f>IFERROR(__xludf.DUMMYFUNCTION("""COMPUTED_VALUE"""),"PREMIERE")</f>
        <v>PREMIERE</v>
      </c>
      <c r="F5284" s="10">
        <f>IFERROR(__xludf.DUMMYFUNCTION("""COMPUTED_VALUE"""),4.69)</f>
        <v>4.69</v>
      </c>
      <c r="G5284" s="9">
        <f>IFERROR(__xludf.DUMMYFUNCTION("""COMPUTED_VALUE"""),4.69)</f>
        <v>4.69</v>
      </c>
      <c r="H5284" s="9">
        <f>IFERROR(__xludf.DUMMYFUNCTION("""COMPUTED_VALUE"""),1.0)</f>
        <v>1</v>
      </c>
      <c r="I5284" s="9"/>
      <c r="J5284" s="9"/>
      <c r="K5284" s="9"/>
      <c r="L5284" s="9"/>
      <c r="M5284" s="9"/>
      <c r="N5284" s="9"/>
      <c r="O5284" s="9"/>
      <c r="P5284" s="9"/>
      <c r="Q5284" s="9"/>
      <c r="R5284" s="9"/>
      <c r="S5284" s="9"/>
      <c r="T5284" s="9"/>
    </row>
    <row r="5285" ht="15.75" customHeight="1">
      <c r="A5285" s="11">
        <f>IFERROR(__xludf.DUMMYFUNCTION("""COMPUTED_VALUE"""),44471.0)</f>
        <v>44471</v>
      </c>
      <c r="B5285" s="9">
        <f>IFERROR(__xludf.DUMMYFUNCTION("""COMPUTED_VALUE"""),1004023.0)</f>
        <v>1004023</v>
      </c>
      <c r="C5285" s="9">
        <f>IFERROR(__xludf.DUMMYFUNCTION("""COMPUTED_VALUE"""),88990.0)</f>
        <v>88990</v>
      </c>
      <c r="D5285" s="9"/>
      <c r="E5285" s="10" t="str">
        <f>IFERROR(__xludf.DUMMYFUNCTION("""COMPUTED_VALUE"""),"PREMIERE")</f>
        <v>PREMIERE</v>
      </c>
      <c r="F5285" s="10">
        <f>IFERROR(__xludf.DUMMYFUNCTION("""COMPUTED_VALUE"""),1.36)</f>
        <v>1.36</v>
      </c>
      <c r="G5285" s="9">
        <f>IFERROR(__xludf.DUMMYFUNCTION("""COMPUTED_VALUE"""),1.36)</f>
        <v>1.36</v>
      </c>
      <c r="H5285" s="9">
        <f>IFERROR(__xludf.DUMMYFUNCTION("""COMPUTED_VALUE"""),1.0)</f>
        <v>1</v>
      </c>
      <c r="I5285" s="9"/>
      <c r="J5285" s="9"/>
      <c r="K5285" s="9"/>
      <c r="L5285" s="9"/>
      <c r="M5285" s="9"/>
      <c r="N5285" s="9"/>
      <c r="O5285" s="9"/>
      <c r="P5285" s="9"/>
      <c r="Q5285" s="9"/>
      <c r="R5285" s="9"/>
      <c r="S5285" s="9"/>
      <c r="T5285" s="9"/>
    </row>
    <row r="5286" ht="15.75" customHeight="1">
      <c r="A5286" s="11">
        <f>IFERROR(__xludf.DUMMYFUNCTION("""COMPUTED_VALUE"""),44471.0)</f>
        <v>44471</v>
      </c>
      <c r="B5286" s="9">
        <f>IFERROR(__xludf.DUMMYFUNCTION("""COMPUTED_VALUE"""),1004023.0)</f>
        <v>1004023</v>
      </c>
      <c r="C5286" s="9">
        <f>IFERROR(__xludf.DUMMYFUNCTION("""COMPUTED_VALUE"""),29320.0)</f>
        <v>29320</v>
      </c>
      <c r="D5286" s="9"/>
      <c r="E5286" s="10" t="str">
        <f>IFERROR(__xludf.DUMMYFUNCTION("""COMPUTED_VALUE"""),"PREMIERE")</f>
        <v>PREMIERE</v>
      </c>
      <c r="F5286" s="10">
        <f>IFERROR(__xludf.DUMMYFUNCTION("""COMPUTED_VALUE"""),5.95)</f>
        <v>5.95</v>
      </c>
      <c r="G5286" s="9">
        <f>IFERROR(__xludf.DUMMYFUNCTION("""COMPUTED_VALUE"""),5.95)</f>
        <v>5.95</v>
      </c>
      <c r="H5286" s="9">
        <f>IFERROR(__xludf.DUMMYFUNCTION("""COMPUTED_VALUE"""),1.0)</f>
        <v>1</v>
      </c>
      <c r="I5286" s="9"/>
      <c r="J5286" s="9"/>
      <c r="K5286" s="9"/>
      <c r="L5286" s="9"/>
      <c r="M5286" s="9"/>
      <c r="N5286" s="9"/>
      <c r="O5286" s="9"/>
      <c r="P5286" s="9"/>
      <c r="Q5286" s="9"/>
      <c r="R5286" s="9"/>
      <c r="S5286" s="9"/>
      <c r="T5286" s="9"/>
    </row>
    <row r="5287" ht="15.75" customHeight="1">
      <c r="A5287" s="11">
        <f>IFERROR(__xludf.DUMMYFUNCTION("""COMPUTED_VALUE"""),44471.0)</f>
        <v>44471</v>
      </c>
      <c r="B5287" s="9">
        <f>IFERROR(__xludf.DUMMYFUNCTION("""COMPUTED_VALUE"""),1004023.0)</f>
        <v>1004023</v>
      </c>
      <c r="C5287" s="9">
        <f>IFERROR(__xludf.DUMMYFUNCTION("""COMPUTED_VALUE"""),100038.0)</f>
        <v>100038</v>
      </c>
      <c r="D5287" s="9"/>
      <c r="E5287" s="10" t="str">
        <f>IFERROR(__xludf.DUMMYFUNCTION("""COMPUTED_VALUE"""),"PREMIERE")</f>
        <v>PREMIERE</v>
      </c>
      <c r="F5287" s="10">
        <f>IFERROR(__xludf.DUMMYFUNCTION("""COMPUTED_VALUE"""),11.4)</f>
        <v>11.4</v>
      </c>
      <c r="G5287" s="9">
        <f>IFERROR(__xludf.DUMMYFUNCTION("""COMPUTED_VALUE"""),11.4)</f>
        <v>11.4</v>
      </c>
      <c r="H5287" s="9">
        <f>IFERROR(__xludf.DUMMYFUNCTION("""COMPUTED_VALUE"""),1.0)</f>
        <v>1</v>
      </c>
      <c r="I5287" s="9"/>
      <c r="J5287" s="9"/>
      <c r="K5287" s="9"/>
      <c r="L5287" s="9"/>
      <c r="M5287" s="9"/>
      <c r="N5287" s="9"/>
      <c r="O5287" s="9"/>
      <c r="P5287" s="9"/>
      <c r="Q5287" s="9"/>
      <c r="R5287" s="9"/>
      <c r="S5287" s="9"/>
      <c r="T5287" s="9"/>
    </row>
    <row r="5288" ht="15.75" customHeight="1">
      <c r="A5288" s="11">
        <f>IFERROR(__xludf.DUMMYFUNCTION("""COMPUTED_VALUE"""),44471.0)</f>
        <v>44471</v>
      </c>
      <c r="B5288" s="9">
        <f>IFERROR(__xludf.DUMMYFUNCTION("""COMPUTED_VALUE"""),1004023.0)</f>
        <v>1004023</v>
      </c>
      <c r="C5288" s="9">
        <f>IFERROR(__xludf.DUMMYFUNCTION("""COMPUTED_VALUE"""),71398.0)</f>
        <v>71398</v>
      </c>
      <c r="D5288" s="10" t="str">
        <f>IFERROR(__xludf.DUMMYFUNCTION("""COMPUTED_VALUE"""),"Offre speciale")</f>
        <v>Offre speciale</v>
      </c>
      <c r="E5288" s="10" t="str">
        <f>IFERROR(__xludf.DUMMYFUNCTION("""COMPUTED_VALUE"""),"PREMIERE")</f>
        <v>PREMIERE</v>
      </c>
      <c r="F5288" s="10">
        <f>IFERROR(__xludf.DUMMYFUNCTION("""COMPUTED_VALUE"""),4.70588235294117)</f>
        <v>4.705882353</v>
      </c>
      <c r="G5288" s="9">
        <f>IFERROR(__xludf.DUMMYFUNCTION("""COMPUTED_VALUE"""),4.0)</f>
        <v>4</v>
      </c>
      <c r="H5288" s="9">
        <f>IFERROR(__xludf.DUMMYFUNCTION("""COMPUTED_VALUE"""),1.0)</f>
        <v>1</v>
      </c>
      <c r="I5288" s="9"/>
      <c r="J5288" s="9"/>
      <c r="K5288" s="9"/>
      <c r="L5288" s="9"/>
      <c r="M5288" s="9"/>
      <c r="N5288" s="9"/>
      <c r="O5288" s="9"/>
      <c r="P5288" s="9"/>
      <c r="Q5288" s="9"/>
      <c r="R5288" s="9"/>
      <c r="S5288" s="9"/>
      <c r="T5288" s="9"/>
    </row>
    <row r="5289" ht="15.75" customHeight="1">
      <c r="A5289" s="11">
        <f>IFERROR(__xludf.DUMMYFUNCTION("""COMPUTED_VALUE"""),44471.0)</f>
        <v>44471</v>
      </c>
      <c r="B5289" s="9">
        <f>IFERROR(__xludf.DUMMYFUNCTION("""COMPUTED_VALUE"""),1004023.0)</f>
        <v>1004023</v>
      </c>
      <c r="C5289" s="9">
        <f>IFERROR(__xludf.DUMMYFUNCTION("""COMPUTED_VALUE"""),158465.0)</f>
        <v>158465</v>
      </c>
      <c r="D5289" s="9"/>
      <c r="E5289" s="10" t="str">
        <f>IFERROR(__xludf.DUMMYFUNCTION("""COMPUTED_VALUE"""),"PREMIERE")</f>
        <v>PREMIERE</v>
      </c>
      <c r="F5289" s="10">
        <f>IFERROR(__xludf.DUMMYFUNCTION("""COMPUTED_VALUE"""),3.23)</f>
        <v>3.23</v>
      </c>
      <c r="G5289" s="9">
        <f>IFERROR(__xludf.DUMMYFUNCTION("""COMPUTED_VALUE"""),3.23)</f>
        <v>3.23</v>
      </c>
      <c r="H5289" s="9">
        <f>IFERROR(__xludf.DUMMYFUNCTION("""COMPUTED_VALUE"""),1.0)</f>
        <v>1</v>
      </c>
      <c r="I5289" s="9"/>
      <c r="J5289" s="9"/>
      <c r="K5289" s="9"/>
      <c r="L5289" s="9"/>
      <c r="M5289" s="9"/>
      <c r="N5289" s="9"/>
      <c r="O5289" s="9"/>
      <c r="P5289" s="9"/>
      <c r="Q5289" s="9"/>
      <c r="R5289" s="9"/>
      <c r="S5289" s="9"/>
      <c r="T5289" s="9"/>
    </row>
    <row r="5290" ht="15.75" customHeight="1">
      <c r="A5290" s="11">
        <f>IFERROR(__xludf.DUMMYFUNCTION("""COMPUTED_VALUE"""),44471.0)</f>
        <v>44471</v>
      </c>
      <c r="B5290" s="9">
        <f>IFERROR(__xludf.DUMMYFUNCTION("""COMPUTED_VALUE"""),1004023.0)</f>
        <v>1004023</v>
      </c>
      <c r="C5290" s="9">
        <f>IFERROR(__xludf.DUMMYFUNCTION("""COMPUTED_VALUE"""),147339.0)</f>
        <v>147339</v>
      </c>
      <c r="D5290" s="9"/>
      <c r="E5290" s="10" t="str">
        <f>IFERROR(__xludf.DUMMYFUNCTION("""COMPUTED_VALUE"""),"PREMIERE")</f>
        <v>PREMIERE</v>
      </c>
      <c r="F5290" s="10">
        <f>IFERROR(__xludf.DUMMYFUNCTION("""COMPUTED_VALUE"""),19.92)</f>
        <v>19.92</v>
      </c>
      <c r="G5290" s="9">
        <f>IFERROR(__xludf.DUMMYFUNCTION("""COMPUTED_VALUE"""),19.92)</f>
        <v>19.92</v>
      </c>
      <c r="H5290" s="9">
        <f>IFERROR(__xludf.DUMMYFUNCTION("""COMPUTED_VALUE"""),1.0)</f>
        <v>1</v>
      </c>
      <c r="I5290" s="9"/>
      <c r="J5290" s="9"/>
      <c r="K5290" s="9"/>
      <c r="L5290" s="9"/>
      <c r="M5290" s="9"/>
      <c r="N5290" s="9"/>
      <c r="O5290" s="9"/>
      <c r="P5290" s="9"/>
      <c r="Q5290" s="9"/>
      <c r="R5290" s="9"/>
      <c r="S5290" s="9"/>
      <c r="T5290" s="9"/>
    </row>
    <row r="5291" ht="15.75" customHeight="1">
      <c r="A5291" s="11">
        <f>IFERROR(__xludf.DUMMYFUNCTION("""COMPUTED_VALUE"""),44471.0)</f>
        <v>44471</v>
      </c>
      <c r="B5291" s="9">
        <f>IFERROR(__xludf.DUMMYFUNCTION("""COMPUTED_VALUE"""),1004023.0)</f>
        <v>1004023</v>
      </c>
      <c r="C5291" s="9">
        <f>IFERROR(__xludf.DUMMYFUNCTION("""COMPUTED_VALUE"""),121067.0)</f>
        <v>121067</v>
      </c>
      <c r="D5291" s="10" t="str">
        <f>IFERROR(__xludf.DUMMYFUNCTION("""COMPUTED_VALUE"""),"Vive le bio")</f>
        <v>Vive le bio</v>
      </c>
      <c r="E5291" s="10" t="str">
        <f>IFERROR(__xludf.DUMMYFUNCTION("""COMPUTED_VALUE"""),"PREMIERE")</f>
        <v>PREMIERE</v>
      </c>
      <c r="F5291" s="10">
        <f>IFERROR(__xludf.DUMMYFUNCTION("""COMPUTED_VALUE"""),6.73333333333333)</f>
        <v>6.733333333</v>
      </c>
      <c r="G5291" s="9">
        <f>IFERROR(__xludf.DUMMYFUNCTION("""COMPUTED_VALUE"""),6.06)</f>
        <v>6.06</v>
      </c>
      <c r="H5291" s="9">
        <f>IFERROR(__xludf.DUMMYFUNCTION("""COMPUTED_VALUE"""),1.0)</f>
        <v>1</v>
      </c>
      <c r="I5291" s="9"/>
      <c r="J5291" s="9"/>
      <c r="K5291" s="9"/>
      <c r="L5291" s="9"/>
      <c r="M5291" s="9"/>
      <c r="N5291" s="9"/>
      <c r="O5291" s="9"/>
      <c r="P5291" s="9"/>
      <c r="Q5291" s="9"/>
      <c r="R5291" s="9"/>
      <c r="S5291" s="9"/>
      <c r="T5291" s="9"/>
    </row>
    <row r="5292" ht="15.75" customHeight="1">
      <c r="A5292" s="11">
        <f>IFERROR(__xludf.DUMMYFUNCTION("""COMPUTED_VALUE"""),44471.0)</f>
        <v>44471</v>
      </c>
      <c r="B5292" s="9">
        <f>IFERROR(__xludf.DUMMYFUNCTION("""COMPUTED_VALUE"""),1004023.0)</f>
        <v>1004023</v>
      </c>
      <c r="C5292" s="9">
        <f>IFERROR(__xludf.DUMMYFUNCTION("""COMPUTED_VALUE"""),88980.0)</f>
        <v>88980</v>
      </c>
      <c r="D5292" s="9"/>
      <c r="E5292" s="10" t="str">
        <f>IFERROR(__xludf.DUMMYFUNCTION("""COMPUTED_VALUE"""),"PREMIERE")</f>
        <v>PREMIERE</v>
      </c>
      <c r="F5292" s="10">
        <f>IFERROR(__xludf.DUMMYFUNCTION("""COMPUTED_VALUE"""),1.31)</f>
        <v>1.31</v>
      </c>
      <c r="G5292" s="9">
        <f>IFERROR(__xludf.DUMMYFUNCTION("""COMPUTED_VALUE"""),1.31)</f>
        <v>1.31</v>
      </c>
      <c r="H5292" s="9">
        <f>IFERROR(__xludf.DUMMYFUNCTION("""COMPUTED_VALUE"""),1.0)</f>
        <v>1</v>
      </c>
      <c r="I5292" s="9"/>
      <c r="J5292" s="9"/>
      <c r="K5292" s="9"/>
      <c r="L5292" s="9"/>
      <c r="M5292" s="9"/>
      <c r="N5292" s="9"/>
      <c r="O5292" s="9"/>
      <c r="P5292" s="9"/>
      <c r="Q5292" s="9"/>
      <c r="R5292" s="9"/>
      <c r="S5292" s="9"/>
      <c r="T5292" s="9"/>
    </row>
    <row r="5293" ht="15.75" customHeight="1">
      <c r="A5293" s="11">
        <f>IFERROR(__xludf.DUMMYFUNCTION("""COMPUTED_VALUE"""),44471.0)</f>
        <v>44471</v>
      </c>
      <c r="B5293" s="9">
        <f>IFERROR(__xludf.DUMMYFUNCTION("""COMPUTED_VALUE"""),1004023.0)</f>
        <v>1004023</v>
      </c>
      <c r="C5293" s="9">
        <f>IFERROR(__xludf.DUMMYFUNCTION("""COMPUTED_VALUE"""),158456.0)</f>
        <v>158456</v>
      </c>
      <c r="D5293" s="10" t="str">
        <f>IFERROR(__xludf.DUMMYFUNCTION("""COMPUTED_VALUE"""),"Zero Dechet")</f>
        <v>Zero Dechet</v>
      </c>
      <c r="E5293" s="10" t="str">
        <f>IFERROR(__xludf.DUMMYFUNCTION("""COMPUTED_VALUE"""),"PREMIERE")</f>
        <v>PREMIERE</v>
      </c>
      <c r="F5293" s="10">
        <f>IFERROR(__xludf.DUMMYFUNCTION("""COMPUTED_VALUE"""),6.06249999999999)</f>
        <v>6.0625</v>
      </c>
      <c r="G5293" s="9">
        <f>IFERROR(__xludf.DUMMYFUNCTION("""COMPUTED_VALUE"""),4.85)</f>
        <v>4.85</v>
      </c>
      <c r="H5293" s="9">
        <f>IFERROR(__xludf.DUMMYFUNCTION("""COMPUTED_VALUE"""),1.0)</f>
        <v>1</v>
      </c>
      <c r="I5293" s="9"/>
      <c r="J5293" s="9"/>
      <c r="K5293" s="9"/>
      <c r="L5293" s="9"/>
      <c r="M5293" s="9"/>
      <c r="N5293" s="9"/>
      <c r="O5293" s="9"/>
      <c r="P5293" s="9"/>
      <c r="Q5293" s="9"/>
      <c r="R5293" s="9"/>
      <c r="S5293" s="9"/>
      <c r="T5293" s="9"/>
    </row>
    <row r="5294" ht="15.75" customHeight="1">
      <c r="A5294" s="11">
        <f>IFERROR(__xludf.DUMMYFUNCTION("""COMPUTED_VALUE"""),44471.0)</f>
        <v>44471</v>
      </c>
      <c r="B5294" s="9">
        <f>IFERROR(__xludf.DUMMYFUNCTION("""COMPUTED_VALUE"""),1004023.0)</f>
        <v>1004023</v>
      </c>
      <c r="C5294" s="9">
        <f>IFERROR(__xludf.DUMMYFUNCTION("""COMPUTED_VALUE"""),106758.0)</f>
        <v>106758</v>
      </c>
      <c r="D5294" s="9"/>
      <c r="E5294" s="10" t="str">
        <f>IFERROR(__xludf.DUMMYFUNCTION("""COMPUTED_VALUE"""),"PREMIERE")</f>
        <v>PREMIERE</v>
      </c>
      <c r="F5294" s="10">
        <f>IFERROR(__xludf.DUMMYFUNCTION("""COMPUTED_VALUE"""),8.8)</f>
        <v>8.8</v>
      </c>
      <c r="G5294" s="9">
        <f>IFERROR(__xludf.DUMMYFUNCTION("""COMPUTED_VALUE"""),8.8)</f>
        <v>8.8</v>
      </c>
      <c r="H5294" s="9">
        <f>IFERROR(__xludf.DUMMYFUNCTION("""COMPUTED_VALUE"""),2.0)</f>
        <v>2</v>
      </c>
      <c r="I5294" s="9"/>
      <c r="J5294" s="9"/>
      <c r="K5294" s="9"/>
      <c r="L5294" s="9"/>
      <c r="M5294" s="9"/>
      <c r="N5294" s="9"/>
      <c r="O5294" s="9"/>
      <c r="P5294" s="9"/>
      <c r="Q5294" s="9"/>
      <c r="R5294" s="9"/>
      <c r="S5294" s="9"/>
      <c r="T5294" s="9"/>
    </row>
    <row r="5295" ht="15.75" customHeight="1">
      <c r="A5295" s="11">
        <f>IFERROR(__xludf.DUMMYFUNCTION("""COMPUTED_VALUE"""),44471.0)</f>
        <v>44471</v>
      </c>
      <c r="B5295" s="9">
        <f>IFERROR(__xludf.DUMMYFUNCTION("""COMPUTED_VALUE"""),1004023.0)</f>
        <v>1004023</v>
      </c>
      <c r="C5295" s="9">
        <f>IFERROR(__xludf.DUMMYFUNCTION("""COMPUTED_VALUE"""),106785.0)</f>
        <v>106785</v>
      </c>
      <c r="D5295" s="9"/>
      <c r="E5295" s="10" t="str">
        <f>IFERROR(__xludf.DUMMYFUNCTION("""COMPUTED_VALUE"""),"PREMIERE")</f>
        <v>PREMIERE</v>
      </c>
      <c r="F5295" s="10">
        <f>IFERROR(__xludf.DUMMYFUNCTION("""COMPUTED_VALUE"""),4.11)</f>
        <v>4.11</v>
      </c>
      <c r="G5295" s="9">
        <f>IFERROR(__xludf.DUMMYFUNCTION("""COMPUTED_VALUE"""),4.11)</f>
        <v>4.11</v>
      </c>
      <c r="H5295" s="9">
        <f>IFERROR(__xludf.DUMMYFUNCTION("""COMPUTED_VALUE"""),4.0)</f>
        <v>4</v>
      </c>
      <c r="I5295" s="9"/>
      <c r="J5295" s="9"/>
      <c r="K5295" s="9"/>
      <c r="L5295" s="9"/>
      <c r="M5295" s="9"/>
      <c r="N5295" s="9"/>
      <c r="O5295" s="9"/>
      <c r="P5295" s="9"/>
      <c r="Q5295" s="9"/>
      <c r="R5295" s="9"/>
      <c r="S5295" s="9"/>
      <c r="T5295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2" t="str">
        <f>IFERROR(__xludf.DUMMYFUNCTION("IMPORTRANGE(""https://docs.google.com/spreadsheets/d/1KBPZL6V6t1wQfIul5MfDBzVW_E1qX9_5Nn6Omd0L7JY/edit?gid=164626335#gid=164626335"",""refund_reason!A:Z"")"),"year")</f>
        <v>year</v>
      </c>
      <c r="B1" s="12" t="str">
        <f>IFERROR(__xludf.DUMMYFUNCTION("""COMPUTED_VALUE"""),"month")</f>
        <v>month</v>
      </c>
      <c r="C1" s="12" t="str">
        <f>IFERROR(__xludf.DUMMYFUNCTION("""COMPUTED_VALUE"""),"day")</f>
        <v>day</v>
      </c>
      <c r="D1" s="12" t="str">
        <f>IFERROR(__xludf.DUMMYFUNCTION("""COMPUTED_VALUE"""),"orders_id")</f>
        <v>orders_id</v>
      </c>
      <c r="E1" s="12" t="str">
        <f>IFERROR(__xludf.DUMMYFUNCTION("""COMPUTED_VALUE"""),"ref_turnover")</f>
        <v>ref_turnover</v>
      </c>
      <c r="F1" s="12" t="str">
        <f>IFERROR(__xludf.DUMMYFUNCTION("""COMPUTED_VALUE"""),"ref_ship")</f>
        <v>ref_ship</v>
      </c>
      <c r="G1" s="12" t="str">
        <f>IFERROR(__xludf.DUMMYFUNCTION("""COMPUTED_VALUE"""),"ref_coupon")</f>
        <v>ref_coupon</v>
      </c>
      <c r="H1" s="12" t="str">
        <f>IFERROR(__xludf.DUMMYFUNCTION("""COMPUTED_VALUE"""),"ref_reason")</f>
        <v>ref_reason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>
      <c r="A2" s="12">
        <f>IFERROR(__xludf.DUMMYFUNCTION("""COMPUTED_VALUE"""),2021.0)</f>
        <v>2021</v>
      </c>
      <c r="B2" s="12">
        <f>IFERROR(__xludf.DUMMYFUNCTION("""COMPUTED_VALUE"""),10.0)</f>
        <v>10</v>
      </c>
      <c r="C2" s="12">
        <f>IFERROR(__xludf.DUMMYFUNCTION("""COMPUTED_VALUE"""),1.0)</f>
        <v>1</v>
      </c>
      <c r="D2" s="12">
        <f>IFERROR(__xludf.DUMMYFUNCTION("""COMPUTED_VALUE"""),1003644.0)</f>
        <v>1003644</v>
      </c>
      <c r="E2" s="12">
        <f>IFERROR(__xludf.DUMMYFUNCTION("""COMPUTED_VALUE"""),6.0)</f>
        <v>6</v>
      </c>
      <c r="F2" s="12">
        <f>IFERROR(__xludf.DUMMYFUNCTION("""COMPUTED_VALUE"""),0.0)</f>
        <v>0</v>
      </c>
      <c r="G2" s="12">
        <f>IFERROR(__xludf.DUMMYFUNCTION("""COMPUTED_VALUE"""),0.0)</f>
        <v>0</v>
      </c>
      <c r="H2" s="12" t="str">
        <f>IFERROR(__xludf.DUMMYFUNCTION("""COMPUTED_VALUE"""),"Damage")</f>
        <v>Damage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>
      <c r="A3" s="12">
        <f>IFERROR(__xludf.DUMMYFUNCTION("""COMPUTED_VALUE"""),2021.0)</f>
        <v>2021</v>
      </c>
      <c r="B3" s="12">
        <f>IFERROR(__xludf.DUMMYFUNCTION("""COMPUTED_VALUE"""),10.0)</f>
        <v>10</v>
      </c>
      <c r="C3" s="12">
        <f>IFERROR(__xludf.DUMMYFUNCTION("""COMPUTED_VALUE"""),1.0)</f>
        <v>1</v>
      </c>
      <c r="D3" s="12">
        <f>IFERROR(__xludf.DUMMYFUNCTION("""COMPUTED_VALUE"""),1003989.0)</f>
        <v>1003989</v>
      </c>
      <c r="E3" s="12">
        <f>IFERROR(__xludf.DUMMYFUNCTION("""COMPUTED_VALUE"""),3.0)</f>
        <v>3</v>
      </c>
      <c r="F3" s="12">
        <f>IFERROR(__xludf.DUMMYFUNCTION("""COMPUTED_VALUE"""),0.0)</f>
        <v>0</v>
      </c>
      <c r="G3" s="12">
        <f>IFERROR(__xludf.DUMMYFUNCTION("""COMPUTED_VALUE"""),0.0)</f>
        <v>0</v>
      </c>
      <c r="H3" s="12" t="str">
        <f>IFERROR(__xludf.DUMMYFUNCTION("""COMPUTED_VALUE"""),"Wrong product")</f>
        <v>Wrong product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>
      <c r="A4" s="12">
        <f>IFERROR(__xludf.DUMMYFUNCTION("""COMPUTED_VALUE"""),2021.0)</f>
        <v>2021</v>
      </c>
      <c r="B4" s="12">
        <f>IFERROR(__xludf.DUMMYFUNCTION("""COMPUTED_VALUE"""),10.0)</f>
        <v>10</v>
      </c>
      <c r="C4" s="12">
        <f>IFERROR(__xludf.DUMMYFUNCTION("""COMPUTED_VALUE"""),1.0)</f>
        <v>1</v>
      </c>
      <c r="D4" s="12">
        <f>IFERROR(__xludf.DUMMYFUNCTION("""COMPUTED_VALUE"""),1003585.0)</f>
        <v>1003585</v>
      </c>
      <c r="E4" s="12">
        <f>IFERROR(__xludf.DUMMYFUNCTION("""COMPUTED_VALUE"""),1.0)</f>
        <v>1</v>
      </c>
      <c r="F4" s="12">
        <f>IFERROR(__xludf.DUMMYFUNCTION("""COMPUTED_VALUE"""),0.0)</f>
        <v>0</v>
      </c>
      <c r="G4" s="12">
        <f>IFERROR(__xludf.DUMMYFUNCTION("""COMPUTED_VALUE"""),0.0)</f>
        <v>0</v>
      </c>
      <c r="H4" s="12" t="str">
        <f>IFERROR(__xludf.DUMMYFUNCTION("""COMPUTED_VALUE"""),"Wrong product")</f>
        <v>Wrong product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>
      <c r="A5" s="12">
        <f>IFERROR(__xludf.DUMMYFUNCTION("""COMPUTED_VALUE"""),2021.0)</f>
        <v>2021</v>
      </c>
      <c r="B5" s="12">
        <f>IFERROR(__xludf.DUMMYFUNCTION("""COMPUTED_VALUE"""),10.0)</f>
        <v>10</v>
      </c>
      <c r="C5" s="12">
        <f>IFERROR(__xludf.DUMMYFUNCTION("""COMPUTED_VALUE"""),1.0)</f>
        <v>1</v>
      </c>
      <c r="D5" s="12">
        <f>IFERROR(__xludf.DUMMYFUNCTION("""COMPUTED_VALUE"""),1003362.0)</f>
        <v>1003362</v>
      </c>
      <c r="E5" s="12">
        <f>IFERROR(__xludf.DUMMYFUNCTION("""COMPUTED_VALUE"""),3.0)</f>
        <v>3</v>
      </c>
      <c r="F5" s="12">
        <f>IFERROR(__xludf.DUMMYFUNCTION("""COMPUTED_VALUE"""),0.0)</f>
        <v>0</v>
      </c>
      <c r="G5" s="12">
        <f>IFERROR(__xludf.DUMMYFUNCTION("""COMPUTED_VALUE"""),0.0)</f>
        <v>0</v>
      </c>
      <c r="H5" s="12" t="str">
        <f>IFERROR(__xludf.DUMMYFUNCTION("""COMPUTED_VALUE"""),"Wrong product")</f>
        <v>Wrong product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>
      <c r="A6" s="12">
        <f>IFERROR(__xludf.DUMMYFUNCTION("""COMPUTED_VALUE"""),2021.0)</f>
        <v>2021</v>
      </c>
      <c r="B6" s="12">
        <f>IFERROR(__xludf.DUMMYFUNCTION("""COMPUTED_VALUE"""),10.0)</f>
        <v>10</v>
      </c>
      <c r="C6" s="12">
        <f>IFERROR(__xludf.DUMMYFUNCTION("""COMPUTED_VALUE"""),1.0)</f>
        <v>1</v>
      </c>
      <c r="D6" s="12">
        <f>IFERROR(__xludf.DUMMYFUNCTION("""COMPUTED_VALUE"""),1003322.0)</f>
        <v>1003322</v>
      </c>
      <c r="E6" s="12">
        <f>IFERROR(__xludf.DUMMYFUNCTION("""COMPUTED_VALUE"""),1.0)</f>
        <v>1</v>
      </c>
      <c r="F6" s="12">
        <f>IFERROR(__xludf.DUMMYFUNCTION("""COMPUTED_VALUE"""),0.0)</f>
        <v>0</v>
      </c>
      <c r="G6" s="12">
        <f>IFERROR(__xludf.DUMMYFUNCTION("""COMPUTED_VALUE"""),10.0)</f>
        <v>10</v>
      </c>
      <c r="H6" s="12" t="str">
        <f>IFERROR(__xludf.DUMMYFUNCTION("""COMPUTED_VALUE"""),"Return")</f>
        <v>Return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>
      <c r="A7" s="12">
        <f>IFERROR(__xludf.DUMMYFUNCTION("""COMPUTED_VALUE"""),2021.0)</f>
        <v>2021</v>
      </c>
      <c r="B7" s="12">
        <f>IFERROR(__xludf.DUMMYFUNCTION("""COMPUTED_VALUE"""),10.0)</f>
        <v>10</v>
      </c>
      <c r="C7" s="12">
        <f>IFERROR(__xludf.DUMMYFUNCTION("""COMPUTED_VALUE"""),1.0)</f>
        <v>1</v>
      </c>
      <c r="D7" s="12">
        <f>IFERROR(__xludf.DUMMYFUNCTION("""COMPUTED_VALUE"""),1003992.0)</f>
        <v>1003992</v>
      </c>
      <c r="E7" s="12">
        <f>IFERROR(__xludf.DUMMYFUNCTION("""COMPUTED_VALUE"""),13.0)</f>
        <v>13</v>
      </c>
      <c r="F7" s="12">
        <f>IFERROR(__xludf.DUMMYFUNCTION("""COMPUTED_VALUE"""),0.0)</f>
        <v>0</v>
      </c>
      <c r="G7" s="12">
        <f>IFERROR(__xludf.DUMMYFUNCTION("""COMPUTED_VALUE"""),0.0)</f>
        <v>0</v>
      </c>
      <c r="H7" s="12" t="str">
        <f>IFERROR(__xludf.DUMMYFUNCTION("""COMPUTED_VALUE"""),"Return")</f>
        <v>Return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>
      <c r="A8" s="12">
        <f>IFERROR(__xludf.DUMMYFUNCTION("""COMPUTED_VALUE"""),2021.0)</f>
        <v>2021</v>
      </c>
      <c r="B8" s="12">
        <f>IFERROR(__xludf.DUMMYFUNCTION("""COMPUTED_VALUE"""),10.0)</f>
        <v>10</v>
      </c>
      <c r="C8" s="12">
        <f>IFERROR(__xludf.DUMMYFUNCTION("""COMPUTED_VALUE"""),1.0)</f>
        <v>1</v>
      </c>
      <c r="D8" s="12">
        <f>IFERROR(__xludf.DUMMYFUNCTION("""COMPUTED_VALUE"""),1003540.0)</f>
        <v>1003540</v>
      </c>
      <c r="E8" s="12">
        <f>IFERROR(__xludf.DUMMYFUNCTION("""COMPUTED_VALUE"""),2.0)</f>
        <v>2</v>
      </c>
      <c r="F8" s="12">
        <f>IFERROR(__xludf.DUMMYFUNCTION("""COMPUTED_VALUE"""),0.0)</f>
        <v>0</v>
      </c>
      <c r="G8" s="12">
        <f>IFERROR(__xludf.DUMMYFUNCTION("""COMPUTED_VALUE"""),0.0)</f>
        <v>0</v>
      </c>
      <c r="H8" s="12" t="str">
        <f>IFERROR(__xludf.DUMMYFUNCTION("""COMPUTED_VALUE"""),"Return")</f>
        <v>Return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>
      <c r="A9" s="12">
        <f>IFERROR(__xludf.DUMMYFUNCTION("""COMPUTED_VALUE"""),2021.0)</f>
        <v>2021</v>
      </c>
      <c r="B9" s="12">
        <f>IFERROR(__xludf.DUMMYFUNCTION("""COMPUTED_VALUE"""),10.0)</f>
        <v>10</v>
      </c>
      <c r="C9" s="12">
        <f>IFERROR(__xludf.DUMMYFUNCTION("""COMPUTED_VALUE"""),1.0)</f>
        <v>1</v>
      </c>
      <c r="D9" s="12">
        <f>IFERROR(__xludf.DUMMYFUNCTION("""COMPUTED_VALUE"""),1003712.0)</f>
        <v>1003712</v>
      </c>
      <c r="E9" s="13">
        <f>IFERROR(__xludf.DUMMYFUNCTION("""COMPUTED_VALUE"""),0.7595799120798356)</f>
        <v>0.7595799121</v>
      </c>
      <c r="F9" s="12">
        <f>IFERROR(__xludf.DUMMYFUNCTION("""COMPUTED_VALUE"""),0.0)</f>
        <v>0</v>
      </c>
      <c r="G9" s="12">
        <f>IFERROR(__xludf.DUMMYFUNCTION("""COMPUTED_VALUE"""),10.0)</f>
        <v>10</v>
      </c>
      <c r="H9" s="12" t="str">
        <f>IFERROR(__xludf.DUMMYFUNCTION("""COMPUTED_VALUE"""),"Return")</f>
        <v>Return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>
      <c r="A10" s="12">
        <f>IFERROR(__xludf.DUMMYFUNCTION("""COMPUTED_VALUE"""),2021.0)</f>
        <v>2021</v>
      </c>
      <c r="B10" s="12">
        <f>IFERROR(__xludf.DUMMYFUNCTION("""COMPUTED_VALUE"""),10.0)</f>
        <v>10</v>
      </c>
      <c r="C10" s="12">
        <f>IFERROR(__xludf.DUMMYFUNCTION("""COMPUTED_VALUE"""),1.0)</f>
        <v>1</v>
      </c>
      <c r="D10" s="12">
        <f>IFERROR(__xludf.DUMMYFUNCTION("""COMPUTED_VALUE"""),1003802.0)</f>
        <v>1003802</v>
      </c>
      <c r="E10" s="12">
        <f>IFERROR(__xludf.DUMMYFUNCTION("""COMPUTED_VALUE"""),2.0)</f>
        <v>2</v>
      </c>
      <c r="F10" s="12">
        <f>IFERROR(__xludf.DUMMYFUNCTION("""COMPUTED_VALUE"""),0.0)</f>
        <v>0</v>
      </c>
      <c r="G10" s="12">
        <f>IFERROR(__xludf.DUMMYFUNCTION("""COMPUTED_VALUE"""),0.0)</f>
        <v>0</v>
      </c>
      <c r="H10" s="12" t="str">
        <f>IFERROR(__xludf.DUMMYFUNCTION("""COMPUTED_VALUE"""),"Damage")</f>
        <v>Damage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>
      <c r="A11" s="12">
        <f>IFERROR(__xludf.DUMMYFUNCTION("""COMPUTED_VALUE"""),2021.0)</f>
        <v>2021</v>
      </c>
      <c r="B11" s="12">
        <f>IFERROR(__xludf.DUMMYFUNCTION("""COMPUTED_VALUE"""),10.0)</f>
        <v>10</v>
      </c>
      <c r="C11" s="12">
        <f>IFERROR(__xludf.DUMMYFUNCTION("""COMPUTED_VALUE"""),1.0)</f>
        <v>1</v>
      </c>
      <c r="D11" s="12">
        <f>IFERROR(__xludf.DUMMYFUNCTION("""COMPUTED_VALUE"""),1003568.0)</f>
        <v>1003568</v>
      </c>
      <c r="E11" s="12">
        <f>IFERROR(__xludf.DUMMYFUNCTION("""COMPUTED_VALUE"""),3.0)</f>
        <v>3</v>
      </c>
      <c r="F11" s="12">
        <f>IFERROR(__xludf.DUMMYFUNCTION("""COMPUTED_VALUE"""),5.75)</f>
        <v>5.75</v>
      </c>
      <c r="G11" s="12">
        <f>IFERROR(__xludf.DUMMYFUNCTION("""COMPUTED_VALUE"""),0.0)</f>
        <v>0</v>
      </c>
      <c r="H11" s="12" t="str">
        <f>IFERROR(__xludf.DUMMYFUNCTION("""COMPUTED_VALUE"""),"Return")</f>
        <v>Return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>
      <c r="A12" s="12">
        <f>IFERROR(__xludf.DUMMYFUNCTION("""COMPUTED_VALUE"""),2021.0)</f>
        <v>2021</v>
      </c>
      <c r="B12" s="12">
        <f>IFERROR(__xludf.DUMMYFUNCTION("""COMPUTED_VALUE"""),10.0)</f>
        <v>10</v>
      </c>
      <c r="C12" s="12">
        <f>IFERROR(__xludf.DUMMYFUNCTION("""COMPUTED_VALUE"""),1.0)</f>
        <v>1</v>
      </c>
      <c r="D12" s="12">
        <f>IFERROR(__xludf.DUMMYFUNCTION("""COMPUTED_VALUE"""),1003822.0)</f>
        <v>1003822</v>
      </c>
      <c r="E12" s="12">
        <f>IFERROR(__xludf.DUMMYFUNCTION("""COMPUTED_VALUE"""),2.0)</f>
        <v>2</v>
      </c>
      <c r="F12" s="12">
        <f>IFERROR(__xludf.DUMMYFUNCTION("""COMPUTED_VALUE"""),0.0)</f>
        <v>0</v>
      </c>
      <c r="G12" s="12">
        <f>IFERROR(__xludf.DUMMYFUNCTION("""COMPUTED_VALUE"""),0.0)</f>
        <v>0</v>
      </c>
      <c r="H12" s="12" t="str">
        <f>IFERROR(__xludf.DUMMYFUNCTION("""COMPUTED_VALUE"""),"Return")</f>
        <v>Return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>
      <c r="A13" s="12">
        <f>IFERROR(__xludf.DUMMYFUNCTION("""COMPUTED_VALUE"""),2021.0)</f>
        <v>2021</v>
      </c>
      <c r="B13" s="12">
        <f>IFERROR(__xludf.DUMMYFUNCTION("""COMPUTED_VALUE"""),10.0)</f>
        <v>10</v>
      </c>
      <c r="C13" s="12">
        <f>IFERROR(__xludf.DUMMYFUNCTION("""COMPUTED_VALUE"""),1.0)</f>
        <v>1</v>
      </c>
      <c r="D13" s="12">
        <f>IFERROR(__xludf.DUMMYFUNCTION("""COMPUTED_VALUE"""),1003395.0)</f>
        <v>1003395</v>
      </c>
      <c r="E13" s="12">
        <f>IFERROR(__xludf.DUMMYFUNCTION("""COMPUTED_VALUE"""),1.0)</f>
        <v>1</v>
      </c>
      <c r="F13" s="12">
        <f>IFERROR(__xludf.DUMMYFUNCTION("""COMPUTED_VALUE"""),0.0)</f>
        <v>0</v>
      </c>
      <c r="G13" s="12">
        <f>IFERROR(__xludf.DUMMYFUNCTION("""COMPUTED_VALUE"""),10.0)</f>
        <v>10</v>
      </c>
      <c r="H13" s="12" t="str">
        <f>IFERROR(__xludf.DUMMYFUNCTION("""COMPUTED_VALUE"""),"Return")</f>
        <v>Return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>
      <c r="A14" s="12">
        <f>IFERROR(__xludf.DUMMYFUNCTION("""COMPUTED_VALUE"""),2021.0)</f>
        <v>2021</v>
      </c>
      <c r="B14" s="12">
        <f>IFERROR(__xludf.DUMMYFUNCTION("""COMPUTED_VALUE"""),10.0)</f>
        <v>10</v>
      </c>
      <c r="C14" s="12">
        <f>IFERROR(__xludf.DUMMYFUNCTION("""COMPUTED_VALUE"""),1.0)</f>
        <v>1</v>
      </c>
      <c r="D14" s="12">
        <f>IFERROR(__xludf.DUMMYFUNCTION("""COMPUTED_VALUE"""),1003641.0)</f>
        <v>1003641</v>
      </c>
      <c r="E14" s="12">
        <f>IFERROR(__xludf.DUMMYFUNCTION("""COMPUTED_VALUE"""),9.0)</f>
        <v>9</v>
      </c>
      <c r="F14" s="12">
        <f>IFERROR(__xludf.DUMMYFUNCTION("""COMPUTED_VALUE"""),0.0)</f>
        <v>0</v>
      </c>
      <c r="G14" s="12">
        <f>IFERROR(__xludf.DUMMYFUNCTION("""COMPUTED_VALUE"""),0.0)</f>
        <v>0</v>
      </c>
      <c r="H14" s="12" t="str">
        <f>IFERROR(__xludf.DUMMYFUNCTION("""COMPUTED_VALUE"""),"Return")</f>
        <v>Return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>
      <c r="A15" s="12">
        <f>IFERROR(__xludf.DUMMYFUNCTION("""COMPUTED_VALUE"""),2021.0)</f>
        <v>2021</v>
      </c>
      <c r="B15" s="12">
        <f>IFERROR(__xludf.DUMMYFUNCTION("""COMPUTED_VALUE"""),10.0)</f>
        <v>10</v>
      </c>
      <c r="C15" s="12">
        <f>IFERROR(__xludf.DUMMYFUNCTION("""COMPUTED_VALUE"""),1.0)</f>
        <v>1</v>
      </c>
      <c r="D15" s="12">
        <f>IFERROR(__xludf.DUMMYFUNCTION("""COMPUTED_VALUE"""),1003698.0)</f>
        <v>1003698</v>
      </c>
      <c r="E15" s="12">
        <f>IFERROR(__xludf.DUMMYFUNCTION("""COMPUTED_VALUE"""),1.0)</f>
        <v>1</v>
      </c>
      <c r="F15" s="12">
        <f>IFERROR(__xludf.DUMMYFUNCTION("""COMPUTED_VALUE"""),6.64)</f>
        <v>6.64</v>
      </c>
      <c r="G15" s="12">
        <f>IFERROR(__xludf.DUMMYFUNCTION("""COMPUTED_VALUE"""),0.0)</f>
        <v>0</v>
      </c>
      <c r="H15" s="12" t="str">
        <f>IFERROR(__xludf.DUMMYFUNCTION("""COMPUTED_VALUE"""),"Return")</f>
        <v>Return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>
      <c r="A16" s="12">
        <f>IFERROR(__xludf.DUMMYFUNCTION("""COMPUTED_VALUE"""),2021.0)</f>
        <v>2021</v>
      </c>
      <c r="B16" s="12">
        <f>IFERROR(__xludf.DUMMYFUNCTION("""COMPUTED_VALUE"""),10.0)</f>
        <v>10</v>
      </c>
      <c r="C16" s="12">
        <f>IFERROR(__xludf.DUMMYFUNCTION("""COMPUTED_VALUE"""),1.0)</f>
        <v>1</v>
      </c>
      <c r="D16" s="12">
        <f>IFERROR(__xludf.DUMMYFUNCTION("""COMPUTED_VALUE"""),1003880.0)</f>
        <v>1003880</v>
      </c>
      <c r="E16" s="12">
        <f>IFERROR(__xludf.DUMMYFUNCTION("""COMPUTED_VALUE"""),2.0)</f>
        <v>2</v>
      </c>
      <c r="F16" s="12">
        <f>IFERROR(__xludf.DUMMYFUNCTION("""COMPUTED_VALUE"""),4.63)</f>
        <v>4.63</v>
      </c>
      <c r="G16" s="12">
        <f>IFERROR(__xludf.DUMMYFUNCTION("""COMPUTED_VALUE"""),0.0)</f>
        <v>0</v>
      </c>
      <c r="H16" s="12" t="str">
        <f>IFERROR(__xludf.DUMMYFUNCTION("""COMPUTED_VALUE"""),"Return")</f>
        <v>Return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>
      <c r="A17" s="12">
        <f>IFERROR(__xludf.DUMMYFUNCTION("""COMPUTED_VALUE"""),2021.0)</f>
        <v>2021</v>
      </c>
      <c r="B17" s="12">
        <f>IFERROR(__xludf.DUMMYFUNCTION("""COMPUTED_VALUE"""),10.0)</f>
        <v>10</v>
      </c>
      <c r="C17" s="12">
        <f>IFERROR(__xludf.DUMMYFUNCTION("""COMPUTED_VALUE"""),1.0)</f>
        <v>1</v>
      </c>
      <c r="D17" s="12">
        <f>IFERROR(__xludf.DUMMYFUNCTION("""COMPUTED_VALUE"""),1003851.0)</f>
        <v>1003851</v>
      </c>
      <c r="E17" s="12">
        <f>IFERROR(__xludf.DUMMYFUNCTION("""COMPUTED_VALUE"""),2.0)</f>
        <v>2</v>
      </c>
      <c r="F17" s="12">
        <f>IFERROR(__xludf.DUMMYFUNCTION("""COMPUTED_VALUE"""),0.0)</f>
        <v>0</v>
      </c>
      <c r="G17" s="12">
        <f>IFERROR(__xludf.DUMMYFUNCTION("""COMPUTED_VALUE"""),0.0)</f>
        <v>0</v>
      </c>
      <c r="H17" s="12" t="str">
        <f>IFERROR(__xludf.DUMMYFUNCTION("""COMPUTED_VALUE"""),"Damage")</f>
        <v>Damage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2">
        <f>IFERROR(__xludf.DUMMYFUNCTION("""COMPUTED_VALUE"""),2021.0)</f>
        <v>2021</v>
      </c>
      <c r="B18" s="12">
        <f>IFERROR(__xludf.DUMMYFUNCTION("""COMPUTED_VALUE"""),10.0)</f>
        <v>10</v>
      </c>
      <c r="C18" s="12">
        <f>IFERROR(__xludf.DUMMYFUNCTION("""COMPUTED_VALUE"""),1.0)</f>
        <v>1</v>
      </c>
      <c r="D18" s="12">
        <f>IFERROR(__xludf.DUMMYFUNCTION("""COMPUTED_VALUE"""),1003501.0)</f>
        <v>1003501</v>
      </c>
      <c r="E18" s="12">
        <f>IFERROR(__xludf.DUMMYFUNCTION("""COMPUTED_VALUE"""),1.0)</f>
        <v>1</v>
      </c>
      <c r="F18" s="12">
        <f>IFERROR(__xludf.DUMMYFUNCTION("""COMPUTED_VALUE"""),0.0)</f>
        <v>0</v>
      </c>
      <c r="G18" s="12">
        <f>IFERROR(__xludf.DUMMYFUNCTION("""COMPUTED_VALUE"""),5.0)</f>
        <v>5</v>
      </c>
      <c r="H18" s="12" t="str">
        <f>IFERROR(__xludf.DUMMYFUNCTION("""COMPUTED_VALUE"""),"Return")</f>
        <v>Return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>
      <c r="A19" s="12">
        <f>IFERROR(__xludf.DUMMYFUNCTION("""COMPUTED_VALUE"""),2021.0)</f>
        <v>2021</v>
      </c>
      <c r="B19" s="12">
        <f>IFERROR(__xludf.DUMMYFUNCTION("""COMPUTED_VALUE"""),10.0)</f>
        <v>10</v>
      </c>
      <c r="C19" s="12">
        <f>IFERROR(__xludf.DUMMYFUNCTION("""COMPUTED_VALUE"""),1.0)</f>
        <v>1</v>
      </c>
      <c r="D19" s="12">
        <f>IFERROR(__xludf.DUMMYFUNCTION("""COMPUTED_VALUE"""),1004010.0)</f>
        <v>1004010</v>
      </c>
      <c r="E19" s="12">
        <f>IFERROR(__xludf.DUMMYFUNCTION("""COMPUTED_VALUE"""),1.0)</f>
        <v>1</v>
      </c>
      <c r="F19" s="12">
        <f>IFERROR(__xludf.DUMMYFUNCTION("""COMPUTED_VALUE"""),0.0)</f>
        <v>0</v>
      </c>
      <c r="G19" s="12">
        <f>IFERROR(__xludf.DUMMYFUNCTION("""COMPUTED_VALUE"""),0.0)</f>
        <v>0</v>
      </c>
      <c r="H19" s="12" t="str">
        <f>IFERROR(__xludf.DUMMYFUNCTION("""COMPUTED_VALUE"""),"Wrong product")</f>
        <v>Wrong product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>
      <c r="A20" s="12">
        <f>IFERROR(__xludf.DUMMYFUNCTION("""COMPUTED_VALUE"""),2021.0)</f>
        <v>2021</v>
      </c>
      <c r="B20" s="12">
        <f>IFERROR(__xludf.DUMMYFUNCTION("""COMPUTED_VALUE"""),10.0)</f>
        <v>10</v>
      </c>
      <c r="C20" s="12">
        <f>IFERROR(__xludf.DUMMYFUNCTION("""COMPUTED_VALUE"""),1.0)</f>
        <v>1</v>
      </c>
      <c r="D20" s="12">
        <f>IFERROR(__xludf.DUMMYFUNCTION("""COMPUTED_VALUE"""),1003808.0)</f>
        <v>1003808</v>
      </c>
      <c r="E20" s="13">
        <f>IFERROR(__xludf.DUMMYFUNCTION("""COMPUTED_VALUE"""),0.43335126759828724)</f>
        <v>0.4333512676</v>
      </c>
      <c r="F20" s="12">
        <f>IFERROR(__xludf.DUMMYFUNCTION("""COMPUTED_VALUE"""),0.0)</f>
        <v>0</v>
      </c>
      <c r="G20" s="12">
        <f>IFERROR(__xludf.DUMMYFUNCTION("""COMPUTED_VALUE"""),0.0)</f>
        <v>0</v>
      </c>
      <c r="H20" s="12" t="str">
        <f>IFERROR(__xludf.DUMMYFUNCTION("""COMPUTED_VALUE"""),"Wrong product")</f>
        <v>Wrong product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>
      <c r="A21" s="12">
        <f>IFERROR(__xludf.DUMMYFUNCTION("""COMPUTED_VALUE"""),2021.0)</f>
        <v>2021</v>
      </c>
      <c r="B21" s="12">
        <f>IFERROR(__xludf.DUMMYFUNCTION("""COMPUTED_VALUE"""),10.0)</f>
        <v>10</v>
      </c>
      <c r="C21" s="12">
        <f>IFERROR(__xludf.DUMMYFUNCTION("""COMPUTED_VALUE"""),1.0)</f>
        <v>1</v>
      </c>
      <c r="D21" s="12">
        <f>IFERROR(__xludf.DUMMYFUNCTION("""COMPUTED_VALUE"""),1003454.0)</f>
        <v>1003454</v>
      </c>
      <c r="E21" s="12">
        <f>IFERROR(__xludf.DUMMYFUNCTION("""COMPUTED_VALUE"""),4.0)</f>
        <v>4</v>
      </c>
      <c r="F21" s="12">
        <f>IFERROR(__xludf.DUMMYFUNCTION("""COMPUTED_VALUE"""),0.0)</f>
        <v>0</v>
      </c>
      <c r="G21" s="12">
        <f>IFERROR(__xludf.DUMMYFUNCTION("""COMPUTED_VALUE"""),0.0)</f>
        <v>0</v>
      </c>
      <c r="H21" s="12" t="str">
        <f>IFERROR(__xludf.DUMMYFUNCTION("""COMPUTED_VALUE"""),"Wrong product")</f>
        <v>Wrong product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>
      <c r="A22" s="12">
        <f>IFERROR(__xludf.DUMMYFUNCTION("""COMPUTED_VALUE"""),2021.0)</f>
        <v>2021</v>
      </c>
      <c r="B22" s="12">
        <f>IFERROR(__xludf.DUMMYFUNCTION("""COMPUTED_VALUE"""),10.0)</f>
        <v>10</v>
      </c>
      <c r="C22" s="12">
        <f>IFERROR(__xludf.DUMMYFUNCTION("""COMPUTED_VALUE"""),1.0)</f>
        <v>1</v>
      </c>
      <c r="D22" s="12">
        <f>IFERROR(__xludf.DUMMYFUNCTION("""COMPUTED_VALUE"""),1003446.0)</f>
        <v>1003446</v>
      </c>
      <c r="E22" s="12">
        <f>IFERROR(__xludf.DUMMYFUNCTION("""COMPUTED_VALUE"""),3.0)</f>
        <v>3</v>
      </c>
      <c r="F22" s="12">
        <f>IFERROR(__xludf.DUMMYFUNCTION("""COMPUTED_VALUE"""),0.0)</f>
        <v>0</v>
      </c>
      <c r="G22" s="12">
        <f>IFERROR(__xludf.DUMMYFUNCTION("""COMPUTED_VALUE"""),0.0)</f>
        <v>0</v>
      </c>
      <c r="H22" s="12" t="str">
        <f>IFERROR(__xludf.DUMMYFUNCTION("""COMPUTED_VALUE"""),"Wrong product")</f>
        <v>Wrong product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>
      <c r="A23" s="12">
        <f>IFERROR(__xludf.DUMMYFUNCTION("""COMPUTED_VALUE"""),2021.0)</f>
        <v>2021</v>
      </c>
      <c r="B23" s="12">
        <f>IFERROR(__xludf.DUMMYFUNCTION("""COMPUTED_VALUE"""),10.0)</f>
        <v>10</v>
      </c>
      <c r="C23" s="12">
        <f>IFERROR(__xludf.DUMMYFUNCTION("""COMPUTED_VALUE"""),1.0)</f>
        <v>1</v>
      </c>
      <c r="D23" s="12">
        <f>IFERROR(__xludf.DUMMYFUNCTION("""COMPUTED_VALUE"""),1003723.0)</f>
        <v>1003723</v>
      </c>
      <c r="E23" s="12">
        <f>IFERROR(__xludf.DUMMYFUNCTION("""COMPUTED_VALUE"""),1.0)</f>
        <v>1</v>
      </c>
      <c r="F23" s="12">
        <f>IFERROR(__xludf.DUMMYFUNCTION("""COMPUTED_VALUE"""),0.0)</f>
        <v>0</v>
      </c>
      <c r="G23" s="12">
        <f>IFERROR(__xludf.DUMMYFUNCTION("""COMPUTED_VALUE"""),0.0)</f>
        <v>0</v>
      </c>
      <c r="H23" s="12" t="str">
        <f>IFERROR(__xludf.DUMMYFUNCTION("""COMPUTED_VALUE"""),"Damage")</f>
        <v>Damage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>
      <c r="A24" s="12">
        <f>IFERROR(__xludf.DUMMYFUNCTION("""COMPUTED_VALUE"""),2021.0)</f>
        <v>2021</v>
      </c>
      <c r="B24" s="12">
        <f>IFERROR(__xludf.DUMMYFUNCTION("""COMPUTED_VALUE"""),10.0)</f>
        <v>10</v>
      </c>
      <c r="C24" s="12">
        <f>IFERROR(__xludf.DUMMYFUNCTION("""COMPUTED_VALUE"""),1.0)</f>
        <v>1</v>
      </c>
      <c r="D24" s="12">
        <f>IFERROR(__xludf.DUMMYFUNCTION("""COMPUTED_VALUE"""),1003634.0)</f>
        <v>1003634</v>
      </c>
      <c r="E24" s="12">
        <f>IFERROR(__xludf.DUMMYFUNCTION("""COMPUTED_VALUE"""),3.0)</f>
        <v>3</v>
      </c>
      <c r="F24" s="12">
        <f>IFERROR(__xludf.DUMMYFUNCTION("""COMPUTED_VALUE"""),0.0)</f>
        <v>0</v>
      </c>
      <c r="G24" s="12">
        <f>IFERROR(__xludf.DUMMYFUNCTION("""COMPUTED_VALUE"""),0.0)</f>
        <v>0</v>
      </c>
      <c r="H24" s="12" t="str">
        <f>IFERROR(__xludf.DUMMYFUNCTION("""COMPUTED_VALUE"""),"Damage")</f>
        <v>Damage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>
      <c r="A25" s="12">
        <f>IFERROR(__xludf.DUMMYFUNCTION("""COMPUTED_VALUE"""),2021.0)</f>
        <v>2021</v>
      </c>
      <c r="B25" s="12">
        <f>IFERROR(__xludf.DUMMYFUNCTION("""COMPUTED_VALUE"""),10.0)</f>
        <v>10</v>
      </c>
      <c r="C25" s="12">
        <f>IFERROR(__xludf.DUMMYFUNCTION("""COMPUTED_VALUE"""),1.0)</f>
        <v>1</v>
      </c>
      <c r="D25" s="12">
        <f>IFERROR(__xludf.DUMMYFUNCTION("""COMPUTED_VALUE"""),1003584.0)</f>
        <v>1003584</v>
      </c>
      <c r="E25" s="12">
        <f>IFERROR(__xludf.DUMMYFUNCTION("""COMPUTED_VALUE"""),1.0)</f>
        <v>1</v>
      </c>
      <c r="F25" s="12">
        <f>IFERROR(__xludf.DUMMYFUNCTION("""COMPUTED_VALUE"""),0.0)</f>
        <v>0</v>
      </c>
      <c r="G25" s="12">
        <f>IFERROR(__xludf.DUMMYFUNCTION("""COMPUTED_VALUE"""),0.0)</f>
        <v>0</v>
      </c>
      <c r="H25" s="12" t="str">
        <f>IFERROR(__xludf.DUMMYFUNCTION("""COMPUTED_VALUE"""),"Wrong product")</f>
        <v>Wrong product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>
      <c r="A26" s="12">
        <f>IFERROR(__xludf.DUMMYFUNCTION("""COMPUTED_VALUE"""),2021.0)</f>
        <v>2021</v>
      </c>
      <c r="B26" s="12">
        <f>IFERROR(__xludf.DUMMYFUNCTION("""COMPUTED_VALUE"""),10.0)</f>
        <v>10</v>
      </c>
      <c r="C26" s="12">
        <f>IFERROR(__xludf.DUMMYFUNCTION("""COMPUTED_VALUE"""),1.0)</f>
        <v>1</v>
      </c>
      <c r="D26" s="12">
        <f>IFERROR(__xludf.DUMMYFUNCTION("""COMPUTED_VALUE"""),1003298.0)</f>
        <v>1003298</v>
      </c>
      <c r="E26" s="12">
        <f>IFERROR(__xludf.DUMMYFUNCTION("""COMPUTED_VALUE"""),18.0)</f>
        <v>18</v>
      </c>
      <c r="F26" s="12">
        <f>IFERROR(__xludf.DUMMYFUNCTION("""COMPUTED_VALUE"""),0.0)</f>
        <v>0</v>
      </c>
      <c r="G26" s="12">
        <f>IFERROR(__xludf.DUMMYFUNCTION("""COMPUTED_VALUE"""),8.0)</f>
        <v>8</v>
      </c>
      <c r="H26" s="12" t="str">
        <f>IFERROR(__xludf.DUMMYFUNCTION("""COMPUTED_VALUE"""),"Return")</f>
        <v>Return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>
      <c r="A27" s="12">
        <f>IFERROR(__xludf.DUMMYFUNCTION("""COMPUTED_VALUE"""),2021.0)</f>
        <v>2021</v>
      </c>
      <c r="B27" s="12">
        <f>IFERROR(__xludf.DUMMYFUNCTION("""COMPUTED_VALUE"""),10.0)</f>
        <v>10</v>
      </c>
      <c r="C27" s="12">
        <f>IFERROR(__xludf.DUMMYFUNCTION("""COMPUTED_VALUE"""),1.0)</f>
        <v>1</v>
      </c>
      <c r="D27" s="12">
        <f>IFERROR(__xludf.DUMMYFUNCTION("""COMPUTED_VALUE"""),1003500.0)</f>
        <v>1003500</v>
      </c>
      <c r="E27" s="12">
        <f>IFERROR(__xludf.DUMMYFUNCTION("""COMPUTED_VALUE"""),3.0)</f>
        <v>3</v>
      </c>
      <c r="F27" s="12">
        <f>IFERROR(__xludf.DUMMYFUNCTION("""COMPUTED_VALUE"""),0.0)</f>
        <v>0</v>
      </c>
      <c r="G27" s="12">
        <f>IFERROR(__xludf.DUMMYFUNCTION("""COMPUTED_VALUE"""),0.0)</f>
        <v>0</v>
      </c>
      <c r="H27" s="12" t="str">
        <f>IFERROR(__xludf.DUMMYFUNCTION("""COMPUTED_VALUE"""),"Damage")</f>
        <v>Damage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>
      <c r="A28" s="12">
        <f>IFERROR(__xludf.DUMMYFUNCTION("""COMPUTED_VALUE"""),2021.0)</f>
        <v>2021</v>
      </c>
      <c r="B28" s="12">
        <f>IFERROR(__xludf.DUMMYFUNCTION("""COMPUTED_VALUE"""),10.0)</f>
        <v>10</v>
      </c>
      <c r="C28" s="12">
        <f>IFERROR(__xludf.DUMMYFUNCTION("""COMPUTED_VALUE"""),1.0)</f>
        <v>1</v>
      </c>
      <c r="D28" s="12">
        <f>IFERROR(__xludf.DUMMYFUNCTION("""COMPUTED_VALUE"""),1003730.0)</f>
        <v>1003730</v>
      </c>
      <c r="E28" s="12">
        <f>IFERROR(__xludf.DUMMYFUNCTION("""COMPUTED_VALUE"""),3.0)</f>
        <v>3</v>
      </c>
      <c r="F28" s="12">
        <f>IFERROR(__xludf.DUMMYFUNCTION("""COMPUTED_VALUE"""),0.0)</f>
        <v>0</v>
      </c>
      <c r="G28" s="12">
        <f>IFERROR(__xludf.DUMMYFUNCTION("""COMPUTED_VALUE"""),0.0)</f>
        <v>0</v>
      </c>
      <c r="H28" s="12" t="str">
        <f>IFERROR(__xludf.DUMMYFUNCTION("""COMPUTED_VALUE"""),"Damage")</f>
        <v>Damage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>
      <c r="A29" s="12">
        <f>IFERROR(__xludf.DUMMYFUNCTION("""COMPUTED_VALUE"""),2021.0)</f>
        <v>2021</v>
      </c>
      <c r="B29" s="12">
        <f>IFERROR(__xludf.DUMMYFUNCTION("""COMPUTED_VALUE"""),10.0)</f>
        <v>10</v>
      </c>
      <c r="C29" s="12">
        <f>IFERROR(__xludf.DUMMYFUNCTION("""COMPUTED_VALUE"""),1.0)</f>
        <v>1</v>
      </c>
      <c r="D29" s="12">
        <f>IFERROR(__xludf.DUMMYFUNCTION("""COMPUTED_VALUE"""),1003312.0)</f>
        <v>1003312</v>
      </c>
      <c r="E29" s="12">
        <f>IFERROR(__xludf.DUMMYFUNCTION("""COMPUTED_VALUE"""),6.0)</f>
        <v>6</v>
      </c>
      <c r="F29" s="12">
        <f>IFERROR(__xludf.DUMMYFUNCTION("""COMPUTED_VALUE"""),0.0)</f>
        <v>0</v>
      </c>
      <c r="G29" s="12">
        <f>IFERROR(__xludf.DUMMYFUNCTION("""COMPUTED_VALUE"""),0.0)</f>
        <v>0</v>
      </c>
      <c r="H29" s="12" t="str">
        <f>IFERROR(__xludf.DUMMYFUNCTION("""COMPUTED_VALUE"""),"Damage")</f>
        <v>Damage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>
      <c r="A30" s="12">
        <f>IFERROR(__xludf.DUMMYFUNCTION("""COMPUTED_VALUE"""),2021.0)</f>
        <v>2021</v>
      </c>
      <c r="B30" s="12">
        <f>IFERROR(__xludf.DUMMYFUNCTION("""COMPUTED_VALUE"""),10.0)</f>
        <v>10</v>
      </c>
      <c r="C30" s="12">
        <f>IFERROR(__xludf.DUMMYFUNCTION("""COMPUTED_VALUE"""),1.0)</f>
        <v>1</v>
      </c>
      <c r="D30" s="12">
        <f>IFERROR(__xludf.DUMMYFUNCTION("""COMPUTED_VALUE"""),1004011.0)</f>
        <v>1004011</v>
      </c>
      <c r="E30" s="12">
        <f>IFERROR(__xludf.DUMMYFUNCTION("""COMPUTED_VALUE"""),1.0)</f>
        <v>1</v>
      </c>
      <c r="F30" s="12">
        <f>IFERROR(__xludf.DUMMYFUNCTION("""COMPUTED_VALUE"""),0.0)</f>
        <v>0</v>
      </c>
      <c r="G30" s="12">
        <f>IFERROR(__xludf.DUMMYFUNCTION("""COMPUTED_VALUE"""),5.0)</f>
        <v>5</v>
      </c>
      <c r="H30" s="12" t="str">
        <f>IFERROR(__xludf.DUMMYFUNCTION("""COMPUTED_VALUE"""),"Return")</f>
        <v>Return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2">
        <f>IFERROR(__xludf.DUMMYFUNCTION("""COMPUTED_VALUE"""),2021.0)</f>
        <v>2021</v>
      </c>
      <c r="B31" s="12">
        <f>IFERROR(__xludf.DUMMYFUNCTION("""COMPUTED_VALUE"""),10.0)</f>
        <v>10</v>
      </c>
      <c r="C31" s="12">
        <f>IFERROR(__xludf.DUMMYFUNCTION("""COMPUTED_VALUE"""),1.0)</f>
        <v>1</v>
      </c>
      <c r="D31" s="12">
        <f>IFERROR(__xludf.DUMMYFUNCTION("""COMPUTED_VALUE"""),1003598.0)</f>
        <v>1003598</v>
      </c>
      <c r="E31" s="12">
        <f>IFERROR(__xludf.DUMMYFUNCTION("""COMPUTED_VALUE"""),1.0)</f>
        <v>1</v>
      </c>
      <c r="F31" s="12">
        <f>IFERROR(__xludf.DUMMYFUNCTION("""COMPUTED_VALUE"""),0.0)</f>
        <v>0</v>
      </c>
      <c r="G31" s="12">
        <f>IFERROR(__xludf.DUMMYFUNCTION("""COMPUTED_VALUE"""),10.0)</f>
        <v>10</v>
      </c>
      <c r="H31" s="12" t="str">
        <f>IFERROR(__xludf.DUMMYFUNCTION("""COMPUTED_VALUE"""),"Return")</f>
        <v>Return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>
      <c r="A32" s="12">
        <f>IFERROR(__xludf.DUMMYFUNCTION("""COMPUTED_VALUE"""),2021.0)</f>
        <v>2021</v>
      </c>
      <c r="B32" s="12">
        <f>IFERROR(__xludf.DUMMYFUNCTION("""COMPUTED_VALUE"""),10.0)</f>
        <v>10</v>
      </c>
      <c r="C32" s="12">
        <f>IFERROR(__xludf.DUMMYFUNCTION("""COMPUTED_VALUE"""),1.0)</f>
        <v>1</v>
      </c>
      <c r="D32" s="12">
        <f>IFERROR(__xludf.DUMMYFUNCTION("""COMPUTED_VALUE"""),1003593.0)</f>
        <v>1003593</v>
      </c>
      <c r="E32" s="12">
        <f>IFERROR(__xludf.DUMMYFUNCTION("""COMPUTED_VALUE"""),2.0)</f>
        <v>2</v>
      </c>
      <c r="F32" s="12">
        <f>IFERROR(__xludf.DUMMYFUNCTION("""COMPUTED_VALUE"""),0.0)</f>
        <v>0</v>
      </c>
      <c r="G32" s="12">
        <f>IFERROR(__xludf.DUMMYFUNCTION("""COMPUTED_VALUE"""),0.0)</f>
        <v>0</v>
      </c>
      <c r="H32" s="12" t="str">
        <f>IFERROR(__xludf.DUMMYFUNCTION("""COMPUTED_VALUE"""),"Return")</f>
        <v>Return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>
      <c r="A33" s="12">
        <f>IFERROR(__xludf.DUMMYFUNCTION("""COMPUTED_VALUE"""),2021.0)</f>
        <v>2021</v>
      </c>
      <c r="B33" s="12">
        <f>IFERROR(__xludf.DUMMYFUNCTION("""COMPUTED_VALUE"""),10.0)</f>
        <v>10</v>
      </c>
      <c r="C33" s="12">
        <f>IFERROR(__xludf.DUMMYFUNCTION("""COMPUTED_VALUE"""),1.0)</f>
        <v>1</v>
      </c>
      <c r="D33" s="12">
        <f>IFERROR(__xludf.DUMMYFUNCTION("""COMPUTED_VALUE"""),1003406.0)</f>
        <v>1003406</v>
      </c>
      <c r="E33" s="12">
        <f>IFERROR(__xludf.DUMMYFUNCTION("""COMPUTED_VALUE"""),1.0)</f>
        <v>1</v>
      </c>
      <c r="F33" s="12">
        <f>IFERROR(__xludf.DUMMYFUNCTION("""COMPUTED_VALUE"""),0.0)</f>
        <v>0</v>
      </c>
      <c r="G33" s="12">
        <f>IFERROR(__xludf.DUMMYFUNCTION("""COMPUTED_VALUE"""),0.0)</f>
        <v>0</v>
      </c>
      <c r="H33" s="12" t="str">
        <f>IFERROR(__xludf.DUMMYFUNCTION("""COMPUTED_VALUE"""),"Wrong product")</f>
        <v>Wrong product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>
      <c r="A34" s="12">
        <f>IFERROR(__xludf.DUMMYFUNCTION("""COMPUTED_VALUE"""),2021.0)</f>
        <v>2021</v>
      </c>
      <c r="B34" s="12">
        <f>IFERROR(__xludf.DUMMYFUNCTION("""COMPUTED_VALUE"""),10.0)</f>
        <v>10</v>
      </c>
      <c r="C34" s="12">
        <f>IFERROR(__xludf.DUMMYFUNCTION("""COMPUTED_VALUE"""),1.0)</f>
        <v>1</v>
      </c>
      <c r="D34" s="12">
        <f>IFERROR(__xludf.DUMMYFUNCTION("""COMPUTED_VALUE"""),1003629.0)</f>
        <v>1003629</v>
      </c>
      <c r="E34" s="12">
        <f>IFERROR(__xludf.DUMMYFUNCTION("""COMPUTED_VALUE"""),5.0)</f>
        <v>5</v>
      </c>
      <c r="F34" s="12">
        <f>IFERROR(__xludf.DUMMYFUNCTION("""COMPUTED_VALUE"""),0.0)</f>
        <v>0</v>
      </c>
      <c r="G34" s="12">
        <f>IFERROR(__xludf.DUMMYFUNCTION("""COMPUTED_VALUE"""),8.09)</f>
        <v>8.09</v>
      </c>
      <c r="H34" s="12" t="str">
        <f>IFERROR(__xludf.DUMMYFUNCTION("""COMPUTED_VALUE"""),"Return")</f>
        <v>Return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>
      <c r="A35" s="12">
        <f>IFERROR(__xludf.DUMMYFUNCTION("""COMPUTED_VALUE"""),2021.0)</f>
        <v>2021</v>
      </c>
      <c r="B35" s="12">
        <f>IFERROR(__xludf.DUMMYFUNCTION("""COMPUTED_VALUE"""),10.0)</f>
        <v>10</v>
      </c>
      <c r="C35" s="12">
        <f>IFERROR(__xludf.DUMMYFUNCTION("""COMPUTED_VALUE"""),1.0)</f>
        <v>1</v>
      </c>
      <c r="D35" s="12">
        <f>IFERROR(__xludf.DUMMYFUNCTION("""COMPUTED_VALUE"""),1003326.0)</f>
        <v>1003326</v>
      </c>
      <c r="E35" s="12">
        <f>IFERROR(__xludf.DUMMYFUNCTION("""COMPUTED_VALUE"""),5.0)</f>
        <v>5</v>
      </c>
      <c r="F35" s="12">
        <f>IFERROR(__xludf.DUMMYFUNCTION("""COMPUTED_VALUE"""),0.0)</f>
        <v>0</v>
      </c>
      <c r="G35" s="12">
        <f>IFERROR(__xludf.DUMMYFUNCTION("""COMPUTED_VALUE"""),0.0)</f>
        <v>0</v>
      </c>
      <c r="H35" s="12" t="str">
        <f>IFERROR(__xludf.DUMMYFUNCTION("""COMPUTED_VALUE"""),"Damage")</f>
        <v>Damage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>
      <c r="A36" s="12">
        <f>IFERROR(__xludf.DUMMYFUNCTION("""COMPUTED_VALUE"""),2021.0)</f>
        <v>2021</v>
      </c>
      <c r="B36" s="12">
        <f>IFERROR(__xludf.DUMMYFUNCTION("""COMPUTED_VALUE"""),10.0)</f>
        <v>10</v>
      </c>
      <c r="C36" s="12">
        <f>IFERROR(__xludf.DUMMYFUNCTION("""COMPUTED_VALUE"""),1.0)</f>
        <v>1</v>
      </c>
      <c r="D36" s="12">
        <f>IFERROR(__xludf.DUMMYFUNCTION("""COMPUTED_VALUE"""),1003967.0)</f>
        <v>1003967</v>
      </c>
      <c r="E36" s="12">
        <f>IFERROR(__xludf.DUMMYFUNCTION("""COMPUTED_VALUE"""),6.0)</f>
        <v>6</v>
      </c>
      <c r="F36" s="12">
        <f>IFERROR(__xludf.DUMMYFUNCTION("""COMPUTED_VALUE"""),0.0)</f>
        <v>0</v>
      </c>
      <c r="G36" s="12">
        <f>IFERROR(__xludf.DUMMYFUNCTION("""COMPUTED_VALUE"""),0.0)</f>
        <v>0</v>
      </c>
      <c r="H36" s="12" t="str">
        <f>IFERROR(__xludf.DUMMYFUNCTION("""COMPUTED_VALUE"""),"Return")</f>
        <v>Return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>
      <c r="A37" s="12">
        <f>IFERROR(__xludf.DUMMYFUNCTION("""COMPUTED_VALUE"""),2021.0)</f>
        <v>2021</v>
      </c>
      <c r="B37" s="12">
        <f>IFERROR(__xludf.DUMMYFUNCTION("""COMPUTED_VALUE"""),10.0)</f>
        <v>10</v>
      </c>
      <c r="C37" s="12">
        <f>IFERROR(__xludf.DUMMYFUNCTION("""COMPUTED_VALUE"""),1.0)</f>
        <v>1</v>
      </c>
      <c r="D37" s="12">
        <f>IFERROR(__xludf.DUMMYFUNCTION("""COMPUTED_VALUE"""),1003650.0)</f>
        <v>1003650</v>
      </c>
      <c r="E37" s="12">
        <f>IFERROR(__xludf.DUMMYFUNCTION("""COMPUTED_VALUE"""),1.0)</f>
        <v>1</v>
      </c>
      <c r="F37" s="12">
        <f>IFERROR(__xludf.DUMMYFUNCTION("""COMPUTED_VALUE"""),0.0)</f>
        <v>0</v>
      </c>
      <c r="G37" s="12">
        <f>IFERROR(__xludf.DUMMYFUNCTION("""COMPUTED_VALUE"""),0.0)</f>
        <v>0</v>
      </c>
      <c r="H37" s="12" t="str">
        <f>IFERROR(__xludf.DUMMYFUNCTION("""COMPUTED_VALUE"""),"Damage")</f>
        <v>Damage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>
      <c r="A38" s="12">
        <f>IFERROR(__xludf.DUMMYFUNCTION("""COMPUTED_VALUE"""),2021.0)</f>
        <v>2021</v>
      </c>
      <c r="B38" s="12">
        <f>IFERROR(__xludf.DUMMYFUNCTION("""COMPUTED_VALUE"""),10.0)</f>
        <v>10</v>
      </c>
      <c r="C38" s="12">
        <f>IFERROR(__xludf.DUMMYFUNCTION("""COMPUTED_VALUE"""),1.0)</f>
        <v>1</v>
      </c>
      <c r="D38" s="12">
        <f>IFERROR(__xludf.DUMMYFUNCTION("""COMPUTED_VALUE"""),1003389.0)</f>
        <v>1003389</v>
      </c>
      <c r="E38" s="12">
        <f>IFERROR(__xludf.DUMMYFUNCTION("""COMPUTED_VALUE"""),4.0)</f>
        <v>4</v>
      </c>
      <c r="F38" s="12">
        <f>IFERROR(__xludf.DUMMYFUNCTION("""COMPUTED_VALUE"""),0.0)</f>
        <v>0</v>
      </c>
      <c r="G38" s="12">
        <f>IFERROR(__xludf.DUMMYFUNCTION("""COMPUTED_VALUE"""),0.0)</f>
        <v>0</v>
      </c>
      <c r="H38" s="12" t="str">
        <f>IFERROR(__xludf.DUMMYFUNCTION("""COMPUTED_VALUE"""),"Wrong product")</f>
        <v>Wrong product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>
      <c r="A39" s="12">
        <f>IFERROR(__xludf.DUMMYFUNCTION("""COMPUTED_VALUE"""),2021.0)</f>
        <v>2021</v>
      </c>
      <c r="B39" s="12">
        <f>IFERROR(__xludf.DUMMYFUNCTION("""COMPUTED_VALUE"""),10.0)</f>
        <v>10</v>
      </c>
      <c r="C39" s="12">
        <f>IFERROR(__xludf.DUMMYFUNCTION("""COMPUTED_VALUE"""),1.0)</f>
        <v>1</v>
      </c>
      <c r="D39" s="12">
        <f>IFERROR(__xludf.DUMMYFUNCTION("""COMPUTED_VALUE"""),1003330.0)</f>
        <v>1003330</v>
      </c>
      <c r="E39" s="12">
        <f>IFERROR(__xludf.DUMMYFUNCTION("""COMPUTED_VALUE"""),3.0)</f>
        <v>3</v>
      </c>
      <c r="F39" s="12">
        <f>IFERROR(__xludf.DUMMYFUNCTION("""COMPUTED_VALUE"""),0.0)</f>
        <v>0</v>
      </c>
      <c r="G39" s="12">
        <f>IFERROR(__xludf.DUMMYFUNCTION("""COMPUTED_VALUE"""),0.0)</f>
        <v>0</v>
      </c>
      <c r="H39" s="12" t="str">
        <f>IFERROR(__xludf.DUMMYFUNCTION("""COMPUTED_VALUE"""),"Return")</f>
        <v>Return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>
      <c r="A40" s="12">
        <f>IFERROR(__xludf.DUMMYFUNCTION("""COMPUTED_VALUE"""),2021.0)</f>
        <v>2021</v>
      </c>
      <c r="B40" s="12">
        <f>IFERROR(__xludf.DUMMYFUNCTION("""COMPUTED_VALUE"""),10.0)</f>
        <v>10</v>
      </c>
      <c r="C40" s="12">
        <f>IFERROR(__xludf.DUMMYFUNCTION("""COMPUTED_VALUE"""),1.0)</f>
        <v>1</v>
      </c>
      <c r="D40" s="12">
        <f>IFERROR(__xludf.DUMMYFUNCTION("""COMPUTED_VALUE"""),1003780.0)</f>
        <v>1003780</v>
      </c>
      <c r="E40" s="12">
        <f>IFERROR(__xludf.DUMMYFUNCTION("""COMPUTED_VALUE"""),2.0)</f>
        <v>2</v>
      </c>
      <c r="F40" s="12">
        <f>IFERROR(__xludf.DUMMYFUNCTION("""COMPUTED_VALUE"""),0.0)</f>
        <v>0</v>
      </c>
      <c r="G40" s="12">
        <f>IFERROR(__xludf.DUMMYFUNCTION("""COMPUTED_VALUE"""),0.0)</f>
        <v>0</v>
      </c>
      <c r="H40" s="12" t="str">
        <f>IFERROR(__xludf.DUMMYFUNCTION("""COMPUTED_VALUE"""),"Return")</f>
        <v>Return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>
      <c r="A41" s="12">
        <f>IFERROR(__xludf.DUMMYFUNCTION("""COMPUTED_VALUE"""),2021.0)</f>
        <v>2021</v>
      </c>
      <c r="B41" s="12">
        <f>IFERROR(__xludf.DUMMYFUNCTION("""COMPUTED_VALUE"""),10.0)</f>
        <v>10</v>
      </c>
      <c r="C41" s="12">
        <f>IFERROR(__xludf.DUMMYFUNCTION("""COMPUTED_VALUE"""),1.0)</f>
        <v>1</v>
      </c>
      <c r="D41" s="12">
        <f>IFERROR(__xludf.DUMMYFUNCTION("""COMPUTED_VALUE"""),1003787.0)</f>
        <v>1003787</v>
      </c>
      <c r="E41" s="12">
        <f>IFERROR(__xludf.DUMMYFUNCTION("""COMPUTED_VALUE"""),1.0)</f>
        <v>1</v>
      </c>
      <c r="F41" s="12">
        <f>IFERROR(__xludf.DUMMYFUNCTION("""COMPUTED_VALUE"""),0.0)</f>
        <v>0</v>
      </c>
      <c r="G41" s="12">
        <f>IFERROR(__xludf.DUMMYFUNCTION("""COMPUTED_VALUE"""),0.0)</f>
        <v>0</v>
      </c>
      <c r="H41" s="12" t="str">
        <f>IFERROR(__xludf.DUMMYFUNCTION("""COMPUTED_VALUE"""),"Return")</f>
        <v>Return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>
      <c r="A42" s="12">
        <f>IFERROR(__xludf.DUMMYFUNCTION("""COMPUTED_VALUE"""),2021.0)</f>
        <v>2021</v>
      </c>
      <c r="B42" s="12">
        <f>IFERROR(__xludf.DUMMYFUNCTION("""COMPUTED_VALUE"""),10.0)</f>
        <v>10</v>
      </c>
      <c r="C42" s="12">
        <f>IFERROR(__xludf.DUMMYFUNCTION("""COMPUTED_VALUE"""),1.0)</f>
        <v>1</v>
      </c>
      <c r="D42" s="12">
        <f>IFERROR(__xludf.DUMMYFUNCTION("""COMPUTED_VALUE"""),1003803.0)</f>
        <v>1003803</v>
      </c>
      <c r="E42" s="12">
        <f>IFERROR(__xludf.DUMMYFUNCTION("""COMPUTED_VALUE"""),2.0)</f>
        <v>2</v>
      </c>
      <c r="F42" s="12">
        <f>IFERROR(__xludf.DUMMYFUNCTION("""COMPUTED_VALUE"""),0.0)</f>
        <v>0</v>
      </c>
      <c r="G42" s="12">
        <f>IFERROR(__xludf.DUMMYFUNCTION("""COMPUTED_VALUE"""),0.0)</f>
        <v>0</v>
      </c>
      <c r="H42" s="12" t="str">
        <f>IFERROR(__xludf.DUMMYFUNCTION("""COMPUTED_VALUE"""),"Return")</f>
        <v>Return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>
      <c r="A43" s="12">
        <f>IFERROR(__xludf.DUMMYFUNCTION("""COMPUTED_VALUE"""),2021.0)</f>
        <v>2021</v>
      </c>
      <c r="B43" s="12">
        <f>IFERROR(__xludf.DUMMYFUNCTION("""COMPUTED_VALUE"""),10.0)</f>
        <v>10</v>
      </c>
      <c r="C43" s="12">
        <f>IFERROR(__xludf.DUMMYFUNCTION("""COMPUTED_VALUE"""),1.0)</f>
        <v>1</v>
      </c>
      <c r="D43" s="12">
        <f>IFERROR(__xludf.DUMMYFUNCTION("""COMPUTED_VALUE"""),1003761.0)</f>
        <v>1003761</v>
      </c>
      <c r="E43" s="12">
        <f>IFERROR(__xludf.DUMMYFUNCTION("""COMPUTED_VALUE"""),1.0)</f>
        <v>1</v>
      </c>
      <c r="F43" s="12">
        <f>IFERROR(__xludf.DUMMYFUNCTION("""COMPUTED_VALUE"""),0.0)</f>
        <v>0</v>
      </c>
      <c r="G43" s="12">
        <f>IFERROR(__xludf.DUMMYFUNCTION("""COMPUTED_VALUE"""),0.0)</f>
        <v>0</v>
      </c>
      <c r="H43" s="12" t="str">
        <f>IFERROR(__xludf.DUMMYFUNCTION("""COMPUTED_VALUE"""),"Return")</f>
        <v>Return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2">
        <f>IFERROR(__xludf.DUMMYFUNCTION("""COMPUTED_VALUE"""),2021.0)</f>
        <v>2021</v>
      </c>
      <c r="B44" s="12">
        <f>IFERROR(__xludf.DUMMYFUNCTION("""COMPUTED_VALUE"""),10.0)</f>
        <v>10</v>
      </c>
      <c r="C44" s="12">
        <f>IFERROR(__xludf.DUMMYFUNCTION("""COMPUTED_VALUE"""),1.0)</f>
        <v>1</v>
      </c>
      <c r="D44" s="12">
        <f>IFERROR(__xludf.DUMMYFUNCTION("""COMPUTED_VALUE"""),1003981.0)</f>
        <v>1003981</v>
      </c>
      <c r="E44" s="12">
        <f>IFERROR(__xludf.DUMMYFUNCTION("""COMPUTED_VALUE"""),2.0)</f>
        <v>2</v>
      </c>
      <c r="F44" s="12">
        <f>IFERROR(__xludf.DUMMYFUNCTION("""COMPUTED_VALUE"""),0.0)</f>
        <v>0</v>
      </c>
      <c r="G44" s="12">
        <f>IFERROR(__xludf.DUMMYFUNCTION("""COMPUTED_VALUE"""),5.0)</f>
        <v>5</v>
      </c>
      <c r="H44" s="12" t="str">
        <f>IFERROR(__xludf.DUMMYFUNCTION("""COMPUTED_VALUE"""),"Damage")</f>
        <v>Damage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>
      <c r="A45" s="12">
        <f>IFERROR(__xludf.DUMMYFUNCTION("""COMPUTED_VALUE"""),2021.0)</f>
        <v>2021</v>
      </c>
      <c r="B45" s="12">
        <f>IFERROR(__xludf.DUMMYFUNCTION("""COMPUTED_VALUE"""),10.0)</f>
        <v>10</v>
      </c>
      <c r="C45" s="12">
        <f>IFERROR(__xludf.DUMMYFUNCTION("""COMPUTED_VALUE"""),1.0)</f>
        <v>1</v>
      </c>
      <c r="D45" s="12">
        <f>IFERROR(__xludf.DUMMYFUNCTION("""COMPUTED_VALUE"""),1003997.0)</f>
        <v>1003997</v>
      </c>
      <c r="E45" s="12">
        <f>IFERROR(__xludf.DUMMYFUNCTION("""COMPUTED_VALUE"""),12.0)</f>
        <v>12</v>
      </c>
      <c r="F45" s="12">
        <f>IFERROR(__xludf.DUMMYFUNCTION("""COMPUTED_VALUE"""),0.0)</f>
        <v>0</v>
      </c>
      <c r="G45" s="12">
        <f>IFERROR(__xludf.DUMMYFUNCTION("""COMPUTED_VALUE"""),10.0)</f>
        <v>10</v>
      </c>
      <c r="H45" s="12" t="str">
        <f>IFERROR(__xludf.DUMMYFUNCTION("""COMPUTED_VALUE"""),"Wrong product")</f>
        <v>Wrong product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>
      <c r="A46" s="12">
        <f>IFERROR(__xludf.DUMMYFUNCTION("""COMPUTED_VALUE"""),2021.0)</f>
        <v>2021</v>
      </c>
      <c r="B46" s="12">
        <f>IFERROR(__xludf.DUMMYFUNCTION("""COMPUTED_VALUE"""),10.0)</f>
        <v>10</v>
      </c>
      <c r="C46" s="12">
        <f>IFERROR(__xludf.DUMMYFUNCTION("""COMPUTED_VALUE"""),1.0)</f>
        <v>1</v>
      </c>
      <c r="D46" s="12">
        <f>IFERROR(__xludf.DUMMYFUNCTION("""COMPUTED_VALUE"""),1003484.0)</f>
        <v>1003484</v>
      </c>
      <c r="E46" s="13">
        <f>IFERROR(__xludf.DUMMYFUNCTION("""COMPUTED_VALUE"""),0.7571081116299295)</f>
        <v>0.7571081116</v>
      </c>
      <c r="F46" s="12">
        <f>IFERROR(__xludf.DUMMYFUNCTION("""COMPUTED_VALUE"""),0.0)</f>
        <v>0</v>
      </c>
      <c r="G46" s="12">
        <f>IFERROR(__xludf.DUMMYFUNCTION("""COMPUTED_VALUE"""),0.0)</f>
        <v>0</v>
      </c>
      <c r="H46" s="12" t="str">
        <f>IFERROR(__xludf.DUMMYFUNCTION("""COMPUTED_VALUE"""),"Damage")</f>
        <v>Damage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>
      <c r="A47" s="12">
        <f>IFERROR(__xludf.DUMMYFUNCTION("""COMPUTED_VALUE"""),2021.0)</f>
        <v>2021</v>
      </c>
      <c r="B47" s="12">
        <f>IFERROR(__xludf.DUMMYFUNCTION("""COMPUTED_VALUE"""),10.0)</f>
        <v>10</v>
      </c>
      <c r="C47" s="12">
        <f>IFERROR(__xludf.DUMMYFUNCTION("""COMPUTED_VALUE"""),1.0)</f>
        <v>1</v>
      </c>
      <c r="D47" s="12">
        <f>IFERROR(__xludf.DUMMYFUNCTION("""COMPUTED_VALUE"""),1003645.0)</f>
        <v>1003645</v>
      </c>
      <c r="E47" s="12">
        <f>IFERROR(__xludf.DUMMYFUNCTION("""COMPUTED_VALUE"""),1.0)</f>
        <v>1</v>
      </c>
      <c r="F47" s="12">
        <f>IFERROR(__xludf.DUMMYFUNCTION("""COMPUTED_VALUE"""),0.0)</f>
        <v>0</v>
      </c>
      <c r="G47" s="12">
        <f>IFERROR(__xludf.DUMMYFUNCTION("""COMPUTED_VALUE"""),0.0)</f>
        <v>0</v>
      </c>
      <c r="H47" s="12" t="str">
        <f>IFERROR(__xludf.DUMMYFUNCTION("""COMPUTED_VALUE"""),"Damage")</f>
        <v>Damage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>
      <c r="A48" s="12">
        <f>IFERROR(__xludf.DUMMYFUNCTION("""COMPUTED_VALUE"""),2021.0)</f>
        <v>2021</v>
      </c>
      <c r="B48" s="12">
        <f>IFERROR(__xludf.DUMMYFUNCTION("""COMPUTED_VALUE"""),10.0)</f>
        <v>10</v>
      </c>
      <c r="C48" s="12">
        <f>IFERROR(__xludf.DUMMYFUNCTION("""COMPUTED_VALUE"""),1.0)</f>
        <v>1</v>
      </c>
      <c r="D48" s="12">
        <f>IFERROR(__xludf.DUMMYFUNCTION("""COMPUTED_VALUE"""),1003642.0)</f>
        <v>1003642</v>
      </c>
      <c r="E48" s="12">
        <f>IFERROR(__xludf.DUMMYFUNCTION("""COMPUTED_VALUE"""),1.0)</f>
        <v>1</v>
      </c>
      <c r="F48" s="12">
        <f>IFERROR(__xludf.DUMMYFUNCTION("""COMPUTED_VALUE"""),0.0)</f>
        <v>0</v>
      </c>
      <c r="G48" s="12">
        <f>IFERROR(__xludf.DUMMYFUNCTION("""COMPUTED_VALUE"""),5.0)</f>
        <v>5</v>
      </c>
      <c r="H48" s="12" t="str">
        <f>IFERROR(__xludf.DUMMYFUNCTION("""COMPUTED_VALUE"""),"Return")</f>
        <v>Return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>
      <c r="A49" s="12">
        <f>IFERROR(__xludf.DUMMYFUNCTION("""COMPUTED_VALUE"""),2021.0)</f>
        <v>2021</v>
      </c>
      <c r="B49" s="12">
        <f>IFERROR(__xludf.DUMMYFUNCTION("""COMPUTED_VALUE"""),10.0)</f>
        <v>10</v>
      </c>
      <c r="C49" s="12">
        <f>IFERROR(__xludf.DUMMYFUNCTION("""COMPUTED_VALUE"""),1.0)</f>
        <v>1</v>
      </c>
      <c r="D49" s="12">
        <f>IFERROR(__xludf.DUMMYFUNCTION("""COMPUTED_VALUE"""),1003718.0)</f>
        <v>1003718</v>
      </c>
      <c r="E49" s="12">
        <f>IFERROR(__xludf.DUMMYFUNCTION("""COMPUTED_VALUE"""),12.0)</f>
        <v>12</v>
      </c>
      <c r="F49" s="12">
        <f>IFERROR(__xludf.DUMMYFUNCTION("""COMPUTED_VALUE"""),0.0)</f>
        <v>0</v>
      </c>
      <c r="G49" s="12">
        <f>IFERROR(__xludf.DUMMYFUNCTION("""COMPUTED_VALUE"""),0.0)</f>
        <v>0</v>
      </c>
      <c r="H49" s="12" t="str">
        <f>IFERROR(__xludf.DUMMYFUNCTION("""COMPUTED_VALUE"""),"Damage")</f>
        <v>Damage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>
      <c r="A50" s="12">
        <f>IFERROR(__xludf.DUMMYFUNCTION("""COMPUTED_VALUE"""),2021.0)</f>
        <v>2021</v>
      </c>
      <c r="B50" s="12">
        <f>IFERROR(__xludf.DUMMYFUNCTION("""COMPUTED_VALUE"""),10.0)</f>
        <v>10</v>
      </c>
      <c r="C50" s="12">
        <f>IFERROR(__xludf.DUMMYFUNCTION("""COMPUTED_VALUE"""),1.0)</f>
        <v>1</v>
      </c>
      <c r="D50" s="12">
        <f>IFERROR(__xludf.DUMMYFUNCTION("""COMPUTED_VALUE"""),1003685.0)</f>
        <v>1003685</v>
      </c>
      <c r="E50" s="12">
        <f>IFERROR(__xludf.DUMMYFUNCTION("""COMPUTED_VALUE"""),12.0)</f>
        <v>12</v>
      </c>
      <c r="F50" s="12">
        <f>IFERROR(__xludf.DUMMYFUNCTION("""COMPUTED_VALUE"""),0.0)</f>
        <v>0</v>
      </c>
      <c r="G50" s="12">
        <f>IFERROR(__xludf.DUMMYFUNCTION("""COMPUTED_VALUE"""),0.0)</f>
        <v>0</v>
      </c>
      <c r="H50" s="12" t="str">
        <f>IFERROR(__xludf.DUMMYFUNCTION("""COMPUTED_VALUE"""),"Wrong product")</f>
        <v>Wrong product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>
      <c r="A51" s="12">
        <f>IFERROR(__xludf.DUMMYFUNCTION("""COMPUTED_VALUE"""),2021.0)</f>
        <v>2021</v>
      </c>
      <c r="B51" s="12">
        <f>IFERROR(__xludf.DUMMYFUNCTION("""COMPUTED_VALUE"""),10.0)</f>
        <v>10</v>
      </c>
      <c r="C51" s="12">
        <f>IFERROR(__xludf.DUMMYFUNCTION("""COMPUTED_VALUE"""),1.0)</f>
        <v>1</v>
      </c>
      <c r="D51" s="12">
        <f>IFERROR(__xludf.DUMMYFUNCTION("""COMPUTED_VALUE"""),1003753.0)</f>
        <v>1003753</v>
      </c>
      <c r="E51" s="12">
        <f>IFERROR(__xludf.DUMMYFUNCTION("""COMPUTED_VALUE"""),6.0)</f>
        <v>6</v>
      </c>
      <c r="F51" s="12">
        <f>IFERROR(__xludf.DUMMYFUNCTION("""COMPUTED_VALUE"""),8.09)</f>
        <v>8.09</v>
      </c>
      <c r="G51" s="12">
        <f>IFERROR(__xludf.DUMMYFUNCTION("""COMPUTED_VALUE"""),0.0)</f>
        <v>0</v>
      </c>
      <c r="H51" s="12" t="str">
        <f>IFERROR(__xludf.DUMMYFUNCTION("""COMPUTED_VALUE"""),"Return")</f>
        <v>Return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>
      <c r="A52" s="12">
        <f>IFERROR(__xludf.DUMMYFUNCTION("""COMPUTED_VALUE"""),2021.0)</f>
        <v>2021</v>
      </c>
      <c r="B52" s="12">
        <f>IFERROR(__xludf.DUMMYFUNCTION("""COMPUTED_VALUE"""),10.0)</f>
        <v>10</v>
      </c>
      <c r="C52" s="12">
        <f>IFERROR(__xludf.DUMMYFUNCTION("""COMPUTED_VALUE"""),1.0)</f>
        <v>1</v>
      </c>
      <c r="D52" s="12">
        <f>IFERROR(__xludf.DUMMYFUNCTION("""COMPUTED_VALUE"""),1003684.0)</f>
        <v>1003684</v>
      </c>
      <c r="E52" s="12">
        <f>IFERROR(__xludf.DUMMYFUNCTION("""COMPUTED_VALUE"""),11.0)</f>
        <v>11</v>
      </c>
      <c r="F52" s="12">
        <f>IFERROR(__xludf.DUMMYFUNCTION("""COMPUTED_VALUE"""),0.0)</f>
        <v>0</v>
      </c>
      <c r="G52" s="12">
        <f>IFERROR(__xludf.DUMMYFUNCTION("""COMPUTED_VALUE"""),0.0)</f>
        <v>0</v>
      </c>
      <c r="H52" s="12" t="str">
        <f>IFERROR(__xludf.DUMMYFUNCTION("""COMPUTED_VALUE"""),"Damage")</f>
        <v>Damage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>
      <c r="A53" s="12">
        <f>IFERROR(__xludf.DUMMYFUNCTION("""COMPUTED_VALUE"""),2021.0)</f>
        <v>2021</v>
      </c>
      <c r="B53" s="12">
        <f>IFERROR(__xludf.DUMMYFUNCTION("""COMPUTED_VALUE"""),10.0)</f>
        <v>10</v>
      </c>
      <c r="C53" s="12">
        <f>IFERROR(__xludf.DUMMYFUNCTION("""COMPUTED_VALUE"""),1.0)</f>
        <v>1</v>
      </c>
      <c r="D53" s="12">
        <f>IFERROR(__xludf.DUMMYFUNCTION("""COMPUTED_VALUE"""),1003627.0)</f>
        <v>1003627</v>
      </c>
      <c r="E53" s="12">
        <f>IFERROR(__xludf.DUMMYFUNCTION("""COMPUTED_VALUE"""),1.0)</f>
        <v>1</v>
      </c>
      <c r="F53" s="12">
        <f>IFERROR(__xludf.DUMMYFUNCTION("""COMPUTED_VALUE"""),3.25)</f>
        <v>3.25</v>
      </c>
      <c r="G53" s="12">
        <f>IFERROR(__xludf.DUMMYFUNCTION("""COMPUTED_VALUE"""),0.0)</f>
        <v>0</v>
      </c>
      <c r="H53" s="12" t="str">
        <f>IFERROR(__xludf.DUMMYFUNCTION("""COMPUTED_VALUE"""),"Wrong product")</f>
        <v>Wrong product</v>
      </c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>
      <c r="A54" s="12">
        <f>IFERROR(__xludf.DUMMYFUNCTION("""COMPUTED_VALUE"""),2021.0)</f>
        <v>2021</v>
      </c>
      <c r="B54" s="12">
        <f>IFERROR(__xludf.DUMMYFUNCTION("""COMPUTED_VALUE"""),10.0)</f>
        <v>10</v>
      </c>
      <c r="C54" s="12">
        <f>IFERROR(__xludf.DUMMYFUNCTION("""COMPUTED_VALUE"""),2.0)</f>
        <v>2</v>
      </c>
      <c r="D54" s="12">
        <f>IFERROR(__xludf.DUMMYFUNCTION("""COMPUTED_VALUE"""),1003375.0)</f>
        <v>1003375</v>
      </c>
      <c r="E54" s="12">
        <f>IFERROR(__xludf.DUMMYFUNCTION("""COMPUTED_VALUE"""),13.0)</f>
        <v>13</v>
      </c>
      <c r="F54" s="12">
        <f>IFERROR(__xludf.DUMMYFUNCTION("""COMPUTED_VALUE"""),0.0)</f>
        <v>0</v>
      </c>
      <c r="G54" s="12">
        <f>IFERROR(__xludf.DUMMYFUNCTION("""COMPUTED_VALUE"""),10.0)</f>
        <v>10</v>
      </c>
      <c r="H54" s="12" t="str">
        <f>IFERROR(__xludf.DUMMYFUNCTION("""COMPUTED_VALUE"""),"Return")</f>
        <v>Return</v>
      </c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>
      <c r="A55" s="12">
        <f>IFERROR(__xludf.DUMMYFUNCTION("""COMPUTED_VALUE"""),2021.0)</f>
        <v>2021</v>
      </c>
      <c r="B55" s="12">
        <f>IFERROR(__xludf.DUMMYFUNCTION("""COMPUTED_VALUE"""),10.0)</f>
        <v>10</v>
      </c>
      <c r="C55" s="12">
        <f>IFERROR(__xludf.DUMMYFUNCTION("""COMPUTED_VALUE"""),2.0)</f>
        <v>2</v>
      </c>
      <c r="D55" s="12">
        <f>IFERROR(__xludf.DUMMYFUNCTION("""COMPUTED_VALUE"""),1003764.0)</f>
        <v>1003764</v>
      </c>
      <c r="E55" s="12">
        <f>IFERROR(__xludf.DUMMYFUNCTION("""COMPUTED_VALUE"""),10.0)</f>
        <v>10</v>
      </c>
      <c r="F55" s="12">
        <f>IFERROR(__xludf.DUMMYFUNCTION("""COMPUTED_VALUE"""),0.0)</f>
        <v>0</v>
      </c>
      <c r="G55" s="12">
        <f>IFERROR(__xludf.DUMMYFUNCTION("""COMPUTED_VALUE"""),6.0)</f>
        <v>6</v>
      </c>
      <c r="H55" s="12" t="str">
        <f>IFERROR(__xludf.DUMMYFUNCTION("""COMPUTED_VALUE"""),"Return")</f>
        <v>Return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>
      <c r="A56" s="12">
        <f>IFERROR(__xludf.DUMMYFUNCTION("""COMPUTED_VALUE"""),2021.0)</f>
        <v>2021</v>
      </c>
      <c r="B56" s="12">
        <f>IFERROR(__xludf.DUMMYFUNCTION("""COMPUTED_VALUE"""),10.0)</f>
        <v>10</v>
      </c>
      <c r="C56" s="12">
        <f>IFERROR(__xludf.DUMMYFUNCTION("""COMPUTED_VALUE"""),2.0)</f>
        <v>2</v>
      </c>
      <c r="D56" s="12">
        <f>IFERROR(__xludf.DUMMYFUNCTION("""COMPUTED_VALUE"""),1003689.0)</f>
        <v>1003689</v>
      </c>
      <c r="E56" s="12">
        <f>IFERROR(__xludf.DUMMYFUNCTION("""COMPUTED_VALUE"""),3.0)</f>
        <v>3</v>
      </c>
      <c r="F56" s="12">
        <f>IFERROR(__xludf.DUMMYFUNCTION("""COMPUTED_VALUE"""),0.0)</f>
        <v>0</v>
      </c>
      <c r="G56" s="12">
        <f>IFERROR(__xludf.DUMMYFUNCTION("""COMPUTED_VALUE"""),0.0)</f>
        <v>0</v>
      </c>
      <c r="H56" s="12" t="str">
        <f>IFERROR(__xludf.DUMMYFUNCTION("""COMPUTED_VALUE"""),"Return")</f>
        <v>Return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2">
        <f>IFERROR(__xludf.DUMMYFUNCTION("""COMPUTED_VALUE"""),2021.0)</f>
        <v>2021</v>
      </c>
      <c r="B57" s="12">
        <f>IFERROR(__xludf.DUMMYFUNCTION("""COMPUTED_VALUE"""),10.0)</f>
        <v>10</v>
      </c>
      <c r="C57" s="12">
        <f>IFERROR(__xludf.DUMMYFUNCTION("""COMPUTED_VALUE"""),2.0)</f>
        <v>2</v>
      </c>
      <c r="D57" s="12">
        <f>IFERROR(__xludf.DUMMYFUNCTION("""COMPUTED_VALUE"""),1003518.0)</f>
        <v>1003518</v>
      </c>
      <c r="E57" s="12">
        <f>IFERROR(__xludf.DUMMYFUNCTION("""COMPUTED_VALUE"""),7.0)</f>
        <v>7</v>
      </c>
      <c r="F57" s="12">
        <f>IFERROR(__xludf.DUMMYFUNCTION("""COMPUTED_VALUE"""),0.0)</f>
        <v>0</v>
      </c>
      <c r="G57" s="12">
        <f>IFERROR(__xludf.DUMMYFUNCTION("""COMPUTED_VALUE"""),0.0)</f>
        <v>0</v>
      </c>
      <c r="H57" s="12" t="str">
        <f>IFERROR(__xludf.DUMMYFUNCTION("""COMPUTED_VALUE"""),"Wrong product")</f>
        <v>Wrong product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>
      <c r="A58" s="12">
        <f>IFERROR(__xludf.DUMMYFUNCTION("""COMPUTED_VALUE"""),2021.0)</f>
        <v>2021</v>
      </c>
      <c r="B58" s="12">
        <f>IFERROR(__xludf.DUMMYFUNCTION("""COMPUTED_VALUE"""),10.0)</f>
        <v>10</v>
      </c>
      <c r="C58" s="12">
        <f>IFERROR(__xludf.DUMMYFUNCTION("""COMPUTED_VALUE"""),2.0)</f>
        <v>2</v>
      </c>
      <c r="D58" s="12">
        <f>IFERROR(__xludf.DUMMYFUNCTION("""COMPUTED_VALUE"""),1003944.0)</f>
        <v>1003944</v>
      </c>
      <c r="E58" s="12">
        <f>IFERROR(__xludf.DUMMYFUNCTION("""COMPUTED_VALUE"""),4.0)</f>
        <v>4</v>
      </c>
      <c r="F58" s="12">
        <f>IFERROR(__xludf.DUMMYFUNCTION("""COMPUTED_VALUE"""),0.0)</f>
        <v>0</v>
      </c>
      <c r="G58" s="12">
        <f>IFERROR(__xludf.DUMMYFUNCTION("""COMPUTED_VALUE"""),0.0)</f>
        <v>0</v>
      </c>
      <c r="H58" s="12" t="str">
        <f>IFERROR(__xludf.DUMMYFUNCTION("""COMPUTED_VALUE"""),"Damage")</f>
        <v>Damage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>
      <c r="A59" s="12">
        <f>IFERROR(__xludf.DUMMYFUNCTION("""COMPUTED_VALUE"""),2021.0)</f>
        <v>2021</v>
      </c>
      <c r="B59" s="12">
        <f>IFERROR(__xludf.DUMMYFUNCTION("""COMPUTED_VALUE"""),10.0)</f>
        <v>10</v>
      </c>
      <c r="C59" s="12">
        <f>IFERROR(__xludf.DUMMYFUNCTION("""COMPUTED_VALUE"""),2.0)</f>
        <v>2</v>
      </c>
      <c r="D59" s="12">
        <f>IFERROR(__xludf.DUMMYFUNCTION("""COMPUTED_VALUE"""),1003826.0)</f>
        <v>1003826</v>
      </c>
      <c r="E59" s="12">
        <f>IFERROR(__xludf.DUMMYFUNCTION("""COMPUTED_VALUE"""),2.0)</f>
        <v>2</v>
      </c>
      <c r="F59" s="12">
        <f>IFERROR(__xludf.DUMMYFUNCTION("""COMPUTED_VALUE"""),0.0)</f>
        <v>0</v>
      </c>
      <c r="G59" s="12">
        <f>IFERROR(__xludf.DUMMYFUNCTION("""COMPUTED_VALUE"""),0.0)</f>
        <v>0</v>
      </c>
      <c r="H59" s="12" t="str">
        <f>IFERROR(__xludf.DUMMYFUNCTION("""COMPUTED_VALUE"""),"Return")</f>
        <v>Return</v>
      </c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>
      <c r="A60" s="12">
        <f>IFERROR(__xludf.DUMMYFUNCTION("""COMPUTED_VALUE"""),2021.0)</f>
        <v>2021</v>
      </c>
      <c r="B60" s="12">
        <f>IFERROR(__xludf.DUMMYFUNCTION("""COMPUTED_VALUE"""),10.0)</f>
        <v>10</v>
      </c>
      <c r="C60" s="12">
        <f>IFERROR(__xludf.DUMMYFUNCTION("""COMPUTED_VALUE"""),2.0)</f>
        <v>2</v>
      </c>
      <c r="D60" s="12">
        <f>IFERROR(__xludf.DUMMYFUNCTION("""COMPUTED_VALUE"""),1003660.0)</f>
        <v>1003660</v>
      </c>
      <c r="E60" s="12">
        <f>IFERROR(__xludf.DUMMYFUNCTION("""COMPUTED_VALUE"""),6.0)</f>
        <v>6</v>
      </c>
      <c r="F60" s="12">
        <f>IFERROR(__xludf.DUMMYFUNCTION("""COMPUTED_VALUE"""),0.0)</f>
        <v>0</v>
      </c>
      <c r="G60" s="12">
        <f>IFERROR(__xludf.DUMMYFUNCTION("""COMPUTED_VALUE"""),0.0)</f>
        <v>0</v>
      </c>
      <c r="H60" s="12" t="str">
        <f>IFERROR(__xludf.DUMMYFUNCTION("""COMPUTED_VALUE"""),"Wrong product")</f>
        <v>Wrong product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>
      <c r="A61" s="12">
        <f>IFERROR(__xludf.DUMMYFUNCTION("""COMPUTED_VALUE"""),2021.0)</f>
        <v>2021</v>
      </c>
      <c r="B61" s="12">
        <f>IFERROR(__xludf.DUMMYFUNCTION("""COMPUTED_VALUE"""),10.0)</f>
        <v>10</v>
      </c>
      <c r="C61" s="12">
        <f>IFERROR(__xludf.DUMMYFUNCTION("""COMPUTED_VALUE"""),2.0)</f>
        <v>2</v>
      </c>
      <c r="D61" s="12">
        <f>IFERROR(__xludf.DUMMYFUNCTION("""COMPUTED_VALUE"""),1003818.0)</f>
        <v>1003818</v>
      </c>
      <c r="E61" s="12">
        <f>IFERROR(__xludf.DUMMYFUNCTION("""COMPUTED_VALUE"""),1.0)</f>
        <v>1</v>
      </c>
      <c r="F61" s="12">
        <f>IFERROR(__xludf.DUMMYFUNCTION("""COMPUTED_VALUE"""),0.0)</f>
        <v>0</v>
      </c>
      <c r="G61" s="12">
        <f>IFERROR(__xludf.DUMMYFUNCTION("""COMPUTED_VALUE"""),0.0)</f>
        <v>0</v>
      </c>
      <c r="H61" s="12" t="str">
        <f>IFERROR(__xludf.DUMMYFUNCTION("""COMPUTED_VALUE"""),"Damage")</f>
        <v>Damage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>
      <c r="A62" s="12">
        <f>IFERROR(__xludf.DUMMYFUNCTION("""COMPUTED_VALUE"""),2021.0)</f>
        <v>2021</v>
      </c>
      <c r="B62" s="12">
        <f>IFERROR(__xludf.DUMMYFUNCTION("""COMPUTED_VALUE"""),10.0)</f>
        <v>10</v>
      </c>
      <c r="C62" s="12">
        <f>IFERROR(__xludf.DUMMYFUNCTION("""COMPUTED_VALUE"""),2.0)</f>
        <v>2</v>
      </c>
      <c r="D62" s="12">
        <f>IFERROR(__xludf.DUMMYFUNCTION("""COMPUTED_VALUE"""),1003925.0)</f>
        <v>1003925</v>
      </c>
      <c r="E62" s="12">
        <f>IFERROR(__xludf.DUMMYFUNCTION("""COMPUTED_VALUE"""),3.0)</f>
        <v>3</v>
      </c>
      <c r="F62" s="12">
        <f>IFERROR(__xludf.DUMMYFUNCTION("""COMPUTED_VALUE"""),0.0)</f>
        <v>0</v>
      </c>
      <c r="G62" s="12">
        <f>IFERROR(__xludf.DUMMYFUNCTION("""COMPUTED_VALUE"""),0.0)</f>
        <v>0</v>
      </c>
      <c r="H62" s="12" t="str">
        <f>IFERROR(__xludf.DUMMYFUNCTION("""COMPUTED_VALUE"""),"Damage")</f>
        <v>Damage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>
      <c r="A63" s="12">
        <f>IFERROR(__xludf.DUMMYFUNCTION("""COMPUTED_VALUE"""),2021.0)</f>
        <v>2021</v>
      </c>
      <c r="B63" s="12">
        <f>IFERROR(__xludf.DUMMYFUNCTION("""COMPUTED_VALUE"""),10.0)</f>
        <v>10</v>
      </c>
      <c r="C63" s="12">
        <f>IFERROR(__xludf.DUMMYFUNCTION("""COMPUTED_VALUE"""),2.0)</f>
        <v>2</v>
      </c>
      <c r="D63" s="12">
        <f>IFERROR(__xludf.DUMMYFUNCTION("""COMPUTED_VALUE"""),1003861.0)</f>
        <v>1003861</v>
      </c>
      <c r="E63" s="12">
        <f>IFERROR(__xludf.DUMMYFUNCTION("""COMPUTED_VALUE"""),3.0)</f>
        <v>3</v>
      </c>
      <c r="F63" s="12">
        <f>IFERROR(__xludf.DUMMYFUNCTION("""COMPUTED_VALUE"""),0.0)</f>
        <v>0</v>
      </c>
      <c r="G63" s="12">
        <f>IFERROR(__xludf.DUMMYFUNCTION("""COMPUTED_VALUE"""),5.0)</f>
        <v>5</v>
      </c>
      <c r="H63" s="12" t="str">
        <f>IFERROR(__xludf.DUMMYFUNCTION("""COMPUTED_VALUE"""),"Return")</f>
        <v>Return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>
      <c r="A64" s="12">
        <f>IFERROR(__xludf.DUMMYFUNCTION("""COMPUTED_VALUE"""),2021.0)</f>
        <v>2021</v>
      </c>
      <c r="B64" s="12">
        <f>IFERROR(__xludf.DUMMYFUNCTION("""COMPUTED_VALUE"""),10.0)</f>
        <v>10</v>
      </c>
      <c r="C64" s="12">
        <f>IFERROR(__xludf.DUMMYFUNCTION("""COMPUTED_VALUE"""),2.0)</f>
        <v>2</v>
      </c>
      <c r="D64" s="12">
        <f>IFERROR(__xludf.DUMMYFUNCTION("""COMPUTED_VALUE"""),1003288.0)</f>
        <v>1003288</v>
      </c>
      <c r="E64" s="12">
        <f>IFERROR(__xludf.DUMMYFUNCTION("""COMPUTED_VALUE"""),3.0)</f>
        <v>3</v>
      </c>
      <c r="F64" s="12">
        <f>IFERROR(__xludf.DUMMYFUNCTION("""COMPUTED_VALUE"""),0.0)</f>
        <v>0</v>
      </c>
      <c r="G64" s="12">
        <f>IFERROR(__xludf.DUMMYFUNCTION("""COMPUTED_VALUE"""),0.0)</f>
        <v>0</v>
      </c>
      <c r="H64" s="12" t="str">
        <f>IFERROR(__xludf.DUMMYFUNCTION("""COMPUTED_VALUE"""),"Wrong product")</f>
        <v>Wrong product</v>
      </c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>
      <c r="A65" s="12">
        <f>IFERROR(__xludf.DUMMYFUNCTION("""COMPUTED_VALUE"""),2021.0)</f>
        <v>2021</v>
      </c>
      <c r="B65" s="12">
        <f>IFERROR(__xludf.DUMMYFUNCTION("""COMPUTED_VALUE"""),10.0)</f>
        <v>10</v>
      </c>
      <c r="C65" s="12">
        <f>IFERROR(__xludf.DUMMYFUNCTION("""COMPUTED_VALUE"""),2.0)</f>
        <v>2</v>
      </c>
      <c r="D65" s="12">
        <f>IFERROR(__xludf.DUMMYFUNCTION("""COMPUTED_VALUE"""),1003948.0)</f>
        <v>1003948</v>
      </c>
      <c r="E65" s="12">
        <f>IFERROR(__xludf.DUMMYFUNCTION("""COMPUTED_VALUE"""),8.0)</f>
        <v>8</v>
      </c>
      <c r="F65" s="12">
        <f>IFERROR(__xludf.DUMMYFUNCTION("""COMPUTED_VALUE"""),0.0)</f>
        <v>0</v>
      </c>
      <c r="G65" s="12">
        <f>IFERROR(__xludf.DUMMYFUNCTION("""COMPUTED_VALUE"""),0.0)</f>
        <v>0</v>
      </c>
      <c r="H65" s="12" t="str">
        <f>IFERROR(__xludf.DUMMYFUNCTION("""COMPUTED_VALUE"""),"Return")</f>
        <v>Return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>
      <c r="A66" s="12">
        <f>IFERROR(__xludf.DUMMYFUNCTION("""COMPUTED_VALUE"""),2021.0)</f>
        <v>2021</v>
      </c>
      <c r="B66" s="12">
        <f>IFERROR(__xludf.DUMMYFUNCTION("""COMPUTED_VALUE"""),10.0)</f>
        <v>10</v>
      </c>
      <c r="C66" s="12">
        <f>IFERROR(__xludf.DUMMYFUNCTION("""COMPUTED_VALUE"""),2.0)</f>
        <v>2</v>
      </c>
      <c r="D66" s="12">
        <f>IFERROR(__xludf.DUMMYFUNCTION("""COMPUTED_VALUE"""),1003443.0)</f>
        <v>1003443</v>
      </c>
      <c r="E66" s="12">
        <f>IFERROR(__xludf.DUMMYFUNCTION("""COMPUTED_VALUE"""),1.0)</f>
        <v>1</v>
      </c>
      <c r="F66" s="12">
        <f>IFERROR(__xludf.DUMMYFUNCTION("""COMPUTED_VALUE"""),0.0)</f>
        <v>0</v>
      </c>
      <c r="G66" s="12">
        <f>IFERROR(__xludf.DUMMYFUNCTION("""COMPUTED_VALUE"""),8.0)</f>
        <v>8</v>
      </c>
      <c r="H66" s="12" t="str">
        <f>IFERROR(__xludf.DUMMYFUNCTION("""COMPUTED_VALUE"""),"Return")</f>
        <v>Return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>
      <c r="A67" s="12">
        <f>IFERROR(__xludf.DUMMYFUNCTION("""COMPUTED_VALUE"""),2021.0)</f>
        <v>2021</v>
      </c>
      <c r="B67" s="12">
        <f>IFERROR(__xludf.DUMMYFUNCTION("""COMPUTED_VALUE"""),10.0)</f>
        <v>10</v>
      </c>
      <c r="C67" s="12">
        <f>IFERROR(__xludf.DUMMYFUNCTION("""COMPUTED_VALUE"""),2.0)</f>
        <v>2</v>
      </c>
      <c r="D67" s="12">
        <f>IFERROR(__xludf.DUMMYFUNCTION("""COMPUTED_VALUE"""),1003654.0)</f>
        <v>1003654</v>
      </c>
      <c r="E67" s="12">
        <f>IFERROR(__xludf.DUMMYFUNCTION("""COMPUTED_VALUE"""),7.0)</f>
        <v>7</v>
      </c>
      <c r="F67" s="12">
        <f>IFERROR(__xludf.DUMMYFUNCTION("""COMPUTED_VALUE"""),0.0)</f>
        <v>0</v>
      </c>
      <c r="G67" s="12">
        <f>IFERROR(__xludf.DUMMYFUNCTION("""COMPUTED_VALUE"""),0.0)</f>
        <v>0</v>
      </c>
      <c r="H67" s="12" t="str">
        <f>IFERROR(__xludf.DUMMYFUNCTION("""COMPUTED_VALUE"""),"Damage")</f>
        <v>Damage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>
      <c r="A68" s="12">
        <f>IFERROR(__xludf.DUMMYFUNCTION("""COMPUTED_VALUE"""),2021.0)</f>
        <v>2021</v>
      </c>
      <c r="B68" s="12">
        <f>IFERROR(__xludf.DUMMYFUNCTION("""COMPUTED_VALUE"""),10.0)</f>
        <v>10</v>
      </c>
      <c r="C68" s="12">
        <f>IFERROR(__xludf.DUMMYFUNCTION("""COMPUTED_VALUE"""),2.0)</f>
        <v>2</v>
      </c>
      <c r="D68" s="12">
        <f>IFERROR(__xludf.DUMMYFUNCTION("""COMPUTED_VALUE"""),1003702.0)</f>
        <v>1003702</v>
      </c>
      <c r="E68" s="12">
        <f>IFERROR(__xludf.DUMMYFUNCTION("""COMPUTED_VALUE"""),4.0)</f>
        <v>4</v>
      </c>
      <c r="F68" s="12">
        <f>IFERROR(__xludf.DUMMYFUNCTION("""COMPUTED_VALUE"""),0.0)</f>
        <v>0</v>
      </c>
      <c r="G68" s="12">
        <f>IFERROR(__xludf.DUMMYFUNCTION("""COMPUTED_VALUE"""),0.0)</f>
        <v>0</v>
      </c>
      <c r="H68" s="12" t="str">
        <f>IFERROR(__xludf.DUMMYFUNCTION("""COMPUTED_VALUE"""),"Return")</f>
        <v>Return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>
      <c r="A69" s="12">
        <f>IFERROR(__xludf.DUMMYFUNCTION("""COMPUTED_VALUE"""),2021.0)</f>
        <v>2021</v>
      </c>
      <c r="B69" s="12">
        <f>IFERROR(__xludf.DUMMYFUNCTION("""COMPUTED_VALUE"""),10.0)</f>
        <v>10</v>
      </c>
      <c r="C69" s="12">
        <f>IFERROR(__xludf.DUMMYFUNCTION("""COMPUTED_VALUE"""),2.0)</f>
        <v>2</v>
      </c>
      <c r="D69" s="12">
        <f>IFERROR(__xludf.DUMMYFUNCTION("""COMPUTED_VALUE"""),1003287.0)</f>
        <v>1003287</v>
      </c>
      <c r="E69" s="12">
        <f>IFERROR(__xludf.DUMMYFUNCTION("""COMPUTED_VALUE"""),3.0)</f>
        <v>3</v>
      </c>
      <c r="F69" s="12">
        <f>IFERROR(__xludf.DUMMYFUNCTION("""COMPUTED_VALUE"""),0.0)</f>
        <v>0</v>
      </c>
      <c r="G69" s="12">
        <f>IFERROR(__xludf.DUMMYFUNCTION("""COMPUTED_VALUE"""),6.0)</f>
        <v>6</v>
      </c>
      <c r="H69" s="12" t="str">
        <f>IFERROR(__xludf.DUMMYFUNCTION("""COMPUTED_VALUE"""),"Wrong product")</f>
        <v>Wrong product</v>
      </c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2">
        <f>IFERROR(__xludf.DUMMYFUNCTION("""COMPUTED_VALUE"""),2021.0)</f>
        <v>2021</v>
      </c>
      <c r="B70" s="12">
        <f>IFERROR(__xludf.DUMMYFUNCTION("""COMPUTED_VALUE"""),10.0)</f>
        <v>10</v>
      </c>
      <c r="C70" s="12">
        <f>IFERROR(__xludf.DUMMYFUNCTION("""COMPUTED_VALUE"""),2.0)</f>
        <v>2</v>
      </c>
      <c r="D70" s="12">
        <f>IFERROR(__xludf.DUMMYFUNCTION("""COMPUTED_VALUE"""),1003384.0)</f>
        <v>1003384</v>
      </c>
      <c r="E70" s="12">
        <f>IFERROR(__xludf.DUMMYFUNCTION("""COMPUTED_VALUE"""),1.0)</f>
        <v>1</v>
      </c>
      <c r="F70" s="12">
        <f>IFERROR(__xludf.DUMMYFUNCTION("""COMPUTED_VALUE"""),0.0)</f>
        <v>0</v>
      </c>
      <c r="G70" s="12">
        <f>IFERROR(__xludf.DUMMYFUNCTION("""COMPUTED_VALUE"""),0.0)</f>
        <v>0</v>
      </c>
      <c r="H70" s="12" t="str">
        <f>IFERROR(__xludf.DUMMYFUNCTION("""COMPUTED_VALUE"""),"Wrong product")</f>
        <v>Wrong product</v>
      </c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>
      <c r="A71" s="12">
        <f>IFERROR(__xludf.DUMMYFUNCTION("""COMPUTED_VALUE"""),2021.0)</f>
        <v>2021</v>
      </c>
      <c r="B71" s="12">
        <f>IFERROR(__xludf.DUMMYFUNCTION("""COMPUTED_VALUE"""),10.0)</f>
        <v>10</v>
      </c>
      <c r="C71" s="12">
        <f>IFERROR(__xludf.DUMMYFUNCTION("""COMPUTED_VALUE"""),2.0)</f>
        <v>2</v>
      </c>
      <c r="D71" s="12">
        <f>IFERROR(__xludf.DUMMYFUNCTION("""COMPUTED_VALUE"""),1003603.0)</f>
        <v>1003603</v>
      </c>
      <c r="E71" s="12">
        <f>IFERROR(__xludf.DUMMYFUNCTION("""COMPUTED_VALUE"""),3.0)</f>
        <v>3</v>
      </c>
      <c r="F71" s="12">
        <f>IFERROR(__xludf.DUMMYFUNCTION("""COMPUTED_VALUE"""),0.0)</f>
        <v>0</v>
      </c>
      <c r="G71" s="12">
        <f>IFERROR(__xludf.DUMMYFUNCTION("""COMPUTED_VALUE"""),0.0)</f>
        <v>0</v>
      </c>
      <c r="H71" s="12" t="str">
        <f>IFERROR(__xludf.DUMMYFUNCTION("""COMPUTED_VALUE"""),"Wrong product")</f>
        <v>Wrong product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>
      <c r="A72" s="12">
        <f>IFERROR(__xludf.DUMMYFUNCTION("""COMPUTED_VALUE"""),2021.0)</f>
        <v>2021</v>
      </c>
      <c r="B72" s="12">
        <f>IFERROR(__xludf.DUMMYFUNCTION("""COMPUTED_VALUE"""),10.0)</f>
        <v>10</v>
      </c>
      <c r="C72" s="12">
        <f>IFERROR(__xludf.DUMMYFUNCTION("""COMPUTED_VALUE"""),2.0)</f>
        <v>2</v>
      </c>
      <c r="D72" s="12">
        <f>IFERROR(__xludf.DUMMYFUNCTION("""COMPUTED_VALUE"""),1003296.0)</f>
        <v>1003296</v>
      </c>
      <c r="E72" s="12">
        <f>IFERROR(__xludf.DUMMYFUNCTION("""COMPUTED_VALUE"""),1.0)</f>
        <v>1</v>
      </c>
      <c r="F72" s="12">
        <f>IFERROR(__xludf.DUMMYFUNCTION("""COMPUTED_VALUE"""),0.0)</f>
        <v>0</v>
      </c>
      <c r="G72" s="12">
        <f>IFERROR(__xludf.DUMMYFUNCTION("""COMPUTED_VALUE"""),0.0)</f>
        <v>0</v>
      </c>
      <c r="H72" s="12" t="str">
        <f>IFERROR(__xludf.DUMMYFUNCTION("""COMPUTED_VALUE"""),"Damage")</f>
        <v>Damage</v>
      </c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>
      <c r="A73" s="12">
        <f>IFERROR(__xludf.DUMMYFUNCTION("""COMPUTED_VALUE"""),2021.0)</f>
        <v>2021</v>
      </c>
      <c r="B73" s="12">
        <f>IFERROR(__xludf.DUMMYFUNCTION("""COMPUTED_VALUE"""),10.0)</f>
        <v>10</v>
      </c>
      <c r="C73" s="12">
        <f>IFERROR(__xludf.DUMMYFUNCTION("""COMPUTED_VALUE"""),2.0)</f>
        <v>2</v>
      </c>
      <c r="D73" s="12">
        <f>IFERROR(__xludf.DUMMYFUNCTION("""COMPUTED_VALUE"""),1003360.0)</f>
        <v>1003360</v>
      </c>
      <c r="E73" s="12">
        <f>IFERROR(__xludf.DUMMYFUNCTION("""COMPUTED_VALUE"""),2.0)</f>
        <v>2</v>
      </c>
      <c r="F73" s="12">
        <f>IFERROR(__xludf.DUMMYFUNCTION("""COMPUTED_VALUE"""),0.0)</f>
        <v>0</v>
      </c>
      <c r="G73" s="12">
        <f>IFERROR(__xludf.DUMMYFUNCTION("""COMPUTED_VALUE"""),5.0)</f>
        <v>5</v>
      </c>
      <c r="H73" s="12" t="str">
        <f>IFERROR(__xludf.DUMMYFUNCTION("""COMPUTED_VALUE"""),"Damage")</f>
        <v>Damage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>
      <c r="A74" s="12">
        <f>IFERROR(__xludf.DUMMYFUNCTION("""COMPUTED_VALUE"""),2021.0)</f>
        <v>2021</v>
      </c>
      <c r="B74" s="12">
        <f>IFERROR(__xludf.DUMMYFUNCTION("""COMPUTED_VALUE"""),10.0)</f>
        <v>10</v>
      </c>
      <c r="C74" s="12">
        <f>IFERROR(__xludf.DUMMYFUNCTION("""COMPUTED_VALUE"""),2.0)</f>
        <v>2</v>
      </c>
      <c r="D74" s="12">
        <f>IFERROR(__xludf.DUMMYFUNCTION("""COMPUTED_VALUE"""),1003433.0)</f>
        <v>1003433</v>
      </c>
      <c r="E74" s="12">
        <f>IFERROR(__xludf.DUMMYFUNCTION("""COMPUTED_VALUE"""),3.0)</f>
        <v>3</v>
      </c>
      <c r="F74" s="12">
        <f>IFERROR(__xludf.DUMMYFUNCTION("""COMPUTED_VALUE"""),0.0)</f>
        <v>0</v>
      </c>
      <c r="G74" s="12">
        <f>IFERROR(__xludf.DUMMYFUNCTION("""COMPUTED_VALUE"""),0.0)</f>
        <v>0</v>
      </c>
      <c r="H74" s="12" t="str">
        <f>IFERROR(__xludf.DUMMYFUNCTION("""COMPUTED_VALUE"""),"Damage")</f>
        <v>Damage</v>
      </c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>
      <c r="A75" s="12">
        <f>IFERROR(__xludf.DUMMYFUNCTION("""COMPUTED_VALUE"""),2021.0)</f>
        <v>2021</v>
      </c>
      <c r="B75" s="12">
        <f>IFERROR(__xludf.DUMMYFUNCTION("""COMPUTED_VALUE"""),10.0)</f>
        <v>10</v>
      </c>
      <c r="C75" s="12">
        <f>IFERROR(__xludf.DUMMYFUNCTION("""COMPUTED_VALUE"""),2.0)</f>
        <v>2</v>
      </c>
      <c r="D75" s="12">
        <f>IFERROR(__xludf.DUMMYFUNCTION("""COMPUTED_VALUE"""),1003463.0)</f>
        <v>1003463</v>
      </c>
      <c r="E75" s="13">
        <f>IFERROR(__xludf.DUMMYFUNCTION("""COMPUTED_VALUE"""),0.2739746448184035)</f>
        <v>0.2739746448</v>
      </c>
      <c r="F75" s="12">
        <f>IFERROR(__xludf.DUMMYFUNCTION("""COMPUTED_VALUE"""),0.0)</f>
        <v>0</v>
      </c>
      <c r="G75" s="12">
        <f>IFERROR(__xludf.DUMMYFUNCTION("""COMPUTED_VALUE"""),0.0)</f>
        <v>0</v>
      </c>
      <c r="H75" s="12" t="str">
        <f>IFERROR(__xludf.DUMMYFUNCTION("""COMPUTED_VALUE"""),"Return")</f>
        <v>Return</v>
      </c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>
      <c r="A76" s="12">
        <f>IFERROR(__xludf.DUMMYFUNCTION("""COMPUTED_VALUE"""),2021.0)</f>
        <v>2021</v>
      </c>
      <c r="B76" s="12">
        <f>IFERROR(__xludf.DUMMYFUNCTION("""COMPUTED_VALUE"""),10.0)</f>
        <v>10</v>
      </c>
      <c r="C76" s="12">
        <f>IFERROR(__xludf.DUMMYFUNCTION("""COMPUTED_VALUE"""),2.0)</f>
        <v>2</v>
      </c>
      <c r="D76" s="12">
        <f>IFERROR(__xludf.DUMMYFUNCTION("""COMPUTED_VALUE"""),1003565.0)</f>
        <v>1003565</v>
      </c>
      <c r="E76" s="12">
        <f>IFERROR(__xludf.DUMMYFUNCTION("""COMPUTED_VALUE"""),1.0)</f>
        <v>1</v>
      </c>
      <c r="F76" s="12">
        <f>IFERROR(__xludf.DUMMYFUNCTION("""COMPUTED_VALUE"""),0.0)</f>
        <v>0</v>
      </c>
      <c r="G76" s="12">
        <f>IFERROR(__xludf.DUMMYFUNCTION("""COMPUTED_VALUE"""),0.0)</f>
        <v>0</v>
      </c>
      <c r="H76" s="12" t="str">
        <f>IFERROR(__xludf.DUMMYFUNCTION("""COMPUTED_VALUE"""),"Return")</f>
        <v>Return</v>
      </c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>
      <c r="A77" s="12">
        <f>IFERROR(__xludf.DUMMYFUNCTION("""COMPUTED_VALUE"""),2021.0)</f>
        <v>2021</v>
      </c>
      <c r="B77" s="12">
        <f>IFERROR(__xludf.DUMMYFUNCTION("""COMPUTED_VALUE"""),10.0)</f>
        <v>10</v>
      </c>
      <c r="C77" s="12">
        <f>IFERROR(__xludf.DUMMYFUNCTION("""COMPUTED_VALUE"""),2.0)</f>
        <v>2</v>
      </c>
      <c r="D77" s="12">
        <f>IFERROR(__xludf.DUMMYFUNCTION("""COMPUTED_VALUE"""),1003404.0)</f>
        <v>1003404</v>
      </c>
      <c r="E77" s="12">
        <f>IFERROR(__xludf.DUMMYFUNCTION("""COMPUTED_VALUE"""),1.0)</f>
        <v>1</v>
      </c>
      <c r="F77" s="12">
        <f>IFERROR(__xludf.DUMMYFUNCTION("""COMPUTED_VALUE"""),0.0)</f>
        <v>0</v>
      </c>
      <c r="G77" s="12">
        <f>IFERROR(__xludf.DUMMYFUNCTION("""COMPUTED_VALUE"""),6.0)</f>
        <v>6</v>
      </c>
      <c r="H77" s="12" t="str">
        <f>IFERROR(__xludf.DUMMYFUNCTION("""COMPUTED_VALUE"""),"Return")</f>
        <v>Return</v>
      </c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>
      <c r="A78" s="12">
        <f>IFERROR(__xludf.DUMMYFUNCTION("""COMPUTED_VALUE"""),2021.0)</f>
        <v>2021</v>
      </c>
      <c r="B78" s="12">
        <f>IFERROR(__xludf.DUMMYFUNCTION("""COMPUTED_VALUE"""),10.0)</f>
        <v>10</v>
      </c>
      <c r="C78" s="12">
        <f>IFERROR(__xludf.DUMMYFUNCTION("""COMPUTED_VALUE"""),2.0)</f>
        <v>2</v>
      </c>
      <c r="D78" s="12">
        <f>IFERROR(__xludf.DUMMYFUNCTION("""COMPUTED_VALUE"""),1003895.0)</f>
        <v>1003895</v>
      </c>
      <c r="E78" s="12">
        <f>IFERROR(__xludf.DUMMYFUNCTION("""COMPUTED_VALUE"""),1.0)</f>
        <v>1</v>
      </c>
      <c r="F78" s="12">
        <f>IFERROR(__xludf.DUMMYFUNCTION("""COMPUTED_VALUE"""),5.57)</f>
        <v>5.57</v>
      </c>
      <c r="G78" s="12">
        <f>IFERROR(__xludf.DUMMYFUNCTION("""COMPUTED_VALUE"""),0.0)</f>
        <v>0</v>
      </c>
      <c r="H78" s="12" t="str">
        <f>IFERROR(__xludf.DUMMYFUNCTION("""COMPUTED_VALUE"""),"Return")</f>
        <v>Return</v>
      </c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>
      <c r="A79" s="12">
        <f>IFERROR(__xludf.DUMMYFUNCTION("""COMPUTED_VALUE"""),2021.0)</f>
        <v>2021</v>
      </c>
      <c r="B79" s="12">
        <f>IFERROR(__xludf.DUMMYFUNCTION("""COMPUTED_VALUE"""),10.0)</f>
        <v>10</v>
      </c>
      <c r="C79" s="12">
        <f>IFERROR(__xludf.DUMMYFUNCTION("""COMPUTED_VALUE"""),3.0)</f>
        <v>3</v>
      </c>
      <c r="D79" s="12">
        <f>IFERROR(__xludf.DUMMYFUNCTION("""COMPUTED_VALUE"""),1003613.0)</f>
        <v>1003613</v>
      </c>
      <c r="E79" s="12">
        <f>IFERROR(__xludf.DUMMYFUNCTION("""COMPUTED_VALUE"""),1.0)</f>
        <v>1</v>
      </c>
      <c r="F79" s="12">
        <f>IFERROR(__xludf.DUMMYFUNCTION("""COMPUTED_VALUE"""),0.95)</f>
        <v>0.95</v>
      </c>
      <c r="G79" s="12">
        <f>IFERROR(__xludf.DUMMYFUNCTION("""COMPUTED_VALUE"""),0.0)</f>
        <v>0</v>
      </c>
      <c r="H79" s="12" t="str">
        <f>IFERROR(__xludf.DUMMYFUNCTION("""COMPUTED_VALUE"""),"Wrong product")</f>
        <v>Wrong product</v>
      </c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>
      <c r="A80" s="12">
        <f>IFERROR(__xludf.DUMMYFUNCTION("""COMPUTED_VALUE"""),2021.0)</f>
        <v>2021</v>
      </c>
      <c r="B80" s="12">
        <f>IFERROR(__xludf.DUMMYFUNCTION("""COMPUTED_VALUE"""),10.0)</f>
        <v>10</v>
      </c>
      <c r="C80" s="12">
        <f>IFERROR(__xludf.DUMMYFUNCTION("""COMPUTED_VALUE"""),4.0)</f>
        <v>4</v>
      </c>
      <c r="D80" s="12">
        <f>IFERROR(__xludf.DUMMYFUNCTION("""COMPUTED_VALUE"""),1003347.0)</f>
        <v>1003347</v>
      </c>
      <c r="E80" s="12">
        <f>IFERROR(__xludf.DUMMYFUNCTION("""COMPUTED_VALUE"""),12.0)</f>
        <v>12</v>
      </c>
      <c r="F80" s="12">
        <f>IFERROR(__xludf.DUMMYFUNCTION("""COMPUTED_VALUE"""),0.0)</f>
        <v>0</v>
      </c>
      <c r="G80" s="12">
        <f>IFERROR(__xludf.DUMMYFUNCTION("""COMPUTED_VALUE"""),5.0)</f>
        <v>5</v>
      </c>
      <c r="H80" s="12" t="str">
        <f>IFERROR(__xludf.DUMMYFUNCTION("""COMPUTED_VALUE"""),"Return")</f>
        <v>Return</v>
      </c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>
      <c r="A81" s="12">
        <f>IFERROR(__xludf.DUMMYFUNCTION("""COMPUTED_VALUE"""),2021.0)</f>
        <v>2021</v>
      </c>
      <c r="B81" s="12">
        <f>IFERROR(__xludf.DUMMYFUNCTION("""COMPUTED_VALUE"""),10.0)</f>
        <v>10</v>
      </c>
      <c r="C81" s="12">
        <f>IFERROR(__xludf.DUMMYFUNCTION("""COMPUTED_VALUE"""),4.0)</f>
        <v>4</v>
      </c>
      <c r="D81" s="12">
        <f>IFERROR(__xludf.DUMMYFUNCTION("""COMPUTED_VALUE"""),1003458.0)</f>
        <v>1003458</v>
      </c>
      <c r="E81" s="12">
        <f>IFERROR(__xludf.DUMMYFUNCTION("""COMPUTED_VALUE"""),1.0)</f>
        <v>1</v>
      </c>
      <c r="F81" s="12">
        <f>IFERROR(__xludf.DUMMYFUNCTION("""COMPUTED_VALUE"""),0.0)</f>
        <v>0</v>
      </c>
      <c r="G81" s="12">
        <f>IFERROR(__xludf.DUMMYFUNCTION("""COMPUTED_VALUE"""),10.0)</f>
        <v>10</v>
      </c>
      <c r="H81" s="12" t="str">
        <f>IFERROR(__xludf.DUMMYFUNCTION("""COMPUTED_VALUE"""),"Return")</f>
        <v>Return</v>
      </c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>
      <c r="A82" s="12">
        <f>IFERROR(__xludf.DUMMYFUNCTION("""COMPUTED_VALUE"""),2021.0)</f>
        <v>2021</v>
      </c>
      <c r="B82" s="12">
        <f>IFERROR(__xludf.DUMMYFUNCTION("""COMPUTED_VALUE"""),10.0)</f>
        <v>10</v>
      </c>
      <c r="C82" s="12">
        <f>IFERROR(__xludf.DUMMYFUNCTION("""COMPUTED_VALUE"""),4.0)</f>
        <v>4</v>
      </c>
      <c r="D82" s="12">
        <f>IFERROR(__xludf.DUMMYFUNCTION("""COMPUTED_VALUE"""),1003290.0)</f>
        <v>1003290</v>
      </c>
      <c r="E82" s="12">
        <f>IFERROR(__xludf.DUMMYFUNCTION("""COMPUTED_VALUE"""),3.0)</f>
        <v>3</v>
      </c>
      <c r="F82" s="12">
        <f>IFERROR(__xludf.DUMMYFUNCTION("""COMPUTED_VALUE"""),0.0)</f>
        <v>0</v>
      </c>
      <c r="G82" s="12">
        <f>IFERROR(__xludf.DUMMYFUNCTION("""COMPUTED_VALUE"""),0.0)</f>
        <v>0</v>
      </c>
      <c r="H82" s="12" t="str">
        <f>IFERROR(__xludf.DUMMYFUNCTION("""COMPUTED_VALUE"""),"Damage")</f>
        <v>Damage</v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2">
        <f>IFERROR(__xludf.DUMMYFUNCTION("""COMPUTED_VALUE"""),2021.0)</f>
        <v>2021</v>
      </c>
      <c r="B83" s="12">
        <f>IFERROR(__xludf.DUMMYFUNCTION("""COMPUTED_VALUE"""),10.0)</f>
        <v>10</v>
      </c>
      <c r="C83" s="12">
        <f>IFERROR(__xludf.DUMMYFUNCTION("""COMPUTED_VALUE"""),4.0)</f>
        <v>4</v>
      </c>
      <c r="D83" s="12">
        <f>IFERROR(__xludf.DUMMYFUNCTION("""COMPUTED_VALUE"""),1003570.0)</f>
        <v>1003570</v>
      </c>
      <c r="E83" s="12">
        <f>IFERROR(__xludf.DUMMYFUNCTION("""COMPUTED_VALUE"""),3.0)</f>
        <v>3</v>
      </c>
      <c r="F83" s="12">
        <f>IFERROR(__xludf.DUMMYFUNCTION("""COMPUTED_VALUE"""),0.95)</f>
        <v>0.95</v>
      </c>
      <c r="G83" s="12">
        <f>IFERROR(__xludf.DUMMYFUNCTION("""COMPUTED_VALUE"""),0.0)</f>
        <v>0</v>
      </c>
      <c r="H83" s="12" t="str">
        <f>IFERROR(__xludf.DUMMYFUNCTION("""COMPUTED_VALUE"""),"Damage")</f>
        <v>Damage</v>
      </c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>
      <c r="A84" s="12">
        <f>IFERROR(__xludf.DUMMYFUNCTION("""COMPUTED_VALUE"""),2021.0)</f>
        <v>2021</v>
      </c>
      <c r="B84" s="12">
        <f>IFERROR(__xludf.DUMMYFUNCTION("""COMPUTED_VALUE"""),10.0)</f>
        <v>10</v>
      </c>
      <c r="C84" s="12">
        <f>IFERROR(__xludf.DUMMYFUNCTION("""COMPUTED_VALUE"""),4.0)</f>
        <v>4</v>
      </c>
      <c r="D84" s="12">
        <f>IFERROR(__xludf.DUMMYFUNCTION("""COMPUTED_VALUE"""),1003418.0)</f>
        <v>1003418</v>
      </c>
      <c r="E84" s="12">
        <f>IFERROR(__xludf.DUMMYFUNCTION("""COMPUTED_VALUE"""),2.0)</f>
        <v>2</v>
      </c>
      <c r="F84" s="12">
        <f>IFERROR(__xludf.DUMMYFUNCTION("""COMPUTED_VALUE"""),0.0)</f>
        <v>0</v>
      </c>
      <c r="G84" s="12">
        <f>IFERROR(__xludf.DUMMYFUNCTION("""COMPUTED_VALUE"""),0.0)</f>
        <v>0</v>
      </c>
      <c r="H84" s="12" t="str">
        <f>IFERROR(__xludf.DUMMYFUNCTION("""COMPUTED_VALUE"""),"Damage")</f>
        <v>Damage</v>
      </c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>
      <c r="A85" s="12">
        <f>IFERROR(__xludf.DUMMYFUNCTION("""COMPUTED_VALUE"""),2021.0)</f>
        <v>2021</v>
      </c>
      <c r="B85" s="12">
        <f>IFERROR(__xludf.DUMMYFUNCTION("""COMPUTED_VALUE"""),10.0)</f>
        <v>10</v>
      </c>
      <c r="C85" s="12">
        <f>IFERROR(__xludf.DUMMYFUNCTION("""COMPUTED_VALUE"""),4.0)</f>
        <v>4</v>
      </c>
      <c r="D85" s="12">
        <f>IFERROR(__xludf.DUMMYFUNCTION("""COMPUTED_VALUE"""),1003846.0)</f>
        <v>1003846</v>
      </c>
      <c r="E85" s="12">
        <f>IFERROR(__xludf.DUMMYFUNCTION("""COMPUTED_VALUE"""),2.0)</f>
        <v>2</v>
      </c>
      <c r="F85" s="12">
        <f>IFERROR(__xludf.DUMMYFUNCTION("""COMPUTED_VALUE"""),0.0)</f>
        <v>0</v>
      </c>
      <c r="G85" s="12">
        <f>IFERROR(__xludf.DUMMYFUNCTION("""COMPUTED_VALUE"""),0.0)</f>
        <v>0</v>
      </c>
      <c r="H85" s="12" t="str">
        <f>IFERROR(__xludf.DUMMYFUNCTION("""COMPUTED_VALUE"""),"Wrong product")</f>
        <v>Wrong product</v>
      </c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>
      <c r="A86" s="12">
        <f>IFERROR(__xludf.DUMMYFUNCTION("""COMPUTED_VALUE"""),2021.0)</f>
        <v>2021</v>
      </c>
      <c r="B86" s="12">
        <f>IFERROR(__xludf.DUMMYFUNCTION("""COMPUTED_VALUE"""),10.0)</f>
        <v>10</v>
      </c>
      <c r="C86" s="12">
        <f>IFERROR(__xludf.DUMMYFUNCTION("""COMPUTED_VALUE"""),4.0)</f>
        <v>4</v>
      </c>
      <c r="D86" s="12">
        <f>IFERROR(__xludf.DUMMYFUNCTION("""COMPUTED_VALUE"""),1003932.0)</f>
        <v>1003932</v>
      </c>
      <c r="E86" s="12">
        <f>IFERROR(__xludf.DUMMYFUNCTION("""COMPUTED_VALUE"""),1.0)</f>
        <v>1</v>
      </c>
      <c r="F86" s="12">
        <f>IFERROR(__xludf.DUMMYFUNCTION("""COMPUTED_VALUE"""),0.0)</f>
        <v>0</v>
      </c>
      <c r="G86" s="12">
        <f>IFERROR(__xludf.DUMMYFUNCTION("""COMPUTED_VALUE"""),0.0)</f>
        <v>0</v>
      </c>
      <c r="H86" s="12" t="str">
        <f>IFERROR(__xludf.DUMMYFUNCTION("""COMPUTED_VALUE"""),"Wrong product")</f>
        <v>Wrong product</v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>
      <c r="A87" s="12">
        <f>IFERROR(__xludf.DUMMYFUNCTION("""COMPUTED_VALUE"""),2021.0)</f>
        <v>2021</v>
      </c>
      <c r="B87" s="12">
        <f>IFERROR(__xludf.DUMMYFUNCTION("""COMPUTED_VALUE"""),10.0)</f>
        <v>10</v>
      </c>
      <c r="C87" s="12">
        <f>IFERROR(__xludf.DUMMYFUNCTION("""COMPUTED_VALUE"""),4.0)</f>
        <v>4</v>
      </c>
      <c r="D87" s="12">
        <f>IFERROR(__xludf.DUMMYFUNCTION("""COMPUTED_VALUE"""),1003784.0)</f>
        <v>1003784</v>
      </c>
      <c r="E87" s="12">
        <f>IFERROR(__xludf.DUMMYFUNCTION("""COMPUTED_VALUE"""),2.0)</f>
        <v>2</v>
      </c>
      <c r="F87" s="12">
        <f>IFERROR(__xludf.DUMMYFUNCTION("""COMPUTED_VALUE"""),0.0)</f>
        <v>0</v>
      </c>
      <c r="G87" s="12">
        <f>IFERROR(__xludf.DUMMYFUNCTION("""COMPUTED_VALUE"""),5.0)</f>
        <v>5</v>
      </c>
      <c r="H87" s="12" t="str">
        <f>IFERROR(__xludf.DUMMYFUNCTION("""COMPUTED_VALUE"""),"Return")</f>
        <v>Return</v>
      </c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>
      <c r="A88" s="12">
        <f>IFERROR(__xludf.DUMMYFUNCTION("""COMPUTED_VALUE"""),2021.0)</f>
        <v>2021</v>
      </c>
      <c r="B88" s="12">
        <f>IFERROR(__xludf.DUMMYFUNCTION("""COMPUTED_VALUE"""),10.0)</f>
        <v>10</v>
      </c>
      <c r="C88" s="12">
        <f>IFERROR(__xludf.DUMMYFUNCTION("""COMPUTED_VALUE"""),4.0)</f>
        <v>4</v>
      </c>
      <c r="D88" s="12">
        <f>IFERROR(__xludf.DUMMYFUNCTION("""COMPUTED_VALUE"""),1003426.0)</f>
        <v>1003426</v>
      </c>
      <c r="E88" s="12">
        <f>IFERROR(__xludf.DUMMYFUNCTION("""COMPUTED_VALUE"""),4.0)</f>
        <v>4</v>
      </c>
      <c r="F88" s="12">
        <f>IFERROR(__xludf.DUMMYFUNCTION("""COMPUTED_VALUE"""),0.0)</f>
        <v>0</v>
      </c>
      <c r="G88" s="12">
        <f>IFERROR(__xludf.DUMMYFUNCTION("""COMPUTED_VALUE"""),0.0)</f>
        <v>0</v>
      </c>
      <c r="H88" s="12" t="str">
        <f>IFERROR(__xludf.DUMMYFUNCTION("""COMPUTED_VALUE"""),"Return")</f>
        <v>Return</v>
      </c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>
      <c r="A89" s="12">
        <f>IFERROR(__xludf.DUMMYFUNCTION("""COMPUTED_VALUE"""),2021.0)</f>
        <v>2021</v>
      </c>
      <c r="B89" s="12">
        <f>IFERROR(__xludf.DUMMYFUNCTION("""COMPUTED_VALUE"""),10.0)</f>
        <v>10</v>
      </c>
      <c r="C89" s="12">
        <f>IFERROR(__xludf.DUMMYFUNCTION("""COMPUTED_VALUE"""),4.0)</f>
        <v>4</v>
      </c>
      <c r="D89" s="12">
        <f>IFERROR(__xludf.DUMMYFUNCTION("""COMPUTED_VALUE"""),1004000.0)</f>
        <v>1004000</v>
      </c>
      <c r="E89" s="12">
        <f>IFERROR(__xludf.DUMMYFUNCTION("""COMPUTED_VALUE"""),3.0)</f>
        <v>3</v>
      </c>
      <c r="F89" s="12">
        <f>IFERROR(__xludf.DUMMYFUNCTION("""COMPUTED_VALUE"""),13.01)</f>
        <v>13.01</v>
      </c>
      <c r="G89" s="12">
        <f>IFERROR(__xludf.DUMMYFUNCTION("""COMPUTED_VALUE"""),0.0)</f>
        <v>0</v>
      </c>
      <c r="H89" s="12" t="str">
        <f>IFERROR(__xludf.DUMMYFUNCTION("""COMPUTED_VALUE"""),"Return")</f>
        <v>Return</v>
      </c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>
      <c r="A90" s="12">
        <f>IFERROR(__xludf.DUMMYFUNCTION("""COMPUTED_VALUE"""),2021.0)</f>
        <v>2021</v>
      </c>
      <c r="B90" s="12">
        <f>IFERROR(__xludf.DUMMYFUNCTION("""COMPUTED_VALUE"""),10.0)</f>
        <v>10</v>
      </c>
      <c r="C90" s="12">
        <f>IFERROR(__xludf.DUMMYFUNCTION("""COMPUTED_VALUE"""),4.0)</f>
        <v>4</v>
      </c>
      <c r="D90" s="12">
        <f>IFERROR(__xludf.DUMMYFUNCTION("""COMPUTED_VALUE"""),1003823.0)</f>
        <v>1003823</v>
      </c>
      <c r="E90" s="12">
        <f>IFERROR(__xludf.DUMMYFUNCTION("""COMPUTED_VALUE"""),2.0)</f>
        <v>2</v>
      </c>
      <c r="F90" s="12">
        <f>IFERROR(__xludf.DUMMYFUNCTION("""COMPUTED_VALUE"""),0.0)</f>
        <v>0</v>
      </c>
      <c r="G90" s="12">
        <f>IFERROR(__xludf.DUMMYFUNCTION("""COMPUTED_VALUE"""),0.0)</f>
        <v>0</v>
      </c>
      <c r="H90" s="12" t="str">
        <f>IFERROR(__xludf.DUMMYFUNCTION("""COMPUTED_VALUE"""),"Return")</f>
        <v>Return</v>
      </c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>
      <c r="A91" s="12">
        <f>IFERROR(__xludf.DUMMYFUNCTION("""COMPUTED_VALUE"""),2021.0)</f>
        <v>2021</v>
      </c>
      <c r="B91" s="12">
        <f>IFERROR(__xludf.DUMMYFUNCTION("""COMPUTED_VALUE"""),10.0)</f>
        <v>10</v>
      </c>
      <c r="C91" s="12">
        <f>IFERROR(__xludf.DUMMYFUNCTION("""COMPUTED_VALUE"""),4.0)</f>
        <v>4</v>
      </c>
      <c r="D91" s="12">
        <f>IFERROR(__xludf.DUMMYFUNCTION("""COMPUTED_VALUE"""),1003357.0)</f>
        <v>1003357</v>
      </c>
      <c r="E91" s="12">
        <f>IFERROR(__xludf.DUMMYFUNCTION("""COMPUTED_VALUE"""),1.0)</f>
        <v>1</v>
      </c>
      <c r="F91" s="12">
        <f>IFERROR(__xludf.DUMMYFUNCTION("""COMPUTED_VALUE"""),0.95)</f>
        <v>0.95</v>
      </c>
      <c r="G91" s="12">
        <f>IFERROR(__xludf.DUMMYFUNCTION("""COMPUTED_VALUE"""),0.0)</f>
        <v>0</v>
      </c>
      <c r="H91" s="12" t="str">
        <f>IFERROR(__xludf.DUMMYFUNCTION("""COMPUTED_VALUE"""),"Wrong product")</f>
        <v>Wrong product</v>
      </c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>
      <c r="A92" s="12">
        <f>IFERROR(__xludf.DUMMYFUNCTION("""COMPUTED_VALUE"""),2021.0)</f>
        <v>2021</v>
      </c>
      <c r="B92" s="12">
        <f>IFERROR(__xludf.DUMMYFUNCTION("""COMPUTED_VALUE"""),10.0)</f>
        <v>10</v>
      </c>
      <c r="C92" s="12">
        <f>IFERROR(__xludf.DUMMYFUNCTION("""COMPUTED_VALUE"""),4.0)</f>
        <v>4</v>
      </c>
      <c r="D92" s="12">
        <f>IFERROR(__xludf.DUMMYFUNCTION("""COMPUTED_VALUE"""),1003591.0)</f>
        <v>1003591</v>
      </c>
      <c r="E92" s="12">
        <f>IFERROR(__xludf.DUMMYFUNCTION("""COMPUTED_VALUE"""),5.0)</f>
        <v>5</v>
      </c>
      <c r="F92" s="12">
        <f>IFERROR(__xludf.DUMMYFUNCTION("""COMPUTED_VALUE"""),0.86)</f>
        <v>0.86</v>
      </c>
      <c r="G92" s="12">
        <f>IFERROR(__xludf.DUMMYFUNCTION("""COMPUTED_VALUE"""),0.0)</f>
        <v>0</v>
      </c>
      <c r="H92" s="12" t="str">
        <f>IFERROR(__xludf.DUMMYFUNCTION("""COMPUTED_VALUE"""),"Return")</f>
        <v>Return</v>
      </c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>
      <c r="A93" s="12">
        <f>IFERROR(__xludf.DUMMYFUNCTION("""COMPUTED_VALUE"""),2021.0)</f>
        <v>2021</v>
      </c>
      <c r="B93" s="12">
        <f>IFERROR(__xludf.DUMMYFUNCTION("""COMPUTED_VALUE"""),10.0)</f>
        <v>10</v>
      </c>
      <c r="C93" s="12">
        <f>IFERROR(__xludf.DUMMYFUNCTION("""COMPUTED_VALUE"""),4.0)</f>
        <v>4</v>
      </c>
      <c r="D93" s="12">
        <f>IFERROR(__xludf.DUMMYFUNCTION("""COMPUTED_VALUE"""),1003459.0)</f>
        <v>1003459</v>
      </c>
      <c r="E93" s="12">
        <f>IFERROR(__xludf.DUMMYFUNCTION("""COMPUTED_VALUE"""),1.0)</f>
        <v>1</v>
      </c>
      <c r="F93" s="12">
        <f>IFERROR(__xludf.DUMMYFUNCTION("""COMPUTED_VALUE"""),0.0)</f>
        <v>0</v>
      </c>
      <c r="G93" s="12">
        <f>IFERROR(__xludf.DUMMYFUNCTION("""COMPUTED_VALUE"""),0.0)</f>
        <v>0</v>
      </c>
      <c r="H93" s="12" t="str">
        <f>IFERROR(__xludf.DUMMYFUNCTION("""COMPUTED_VALUE"""),"Wrong product")</f>
        <v>Wrong product</v>
      </c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>
      <c r="A94" s="12">
        <f>IFERROR(__xludf.DUMMYFUNCTION("""COMPUTED_VALUE"""),2021.0)</f>
        <v>2021</v>
      </c>
      <c r="B94" s="12">
        <f>IFERROR(__xludf.DUMMYFUNCTION("""COMPUTED_VALUE"""),10.0)</f>
        <v>10</v>
      </c>
      <c r="C94" s="12">
        <f>IFERROR(__xludf.DUMMYFUNCTION("""COMPUTED_VALUE"""),4.0)</f>
        <v>4</v>
      </c>
      <c r="D94" s="12">
        <f>IFERROR(__xludf.DUMMYFUNCTION("""COMPUTED_VALUE"""),1003825.0)</f>
        <v>1003825</v>
      </c>
      <c r="E94" s="12">
        <f>IFERROR(__xludf.DUMMYFUNCTION("""COMPUTED_VALUE"""),5.0)</f>
        <v>5</v>
      </c>
      <c r="F94" s="12">
        <f>IFERROR(__xludf.DUMMYFUNCTION("""COMPUTED_VALUE"""),5.75)</f>
        <v>5.75</v>
      </c>
      <c r="G94" s="12">
        <f>IFERROR(__xludf.DUMMYFUNCTION("""COMPUTED_VALUE"""),0.0)</f>
        <v>0</v>
      </c>
      <c r="H94" s="12" t="str">
        <f>IFERROR(__xludf.DUMMYFUNCTION("""COMPUTED_VALUE"""),"Return")</f>
        <v>Return</v>
      </c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>
      <c r="A95" s="12">
        <f>IFERROR(__xludf.DUMMYFUNCTION("""COMPUTED_VALUE"""),2021.0)</f>
        <v>2021</v>
      </c>
      <c r="B95" s="12">
        <f>IFERROR(__xludf.DUMMYFUNCTION("""COMPUTED_VALUE"""),10.0)</f>
        <v>10</v>
      </c>
      <c r="C95" s="12">
        <f>IFERROR(__xludf.DUMMYFUNCTION("""COMPUTED_VALUE"""),4.0)</f>
        <v>4</v>
      </c>
      <c r="D95" s="12">
        <f>IFERROR(__xludf.DUMMYFUNCTION("""COMPUTED_VALUE"""),1003302.0)</f>
        <v>1003302</v>
      </c>
      <c r="E95" s="12">
        <f>IFERROR(__xludf.DUMMYFUNCTION("""COMPUTED_VALUE"""),6.0)</f>
        <v>6</v>
      </c>
      <c r="F95" s="12">
        <f>IFERROR(__xludf.DUMMYFUNCTION("""COMPUTED_VALUE"""),0.86)</f>
        <v>0.86</v>
      </c>
      <c r="G95" s="12">
        <f>IFERROR(__xludf.DUMMYFUNCTION("""COMPUTED_VALUE"""),0.0)</f>
        <v>0</v>
      </c>
      <c r="H95" s="12" t="str">
        <f>IFERROR(__xludf.DUMMYFUNCTION("""COMPUTED_VALUE"""),"Return")</f>
        <v>Return</v>
      </c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2">
        <f>IFERROR(__xludf.DUMMYFUNCTION("""COMPUTED_VALUE"""),2021.0)</f>
        <v>2021</v>
      </c>
      <c r="B96" s="12">
        <f>IFERROR(__xludf.DUMMYFUNCTION("""COMPUTED_VALUE"""),10.0)</f>
        <v>10</v>
      </c>
      <c r="C96" s="12">
        <f>IFERROR(__xludf.DUMMYFUNCTION("""COMPUTED_VALUE"""),4.0)</f>
        <v>4</v>
      </c>
      <c r="D96" s="12">
        <f>IFERROR(__xludf.DUMMYFUNCTION("""COMPUTED_VALUE"""),1003343.0)</f>
        <v>1003343</v>
      </c>
      <c r="E96" s="12">
        <f>IFERROR(__xludf.DUMMYFUNCTION("""COMPUTED_VALUE"""),1.0)</f>
        <v>1</v>
      </c>
      <c r="F96" s="12">
        <f>IFERROR(__xludf.DUMMYFUNCTION("""COMPUTED_VALUE"""),0.0)</f>
        <v>0</v>
      </c>
      <c r="G96" s="12">
        <f>IFERROR(__xludf.DUMMYFUNCTION("""COMPUTED_VALUE"""),0.0)</f>
        <v>0</v>
      </c>
      <c r="H96" s="12" t="str">
        <f>IFERROR(__xludf.DUMMYFUNCTION("""COMPUTED_VALUE"""),"Damage")</f>
        <v>Damage</v>
      </c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>
      <c r="A97" s="12">
        <f>IFERROR(__xludf.DUMMYFUNCTION("""COMPUTED_VALUE"""),2021.0)</f>
        <v>2021</v>
      </c>
      <c r="B97" s="12">
        <f>IFERROR(__xludf.DUMMYFUNCTION("""COMPUTED_VALUE"""),10.0)</f>
        <v>10</v>
      </c>
      <c r="C97" s="12">
        <f>IFERROR(__xludf.DUMMYFUNCTION("""COMPUTED_VALUE"""),4.0)</f>
        <v>4</v>
      </c>
      <c r="D97" s="12">
        <f>IFERROR(__xludf.DUMMYFUNCTION("""COMPUTED_VALUE"""),1003726.0)</f>
        <v>1003726</v>
      </c>
      <c r="E97" s="12">
        <f>IFERROR(__xludf.DUMMYFUNCTION("""COMPUTED_VALUE"""),1.0)</f>
        <v>1</v>
      </c>
      <c r="F97" s="12">
        <f>IFERROR(__xludf.DUMMYFUNCTION("""COMPUTED_VALUE"""),0.0)</f>
        <v>0</v>
      </c>
      <c r="G97" s="12">
        <f>IFERROR(__xludf.DUMMYFUNCTION("""COMPUTED_VALUE"""),0.0)</f>
        <v>0</v>
      </c>
      <c r="H97" s="12" t="str">
        <f>IFERROR(__xludf.DUMMYFUNCTION("""COMPUTED_VALUE"""),"Damage")</f>
        <v>Damage</v>
      </c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>
      <c r="A98" s="12">
        <f>IFERROR(__xludf.DUMMYFUNCTION("""COMPUTED_VALUE"""),2021.0)</f>
        <v>2021</v>
      </c>
      <c r="B98" s="12">
        <f>IFERROR(__xludf.DUMMYFUNCTION("""COMPUTED_VALUE"""),10.0)</f>
        <v>10</v>
      </c>
      <c r="C98" s="12">
        <f>IFERROR(__xludf.DUMMYFUNCTION("""COMPUTED_VALUE"""),4.0)</f>
        <v>4</v>
      </c>
      <c r="D98" s="12">
        <f>IFERROR(__xludf.DUMMYFUNCTION("""COMPUTED_VALUE"""),1003328.0)</f>
        <v>1003328</v>
      </c>
      <c r="E98" s="12">
        <f>IFERROR(__xludf.DUMMYFUNCTION("""COMPUTED_VALUE"""),2.0)</f>
        <v>2</v>
      </c>
      <c r="F98" s="12">
        <f>IFERROR(__xludf.DUMMYFUNCTION("""COMPUTED_VALUE"""),0.0)</f>
        <v>0</v>
      </c>
      <c r="G98" s="12">
        <f>IFERROR(__xludf.DUMMYFUNCTION("""COMPUTED_VALUE"""),10.0)</f>
        <v>10</v>
      </c>
      <c r="H98" s="12" t="str">
        <f>IFERROR(__xludf.DUMMYFUNCTION("""COMPUTED_VALUE"""),"Wrong product")</f>
        <v>Wrong product</v>
      </c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>
      <c r="A99" s="12">
        <f>IFERROR(__xludf.DUMMYFUNCTION("""COMPUTED_VALUE"""),2021.0)</f>
        <v>2021</v>
      </c>
      <c r="B99" s="12">
        <f>IFERROR(__xludf.DUMMYFUNCTION("""COMPUTED_VALUE"""),10.0)</f>
        <v>10</v>
      </c>
      <c r="C99" s="12">
        <f>IFERROR(__xludf.DUMMYFUNCTION("""COMPUTED_VALUE"""),4.0)</f>
        <v>4</v>
      </c>
      <c r="D99" s="12">
        <f>IFERROR(__xludf.DUMMYFUNCTION("""COMPUTED_VALUE"""),1003798.0)</f>
        <v>1003798</v>
      </c>
      <c r="E99" s="13">
        <f>IFERROR(__xludf.DUMMYFUNCTION("""COMPUTED_VALUE"""),0.9921001389957108)</f>
        <v>0.992100139</v>
      </c>
      <c r="F99" s="12">
        <f>IFERROR(__xludf.DUMMYFUNCTION("""COMPUTED_VALUE"""),0.0)</f>
        <v>0</v>
      </c>
      <c r="G99" s="12">
        <f>IFERROR(__xludf.DUMMYFUNCTION("""COMPUTED_VALUE"""),5.0)</f>
        <v>5</v>
      </c>
      <c r="H99" s="12" t="str">
        <f>IFERROR(__xludf.DUMMYFUNCTION("""COMPUTED_VALUE"""),"Return")</f>
        <v>Return</v>
      </c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>
      <c r="A100" s="12">
        <f>IFERROR(__xludf.DUMMYFUNCTION("""COMPUTED_VALUE"""),2021.0)</f>
        <v>2021</v>
      </c>
      <c r="B100" s="12">
        <f>IFERROR(__xludf.DUMMYFUNCTION("""COMPUTED_VALUE"""),10.0)</f>
        <v>10</v>
      </c>
      <c r="C100" s="12">
        <f>IFERROR(__xludf.DUMMYFUNCTION("""COMPUTED_VALUE"""),4.0)</f>
        <v>4</v>
      </c>
      <c r="D100" s="12">
        <f>IFERROR(__xludf.DUMMYFUNCTION("""COMPUTED_VALUE"""),1003448.0)</f>
        <v>1003448</v>
      </c>
      <c r="E100" s="12">
        <f>IFERROR(__xludf.DUMMYFUNCTION("""COMPUTED_VALUE"""),1.0)</f>
        <v>1</v>
      </c>
      <c r="F100" s="12">
        <f>IFERROR(__xludf.DUMMYFUNCTION("""COMPUTED_VALUE"""),0.0)</f>
        <v>0</v>
      </c>
      <c r="G100" s="12">
        <f>IFERROR(__xludf.DUMMYFUNCTION("""COMPUTED_VALUE"""),0.0)</f>
        <v>0</v>
      </c>
      <c r="H100" s="12" t="str">
        <f>IFERROR(__xludf.DUMMYFUNCTION("""COMPUTED_VALUE"""),"Return")</f>
        <v>Return</v>
      </c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>
      <c r="A101" s="12">
        <f>IFERROR(__xludf.DUMMYFUNCTION("""COMPUTED_VALUE"""),2021.0)</f>
        <v>2021</v>
      </c>
      <c r="B101" s="12">
        <f>IFERROR(__xludf.DUMMYFUNCTION("""COMPUTED_VALUE"""),10.0)</f>
        <v>10</v>
      </c>
      <c r="C101" s="12">
        <f>IFERROR(__xludf.DUMMYFUNCTION("""COMPUTED_VALUE"""),4.0)</f>
        <v>4</v>
      </c>
      <c r="D101" s="12">
        <f>IFERROR(__xludf.DUMMYFUNCTION("""COMPUTED_VALUE"""),1003429.0)</f>
        <v>1003429</v>
      </c>
      <c r="E101" s="12">
        <f>IFERROR(__xludf.DUMMYFUNCTION("""COMPUTED_VALUE"""),5.0)</f>
        <v>5</v>
      </c>
      <c r="F101" s="12">
        <f>IFERROR(__xludf.DUMMYFUNCTION("""COMPUTED_VALUE"""),0.0)</f>
        <v>0</v>
      </c>
      <c r="G101" s="12">
        <f>IFERROR(__xludf.DUMMYFUNCTION("""COMPUTED_VALUE"""),10.0)</f>
        <v>10</v>
      </c>
      <c r="H101" s="12" t="str">
        <f>IFERROR(__xludf.DUMMYFUNCTION("""COMPUTED_VALUE"""),"Return")</f>
        <v>Return</v>
      </c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>
      <c r="A102" s="12">
        <f>IFERROR(__xludf.DUMMYFUNCTION("""COMPUTED_VALUE"""),2021.0)</f>
        <v>2021</v>
      </c>
      <c r="B102" s="12">
        <f>IFERROR(__xludf.DUMMYFUNCTION("""COMPUTED_VALUE"""),10.0)</f>
        <v>10</v>
      </c>
      <c r="C102" s="12">
        <f>IFERROR(__xludf.DUMMYFUNCTION("""COMPUTED_VALUE"""),4.0)</f>
        <v>4</v>
      </c>
      <c r="D102" s="12">
        <f>IFERROR(__xludf.DUMMYFUNCTION("""COMPUTED_VALUE"""),1003400.0)</f>
        <v>1003400</v>
      </c>
      <c r="E102" s="12">
        <f>IFERROR(__xludf.DUMMYFUNCTION("""COMPUTED_VALUE"""),4.0)</f>
        <v>4</v>
      </c>
      <c r="F102" s="12">
        <f>IFERROR(__xludf.DUMMYFUNCTION("""COMPUTED_VALUE"""),0.0)</f>
        <v>0</v>
      </c>
      <c r="G102" s="12">
        <f>IFERROR(__xludf.DUMMYFUNCTION("""COMPUTED_VALUE"""),0.0)</f>
        <v>0</v>
      </c>
      <c r="H102" s="12" t="str">
        <f>IFERROR(__xludf.DUMMYFUNCTION("""COMPUTED_VALUE"""),"Damage")</f>
        <v>Damage</v>
      </c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>
      <c r="A103" s="12">
        <f>IFERROR(__xludf.DUMMYFUNCTION("""COMPUTED_VALUE"""),2021.0)</f>
        <v>2021</v>
      </c>
      <c r="B103" s="12">
        <f>IFERROR(__xludf.DUMMYFUNCTION("""COMPUTED_VALUE"""),10.0)</f>
        <v>10</v>
      </c>
      <c r="C103" s="12">
        <f>IFERROR(__xludf.DUMMYFUNCTION("""COMPUTED_VALUE"""),4.0)</f>
        <v>4</v>
      </c>
      <c r="D103" s="12">
        <f>IFERROR(__xludf.DUMMYFUNCTION("""COMPUTED_VALUE"""),1003845.0)</f>
        <v>1003845</v>
      </c>
      <c r="E103" s="12">
        <f>IFERROR(__xludf.DUMMYFUNCTION("""COMPUTED_VALUE"""),6.0)</f>
        <v>6</v>
      </c>
      <c r="F103" s="12">
        <f>IFERROR(__xludf.DUMMYFUNCTION("""COMPUTED_VALUE"""),0.0)</f>
        <v>0</v>
      </c>
      <c r="G103" s="12">
        <f>IFERROR(__xludf.DUMMYFUNCTION("""COMPUTED_VALUE"""),5.0)</f>
        <v>5</v>
      </c>
      <c r="H103" s="12" t="str">
        <f>IFERROR(__xludf.DUMMYFUNCTION("""COMPUTED_VALUE"""),"Return")</f>
        <v>Return</v>
      </c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>
      <c r="A104" s="12">
        <f>IFERROR(__xludf.DUMMYFUNCTION("""COMPUTED_VALUE"""),2021.0)</f>
        <v>2021</v>
      </c>
      <c r="B104" s="12">
        <f>IFERROR(__xludf.DUMMYFUNCTION("""COMPUTED_VALUE"""),10.0)</f>
        <v>10</v>
      </c>
      <c r="C104" s="12">
        <f>IFERROR(__xludf.DUMMYFUNCTION("""COMPUTED_VALUE"""),4.0)</f>
        <v>4</v>
      </c>
      <c r="D104" s="12">
        <f>IFERROR(__xludf.DUMMYFUNCTION("""COMPUTED_VALUE"""),1003376.0)</f>
        <v>1003376</v>
      </c>
      <c r="E104" s="12">
        <f>IFERROR(__xludf.DUMMYFUNCTION("""COMPUTED_VALUE"""),5.0)</f>
        <v>5</v>
      </c>
      <c r="F104" s="12">
        <f>IFERROR(__xludf.DUMMYFUNCTION("""COMPUTED_VALUE"""),0.0)</f>
        <v>0</v>
      </c>
      <c r="G104" s="12">
        <f>IFERROR(__xludf.DUMMYFUNCTION("""COMPUTED_VALUE"""),0.0)</f>
        <v>0</v>
      </c>
      <c r="H104" s="12" t="str">
        <f>IFERROR(__xludf.DUMMYFUNCTION("""COMPUTED_VALUE"""),"Return")</f>
        <v>Return</v>
      </c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>
      <c r="A105" s="12">
        <f>IFERROR(__xludf.DUMMYFUNCTION("""COMPUTED_VALUE"""),2021.0)</f>
        <v>2021</v>
      </c>
      <c r="B105" s="12">
        <f>IFERROR(__xludf.DUMMYFUNCTION("""COMPUTED_VALUE"""),10.0)</f>
        <v>10</v>
      </c>
      <c r="C105" s="12">
        <f>IFERROR(__xludf.DUMMYFUNCTION("""COMPUTED_VALUE"""),4.0)</f>
        <v>4</v>
      </c>
      <c r="D105" s="12">
        <f>IFERROR(__xludf.DUMMYFUNCTION("""COMPUTED_VALUE"""),1003342.0)</f>
        <v>1003342</v>
      </c>
      <c r="E105" s="12">
        <f>IFERROR(__xludf.DUMMYFUNCTION("""COMPUTED_VALUE"""),2.0)</f>
        <v>2</v>
      </c>
      <c r="F105" s="12">
        <f>IFERROR(__xludf.DUMMYFUNCTION("""COMPUTED_VALUE"""),0.0)</f>
        <v>0</v>
      </c>
      <c r="G105" s="12">
        <f>IFERROR(__xludf.DUMMYFUNCTION("""COMPUTED_VALUE"""),0.0)</f>
        <v>0</v>
      </c>
      <c r="H105" s="12" t="str">
        <f>IFERROR(__xludf.DUMMYFUNCTION("""COMPUTED_VALUE"""),"Wrong product")</f>
        <v>Wrong product</v>
      </c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>
      <c r="A106" s="12">
        <f>IFERROR(__xludf.DUMMYFUNCTION("""COMPUTED_VALUE"""),2021.0)</f>
        <v>2021</v>
      </c>
      <c r="B106" s="12">
        <f>IFERROR(__xludf.DUMMYFUNCTION("""COMPUTED_VALUE"""),10.0)</f>
        <v>10</v>
      </c>
      <c r="C106" s="12">
        <f>IFERROR(__xludf.DUMMYFUNCTION("""COMPUTED_VALUE"""),4.0)</f>
        <v>4</v>
      </c>
      <c r="D106" s="12">
        <f>IFERROR(__xludf.DUMMYFUNCTION("""COMPUTED_VALUE"""),1003713.0)</f>
        <v>1003713</v>
      </c>
      <c r="E106" s="12">
        <f>IFERROR(__xludf.DUMMYFUNCTION("""COMPUTED_VALUE"""),7.0)</f>
        <v>7</v>
      </c>
      <c r="F106" s="12">
        <f>IFERROR(__xludf.DUMMYFUNCTION("""COMPUTED_VALUE"""),0.0)</f>
        <v>0</v>
      </c>
      <c r="G106" s="12">
        <f>IFERROR(__xludf.DUMMYFUNCTION("""COMPUTED_VALUE"""),0.0)</f>
        <v>0</v>
      </c>
      <c r="H106" s="12" t="str">
        <f>IFERROR(__xludf.DUMMYFUNCTION("""COMPUTED_VALUE"""),"Return")</f>
        <v>Return</v>
      </c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>
      <c r="A107" s="12">
        <f>IFERROR(__xludf.DUMMYFUNCTION("""COMPUTED_VALUE"""),2021.0)</f>
        <v>2021</v>
      </c>
      <c r="B107" s="12">
        <f>IFERROR(__xludf.DUMMYFUNCTION("""COMPUTED_VALUE"""),10.0)</f>
        <v>10</v>
      </c>
      <c r="C107" s="12">
        <f>IFERROR(__xludf.DUMMYFUNCTION("""COMPUTED_VALUE"""),4.0)</f>
        <v>4</v>
      </c>
      <c r="D107" s="12">
        <f>IFERROR(__xludf.DUMMYFUNCTION("""COMPUTED_VALUE"""),1003986.0)</f>
        <v>1003986</v>
      </c>
      <c r="E107" s="12">
        <f>IFERROR(__xludf.DUMMYFUNCTION("""COMPUTED_VALUE"""),5.0)</f>
        <v>5</v>
      </c>
      <c r="F107" s="12">
        <f>IFERROR(__xludf.DUMMYFUNCTION("""COMPUTED_VALUE"""),0.0)</f>
        <v>0</v>
      </c>
      <c r="G107" s="12">
        <f>IFERROR(__xludf.DUMMYFUNCTION("""COMPUTED_VALUE"""),12.0)</f>
        <v>12</v>
      </c>
      <c r="H107" s="12" t="str">
        <f>IFERROR(__xludf.DUMMYFUNCTION("""COMPUTED_VALUE"""),"Return")</f>
        <v>Return</v>
      </c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>
      <c r="A108" s="12">
        <f>IFERROR(__xludf.DUMMYFUNCTION("""COMPUTED_VALUE"""),2021.0)</f>
        <v>2021</v>
      </c>
      <c r="B108" s="12">
        <f>IFERROR(__xludf.DUMMYFUNCTION("""COMPUTED_VALUE"""),10.0)</f>
        <v>10</v>
      </c>
      <c r="C108" s="12">
        <f>IFERROR(__xludf.DUMMYFUNCTION("""COMPUTED_VALUE"""),4.0)</f>
        <v>4</v>
      </c>
      <c r="D108" s="12">
        <f>IFERROR(__xludf.DUMMYFUNCTION("""COMPUTED_VALUE"""),1003844.0)</f>
        <v>1003844</v>
      </c>
      <c r="E108" s="12">
        <f>IFERROR(__xludf.DUMMYFUNCTION("""COMPUTED_VALUE"""),3.0)</f>
        <v>3</v>
      </c>
      <c r="F108" s="12">
        <f>IFERROR(__xludf.DUMMYFUNCTION("""COMPUTED_VALUE"""),0.0)</f>
        <v>0</v>
      </c>
      <c r="G108" s="12">
        <f>IFERROR(__xludf.DUMMYFUNCTION("""COMPUTED_VALUE"""),0.0)</f>
        <v>0</v>
      </c>
      <c r="H108" s="12" t="str">
        <f>IFERROR(__xludf.DUMMYFUNCTION("""COMPUTED_VALUE"""),"Wrong product")</f>
        <v>Wrong product</v>
      </c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2">
        <f>IFERROR(__xludf.DUMMYFUNCTION("""COMPUTED_VALUE"""),2021.0)</f>
        <v>2021</v>
      </c>
      <c r="B109" s="12">
        <f>IFERROR(__xludf.DUMMYFUNCTION("""COMPUTED_VALUE"""),10.0)</f>
        <v>10</v>
      </c>
      <c r="C109" s="12">
        <f>IFERROR(__xludf.DUMMYFUNCTION("""COMPUTED_VALUE"""),4.0)</f>
        <v>4</v>
      </c>
      <c r="D109" s="12">
        <f>IFERROR(__xludf.DUMMYFUNCTION("""COMPUTED_VALUE"""),1003371.0)</f>
        <v>1003371</v>
      </c>
      <c r="E109" s="12">
        <f>IFERROR(__xludf.DUMMYFUNCTION("""COMPUTED_VALUE"""),2.0)</f>
        <v>2</v>
      </c>
      <c r="F109" s="12">
        <f>IFERROR(__xludf.DUMMYFUNCTION("""COMPUTED_VALUE"""),0.0)</f>
        <v>0</v>
      </c>
      <c r="G109" s="12">
        <f>IFERROR(__xludf.DUMMYFUNCTION("""COMPUTED_VALUE"""),0.0)</f>
        <v>0</v>
      </c>
      <c r="H109" s="12" t="str">
        <f>IFERROR(__xludf.DUMMYFUNCTION("""COMPUTED_VALUE"""),"Return")</f>
        <v>Return</v>
      </c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>
      <c r="A110" s="12">
        <f>IFERROR(__xludf.DUMMYFUNCTION("""COMPUTED_VALUE"""),2021.0)</f>
        <v>2021</v>
      </c>
      <c r="B110" s="12">
        <f>IFERROR(__xludf.DUMMYFUNCTION("""COMPUTED_VALUE"""),10.0)</f>
        <v>10</v>
      </c>
      <c r="C110" s="12">
        <f>IFERROR(__xludf.DUMMYFUNCTION("""COMPUTED_VALUE"""),4.0)</f>
        <v>4</v>
      </c>
      <c r="D110" s="12">
        <f>IFERROR(__xludf.DUMMYFUNCTION("""COMPUTED_VALUE"""),1003849.0)</f>
        <v>1003849</v>
      </c>
      <c r="E110" s="12">
        <f>IFERROR(__xludf.DUMMYFUNCTION("""COMPUTED_VALUE"""),4.0)</f>
        <v>4</v>
      </c>
      <c r="F110" s="12">
        <f>IFERROR(__xludf.DUMMYFUNCTION("""COMPUTED_VALUE"""),0.0)</f>
        <v>0</v>
      </c>
      <c r="G110" s="12">
        <f>IFERROR(__xludf.DUMMYFUNCTION("""COMPUTED_VALUE"""),0.0)</f>
        <v>0</v>
      </c>
      <c r="H110" s="12" t="str">
        <f>IFERROR(__xludf.DUMMYFUNCTION("""COMPUTED_VALUE"""),"Wrong product")</f>
        <v>Wrong product</v>
      </c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>
      <c r="A111" s="12">
        <f>IFERROR(__xludf.DUMMYFUNCTION("""COMPUTED_VALUE"""),2021.0)</f>
        <v>2021</v>
      </c>
      <c r="B111" s="12">
        <f>IFERROR(__xludf.DUMMYFUNCTION("""COMPUTED_VALUE"""),10.0)</f>
        <v>10</v>
      </c>
      <c r="C111" s="12">
        <f>IFERROR(__xludf.DUMMYFUNCTION("""COMPUTED_VALUE"""),4.0)</f>
        <v>4</v>
      </c>
      <c r="D111" s="12">
        <f>IFERROR(__xludf.DUMMYFUNCTION("""COMPUTED_VALUE"""),1003606.0)</f>
        <v>1003606</v>
      </c>
      <c r="E111" s="12">
        <f>IFERROR(__xludf.DUMMYFUNCTION("""COMPUTED_VALUE"""),17.0)</f>
        <v>17</v>
      </c>
      <c r="F111" s="12">
        <f>IFERROR(__xludf.DUMMYFUNCTION("""COMPUTED_VALUE"""),0.0)</f>
        <v>0</v>
      </c>
      <c r="G111" s="12">
        <f>IFERROR(__xludf.DUMMYFUNCTION("""COMPUTED_VALUE"""),0.0)</f>
        <v>0</v>
      </c>
      <c r="H111" s="12" t="str">
        <f>IFERROR(__xludf.DUMMYFUNCTION("""COMPUTED_VALUE"""),"Damage")</f>
        <v>Damage</v>
      </c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>
      <c r="A112" s="12">
        <f>IFERROR(__xludf.DUMMYFUNCTION("""COMPUTED_VALUE"""),2021.0)</f>
        <v>2021</v>
      </c>
      <c r="B112" s="12">
        <f>IFERROR(__xludf.DUMMYFUNCTION("""COMPUTED_VALUE"""),10.0)</f>
        <v>10</v>
      </c>
      <c r="C112" s="12">
        <f>IFERROR(__xludf.DUMMYFUNCTION("""COMPUTED_VALUE"""),4.0)</f>
        <v>4</v>
      </c>
      <c r="D112" s="12">
        <f>IFERROR(__xludf.DUMMYFUNCTION("""COMPUTED_VALUE"""),1003680.0)</f>
        <v>1003680</v>
      </c>
      <c r="E112" s="12">
        <f>IFERROR(__xludf.DUMMYFUNCTION("""COMPUTED_VALUE"""),1.0)</f>
        <v>1</v>
      </c>
      <c r="F112" s="12">
        <f>IFERROR(__xludf.DUMMYFUNCTION("""COMPUTED_VALUE"""),0.0)</f>
        <v>0</v>
      </c>
      <c r="G112" s="12">
        <f>IFERROR(__xludf.DUMMYFUNCTION("""COMPUTED_VALUE"""),0.0)</f>
        <v>0</v>
      </c>
      <c r="H112" s="12" t="str">
        <f>IFERROR(__xludf.DUMMYFUNCTION("""COMPUTED_VALUE"""),"Damage")</f>
        <v>Damage</v>
      </c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>
      <c r="A113" s="12">
        <f>IFERROR(__xludf.DUMMYFUNCTION("""COMPUTED_VALUE"""),2021.0)</f>
        <v>2021</v>
      </c>
      <c r="B113" s="12">
        <f>IFERROR(__xludf.DUMMYFUNCTION("""COMPUTED_VALUE"""),10.0)</f>
        <v>10</v>
      </c>
      <c r="C113" s="12">
        <f>IFERROR(__xludf.DUMMYFUNCTION("""COMPUTED_VALUE"""),4.0)</f>
        <v>4</v>
      </c>
      <c r="D113" s="12">
        <f>IFERROR(__xludf.DUMMYFUNCTION("""COMPUTED_VALUE"""),1003928.0)</f>
        <v>1003928</v>
      </c>
      <c r="E113" s="12">
        <f>IFERROR(__xludf.DUMMYFUNCTION("""COMPUTED_VALUE"""),3.0)</f>
        <v>3</v>
      </c>
      <c r="F113" s="12">
        <f>IFERROR(__xludf.DUMMYFUNCTION("""COMPUTED_VALUE"""),0.0)</f>
        <v>0</v>
      </c>
      <c r="G113" s="12">
        <f>IFERROR(__xludf.DUMMYFUNCTION("""COMPUTED_VALUE"""),0.0)</f>
        <v>0</v>
      </c>
      <c r="H113" s="12" t="str">
        <f>IFERROR(__xludf.DUMMYFUNCTION("""COMPUTED_VALUE"""),"Damage")</f>
        <v>Damage</v>
      </c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>
      <c r="A114" s="12">
        <f>IFERROR(__xludf.DUMMYFUNCTION("""COMPUTED_VALUE"""),2021.0)</f>
        <v>2021</v>
      </c>
      <c r="B114" s="12">
        <f>IFERROR(__xludf.DUMMYFUNCTION("""COMPUTED_VALUE"""),10.0)</f>
        <v>10</v>
      </c>
      <c r="C114" s="12">
        <f>IFERROR(__xludf.DUMMYFUNCTION("""COMPUTED_VALUE"""),4.0)</f>
        <v>4</v>
      </c>
      <c r="D114" s="12">
        <f>IFERROR(__xludf.DUMMYFUNCTION("""COMPUTED_VALUE"""),1003536.0)</f>
        <v>1003536</v>
      </c>
      <c r="E114" s="12">
        <f>IFERROR(__xludf.DUMMYFUNCTION("""COMPUTED_VALUE"""),6.0)</f>
        <v>6</v>
      </c>
      <c r="F114" s="12">
        <f>IFERROR(__xludf.DUMMYFUNCTION("""COMPUTED_VALUE"""),0.0)</f>
        <v>0</v>
      </c>
      <c r="G114" s="12">
        <f>IFERROR(__xludf.DUMMYFUNCTION("""COMPUTED_VALUE"""),0.0)</f>
        <v>0</v>
      </c>
      <c r="H114" s="12" t="str">
        <f>IFERROR(__xludf.DUMMYFUNCTION("""COMPUTED_VALUE"""),"Return")</f>
        <v>Return</v>
      </c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>
      <c r="A115" s="12">
        <f>IFERROR(__xludf.DUMMYFUNCTION("""COMPUTED_VALUE"""),2021.0)</f>
        <v>2021</v>
      </c>
      <c r="B115" s="12">
        <f>IFERROR(__xludf.DUMMYFUNCTION("""COMPUTED_VALUE"""),10.0)</f>
        <v>10</v>
      </c>
      <c r="C115" s="12">
        <f>IFERROR(__xludf.DUMMYFUNCTION("""COMPUTED_VALUE"""),4.0)</f>
        <v>4</v>
      </c>
      <c r="D115" s="12">
        <f>IFERROR(__xludf.DUMMYFUNCTION("""COMPUTED_VALUE"""),1003567.0)</f>
        <v>1003567</v>
      </c>
      <c r="E115" s="12">
        <f>IFERROR(__xludf.DUMMYFUNCTION("""COMPUTED_VALUE"""),2.0)</f>
        <v>2</v>
      </c>
      <c r="F115" s="12">
        <f>IFERROR(__xludf.DUMMYFUNCTION("""COMPUTED_VALUE"""),0.0)</f>
        <v>0</v>
      </c>
      <c r="G115" s="12">
        <f>IFERROR(__xludf.DUMMYFUNCTION("""COMPUTED_VALUE"""),0.0)</f>
        <v>0</v>
      </c>
      <c r="H115" s="12" t="str">
        <f>IFERROR(__xludf.DUMMYFUNCTION("""COMPUTED_VALUE"""),"Damage")</f>
        <v>Damage</v>
      </c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>
      <c r="A116" s="12">
        <f>IFERROR(__xludf.DUMMYFUNCTION("""COMPUTED_VALUE"""),2021.0)</f>
        <v>2021</v>
      </c>
      <c r="B116" s="12">
        <f>IFERROR(__xludf.DUMMYFUNCTION("""COMPUTED_VALUE"""),10.0)</f>
        <v>10</v>
      </c>
      <c r="C116" s="12">
        <f>IFERROR(__xludf.DUMMYFUNCTION("""COMPUTED_VALUE"""),4.0)</f>
        <v>4</v>
      </c>
      <c r="D116" s="12">
        <f>IFERROR(__xludf.DUMMYFUNCTION("""COMPUTED_VALUE"""),1003839.0)</f>
        <v>1003839</v>
      </c>
      <c r="E116" s="12">
        <f>IFERROR(__xludf.DUMMYFUNCTION("""COMPUTED_VALUE"""),3.0)</f>
        <v>3</v>
      </c>
      <c r="F116" s="12">
        <f>IFERROR(__xludf.DUMMYFUNCTION("""COMPUTED_VALUE"""),0.0)</f>
        <v>0</v>
      </c>
      <c r="G116" s="12">
        <f>IFERROR(__xludf.DUMMYFUNCTION("""COMPUTED_VALUE"""),0.0)</f>
        <v>0</v>
      </c>
      <c r="H116" s="12" t="str">
        <f>IFERROR(__xludf.DUMMYFUNCTION("""COMPUTED_VALUE"""),"Damage")</f>
        <v>Damage</v>
      </c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>
      <c r="A117" s="12">
        <f>IFERROR(__xludf.DUMMYFUNCTION("""COMPUTED_VALUE"""),2021.0)</f>
        <v>2021</v>
      </c>
      <c r="B117" s="12">
        <f>IFERROR(__xludf.DUMMYFUNCTION("""COMPUTED_VALUE"""),10.0)</f>
        <v>10</v>
      </c>
      <c r="C117" s="12">
        <f>IFERROR(__xludf.DUMMYFUNCTION("""COMPUTED_VALUE"""),4.0)</f>
        <v>4</v>
      </c>
      <c r="D117" s="12">
        <f>IFERROR(__xludf.DUMMYFUNCTION("""COMPUTED_VALUE"""),1003857.0)</f>
        <v>1003857</v>
      </c>
      <c r="E117" s="12">
        <f>IFERROR(__xludf.DUMMYFUNCTION("""COMPUTED_VALUE"""),8.0)</f>
        <v>8</v>
      </c>
      <c r="F117" s="12">
        <f>IFERROR(__xludf.DUMMYFUNCTION("""COMPUTED_VALUE"""),0.0)</f>
        <v>0</v>
      </c>
      <c r="G117" s="12">
        <f>IFERROR(__xludf.DUMMYFUNCTION("""COMPUTED_VALUE"""),0.0)</f>
        <v>0</v>
      </c>
      <c r="H117" s="12" t="str">
        <f>IFERROR(__xludf.DUMMYFUNCTION("""COMPUTED_VALUE"""),"Return")</f>
        <v>Return</v>
      </c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>
      <c r="A118" s="12">
        <f>IFERROR(__xludf.DUMMYFUNCTION("""COMPUTED_VALUE"""),2021.0)</f>
        <v>2021</v>
      </c>
      <c r="B118" s="12">
        <f>IFERROR(__xludf.DUMMYFUNCTION("""COMPUTED_VALUE"""),10.0)</f>
        <v>10</v>
      </c>
      <c r="C118" s="12">
        <f>IFERROR(__xludf.DUMMYFUNCTION("""COMPUTED_VALUE"""),4.0)</f>
        <v>4</v>
      </c>
      <c r="D118" s="12">
        <f>IFERROR(__xludf.DUMMYFUNCTION("""COMPUTED_VALUE"""),1003359.0)</f>
        <v>1003359</v>
      </c>
      <c r="E118" s="12">
        <f>IFERROR(__xludf.DUMMYFUNCTION("""COMPUTED_VALUE"""),3.0)</f>
        <v>3</v>
      </c>
      <c r="F118" s="12">
        <f>IFERROR(__xludf.DUMMYFUNCTION("""COMPUTED_VALUE"""),0.0)</f>
        <v>0</v>
      </c>
      <c r="G118" s="12">
        <f>IFERROR(__xludf.DUMMYFUNCTION("""COMPUTED_VALUE"""),0.0)</f>
        <v>0</v>
      </c>
      <c r="H118" s="12" t="str">
        <f>IFERROR(__xludf.DUMMYFUNCTION("""COMPUTED_VALUE"""),"Return")</f>
        <v>Return</v>
      </c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>
      <c r="A119" s="12">
        <f>IFERROR(__xludf.DUMMYFUNCTION("""COMPUTED_VALUE"""),2021.0)</f>
        <v>2021</v>
      </c>
      <c r="B119" s="12">
        <f>IFERROR(__xludf.DUMMYFUNCTION("""COMPUTED_VALUE"""),10.0)</f>
        <v>10</v>
      </c>
      <c r="C119" s="12">
        <f>IFERROR(__xludf.DUMMYFUNCTION("""COMPUTED_VALUE"""),4.0)</f>
        <v>4</v>
      </c>
      <c r="D119" s="12">
        <f>IFERROR(__xludf.DUMMYFUNCTION("""COMPUTED_VALUE"""),1003905.0)</f>
        <v>1003905</v>
      </c>
      <c r="E119" s="12">
        <f>IFERROR(__xludf.DUMMYFUNCTION("""COMPUTED_VALUE"""),1.0)</f>
        <v>1</v>
      </c>
      <c r="F119" s="12">
        <f>IFERROR(__xludf.DUMMYFUNCTION("""COMPUTED_VALUE"""),0.0)</f>
        <v>0</v>
      </c>
      <c r="G119" s="12">
        <f>IFERROR(__xludf.DUMMYFUNCTION("""COMPUTED_VALUE"""),7.0)</f>
        <v>7</v>
      </c>
      <c r="H119" s="12" t="str">
        <f>IFERROR(__xludf.DUMMYFUNCTION("""COMPUTED_VALUE"""),"Return")</f>
        <v>Return</v>
      </c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>
      <c r="A120" s="12">
        <f>IFERROR(__xludf.DUMMYFUNCTION("""COMPUTED_VALUE"""),2021.0)</f>
        <v>2021</v>
      </c>
      <c r="B120" s="12">
        <f>IFERROR(__xludf.DUMMYFUNCTION("""COMPUTED_VALUE"""),10.0)</f>
        <v>10</v>
      </c>
      <c r="C120" s="12">
        <f>IFERROR(__xludf.DUMMYFUNCTION("""COMPUTED_VALUE"""),4.0)</f>
        <v>4</v>
      </c>
      <c r="D120" s="12">
        <f>IFERROR(__xludf.DUMMYFUNCTION("""COMPUTED_VALUE"""),1003858.0)</f>
        <v>1003858</v>
      </c>
      <c r="E120" s="12">
        <f>IFERROR(__xludf.DUMMYFUNCTION("""COMPUTED_VALUE"""),1.0)</f>
        <v>1</v>
      </c>
      <c r="F120" s="12">
        <f>IFERROR(__xludf.DUMMYFUNCTION("""COMPUTED_VALUE"""),0.0)</f>
        <v>0</v>
      </c>
      <c r="G120" s="12">
        <f>IFERROR(__xludf.DUMMYFUNCTION("""COMPUTED_VALUE"""),0.0)</f>
        <v>0</v>
      </c>
      <c r="H120" s="12" t="str">
        <f>IFERROR(__xludf.DUMMYFUNCTION("""COMPUTED_VALUE"""),"Return")</f>
        <v>Return</v>
      </c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>
      <c r="A121" s="12">
        <f>IFERROR(__xludf.DUMMYFUNCTION("""COMPUTED_VALUE"""),2021.0)</f>
        <v>2021</v>
      </c>
      <c r="B121" s="12">
        <f>IFERROR(__xludf.DUMMYFUNCTION("""COMPUTED_VALUE"""),10.0)</f>
        <v>10</v>
      </c>
      <c r="C121" s="12">
        <f>IFERROR(__xludf.DUMMYFUNCTION("""COMPUTED_VALUE"""),4.0)</f>
        <v>4</v>
      </c>
      <c r="D121" s="12">
        <f>IFERROR(__xludf.DUMMYFUNCTION("""COMPUTED_VALUE"""),1003929.0)</f>
        <v>1003929</v>
      </c>
      <c r="E121" s="12">
        <f>IFERROR(__xludf.DUMMYFUNCTION("""COMPUTED_VALUE"""),1.0)</f>
        <v>1</v>
      </c>
      <c r="F121" s="12">
        <f>IFERROR(__xludf.DUMMYFUNCTION("""COMPUTED_VALUE"""),0.0)</f>
        <v>0</v>
      </c>
      <c r="G121" s="12">
        <f>IFERROR(__xludf.DUMMYFUNCTION("""COMPUTED_VALUE"""),5.0)</f>
        <v>5</v>
      </c>
      <c r="H121" s="12" t="str">
        <f>IFERROR(__xludf.DUMMYFUNCTION("""COMPUTED_VALUE"""),"Return")</f>
        <v>Return</v>
      </c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2">
        <f>IFERROR(__xludf.DUMMYFUNCTION("""COMPUTED_VALUE"""),2021.0)</f>
        <v>2021</v>
      </c>
      <c r="B122" s="12">
        <f>IFERROR(__xludf.DUMMYFUNCTION("""COMPUTED_VALUE"""),10.0)</f>
        <v>10</v>
      </c>
      <c r="C122" s="12">
        <f>IFERROR(__xludf.DUMMYFUNCTION("""COMPUTED_VALUE"""),4.0)</f>
        <v>4</v>
      </c>
      <c r="D122" s="12">
        <f>IFERROR(__xludf.DUMMYFUNCTION("""COMPUTED_VALUE"""),1003491.0)</f>
        <v>1003491</v>
      </c>
      <c r="E122" s="12">
        <f>IFERROR(__xludf.DUMMYFUNCTION("""COMPUTED_VALUE"""),2.0)</f>
        <v>2</v>
      </c>
      <c r="F122" s="12">
        <f>IFERROR(__xludf.DUMMYFUNCTION("""COMPUTED_VALUE"""),3.36)</f>
        <v>3.36</v>
      </c>
      <c r="G122" s="12">
        <f>IFERROR(__xludf.DUMMYFUNCTION("""COMPUTED_VALUE"""),5.0)</f>
        <v>5</v>
      </c>
      <c r="H122" s="12" t="str">
        <f>IFERROR(__xludf.DUMMYFUNCTION("""COMPUTED_VALUE"""),"Return")</f>
        <v>Return</v>
      </c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>
      <c r="A123" s="12">
        <f>IFERROR(__xludf.DUMMYFUNCTION("""COMPUTED_VALUE"""),2021.0)</f>
        <v>2021</v>
      </c>
      <c r="B123" s="12">
        <f>IFERROR(__xludf.DUMMYFUNCTION("""COMPUTED_VALUE"""),10.0)</f>
        <v>10</v>
      </c>
      <c r="C123" s="12">
        <f>IFERROR(__xludf.DUMMYFUNCTION("""COMPUTED_VALUE"""),4.0)</f>
        <v>4</v>
      </c>
      <c r="D123" s="12">
        <f>IFERROR(__xludf.DUMMYFUNCTION("""COMPUTED_VALUE"""),1003987.0)</f>
        <v>1003987</v>
      </c>
      <c r="E123" s="12">
        <f>IFERROR(__xludf.DUMMYFUNCTION("""COMPUTED_VALUE"""),3.0)</f>
        <v>3</v>
      </c>
      <c r="F123" s="12">
        <f>IFERROR(__xludf.DUMMYFUNCTION("""COMPUTED_VALUE"""),0.0)</f>
        <v>0</v>
      </c>
      <c r="G123" s="12">
        <f>IFERROR(__xludf.DUMMYFUNCTION("""COMPUTED_VALUE"""),8.0)</f>
        <v>8</v>
      </c>
      <c r="H123" s="12" t="str">
        <f>IFERROR(__xludf.DUMMYFUNCTION("""COMPUTED_VALUE"""),"Return")</f>
        <v>Return</v>
      </c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>
      <c r="A124" s="12">
        <f>IFERROR(__xludf.DUMMYFUNCTION("""COMPUTED_VALUE"""),2021.0)</f>
        <v>2021</v>
      </c>
      <c r="B124" s="12">
        <f>IFERROR(__xludf.DUMMYFUNCTION("""COMPUTED_VALUE"""),10.0)</f>
        <v>10</v>
      </c>
      <c r="C124" s="12">
        <f>IFERROR(__xludf.DUMMYFUNCTION("""COMPUTED_VALUE"""),4.0)</f>
        <v>4</v>
      </c>
      <c r="D124" s="12">
        <f>IFERROR(__xludf.DUMMYFUNCTION("""COMPUTED_VALUE"""),1003455.0)</f>
        <v>1003455</v>
      </c>
      <c r="E124" s="12">
        <f>IFERROR(__xludf.DUMMYFUNCTION("""COMPUTED_VALUE"""),1.0)</f>
        <v>1</v>
      </c>
      <c r="F124" s="12">
        <f>IFERROR(__xludf.DUMMYFUNCTION("""COMPUTED_VALUE"""),6.36)</f>
        <v>6.36</v>
      </c>
      <c r="G124" s="12">
        <f>IFERROR(__xludf.DUMMYFUNCTION("""COMPUTED_VALUE"""),0.0)</f>
        <v>0</v>
      </c>
      <c r="H124" s="12" t="str">
        <f>IFERROR(__xludf.DUMMYFUNCTION("""COMPUTED_VALUE"""),"Return")</f>
        <v>Return</v>
      </c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>
      <c r="A125" s="12">
        <f>IFERROR(__xludf.DUMMYFUNCTION("""COMPUTED_VALUE"""),2021.0)</f>
        <v>2021</v>
      </c>
      <c r="B125" s="12">
        <f>IFERROR(__xludf.DUMMYFUNCTION("""COMPUTED_VALUE"""),10.0)</f>
        <v>10</v>
      </c>
      <c r="C125" s="12">
        <f>IFERROR(__xludf.DUMMYFUNCTION("""COMPUTED_VALUE"""),4.0)</f>
        <v>4</v>
      </c>
      <c r="D125" s="12">
        <f>IFERROR(__xludf.DUMMYFUNCTION("""COMPUTED_VALUE"""),1003478.0)</f>
        <v>1003478</v>
      </c>
      <c r="E125" s="12">
        <f>IFERROR(__xludf.DUMMYFUNCTION("""COMPUTED_VALUE"""),2.0)</f>
        <v>2</v>
      </c>
      <c r="F125" s="12">
        <f>IFERROR(__xludf.DUMMYFUNCTION("""COMPUTED_VALUE"""),0.0)</f>
        <v>0</v>
      </c>
      <c r="G125" s="12">
        <f>IFERROR(__xludf.DUMMYFUNCTION("""COMPUTED_VALUE"""),21.0)</f>
        <v>21</v>
      </c>
      <c r="H125" s="12" t="str">
        <f>IFERROR(__xludf.DUMMYFUNCTION("""COMPUTED_VALUE"""),"Return")</f>
        <v>Return</v>
      </c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>
      <c r="A126" s="12">
        <f>IFERROR(__xludf.DUMMYFUNCTION("""COMPUTED_VALUE"""),2021.0)</f>
        <v>2021</v>
      </c>
      <c r="B126" s="12">
        <f>IFERROR(__xludf.DUMMYFUNCTION("""COMPUTED_VALUE"""),10.0)</f>
        <v>10</v>
      </c>
      <c r="C126" s="12">
        <f>IFERROR(__xludf.DUMMYFUNCTION("""COMPUTED_VALUE"""),4.0)</f>
        <v>4</v>
      </c>
      <c r="D126" s="12">
        <f>IFERROR(__xludf.DUMMYFUNCTION("""COMPUTED_VALUE"""),1003906.0)</f>
        <v>1003906</v>
      </c>
      <c r="E126" s="12">
        <f>IFERROR(__xludf.DUMMYFUNCTION("""COMPUTED_VALUE"""),1.0)</f>
        <v>1</v>
      </c>
      <c r="F126" s="12">
        <f>IFERROR(__xludf.DUMMYFUNCTION("""COMPUTED_VALUE"""),3.7)</f>
        <v>3.7</v>
      </c>
      <c r="G126" s="12">
        <f>IFERROR(__xludf.DUMMYFUNCTION("""COMPUTED_VALUE"""),0.0)</f>
        <v>0</v>
      </c>
      <c r="H126" s="12" t="str">
        <f>IFERROR(__xludf.DUMMYFUNCTION("""COMPUTED_VALUE"""),"Return")</f>
        <v>Return</v>
      </c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>
      <c r="A127" s="12">
        <f>IFERROR(__xludf.DUMMYFUNCTION("""COMPUTED_VALUE"""),2021.0)</f>
        <v>2021</v>
      </c>
      <c r="B127" s="12">
        <f>IFERROR(__xludf.DUMMYFUNCTION("""COMPUTED_VALUE"""),10.0)</f>
        <v>10</v>
      </c>
      <c r="C127" s="12">
        <f>IFERROR(__xludf.DUMMYFUNCTION("""COMPUTED_VALUE"""),4.0)</f>
        <v>4</v>
      </c>
      <c r="D127" s="12">
        <f>IFERROR(__xludf.DUMMYFUNCTION("""COMPUTED_VALUE"""),1003479.0)</f>
        <v>1003479</v>
      </c>
      <c r="E127" s="12">
        <f>IFERROR(__xludf.DUMMYFUNCTION("""COMPUTED_VALUE"""),5.0)</f>
        <v>5</v>
      </c>
      <c r="F127" s="12">
        <f>IFERROR(__xludf.DUMMYFUNCTION("""COMPUTED_VALUE"""),0.0)</f>
        <v>0</v>
      </c>
      <c r="G127" s="12">
        <f>IFERROR(__xludf.DUMMYFUNCTION("""COMPUTED_VALUE"""),0.0)</f>
        <v>0</v>
      </c>
      <c r="H127" s="12" t="str">
        <f>IFERROR(__xludf.DUMMYFUNCTION("""COMPUTED_VALUE"""),"Return")</f>
        <v>Return</v>
      </c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>
      <c r="A128" s="12">
        <f>IFERROR(__xludf.DUMMYFUNCTION("""COMPUTED_VALUE"""),2021.0)</f>
        <v>2021</v>
      </c>
      <c r="B128" s="12">
        <f>IFERROR(__xludf.DUMMYFUNCTION("""COMPUTED_VALUE"""),10.0)</f>
        <v>10</v>
      </c>
      <c r="C128" s="12">
        <f>IFERROR(__xludf.DUMMYFUNCTION("""COMPUTED_VALUE"""),4.0)</f>
        <v>4</v>
      </c>
      <c r="D128" s="12">
        <f>IFERROR(__xludf.DUMMYFUNCTION("""COMPUTED_VALUE"""),1003365.0)</f>
        <v>1003365</v>
      </c>
      <c r="E128" s="13">
        <f>IFERROR(__xludf.DUMMYFUNCTION("""COMPUTED_VALUE"""),0.11607868252724673)</f>
        <v>0.1160786825</v>
      </c>
      <c r="F128" s="12">
        <f>IFERROR(__xludf.DUMMYFUNCTION("""COMPUTED_VALUE"""),0.0)</f>
        <v>0</v>
      </c>
      <c r="G128" s="12">
        <f>IFERROR(__xludf.DUMMYFUNCTION("""COMPUTED_VALUE"""),0.0)</f>
        <v>0</v>
      </c>
      <c r="H128" s="12" t="str">
        <f>IFERROR(__xludf.DUMMYFUNCTION("""COMPUTED_VALUE"""),"Damage")</f>
        <v>Damage</v>
      </c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>
      <c r="A129" s="12">
        <f>IFERROR(__xludf.DUMMYFUNCTION("""COMPUTED_VALUE"""),2021.0)</f>
        <v>2021</v>
      </c>
      <c r="B129" s="12">
        <f>IFERROR(__xludf.DUMMYFUNCTION("""COMPUTED_VALUE"""),10.0)</f>
        <v>10</v>
      </c>
      <c r="C129" s="12">
        <f>IFERROR(__xludf.DUMMYFUNCTION("""COMPUTED_VALUE"""),4.0)</f>
        <v>4</v>
      </c>
      <c r="D129" s="12">
        <f>IFERROR(__xludf.DUMMYFUNCTION("""COMPUTED_VALUE"""),1003377.0)</f>
        <v>1003377</v>
      </c>
      <c r="E129" s="12">
        <f>IFERROR(__xludf.DUMMYFUNCTION("""COMPUTED_VALUE"""),2.0)</f>
        <v>2</v>
      </c>
      <c r="F129" s="12">
        <f>IFERROR(__xludf.DUMMYFUNCTION("""COMPUTED_VALUE"""),0.0)</f>
        <v>0</v>
      </c>
      <c r="G129" s="12">
        <f>IFERROR(__xludf.DUMMYFUNCTION("""COMPUTED_VALUE"""),8.0)</f>
        <v>8</v>
      </c>
      <c r="H129" s="12" t="str">
        <f>IFERROR(__xludf.DUMMYFUNCTION("""COMPUTED_VALUE"""),"Return")</f>
        <v>Return</v>
      </c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>
      <c r="A130" s="12">
        <f>IFERROR(__xludf.DUMMYFUNCTION("""COMPUTED_VALUE"""),2021.0)</f>
        <v>2021</v>
      </c>
      <c r="B130" s="12">
        <f>IFERROR(__xludf.DUMMYFUNCTION("""COMPUTED_VALUE"""),10.0)</f>
        <v>10</v>
      </c>
      <c r="C130" s="12">
        <f>IFERROR(__xludf.DUMMYFUNCTION("""COMPUTED_VALUE"""),4.0)</f>
        <v>4</v>
      </c>
      <c r="D130" s="12">
        <f>IFERROR(__xludf.DUMMYFUNCTION("""COMPUTED_VALUE"""),1003617.0)</f>
        <v>1003617</v>
      </c>
      <c r="E130" s="12">
        <f>IFERROR(__xludf.DUMMYFUNCTION("""COMPUTED_VALUE"""),2.0)</f>
        <v>2</v>
      </c>
      <c r="F130" s="12">
        <f>IFERROR(__xludf.DUMMYFUNCTION("""COMPUTED_VALUE"""),0.0)</f>
        <v>0</v>
      </c>
      <c r="G130" s="12">
        <f>IFERROR(__xludf.DUMMYFUNCTION("""COMPUTED_VALUE"""),0.0)</f>
        <v>0</v>
      </c>
      <c r="H130" s="12" t="str">
        <f>IFERROR(__xludf.DUMMYFUNCTION("""COMPUTED_VALUE"""),"Return")</f>
        <v>Return</v>
      </c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>
      <c r="A131" s="12">
        <f>IFERROR(__xludf.DUMMYFUNCTION("""COMPUTED_VALUE"""),2021.0)</f>
        <v>2021</v>
      </c>
      <c r="B131" s="12">
        <f>IFERROR(__xludf.DUMMYFUNCTION("""COMPUTED_VALUE"""),10.0)</f>
        <v>10</v>
      </c>
      <c r="C131" s="12">
        <f>IFERROR(__xludf.DUMMYFUNCTION("""COMPUTED_VALUE"""),4.0)</f>
        <v>4</v>
      </c>
      <c r="D131" s="12">
        <f>IFERROR(__xludf.DUMMYFUNCTION("""COMPUTED_VALUE"""),1003941.0)</f>
        <v>1003941</v>
      </c>
      <c r="E131" s="12">
        <f>IFERROR(__xludf.DUMMYFUNCTION("""COMPUTED_VALUE"""),5.0)</f>
        <v>5</v>
      </c>
      <c r="F131" s="12">
        <f>IFERROR(__xludf.DUMMYFUNCTION("""COMPUTED_VALUE"""),0.0)</f>
        <v>0</v>
      </c>
      <c r="G131" s="12">
        <f>IFERROR(__xludf.DUMMYFUNCTION("""COMPUTED_VALUE"""),0.0)</f>
        <v>0</v>
      </c>
      <c r="H131" s="12" t="str">
        <f>IFERROR(__xludf.DUMMYFUNCTION("""COMPUTED_VALUE"""),"Return")</f>
        <v>Return</v>
      </c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>
      <c r="A132" s="12">
        <f>IFERROR(__xludf.DUMMYFUNCTION("""COMPUTED_VALUE"""),2021.0)</f>
        <v>2021</v>
      </c>
      <c r="B132" s="12">
        <f>IFERROR(__xludf.DUMMYFUNCTION("""COMPUTED_VALUE"""),10.0)</f>
        <v>10</v>
      </c>
      <c r="C132" s="12">
        <f>IFERROR(__xludf.DUMMYFUNCTION("""COMPUTED_VALUE"""),4.0)</f>
        <v>4</v>
      </c>
      <c r="D132" s="12">
        <f>IFERROR(__xludf.DUMMYFUNCTION("""COMPUTED_VALUE"""),1003460.0)</f>
        <v>1003460</v>
      </c>
      <c r="E132" s="12">
        <f>IFERROR(__xludf.DUMMYFUNCTION("""COMPUTED_VALUE"""),3.0)</f>
        <v>3</v>
      </c>
      <c r="F132" s="12">
        <f>IFERROR(__xludf.DUMMYFUNCTION("""COMPUTED_VALUE"""),0.0)</f>
        <v>0</v>
      </c>
      <c r="G132" s="12">
        <f>IFERROR(__xludf.DUMMYFUNCTION("""COMPUTED_VALUE"""),0.0)</f>
        <v>0</v>
      </c>
      <c r="H132" s="12" t="str">
        <f>IFERROR(__xludf.DUMMYFUNCTION("""COMPUTED_VALUE"""),"Return")</f>
        <v>Return</v>
      </c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>
      <c r="A133" s="12">
        <f>IFERROR(__xludf.DUMMYFUNCTION("""COMPUTED_VALUE"""),2021.0)</f>
        <v>2021</v>
      </c>
      <c r="B133" s="12">
        <f>IFERROR(__xludf.DUMMYFUNCTION("""COMPUTED_VALUE"""),10.0)</f>
        <v>10</v>
      </c>
      <c r="C133" s="12">
        <f>IFERROR(__xludf.DUMMYFUNCTION("""COMPUTED_VALUE"""),4.0)</f>
        <v>4</v>
      </c>
      <c r="D133" s="12">
        <f>IFERROR(__xludf.DUMMYFUNCTION("""COMPUTED_VALUE"""),1003637.0)</f>
        <v>1003637</v>
      </c>
      <c r="E133" s="12">
        <f>IFERROR(__xludf.DUMMYFUNCTION("""COMPUTED_VALUE"""),1.0)</f>
        <v>1</v>
      </c>
      <c r="F133" s="12">
        <f>IFERROR(__xludf.DUMMYFUNCTION("""COMPUTED_VALUE"""),0.0)</f>
        <v>0</v>
      </c>
      <c r="G133" s="12">
        <f>IFERROR(__xludf.DUMMYFUNCTION("""COMPUTED_VALUE"""),0.0)</f>
        <v>0</v>
      </c>
      <c r="H133" s="12" t="str">
        <f>IFERROR(__xludf.DUMMYFUNCTION("""COMPUTED_VALUE"""),"Wrong product")</f>
        <v>Wrong product</v>
      </c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>
      <c r="A134" s="12">
        <f>IFERROR(__xludf.DUMMYFUNCTION("""COMPUTED_VALUE"""),2021.0)</f>
        <v>2021</v>
      </c>
      <c r="B134" s="12">
        <f>IFERROR(__xludf.DUMMYFUNCTION("""COMPUTED_VALUE"""),10.0)</f>
        <v>10</v>
      </c>
      <c r="C134" s="12">
        <f>IFERROR(__xludf.DUMMYFUNCTION("""COMPUTED_VALUE"""),4.0)</f>
        <v>4</v>
      </c>
      <c r="D134" s="12">
        <f>IFERROR(__xludf.DUMMYFUNCTION("""COMPUTED_VALUE"""),1003466.0)</f>
        <v>1003466</v>
      </c>
      <c r="E134" s="13">
        <f>IFERROR(__xludf.DUMMYFUNCTION("""COMPUTED_VALUE"""),0.44557331025703306)</f>
        <v>0.4455733103</v>
      </c>
      <c r="F134" s="12">
        <f>IFERROR(__xludf.DUMMYFUNCTION("""COMPUTED_VALUE"""),3.65)</f>
        <v>3.65</v>
      </c>
      <c r="G134" s="12">
        <f>IFERROR(__xludf.DUMMYFUNCTION("""COMPUTED_VALUE"""),0.0)</f>
        <v>0</v>
      </c>
      <c r="H134" s="12" t="str">
        <f>IFERROR(__xludf.DUMMYFUNCTION("""COMPUTED_VALUE"""),"Return")</f>
        <v>Return</v>
      </c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A135" s="12">
        <f>IFERROR(__xludf.DUMMYFUNCTION("""COMPUTED_VALUE"""),2021.0)</f>
        <v>2021</v>
      </c>
      <c r="B135" s="12">
        <f>IFERROR(__xludf.DUMMYFUNCTION("""COMPUTED_VALUE"""),10.0)</f>
        <v>10</v>
      </c>
      <c r="C135" s="12">
        <f>IFERROR(__xludf.DUMMYFUNCTION("""COMPUTED_VALUE"""),4.0)</f>
        <v>4</v>
      </c>
      <c r="D135" s="12">
        <f>IFERROR(__xludf.DUMMYFUNCTION("""COMPUTED_VALUE"""),1003708.0)</f>
        <v>1003708</v>
      </c>
      <c r="E135" s="12">
        <f>IFERROR(__xludf.DUMMYFUNCTION("""COMPUTED_VALUE"""),1.0)</f>
        <v>1</v>
      </c>
      <c r="F135" s="12">
        <f>IFERROR(__xludf.DUMMYFUNCTION("""COMPUTED_VALUE"""),0.0)</f>
        <v>0</v>
      </c>
      <c r="G135" s="12">
        <f>IFERROR(__xludf.DUMMYFUNCTION("""COMPUTED_VALUE"""),0.0)</f>
        <v>0</v>
      </c>
      <c r="H135" s="12" t="str">
        <f>IFERROR(__xludf.DUMMYFUNCTION("""COMPUTED_VALUE"""),"Wrong product")</f>
        <v>Wrong product</v>
      </c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>
      <c r="A136" s="12">
        <f>IFERROR(__xludf.DUMMYFUNCTION("""COMPUTED_VALUE"""),2021.0)</f>
        <v>2021</v>
      </c>
      <c r="B136" s="12">
        <f>IFERROR(__xludf.DUMMYFUNCTION("""COMPUTED_VALUE"""),10.0)</f>
        <v>10</v>
      </c>
      <c r="C136" s="12">
        <f>IFERROR(__xludf.DUMMYFUNCTION("""COMPUTED_VALUE"""),4.0)</f>
        <v>4</v>
      </c>
      <c r="D136" s="12">
        <f>IFERROR(__xludf.DUMMYFUNCTION("""COMPUTED_VALUE"""),1003885.0)</f>
        <v>1003885</v>
      </c>
      <c r="E136" s="13">
        <f>IFERROR(__xludf.DUMMYFUNCTION("""COMPUTED_VALUE"""),0.7241937751960622)</f>
        <v>0.7241937752</v>
      </c>
      <c r="F136" s="12">
        <f>IFERROR(__xludf.DUMMYFUNCTION("""COMPUTED_VALUE"""),0.0)</f>
        <v>0</v>
      </c>
      <c r="G136" s="12">
        <f>IFERROR(__xludf.DUMMYFUNCTION("""COMPUTED_VALUE"""),0.0)</f>
        <v>0</v>
      </c>
      <c r="H136" s="12" t="str">
        <f>IFERROR(__xludf.DUMMYFUNCTION("""COMPUTED_VALUE"""),"Return")</f>
        <v>Return</v>
      </c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>
      <c r="A137" s="12">
        <f>IFERROR(__xludf.DUMMYFUNCTION("""COMPUTED_VALUE"""),2021.0)</f>
        <v>2021</v>
      </c>
      <c r="B137" s="12">
        <f>IFERROR(__xludf.DUMMYFUNCTION("""COMPUTED_VALUE"""),10.0)</f>
        <v>10</v>
      </c>
      <c r="C137" s="12">
        <f>IFERROR(__xludf.DUMMYFUNCTION("""COMPUTED_VALUE"""),4.0)</f>
        <v>4</v>
      </c>
      <c r="D137" s="12">
        <f>IFERROR(__xludf.DUMMYFUNCTION("""COMPUTED_VALUE"""),1003581.0)</f>
        <v>1003581</v>
      </c>
      <c r="E137" s="12">
        <f>IFERROR(__xludf.DUMMYFUNCTION("""COMPUTED_VALUE"""),4.0)</f>
        <v>4</v>
      </c>
      <c r="F137" s="12">
        <f>IFERROR(__xludf.DUMMYFUNCTION("""COMPUTED_VALUE"""),0.0)</f>
        <v>0</v>
      </c>
      <c r="G137" s="12">
        <f>IFERROR(__xludf.DUMMYFUNCTION("""COMPUTED_VALUE"""),0.0)</f>
        <v>0</v>
      </c>
      <c r="H137" s="12" t="str">
        <f>IFERROR(__xludf.DUMMYFUNCTION("""COMPUTED_VALUE"""),"Damage")</f>
        <v>Damage</v>
      </c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>
      <c r="A138" s="12">
        <f>IFERROR(__xludf.DUMMYFUNCTION("""COMPUTED_VALUE"""),2021.0)</f>
        <v>2021</v>
      </c>
      <c r="B138" s="12">
        <f>IFERROR(__xludf.DUMMYFUNCTION("""COMPUTED_VALUE"""),10.0)</f>
        <v>10</v>
      </c>
      <c r="C138" s="12">
        <f>IFERROR(__xludf.DUMMYFUNCTION("""COMPUTED_VALUE"""),4.0)</f>
        <v>4</v>
      </c>
      <c r="D138" s="12">
        <f>IFERROR(__xludf.DUMMYFUNCTION("""COMPUTED_VALUE"""),1003672.0)</f>
        <v>1003672</v>
      </c>
      <c r="E138" s="12">
        <f>IFERROR(__xludf.DUMMYFUNCTION("""COMPUTED_VALUE"""),2.0)</f>
        <v>2</v>
      </c>
      <c r="F138" s="12">
        <f>IFERROR(__xludf.DUMMYFUNCTION("""COMPUTED_VALUE"""),0.0)</f>
        <v>0</v>
      </c>
      <c r="G138" s="12">
        <f>IFERROR(__xludf.DUMMYFUNCTION("""COMPUTED_VALUE"""),0.0)</f>
        <v>0</v>
      </c>
      <c r="H138" s="12" t="str">
        <f>IFERROR(__xludf.DUMMYFUNCTION("""COMPUTED_VALUE"""),"Wrong product")</f>
        <v>Wrong product</v>
      </c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>
      <c r="A139" s="12">
        <f>IFERROR(__xludf.DUMMYFUNCTION("""COMPUTED_VALUE"""),2021.0)</f>
        <v>2021</v>
      </c>
      <c r="B139" s="12">
        <f>IFERROR(__xludf.DUMMYFUNCTION("""COMPUTED_VALUE"""),10.0)</f>
        <v>10</v>
      </c>
      <c r="C139" s="12">
        <f>IFERROR(__xludf.DUMMYFUNCTION("""COMPUTED_VALUE"""),4.0)</f>
        <v>4</v>
      </c>
      <c r="D139" s="12">
        <f>IFERROR(__xludf.DUMMYFUNCTION("""COMPUTED_VALUE"""),1003414.0)</f>
        <v>1003414</v>
      </c>
      <c r="E139" s="12">
        <f>IFERROR(__xludf.DUMMYFUNCTION("""COMPUTED_VALUE"""),2.0)</f>
        <v>2</v>
      </c>
      <c r="F139" s="12">
        <f>IFERROR(__xludf.DUMMYFUNCTION("""COMPUTED_VALUE"""),0.0)</f>
        <v>0</v>
      </c>
      <c r="G139" s="12">
        <f>IFERROR(__xludf.DUMMYFUNCTION("""COMPUTED_VALUE"""),5.0)</f>
        <v>5</v>
      </c>
      <c r="H139" s="12" t="str">
        <f>IFERROR(__xludf.DUMMYFUNCTION("""COMPUTED_VALUE"""),"Return")</f>
        <v>Return</v>
      </c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>
      <c r="A140" s="12">
        <f>IFERROR(__xludf.DUMMYFUNCTION("""COMPUTED_VALUE"""),2021.0)</f>
        <v>2021</v>
      </c>
      <c r="B140" s="12">
        <f>IFERROR(__xludf.DUMMYFUNCTION("""COMPUTED_VALUE"""),10.0)</f>
        <v>10</v>
      </c>
      <c r="C140" s="12">
        <f>IFERROR(__xludf.DUMMYFUNCTION("""COMPUTED_VALUE"""),4.0)</f>
        <v>4</v>
      </c>
      <c r="D140" s="12">
        <f>IFERROR(__xludf.DUMMYFUNCTION("""COMPUTED_VALUE"""),1003386.0)</f>
        <v>1003386</v>
      </c>
      <c r="E140" s="13">
        <f>IFERROR(__xludf.DUMMYFUNCTION("""COMPUTED_VALUE"""),0.5273326786417548)</f>
        <v>0.5273326786</v>
      </c>
      <c r="F140" s="12">
        <f>IFERROR(__xludf.DUMMYFUNCTION("""COMPUTED_VALUE"""),0.0)</f>
        <v>0</v>
      </c>
      <c r="G140" s="12">
        <f>IFERROR(__xludf.DUMMYFUNCTION("""COMPUTED_VALUE"""),0.0)</f>
        <v>0</v>
      </c>
      <c r="H140" s="12" t="str">
        <f>IFERROR(__xludf.DUMMYFUNCTION("""COMPUTED_VALUE"""),"Return")</f>
        <v>Return</v>
      </c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>
      <c r="A141" s="12">
        <f>IFERROR(__xludf.DUMMYFUNCTION("""COMPUTED_VALUE"""),2021.0)</f>
        <v>2021</v>
      </c>
      <c r="B141" s="12">
        <f>IFERROR(__xludf.DUMMYFUNCTION("""COMPUTED_VALUE"""),10.0)</f>
        <v>10</v>
      </c>
      <c r="C141" s="12">
        <f>IFERROR(__xludf.DUMMYFUNCTION("""COMPUTED_VALUE"""),4.0)</f>
        <v>4</v>
      </c>
      <c r="D141" s="12">
        <f>IFERROR(__xludf.DUMMYFUNCTION("""COMPUTED_VALUE"""),1003792.0)</f>
        <v>1003792</v>
      </c>
      <c r="E141" s="12">
        <f>IFERROR(__xludf.DUMMYFUNCTION("""COMPUTED_VALUE"""),18.0)</f>
        <v>18</v>
      </c>
      <c r="F141" s="12">
        <f>IFERROR(__xludf.DUMMYFUNCTION("""COMPUTED_VALUE"""),0.0)</f>
        <v>0</v>
      </c>
      <c r="G141" s="12">
        <f>IFERROR(__xludf.DUMMYFUNCTION("""COMPUTED_VALUE"""),0.0)</f>
        <v>0</v>
      </c>
      <c r="H141" s="12" t="str">
        <f>IFERROR(__xludf.DUMMYFUNCTION("""COMPUTED_VALUE"""),"Return")</f>
        <v>Return</v>
      </c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>
      <c r="A142" s="12">
        <f>IFERROR(__xludf.DUMMYFUNCTION("""COMPUTED_VALUE"""),2021.0)</f>
        <v>2021</v>
      </c>
      <c r="B142" s="12">
        <f>IFERROR(__xludf.DUMMYFUNCTION("""COMPUTED_VALUE"""),10.0)</f>
        <v>10</v>
      </c>
      <c r="C142" s="12">
        <f>IFERROR(__xludf.DUMMYFUNCTION("""COMPUTED_VALUE"""),4.0)</f>
        <v>4</v>
      </c>
      <c r="D142" s="12">
        <f>IFERROR(__xludf.DUMMYFUNCTION("""COMPUTED_VALUE"""),1004023.0)</f>
        <v>1004023</v>
      </c>
      <c r="E142" s="12">
        <f>IFERROR(__xludf.DUMMYFUNCTION("""COMPUTED_VALUE"""),1.0)</f>
        <v>1</v>
      </c>
      <c r="F142" s="12">
        <f>IFERROR(__xludf.DUMMYFUNCTION("""COMPUTED_VALUE"""),0.0)</f>
        <v>0</v>
      </c>
      <c r="G142" s="12">
        <f>IFERROR(__xludf.DUMMYFUNCTION("""COMPUTED_VALUE"""),0.0)</f>
        <v>0</v>
      </c>
      <c r="H142" s="12" t="str">
        <f>IFERROR(__xludf.DUMMYFUNCTION("""COMPUTED_VALUE"""),"Return")</f>
        <v>Return</v>
      </c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>
      <c r="A143" s="12">
        <f>IFERROR(__xludf.DUMMYFUNCTION("""COMPUTED_VALUE"""),2021.0)</f>
        <v>2021</v>
      </c>
      <c r="B143" s="12">
        <f>IFERROR(__xludf.DUMMYFUNCTION("""COMPUTED_VALUE"""),10.0)</f>
        <v>10</v>
      </c>
      <c r="C143" s="12">
        <f>IFERROR(__xludf.DUMMYFUNCTION("""COMPUTED_VALUE"""),4.0)</f>
        <v>4</v>
      </c>
      <c r="D143" s="12">
        <f>IFERROR(__xludf.DUMMYFUNCTION("""COMPUTED_VALUE"""),1003333.0)</f>
        <v>1003333</v>
      </c>
      <c r="E143" s="12">
        <f>IFERROR(__xludf.DUMMYFUNCTION("""COMPUTED_VALUE"""),1.0)</f>
        <v>1</v>
      </c>
      <c r="F143" s="12">
        <f>IFERROR(__xludf.DUMMYFUNCTION("""COMPUTED_VALUE"""),3.7)</f>
        <v>3.7</v>
      </c>
      <c r="G143" s="12">
        <f>IFERROR(__xludf.DUMMYFUNCTION("""COMPUTED_VALUE"""),5.0)</f>
        <v>5</v>
      </c>
      <c r="H143" s="12" t="str">
        <f>IFERROR(__xludf.DUMMYFUNCTION("""COMPUTED_VALUE"""),"Return")</f>
        <v>Return</v>
      </c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>
      <c r="A144" s="12">
        <f>IFERROR(__xludf.DUMMYFUNCTION("""COMPUTED_VALUE"""),2021.0)</f>
        <v>2021</v>
      </c>
      <c r="B144" s="12">
        <f>IFERROR(__xludf.DUMMYFUNCTION("""COMPUTED_VALUE"""),10.0)</f>
        <v>10</v>
      </c>
      <c r="C144" s="12">
        <f>IFERROR(__xludf.DUMMYFUNCTION("""COMPUTED_VALUE"""),4.0)</f>
        <v>4</v>
      </c>
      <c r="D144" s="12">
        <f>IFERROR(__xludf.DUMMYFUNCTION("""COMPUTED_VALUE"""),1003911.0)</f>
        <v>1003911</v>
      </c>
      <c r="E144" s="12">
        <f>IFERROR(__xludf.DUMMYFUNCTION("""COMPUTED_VALUE"""),1.0)</f>
        <v>1</v>
      </c>
      <c r="F144" s="12">
        <f>IFERROR(__xludf.DUMMYFUNCTION("""COMPUTED_VALUE"""),0.0)</f>
        <v>0</v>
      </c>
      <c r="G144" s="12">
        <f>IFERROR(__xludf.DUMMYFUNCTION("""COMPUTED_VALUE"""),0.0)</f>
        <v>0</v>
      </c>
      <c r="H144" s="12" t="str">
        <f>IFERROR(__xludf.DUMMYFUNCTION("""COMPUTED_VALUE"""),"Return")</f>
        <v>Return</v>
      </c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>
      <c r="A145" s="12">
        <f>IFERROR(__xludf.DUMMYFUNCTION("""COMPUTED_VALUE"""),2021.0)</f>
        <v>2021</v>
      </c>
      <c r="B145" s="12">
        <f>IFERROR(__xludf.DUMMYFUNCTION("""COMPUTED_VALUE"""),10.0)</f>
        <v>10</v>
      </c>
      <c r="C145" s="12">
        <f>IFERROR(__xludf.DUMMYFUNCTION("""COMPUTED_VALUE"""),4.0)</f>
        <v>4</v>
      </c>
      <c r="D145" s="12">
        <f>IFERROR(__xludf.DUMMYFUNCTION("""COMPUTED_VALUE"""),1003431.0)</f>
        <v>1003431</v>
      </c>
      <c r="E145" s="12">
        <f>IFERROR(__xludf.DUMMYFUNCTION("""COMPUTED_VALUE"""),3.0)</f>
        <v>3</v>
      </c>
      <c r="F145" s="12">
        <f>IFERROR(__xludf.DUMMYFUNCTION("""COMPUTED_VALUE"""),0.0)</f>
        <v>0</v>
      </c>
      <c r="G145" s="12">
        <f>IFERROR(__xludf.DUMMYFUNCTION("""COMPUTED_VALUE"""),0.0)</f>
        <v>0</v>
      </c>
      <c r="H145" s="12" t="str">
        <f>IFERROR(__xludf.DUMMYFUNCTION("""COMPUTED_VALUE"""),"Wrong product")</f>
        <v>Wrong product</v>
      </c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>
      <c r="A146" s="12">
        <f>IFERROR(__xludf.DUMMYFUNCTION("""COMPUTED_VALUE"""),2021.0)</f>
        <v>2021</v>
      </c>
      <c r="B146" s="12">
        <f>IFERROR(__xludf.DUMMYFUNCTION("""COMPUTED_VALUE"""),10.0)</f>
        <v>10</v>
      </c>
      <c r="C146" s="12">
        <f>IFERROR(__xludf.DUMMYFUNCTION("""COMPUTED_VALUE"""),4.0)</f>
        <v>4</v>
      </c>
      <c r="D146" s="12">
        <f>IFERROR(__xludf.DUMMYFUNCTION("""COMPUTED_VALUE"""),1003563.0)</f>
        <v>1003563</v>
      </c>
      <c r="E146" s="12">
        <f>IFERROR(__xludf.DUMMYFUNCTION("""COMPUTED_VALUE"""),3.0)</f>
        <v>3</v>
      </c>
      <c r="F146" s="12">
        <f>IFERROR(__xludf.DUMMYFUNCTION("""COMPUTED_VALUE"""),0.0)</f>
        <v>0</v>
      </c>
      <c r="G146" s="12">
        <f>IFERROR(__xludf.DUMMYFUNCTION("""COMPUTED_VALUE"""),0.0)</f>
        <v>0</v>
      </c>
      <c r="H146" s="12" t="str">
        <f>IFERROR(__xludf.DUMMYFUNCTION("""COMPUTED_VALUE"""),"Return")</f>
        <v>Return</v>
      </c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>
      <c r="A147" s="12">
        <f>IFERROR(__xludf.DUMMYFUNCTION("""COMPUTED_VALUE"""),2021.0)</f>
        <v>2021</v>
      </c>
      <c r="B147" s="12">
        <f>IFERROR(__xludf.DUMMYFUNCTION("""COMPUTED_VALUE"""),10.0)</f>
        <v>10</v>
      </c>
      <c r="C147" s="12">
        <f>IFERROR(__xludf.DUMMYFUNCTION("""COMPUTED_VALUE"""),4.0)</f>
        <v>4</v>
      </c>
      <c r="D147" s="12">
        <f>IFERROR(__xludf.DUMMYFUNCTION("""COMPUTED_VALUE"""),1003355.0)</f>
        <v>1003355</v>
      </c>
      <c r="E147" s="12">
        <f>IFERROR(__xludf.DUMMYFUNCTION("""COMPUTED_VALUE"""),17.0)</f>
        <v>17</v>
      </c>
      <c r="F147" s="12">
        <f>IFERROR(__xludf.DUMMYFUNCTION("""COMPUTED_VALUE"""),0.0)</f>
        <v>0</v>
      </c>
      <c r="G147" s="12">
        <f>IFERROR(__xludf.DUMMYFUNCTION("""COMPUTED_VALUE"""),0.0)</f>
        <v>0</v>
      </c>
      <c r="H147" s="12" t="str">
        <f>IFERROR(__xludf.DUMMYFUNCTION("""COMPUTED_VALUE"""),"Return")</f>
        <v>Return</v>
      </c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>
      <c r="A148" s="12">
        <f>IFERROR(__xludf.DUMMYFUNCTION("""COMPUTED_VALUE"""),2021.0)</f>
        <v>2021</v>
      </c>
      <c r="B148" s="12">
        <f>IFERROR(__xludf.DUMMYFUNCTION("""COMPUTED_VALUE"""),10.0)</f>
        <v>10</v>
      </c>
      <c r="C148" s="12">
        <f>IFERROR(__xludf.DUMMYFUNCTION("""COMPUTED_VALUE"""),4.0)</f>
        <v>4</v>
      </c>
      <c r="D148" s="12">
        <f>IFERROR(__xludf.DUMMYFUNCTION("""COMPUTED_VALUE"""),1003461.0)</f>
        <v>1003461</v>
      </c>
      <c r="E148" s="12">
        <f>IFERROR(__xludf.DUMMYFUNCTION("""COMPUTED_VALUE"""),4.0)</f>
        <v>4</v>
      </c>
      <c r="F148" s="12">
        <f>IFERROR(__xludf.DUMMYFUNCTION("""COMPUTED_VALUE"""),3.7)</f>
        <v>3.7</v>
      </c>
      <c r="G148" s="12">
        <f>IFERROR(__xludf.DUMMYFUNCTION("""COMPUTED_VALUE"""),0.0)</f>
        <v>0</v>
      </c>
      <c r="H148" s="12" t="str">
        <f>IFERROR(__xludf.DUMMYFUNCTION("""COMPUTED_VALUE"""),"Return")</f>
        <v>Return</v>
      </c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>
      <c r="A149" s="12">
        <f>IFERROR(__xludf.DUMMYFUNCTION("""COMPUTED_VALUE"""),2021.0)</f>
        <v>2021</v>
      </c>
      <c r="B149" s="12">
        <f>IFERROR(__xludf.DUMMYFUNCTION("""COMPUTED_VALUE"""),10.0)</f>
        <v>10</v>
      </c>
      <c r="C149" s="12">
        <f>IFERROR(__xludf.DUMMYFUNCTION("""COMPUTED_VALUE"""),4.0)</f>
        <v>4</v>
      </c>
      <c r="D149" s="12">
        <f>IFERROR(__xludf.DUMMYFUNCTION("""COMPUTED_VALUE"""),1003522.0)</f>
        <v>1003522</v>
      </c>
      <c r="E149" s="12">
        <f>IFERROR(__xludf.DUMMYFUNCTION("""COMPUTED_VALUE"""),2.0)</f>
        <v>2</v>
      </c>
      <c r="F149" s="12">
        <f>IFERROR(__xludf.DUMMYFUNCTION("""COMPUTED_VALUE"""),0.0)</f>
        <v>0</v>
      </c>
      <c r="G149" s="12">
        <f>IFERROR(__xludf.DUMMYFUNCTION("""COMPUTED_VALUE"""),0.0)</f>
        <v>0</v>
      </c>
      <c r="H149" s="12" t="str">
        <f>IFERROR(__xludf.DUMMYFUNCTION("""COMPUTED_VALUE"""),"Return")</f>
        <v>Return</v>
      </c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>
      <c r="A150" s="12">
        <f>IFERROR(__xludf.DUMMYFUNCTION("""COMPUTED_VALUE"""),2021.0)</f>
        <v>2021</v>
      </c>
      <c r="B150" s="12">
        <f>IFERROR(__xludf.DUMMYFUNCTION("""COMPUTED_VALUE"""),10.0)</f>
        <v>10</v>
      </c>
      <c r="C150" s="12">
        <f>IFERROR(__xludf.DUMMYFUNCTION("""COMPUTED_VALUE"""),4.0)</f>
        <v>4</v>
      </c>
      <c r="D150" s="12">
        <f>IFERROR(__xludf.DUMMYFUNCTION("""COMPUTED_VALUE"""),1003706.0)</f>
        <v>1003706</v>
      </c>
      <c r="E150" s="12">
        <f>IFERROR(__xludf.DUMMYFUNCTION("""COMPUTED_VALUE"""),2.0)</f>
        <v>2</v>
      </c>
      <c r="F150" s="12">
        <f>IFERROR(__xludf.DUMMYFUNCTION("""COMPUTED_VALUE"""),3.58)</f>
        <v>3.58</v>
      </c>
      <c r="G150" s="12">
        <f>IFERROR(__xludf.DUMMYFUNCTION("""COMPUTED_VALUE"""),0.0)</f>
        <v>0</v>
      </c>
      <c r="H150" s="12" t="str">
        <f>IFERROR(__xludf.DUMMYFUNCTION("""COMPUTED_VALUE"""),"Return")</f>
        <v>Return</v>
      </c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>
      <c r="A151" s="12">
        <f>IFERROR(__xludf.DUMMYFUNCTION("""COMPUTED_VALUE"""),2021.0)</f>
        <v>2021</v>
      </c>
      <c r="B151" s="12">
        <f>IFERROR(__xludf.DUMMYFUNCTION("""COMPUTED_VALUE"""),10.0)</f>
        <v>10</v>
      </c>
      <c r="C151" s="12">
        <f>IFERROR(__xludf.DUMMYFUNCTION("""COMPUTED_VALUE"""),5.0)</f>
        <v>5</v>
      </c>
      <c r="D151" s="12">
        <f>IFERROR(__xludf.DUMMYFUNCTION("""COMPUTED_VALUE"""),1003659.0)</f>
        <v>1003659</v>
      </c>
      <c r="E151" s="12">
        <f>IFERROR(__xludf.DUMMYFUNCTION("""COMPUTED_VALUE"""),2.0)</f>
        <v>2</v>
      </c>
      <c r="F151" s="12">
        <f>IFERROR(__xludf.DUMMYFUNCTION("""COMPUTED_VALUE"""),0.0)</f>
        <v>0</v>
      </c>
      <c r="G151" s="12">
        <f>IFERROR(__xludf.DUMMYFUNCTION("""COMPUTED_VALUE"""),5.0)</f>
        <v>5</v>
      </c>
      <c r="H151" s="12" t="str">
        <f>IFERROR(__xludf.DUMMYFUNCTION("""COMPUTED_VALUE"""),"Return")</f>
        <v>Return</v>
      </c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>
      <c r="A152" s="12">
        <f>IFERROR(__xludf.DUMMYFUNCTION("""COMPUTED_VALUE"""),2021.0)</f>
        <v>2021</v>
      </c>
      <c r="B152" s="12">
        <f>IFERROR(__xludf.DUMMYFUNCTION("""COMPUTED_VALUE"""),10.0)</f>
        <v>10</v>
      </c>
      <c r="C152" s="12">
        <f>IFERROR(__xludf.DUMMYFUNCTION("""COMPUTED_VALUE"""),5.0)</f>
        <v>5</v>
      </c>
      <c r="D152" s="12">
        <f>IFERROR(__xludf.DUMMYFUNCTION("""COMPUTED_VALUE"""),1003955.0)</f>
        <v>1003955</v>
      </c>
      <c r="E152" s="13">
        <f>IFERROR(__xludf.DUMMYFUNCTION("""COMPUTED_VALUE"""),0.06751311210253186)</f>
        <v>0.0675131121</v>
      </c>
      <c r="F152" s="12">
        <f>IFERROR(__xludf.DUMMYFUNCTION("""COMPUTED_VALUE"""),5.75)</f>
        <v>5.75</v>
      </c>
      <c r="G152" s="12">
        <f>IFERROR(__xludf.DUMMYFUNCTION("""COMPUTED_VALUE"""),0.0)</f>
        <v>0</v>
      </c>
      <c r="H152" s="12" t="str">
        <f>IFERROR(__xludf.DUMMYFUNCTION("""COMPUTED_VALUE"""),"Wrong product")</f>
        <v>Wrong product</v>
      </c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>
      <c r="A153" s="12">
        <f>IFERROR(__xludf.DUMMYFUNCTION("""COMPUTED_VALUE"""),2021.0)</f>
        <v>2021</v>
      </c>
      <c r="B153" s="12">
        <f>IFERROR(__xludf.DUMMYFUNCTION("""COMPUTED_VALUE"""),10.0)</f>
        <v>10</v>
      </c>
      <c r="C153" s="12">
        <f>IFERROR(__xludf.DUMMYFUNCTION("""COMPUTED_VALUE"""),5.0)</f>
        <v>5</v>
      </c>
      <c r="D153" s="12">
        <f>IFERROR(__xludf.DUMMYFUNCTION("""COMPUTED_VALUE"""),1003523.0)</f>
        <v>1003523</v>
      </c>
      <c r="E153" s="12">
        <f>IFERROR(__xludf.DUMMYFUNCTION("""COMPUTED_VALUE"""),2.0)</f>
        <v>2</v>
      </c>
      <c r="F153" s="12">
        <f>IFERROR(__xludf.DUMMYFUNCTION("""COMPUTED_VALUE"""),3.25)</f>
        <v>3.25</v>
      </c>
      <c r="G153" s="12">
        <f>IFERROR(__xludf.DUMMYFUNCTION("""COMPUTED_VALUE"""),0.0)</f>
        <v>0</v>
      </c>
      <c r="H153" s="12" t="str">
        <f>IFERROR(__xludf.DUMMYFUNCTION("""COMPUTED_VALUE"""),"Damage")</f>
        <v>Damage</v>
      </c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>
      <c r="A154" s="12">
        <f>IFERROR(__xludf.DUMMYFUNCTION("""COMPUTED_VALUE"""),2021.0)</f>
        <v>2021</v>
      </c>
      <c r="B154" s="12">
        <f>IFERROR(__xludf.DUMMYFUNCTION("""COMPUTED_VALUE"""),10.0)</f>
        <v>10</v>
      </c>
      <c r="C154" s="12">
        <f>IFERROR(__xludf.DUMMYFUNCTION("""COMPUTED_VALUE"""),5.0)</f>
        <v>5</v>
      </c>
      <c r="D154" s="12">
        <f>IFERROR(__xludf.DUMMYFUNCTION("""COMPUTED_VALUE"""),1003474.0)</f>
        <v>1003474</v>
      </c>
      <c r="E154" s="12">
        <f>IFERROR(__xludf.DUMMYFUNCTION("""COMPUTED_VALUE"""),2.0)</f>
        <v>2</v>
      </c>
      <c r="F154" s="12">
        <f>IFERROR(__xludf.DUMMYFUNCTION("""COMPUTED_VALUE"""),0.0)</f>
        <v>0</v>
      </c>
      <c r="G154" s="12">
        <f>IFERROR(__xludf.DUMMYFUNCTION("""COMPUTED_VALUE"""),0.0)</f>
        <v>0</v>
      </c>
      <c r="H154" s="12" t="str">
        <f>IFERROR(__xludf.DUMMYFUNCTION("""COMPUTED_VALUE"""),"Wrong product")</f>
        <v>Wrong product</v>
      </c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>
      <c r="A155" s="12">
        <f>IFERROR(__xludf.DUMMYFUNCTION("""COMPUTED_VALUE"""),2021.0)</f>
        <v>2021</v>
      </c>
      <c r="B155" s="12">
        <f>IFERROR(__xludf.DUMMYFUNCTION("""COMPUTED_VALUE"""),10.0)</f>
        <v>10</v>
      </c>
      <c r="C155" s="12">
        <f>IFERROR(__xludf.DUMMYFUNCTION("""COMPUTED_VALUE"""),5.0)</f>
        <v>5</v>
      </c>
      <c r="D155" s="12">
        <f>IFERROR(__xludf.DUMMYFUNCTION("""COMPUTED_VALUE"""),1003690.0)</f>
        <v>1003690</v>
      </c>
      <c r="E155" s="12">
        <f>IFERROR(__xludf.DUMMYFUNCTION("""COMPUTED_VALUE"""),1.0)</f>
        <v>1</v>
      </c>
      <c r="F155" s="12">
        <f>IFERROR(__xludf.DUMMYFUNCTION("""COMPUTED_VALUE"""),0.0)</f>
        <v>0</v>
      </c>
      <c r="G155" s="12">
        <f>IFERROR(__xludf.DUMMYFUNCTION("""COMPUTED_VALUE"""),8.35)</f>
        <v>8.35</v>
      </c>
      <c r="H155" s="12" t="str">
        <f>IFERROR(__xludf.DUMMYFUNCTION("""COMPUTED_VALUE"""),"Return")</f>
        <v>Return</v>
      </c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>
      <c r="A156" s="12">
        <f>IFERROR(__xludf.DUMMYFUNCTION("""COMPUTED_VALUE"""),2021.0)</f>
        <v>2021</v>
      </c>
      <c r="B156" s="12">
        <f>IFERROR(__xludf.DUMMYFUNCTION("""COMPUTED_VALUE"""),10.0)</f>
        <v>10</v>
      </c>
      <c r="C156" s="12">
        <f>IFERROR(__xludf.DUMMYFUNCTION("""COMPUTED_VALUE"""),5.0)</f>
        <v>5</v>
      </c>
      <c r="D156" s="12">
        <f>IFERROR(__xludf.DUMMYFUNCTION("""COMPUTED_VALUE"""),1003542.0)</f>
        <v>1003542</v>
      </c>
      <c r="E156" s="13">
        <f>IFERROR(__xludf.DUMMYFUNCTION("""COMPUTED_VALUE"""),0.20990658130717954)</f>
        <v>0.2099065813</v>
      </c>
      <c r="F156" s="12">
        <f>IFERROR(__xludf.DUMMYFUNCTION("""COMPUTED_VALUE"""),0.0)</f>
        <v>0</v>
      </c>
      <c r="G156" s="12">
        <f>IFERROR(__xludf.DUMMYFUNCTION("""COMPUTED_VALUE"""),0.0)</f>
        <v>0</v>
      </c>
      <c r="H156" s="12" t="str">
        <f>IFERROR(__xludf.DUMMYFUNCTION("""COMPUTED_VALUE"""),"Damage")</f>
        <v>Damage</v>
      </c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>
      <c r="A157" s="12">
        <f>IFERROR(__xludf.DUMMYFUNCTION("""COMPUTED_VALUE"""),2021.0)</f>
        <v>2021</v>
      </c>
      <c r="B157" s="12">
        <f>IFERROR(__xludf.DUMMYFUNCTION("""COMPUTED_VALUE"""),10.0)</f>
        <v>10</v>
      </c>
      <c r="C157" s="12">
        <f>IFERROR(__xludf.DUMMYFUNCTION("""COMPUTED_VALUE"""),5.0)</f>
        <v>5</v>
      </c>
      <c r="D157" s="12">
        <f>IFERROR(__xludf.DUMMYFUNCTION("""COMPUTED_VALUE"""),1003978.0)</f>
        <v>1003978</v>
      </c>
      <c r="E157" s="12">
        <f>IFERROR(__xludf.DUMMYFUNCTION("""COMPUTED_VALUE"""),5.0)</f>
        <v>5</v>
      </c>
      <c r="F157" s="12">
        <f>IFERROR(__xludf.DUMMYFUNCTION("""COMPUTED_VALUE"""),0.0)</f>
        <v>0</v>
      </c>
      <c r="G157" s="12">
        <f>IFERROR(__xludf.DUMMYFUNCTION("""COMPUTED_VALUE"""),0.0)</f>
        <v>0</v>
      </c>
      <c r="H157" s="12" t="str">
        <f>IFERROR(__xludf.DUMMYFUNCTION("""COMPUTED_VALUE"""),"Return")</f>
        <v>Return</v>
      </c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>
      <c r="A158" s="12">
        <f>IFERROR(__xludf.DUMMYFUNCTION("""COMPUTED_VALUE"""),2021.0)</f>
        <v>2021</v>
      </c>
      <c r="B158" s="12">
        <f>IFERROR(__xludf.DUMMYFUNCTION("""COMPUTED_VALUE"""),10.0)</f>
        <v>10</v>
      </c>
      <c r="C158" s="12">
        <f>IFERROR(__xludf.DUMMYFUNCTION("""COMPUTED_VALUE"""),5.0)</f>
        <v>5</v>
      </c>
      <c r="D158" s="12">
        <f>IFERROR(__xludf.DUMMYFUNCTION("""COMPUTED_VALUE"""),1003813.0)</f>
        <v>1003813</v>
      </c>
      <c r="E158" s="12">
        <f>IFERROR(__xludf.DUMMYFUNCTION("""COMPUTED_VALUE"""),2.0)</f>
        <v>2</v>
      </c>
      <c r="F158" s="12">
        <f>IFERROR(__xludf.DUMMYFUNCTION("""COMPUTED_VALUE"""),0.0)</f>
        <v>0</v>
      </c>
      <c r="G158" s="12">
        <f>IFERROR(__xludf.DUMMYFUNCTION("""COMPUTED_VALUE"""),0.0)</f>
        <v>0</v>
      </c>
      <c r="H158" s="12" t="str">
        <f>IFERROR(__xludf.DUMMYFUNCTION("""COMPUTED_VALUE"""),"Return")</f>
        <v>Return</v>
      </c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>
      <c r="A159" s="12">
        <f>IFERROR(__xludf.DUMMYFUNCTION("""COMPUTED_VALUE"""),2021.0)</f>
        <v>2021</v>
      </c>
      <c r="B159" s="12">
        <f>IFERROR(__xludf.DUMMYFUNCTION("""COMPUTED_VALUE"""),10.0)</f>
        <v>10</v>
      </c>
      <c r="C159" s="12">
        <f>IFERROR(__xludf.DUMMYFUNCTION("""COMPUTED_VALUE"""),5.0)</f>
        <v>5</v>
      </c>
      <c r="D159" s="12">
        <f>IFERROR(__xludf.DUMMYFUNCTION("""COMPUTED_VALUE"""),1003653.0)</f>
        <v>1003653</v>
      </c>
      <c r="E159" s="12">
        <f>IFERROR(__xludf.DUMMYFUNCTION("""COMPUTED_VALUE"""),3.0)</f>
        <v>3</v>
      </c>
      <c r="F159" s="12">
        <f>IFERROR(__xludf.DUMMYFUNCTION("""COMPUTED_VALUE"""),0.0)</f>
        <v>0</v>
      </c>
      <c r="G159" s="12">
        <f>IFERROR(__xludf.DUMMYFUNCTION("""COMPUTED_VALUE"""),0.0)</f>
        <v>0</v>
      </c>
      <c r="H159" s="12" t="str">
        <f>IFERROR(__xludf.DUMMYFUNCTION("""COMPUTED_VALUE"""),"Wrong product")</f>
        <v>Wrong product</v>
      </c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>
      <c r="A160" s="12">
        <f>IFERROR(__xludf.DUMMYFUNCTION("""COMPUTED_VALUE"""),2021.0)</f>
        <v>2021</v>
      </c>
      <c r="B160" s="12">
        <f>IFERROR(__xludf.DUMMYFUNCTION("""COMPUTED_VALUE"""),10.0)</f>
        <v>10</v>
      </c>
      <c r="C160" s="12">
        <f>IFERROR(__xludf.DUMMYFUNCTION("""COMPUTED_VALUE"""),5.0)</f>
        <v>5</v>
      </c>
      <c r="D160" s="12">
        <f>IFERROR(__xludf.DUMMYFUNCTION("""COMPUTED_VALUE"""),1003551.0)</f>
        <v>1003551</v>
      </c>
      <c r="E160" s="12">
        <f>IFERROR(__xludf.DUMMYFUNCTION("""COMPUTED_VALUE"""),3.0)</f>
        <v>3</v>
      </c>
      <c r="F160" s="12">
        <f>IFERROR(__xludf.DUMMYFUNCTION("""COMPUTED_VALUE"""),5.75)</f>
        <v>5.75</v>
      </c>
      <c r="G160" s="12">
        <f>IFERROR(__xludf.DUMMYFUNCTION("""COMPUTED_VALUE"""),0.0)</f>
        <v>0</v>
      </c>
      <c r="H160" s="12" t="str">
        <f>IFERROR(__xludf.DUMMYFUNCTION("""COMPUTED_VALUE"""),"Damage")</f>
        <v>Damage</v>
      </c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>
      <c r="A161" s="12">
        <f>IFERROR(__xludf.DUMMYFUNCTION("""COMPUTED_VALUE"""),2021.0)</f>
        <v>2021</v>
      </c>
      <c r="B161" s="12">
        <f>IFERROR(__xludf.DUMMYFUNCTION("""COMPUTED_VALUE"""),10.0)</f>
        <v>10</v>
      </c>
      <c r="C161" s="12">
        <f>IFERROR(__xludf.DUMMYFUNCTION("""COMPUTED_VALUE"""),5.0)</f>
        <v>5</v>
      </c>
      <c r="D161" s="12">
        <f>IFERROR(__xludf.DUMMYFUNCTION("""COMPUTED_VALUE"""),1003619.0)</f>
        <v>1003619</v>
      </c>
      <c r="E161" s="12">
        <f>IFERROR(__xludf.DUMMYFUNCTION("""COMPUTED_VALUE"""),1.0)</f>
        <v>1</v>
      </c>
      <c r="F161" s="12">
        <f>IFERROR(__xludf.DUMMYFUNCTION("""COMPUTED_VALUE"""),3.25)</f>
        <v>3.25</v>
      </c>
      <c r="G161" s="12">
        <f>IFERROR(__xludf.DUMMYFUNCTION("""COMPUTED_VALUE"""),0.0)</f>
        <v>0</v>
      </c>
      <c r="H161" s="12" t="str">
        <f>IFERROR(__xludf.DUMMYFUNCTION("""COMPUTED_VALUE"""),"Wrong product")</f>
        <v>Wrong product</v>
      </c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>
      <c r="A162" s="12">
        <f>IFERROR(__xludf.DUMMYFUNCTION("""COMPUTED_VALUE"""),2021.0)</f>
        <v>2021</v>
      </c>
      <c r="B162" s="12">
        <f>IFERROR(__xludf.DUMMYFUNCTION("""COMPUTED_VALUE"""),10.0)</f>
        <v>10</v>
      </c>
      <c r="C162" s="12">
        <f>IFERROR(__xludf.DUMMYFUNCTION("""COMPUTED_VALUE"""),5.0)</f>
        <v>5</v>
      </c>
      <c r="D162" s="12">
        <f>IFERROR(__xludf.DUMMYFUNCTION("""COMPUTED_VALUE"""),1003804.0)</f>
        <v>1003804</v>
      </c>
      <c r="E162" s="12">
        <f>IFERROR(__xludf.DUMMYFUNCTION("""COMPUTED_VALUE"""),1.0)</f>
        <v>1</v>
      </c>
      <c r="F162" s="12">
        <f>IFERROR(__xludf.DUMMYFUNCTION("""COMPUTED_VALUE"""),0.94)</f>
        <v>0.94</v>
      </c>
      <c r="G162" s="12">
        <f>IFERROR(__xludf.DUMMYFUNCTION("""COMPUTED_VALUE"""),10.0)</f>
        <v>10</v>
      </c>
      <c r="H162" s="12" t="str">
        <f>IFERROR(__xludf.DUMMYFUNCTION("""COMPUTED_VALUE"""),"Return")</f>
        <v>Return</v>
      </c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>
      <c r="A163" s="12">
        <f>IFERROR(__xludf.DUMMYFUNCTION("""COMPUTED_VALUE"""),2021.0)</f>
        <v>2021</v>
      </c>
      <c r="B163" s="12">
        <f>IFERROR(__xludf.DUMMYFUNCTION("""COMPUTED_VALUE"""),10.0)</f>
        <v>10</v>
      </c>
      <c r="C163" s="12">
        <f>IFERROR(__xludf.DUMMYFUNCTION("""COMPUTED_VALUE"""),5.0)</f>
        <v>5</v>
      </c>
      <c r="D163" s="12">
        <f>IFERROR(__xludf.DUMMYFUNCTION("""COMPUTED_VALUE"""),1003482.0)</f>
        <v>1003482</v>
      </c>
      <c r="E163" s="12">
        <f>IFERROR(__xludf.DUMMYFUNCTION("""COMPUTED_VALUE"""),4.0)</f>
        <v>4</v>
      </c>
      <c r="F163" s="12">
        <f>IFERROR(__xludf.DUMMYFUNCTION("""COMPUTED_VALUE"""),0.0)</f>
        <v>0</v>
      </c>
      <c r="G163" s="12">
        <f>IFERROR(__xludf.DUMMYFUNCTION("""COMPUTED_VALUE"""),0.0)</f>
        <v>0</v>
      </c>
      <c r="H163" s="12" t="str">
        <f>IFERROR(__xludf.DUMMYFUNCTION("""COMPUTED_VALUE"""),"Damage")</f>
        <v>Damage</v>
      </c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>
      <c r="A164" s="12">
        <f>IFERROR(__xludf.DUMMYFUNCTION("""COMPUTED_VALUE"""),2021.0)</f>
        <v>2021</v>
      </c>
      <c r="B164" s="12">
        <f>IFERROR(__xludf.DUMMYFUNCTION("""COMPUTED_VALUE"""),10.0)</f>
        <v>10</v>
      </c>
      <c r="C164" s="12">
        <f>IFERROR(__xludf.DUMMYFUNCTION("""COMPUTED_VALUE"""),5.0)</f>
        <v>5</v>
      </c>
      <c r="D164" s="12">
        <f>IFERROR(__xludf.DUMMYFUNCTION("""COMPUTED_VALUE"""),1003515.0)</f>
        <v>1003515</v>
      </c>
      <c r="E164" s="13">
        <f>IFERROR(__xludf.DUMMYFUNCTION("""COMPUTED_VALUE"""),0.8027852750014013)</f>
        <v>0.802785275</v>
      </c>
      <c r="F164" s="12">
        <f>IFERROR(__xludf.DUMMYFUNCTION("""COMPUTED_VALUE"""),0.0)</f>
        <v>0</v>
      </c>
      <c r="G164" s="12">
        <f>IFERROR(__xludf.DUMMYFUNCTION("""COMPUTED_VALUE"""),0.0)</f>
        <v>0</v>
      </c>
      <c r="H164" s="12" t="str">
        <f>IFERROR(__xludf.DUMMYFUNCTION("""COMPUTED_VALUE"""),"Wrong product")</f>
        <v>Wrong product</v>
      </c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>
      <c r="A165" s="12">
        <f>IFERROR(__xludf.DUMMYFUNCTION("""COMPUTED_VALUE"""),2021.0)</f>
        <v>2021</v>
      </c>
      <c r="B165" s="12">
        <f>IFERROR(__xludf.DUMMYFUNCTION("""COMPUTED_VALUE"""),10.0)</f>
        <v>10</v>
      </c>
      <c r="C165" s="12">
        <f>IFERROR(__xludf.DUMMYFUNCTION("""COMPUTED_VALUE"""),5.0)</f>
        <v>5</v>
      </c>
      <c r="D165" s="12">
        <f>IFERROR(__xludf.DUMMYFUNCTION("""COMPUTED_VALUE"""),1003363.0)</f>
        <v>1003363</v>
      </c>
      <c r="E165" s="12">
        <f>IFERROR(__xludf.DUMMYFUNCTION("""COMPUTED_VALUE"""),2.0)</f>
        <v>2</v>
      </c>
      <c r="F165" s="12">
        <f>IFERROR(__xludf.DUMMYFUNCTION("""COMPUTED_VALUE"""),0.0)</f>
        <v>0</v>
      </c>
      <c r="G165" s="12">
        <f>IFERROR(__xludf.DUMMYFUNCTION("""COMPUTED_VALUE"""),0.0)</f>
        <v>0</v>
      </c>
      <c r="H165" s="12" t="str">
        <f>IFERROR(__xludf.DUMMYFUNCTION("""COMPUTED_VALUE"""),"Damage")</f>
        <v>Damage</v>
      </c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>
      <c r="A166" s="12">
        <f>IFERROR(__xludf.DUMMYFUNCTION("""COMPUTED_VALUE"""),2021.0)</f>
        <v>2021</v>
      </c>
      <c r="B166" s="12">
        <f>IFERROR(__xludf.DUMMYFUNCTION("""COMPUTED_VALUE"""),10.0)</f>
        <v>10</v>
      </c>
      <c r="C166" s="12">
        <f>IFERROR(__xludf.DUMMYFUNCTION("""COMPUTED_VALUE"""),5.0)</f>
        <v>5</v>
      </c>
      <c r="D166" s="12">
        <f>IFERROR(__xludf.DUMMYFUNCTION("""COMPUTED_VALUE"""),1003751.0)</f>
        <v>1003751</v>
      </c>
      <c r="E166" s="12">
        <f>IFERROR(__xludf.DUMMYFUNCTION("""COMPUTED_VALUE"""),3.0)</f>
        <v>3</v>
      </c>
      <c r="F166" s="12">
        <f>IFERROR(__xludf.DUMMYFUNCTION("""COMPUTED_VALUE"""),0.0)</f>
        <v>0</v>
      </c>
      <c r="G166" s="12">
        <f>IFERROR(__xludf.DUMMYFUNCTION("""COMPUTED_VALUE"""),0.0)</f>
        <v>0</v>
      </c>
      <c r="H166" s="12" t="str">
        <f>IFERROR(__xludf.DUMMYFUNCTION("""COMPUTED_VALUE"""),"Damage")</f>
        <v>Damage</v>
      </c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>
      <c r="A167" s="12">
        <f>IFERROR(__xludf.DUMMYFUNCTION("""COMPUTED_VALUE"""),2021.0)</f>
        <v>2021</v>
      </c>
      <c r="B167" s="12">
        <f>IFERROR(__xludf.DUMMYFUNCTION("""COMPUTED_VALUE"""),10.0)</f>
        <v>10</v>
      </c>
      <c r="C167" s="12">
        <f>IFERROR(__xludf.DUMMYFUNCTION("""COMPUTED_VALUE"""),5.0)</f>
        <v>5</v>
      </c>
      <c r="D167" s="12">
        <f>IFERROR(__xludf.DUMMYFUNCTION("""COMPUTED_VALUE"""),1003577.0)</f>
        <v>1003577</v>
      </c>
      <c r="E167" s="12">
        <f>IFERROR(__xludf.DUMMYFUNCTION("""COMPUTED_VALUE"""),8.0)</f>
        <v>8</v>
      </c>
      <c r="F167" s="12">
        <f>IFERROR(__xludf.DUMMYFUNCTION("""COMPUTED_VALUE"""),0.0)</f>
        <v>0</v>
      </c>
      <c r="G167" s="12">
        <f>IFERROR(__xludf.DUMMYFUNCTION("""COMPUTED_VALUE"""),0.0)</f>
        <v>0</v>
      </c>
      <c r="H167" s="12" t="str">
        <f>IFERROR(__xludf.DUMMYFUNCTION("""COMPUTED_VALUE"""),"Wrong product")</f>
        <v>Wrong product</v>
      </c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>
      <c r="A168" s="12">
        <f>IFERROR(__xludf.DUMMYFUNCTION("""COMPUTED_VALUE"""),2021.0)</f>
        <v>2021</v>
      </c>
      <c r="B168" s="12">
        <f>IFERROR(__xludf.DUMMYFUNCTION("""COMPUTED_VALUE"""),10.0)</f>
        <v>10</v>
      </c>
      <c r="C168" s="12">
        <f>IFERROR(__xludf.DUMMYFUNCTION("""COMPUTED_VALUE"""),5.0)</f>
        <v>5</v>
      </c>
      <c r="D168" s="12">
        <f>IFERROR(__xludf.DUMMYFUNCTION("""COMPUTED_VALUE"""),1003628.0)</f>
        <v>1003628</v>
      </c>
      <c r="E168" s="12">
        <f>IFERROR(__xludf.DUMMYFUNCTION("""COMPUTED_VALUE"""),12.0)</f>
        <v>12</v>
      </c>
      <c r="F168" s="12">
        <f>IFERROR(__xludf.DUMMYFUNCTION("""COMPUTED_VALUE"""),3.25)</f>
        <v>3.25</v>
      </c>
      <c r="G168" s="12">
        <f>IFERROR(__xludf.DUMMYFUNCTION("""COMPUTED_VALUE"""),0.0)</f>
        <v>0</v>
      </c>
      <c r="H168" s="12" t="str">
        <f>IFERROR(__xludf.DUMMYFUNCTION("""COMPUTED_VALUE"""),"Wrong product")</f>
        <v>Wrong product</v>
      </c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>
      <c r="A169" s="12">
        <f>IFERROR(__xludf.DUMMYFUNCTION("""COMPUTED_VALUE"""),2021.0)</f>
        <v>2021</v>
      </c>
      <c r="B169" s="12">
        <f>IFERROR(__xludf.DUMMYFUNCTION("""COMPUTED_VALUE"""),10.0)</f>
        <v>10</v>
      </c>
      <c r="C169" s="12">
        <f>IFERROR(__xludf.DUMMYFUNCTION("""COMPUTED_VALUE"""),5.0)</f>
        <v>5</v>
      </c>
      <c r="D169" s="12">
        <f>IFERROR(__xludf.DUMMYFUNCTION("""COMPUTED_VALUE"""),1003762.0)</f>
        <v>1003762</v>
      </c>
      <c r="E169" s="12">
        <f>IFERROR(__xludf.DUMMYFUNCTION("""COMPUTED_VALUE"""),3.0)</f>
        <v>3</v>
      </c>
      <c r="F169" s="12">
        <f>IFERROR(__xludf.DUMMYFUNCTION("""COMPUTED_VALUE"""),0.0)</f>
        <v>0</v>
      </c>
      <c r="G169" s="12">
        <f>IFERROR(__xludf.DUMMYFUNCTION("""COMPUTED_VALUE"""),10.0)</f>
        <v>10</v>
      </c>
      <c r="H169" s="12" t="str">
        <f>IFERROR(__xludf.DUMMYFUNCTION("""COMPUTED_VALUE"""),"Return")</f>
        <v>Return</v>
      </c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>
      <c r="A170" s="12">
        <f>IFERROR(__xludf.DUMMYFUNCTION("""COMPUTED_VALUE"""),2021.0)</f>
        <v>2021</v>
      </c>
      <c r="B170" s="12">
        <f>IFERROR(__xludf.DUMMYFUNCTION("""COMPUTED_VALUE"""),10.0)</f>
        <v>10</v>
      </c>
      <c r="C170" s="12">
        <f>IFERROR(__xludf.DUMMYFUNCTION("""COMPUTED_VALUE"""),5.0)</f>
        <v>5</v>
      </c>
      <c r="D170" s="12">
        <f>IFERROR(__xludf.DUMMYFUNCTION("""COMPUTED_VALUE"""),1003985.0)</f>
        <v>1003985</v>
      </c>
      <c r="E170" s="12">
        <f>IFERROR(__xludf.DUMMYFUNCTION("""COMPUTED_VALUE"""),2.0)</f>
        <v>2</v>
      </c>
      <c r="F170" s="12">
        <f>IFERROR(__xludf.DUMMYFUNCTION("""COMPUTED_VALUE"""),0.0)</f>
        <v>0</v>
      </c>
      <c r="G170" s="12">
        <f>IFERROR(__xludf.DUMMYFUNCTION("""COMPUTED_VALUE"""),0.0)</f>
        <v>0</v>
      </c>
      <c r="H170" s="12" t="str">
        <f>IFERROR(__xludf.DUMMYFUNCTION("""COMPUTED_VALUE"""),"Wrong product")</f>
        <v>Wrong product</v>
      </c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>
      <c r="A171" s="12">
        <f>IFERROR(__xludf.DUMMYFUNCTION("""COMPUTED_VALUE"""),2021.0)</f>
        <v>2021</v>
      </c>
      <c r="B171" s="12">
        <f>IFERROR(__xludf.DUMMYFUNCTION("""COMPUTED_VALUE"""),10.0)</f>
        <v>10</v>
      </c>
      <c r="C171" s="12">
        <f>IFERROR(__xludf.DUMMYFUNCTION("""COMPUTED_VALUE"""),5.0)</f>
        <v>5</v>
      </c>
      <c r="D171" s="12">
        <f>IFERROR(__xludf.DUMMYFUNCTION("""COMPUTED_VALUE"""),1003676.0)</f>
        <v>1003676</v>
      </c>
      <c r="E171" s="12">
        <f>IFERROR(__xludf.DUMMYFUNCTION("""COMPUTED_VALUE"""),2.0)</f>
        <v>2</v>
      </c>
      <c r="F171" s="12">
        <f>IFERROR(__xludf.DUMMYFUNCTION("""COMPUTED_VALUE"""),0.0)</f>
        <v>0</v>
      </c>
      <c r="G171" s="12">
        <f>IFERROR(__xludf.DUMMYFUNCTION("""COMPUTED_VALUE"""),0.0)</f>
        <v>0</v>
      </c>
      <c r="H171" s="12" t="str">
        <f>IFERROR(__xludf.DUMMYFUNCTION("""COMPUTED_VALUE"""),"Wrong product")</f>
        <v>Wrong product</v>
      </c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>
      <c r="A172" s="12">
        <f>IFERROR(__xludf.DUMMYFUNCTION("""COMPUTED_VALUE"""),2021.0)</f>
        <v>2021</v>
      </c>
      <c r="B172" s="12">
        <f>IFERROR(__xludf.DUMMYFUNCTION("""COMPUTED_VALUE"""),10.0)</f>
        <v>10</v>
      </c>
      <c r="C172" s="12">
        <f>IFERROR(__xludf.DUMMYFUNCTION("""COMPUTED_VALUE"""),5.0)</f>
        <v>5</v>
      </c>
      <c r="D172" s="12">
        <f>IFERROR(__xludf.DUMMYFUNCTION("""COMPUTED_VALUE"""),1003670.0)</f>
        <v>1003670</v>
      </c>
      <c r="E172" s="12">
        <f>IFERROR(__xludf.DUMMYFUNCTION("""COMPUTED_VALUE"""),3.0)</f>
        <v>3</v>
      </c>
      <c r="F172" s="12">
        <f>IFERROR(__xludf.DUMMYFUNCTION("""COMPUTED_VALUE"""),0.0)</f>
        <v>0</v>
      </c>
      <c r="G172" s="12">
        <f>IFERROR(__xludf.DUMMYFUNCTION("""COMPUTED_VALUE"""),0.0)</f>
        <v>0</v>
      </c>
      <c r="H172" s="12" t="str">
        <f>IFERROR(__xludf.DUMMYFUNCTION("""COMPUTED_VALUE"""),"Return")</f>
        <v>Return</v>
      </c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>
      <c r="A173" s="12">
        <f>IFERROR(__xludf.DUMMYFUNCTION("""COMPUTED_VALUE"""),2021.0)</f>
        <v>2021</v>
      </c>
      <c r="B173" s="12">
        <f>IFERROR(__xludf.DUMMYFUNCTION("""COMPUTED_VALUE"""),10.0)</f>
        <v>10</v>
      </c>
      <c r="C173" s="12">
        <f>IFERROR(__xludf.DUMMYFUNCTION("""COMPUTED_VALUE"""),5.0)</f>
        <v>5</v>
      </c>
      <c r="D173" s="12">
        <f>IFERROR(__xludf.DUMMYFUNCTION("""COMPUTED_VALUE"""),1003856.0)</f>
        <v>1003856</v>
      </c>
      <c r="E173" s="12">
        <f>IFERROR(__xludf.DUMMYFUNCTION("""COMPUTED_VALUE"""),1.0)</f>
        <v>1</v>
      </c>
      <c r="F173" s="12">
        <f>IFERROR(__xludf.DUMMYFUNCTION("""COMPUTED_VALUE"""),0.0)</f>
        <v>0</v>
      </c>
      <c r="G173" s="12">
        <f>IFERROR(__xludf.DUMMYFUNCTION("""COMPUTED_VALUE"""),0.0)</f>
        <v>0</v>
      </c>
      <c r="H173" s="12" t="str">
        <f>IFERROR(__xludf.DUMMYFUNCTION("""COMPUTED_VALUE"""),"Damage")</f>
        <v>Damage</v>
      </c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>
      <c r="A174" s="12">
        <f>IFERROR(__xludf.DUMMYFUNCTION("""COMPUTED_VALUE"""),2021.0)</f>
        <v>2021</v>
      </c>
      <c r="B174" s="12">
        <f>IFERROR(__xludf.DUMMYFUNCTION("""COMPUTED_VALUE"""),10.0)</f>
        <v>10</v>
      </c>
      <c r="C174" s="12">
        <f>IFERROR(__xludf.DUMMYFUNCTION("""COMPUTED_VALUE"""),5.0)</f>
        <v>5</v>
      </c>
      <c r="D174" s="12">
        <f>IFERROR(__xludf.DUMMYFUNCTION("""COMPUTED_VALUE"""),1003417.0)</f>
        <v>1003417</v>
      </c>
      <c r="E174" s="12">
        <f>IFERROR(__xludf.DUMMYFUNCTION("""COMPUTED_VALUE"""),9.0)</f>
        <v>9</v>
      </c>
      <c r="F174" s="12">
        <f>IFERROR(__xludf.DUMMYFUNCTION("""COMPUTED_VALUE"""),0.0)</f>
        <v>0</v>
      </c>
      <c r="G174" s="12">
        <f>IFERROR(__xludf.DUMMYFUNCTION("""COMPUTED_VALUE"""),0.0)</f>
        <v>0</v>
      </c>
      <c r="H174" s="12" t="str">
        <f>IFERROR(__xludf.DUMMYFUNCTION("""COMPUTED_VALUE"""),"Return")</f>
        <v>Return</v>
      </c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>
      <c r="A175" s="12">
        <f>IFERROR(__xludf.DUMMYFUNCTION("""COMPUTED_VALUE"""),2021.0)</f>
        <v>2021</v>
      </c>
      <c r="B175" s="12">
        <f>IFERROR(__xludf.DUMMYFUNCTION("""COMPUTED_VALUE"""),10.0)</f>
        <v>10</v>
      </c>
      <c r="C175" s="12">
        <f>IFERROR(__xludf.DUMMYFUNCTION("""COMPUTED_VALUE"""),5.0)</f>
        <v>5</v>
      </c>
      <c r="D175" s="12">
        <f>IFERROR(__xludf.DUMMYFUNCTION("""COMPUTED_VALUE"""),1003691.0)</f>
        <v>1003691</v>
      </c>
      <c r="E175" s="12">
        <f>IFERROR(__xludf.DUMMYFUNCTION("""COMPUTED_VALUE"""),2.0)</f>
        <v>2</v>
      </c>
      <c r="F175" s="12">
        <f>IFERROR(__xludf.DUMMYFUNCTION("""COMPUTED_VALUE"""),3.55)</f>
        <v>3.55</v>
      </c>
      <c r="G175" s="12">
        <f>IFERROR(__xludf.DUMMYFUNCTION("""COMPUTED_VALUE"""),0.0)</f>
        <v>0</v>
      </c>
      <c r="H175" s="12" t="str">
        <f>IFERROR(__xludf.DUMMYFUNCTION("""COMPUTED_VALUE"""),"Damage")</f>
        <v>Damage</v>
      </c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>
      <c r="A176" s="12">
        <f>IFERROR(__xludf.DUMMYFUNCTION("""COMPUTED_VALUE"""),2021.0)</f>
        <v>2021</v>
      </c>
      <c r="B176" s="12">
        <f>IFERROR(__xludf.DUMMYFUNCTION("""COMPUTED_VALUE"""),10.0)</f>
        <v>10</v>
      </c>
      <c r="C176" s="12">
        <f>IFERROR(__xludf.DUMMYFUNCTION("""COMPUTED_VALUE"""),5.0)</f>
        <v>5</v>
      </c>
      <c r="D176" s="12">
        <f>IFERROR(__xludf.DUMMYFUNCTION("""COMPUTED_VALUE"""),1003382.0)</f>
        <v>1003382</v>
      </c>
      <c r="E176" s="12">
        <f>IFERROR(__xludf.DUMMYFUNCTION("""COMPUTED_VALUE"""),6.0)</f>
        <v>6</v>
      </c>
      <c r="F176" s="12">
        <f>IFERROR(__xludf.DUMMYFUNCTION("""COMPUTED_VALUE"""),0.0)</f>
        <v>0</v>
      </c>
      <c r="G176" s="12">
        <f>IFERROR(__xludf.DUMMYFUNCTION("""COMPUTED_VALUE"""),0.0)</f>
        <v>0</v>
      </c>
      <c r="H176" s="12" t="str">
        <f>IFERROR(__xludf.DUMMYFUNCTION("""COMPUTED_VALUE"""),"Damage")</f>
        <v>Damage</v>
      </c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>
      <c r="A177" s="12">
        <f>IFERROR(__xludf.DUMMYFUNCTION("""COMPUTED_VALUE"""),2021.0)</f>
        <v>2021</v>
      </c>
      <c r="B177" s="12">
        <f>IFERROR(__xludf.DUMMYFUNCTION("""COMPUTED_VALUE"""),10.0)</f>
        <v>10</v>
      </c>
      <c r="C177" s="12">
        <f>IFERROR(__xludf.DUMMYFUNCTION("""COMPUTED_VALUE"""),5.0)</f>
        <v>5</v>
      </c>
      <c r="D177" s="12">
        <f>IFERROR(__xludf.DUMMYFUNCTION("""COMPUTED_VALUE"""),1003589.0)</f>
        <v>1003589</v>
      </c>
      <c r="E177" s="12">
        <f>IFERROR(__xludf.DUMMYFUNCTION("""COMPUTED_VALUE"""),3.0)</f>
        <v>3</v>
      </c>
      <c r="F177" s="12">
        <f>IFERROR(__xludf.DUMMYFUNCTION("""COMPUTED_VALUE"""),0.0)</f>
        <v>0</v>
      </c>
      <c r="G177" s="12">
        <f>IFERROR(__xludf.DUMMYFUNCTION("""COMPUTED_VALUE"""),0.0)</f>
        <v>0</v>
      </c>
      <c r="H177" s="12" t="str">
        <f>IFERROR(__xludf.DUMMYFUNCTION("""COMPUTED_VALUE"""),"Damage")</f>
        <v>Damage</v>
      </c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>
      <c r="A178" s="12">
        <f>IFERROR(__xludf.DUMMYFUNCTION("""COMPUTED_VALUE"""),2021.0)</f>
        <v>2021</v>
      </c>
      <c r="B178" s="12">
        <f>IFERROR(__xludf.DUMMYFUNCTION("""COMPUTED_VALUE"""),10.0)</f>
        <v>10</v>
      </c>
      <c r="C178" s="12">
        <f>IFERROR(__xludf.DUMMYFUNCTION("""COMPUTED_VALUE"""),5.0)</f>
        <v>5</v>
      </c>
      <c r="D178" s="12">
        <f>IFERROR(__xludf.DUMMYFUNCTION("""COMPUTED_VALUE"""),1003868.0)</f>
        <v>1003868</v>
      </c>
      <c r="E178" s="12">
        <f>IFERROR(__xludf.DUMMYFUNCTION("""COMPUTED_VALUE"""),3.0)</f>
        <v>3</v>
      </c>
      <c r="F178" s="12">
        <f>IFERROR(__xludf.DUMMYFUNCTION("""COMPUTED_VALUE"""),0.0)</f>
        <v>0</v>
      </c>
      <c r="G178" s="12">
        <f>IFERROR(__xludf.DUMMYFUNCTION("""COMPUTED_VALUE"""),0.0)</f>
        <v>0</v>
      </c>
      <c r="H178" s="12" t="str">
        <f>IFERROR(__xludf.DUMMYFUNCTION("""COMPUTED_VALUE"""),"Wrong product")</f>
        <v>Wrong product</v>
      </c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>
      <c r="A179" s="12">
        <f>IFERROR(__xludf.DUMMYFUNCTION("""COMPUTED_VALUE"""),2021.0)</f>
        <v>2021</v>
      </c>
      <c r="B179" s="12">
        <f>IFERROR(__xludf.DUMMYFUNCTION("""COMPUTED_VALUE"""),10.0)</f>
        <v>10</v>
      </c>
      <c r="C179" s="12">
        <f>IFERROR(__xludf.DUMMYFUNCTION("""COMPUTED_VALUE"""),5.0)</f>
        <v>5</v>
      </c>
      <c r="D179" s="12">
        <f>IFERROR(__xludf.DUMMYFUNCTION("""COMPUTED_VALUE"""),1003438.0)</f>
        <v>1003438</v>
      </c>
      <c r="E179" s="13">
        <f>IFERROR(__xludf.DUMMYFUNCTION("""COMPUTED_VALUE"""),0.15438023042713223)</f>
        <v>0.1543802304</v>
      </c>
      <c r="F179" s="12">
        <f>IFERROR(__xludf.DUMMYFUNCTION("""COMPUTED_VALUE"""),0.0)</f>
        <v>0</v>
      </c>
      <c r="G179" s="12">
        <f>IFERROR(__xludf.DUMMYFUNCTION("""COMPUTED_VALUE"""),0.0)</f>
        <v>0</v>
      </c>
      <c r="H179" s="12" t="str">
        <f>IFERROR(__xludf.DUMMYFUNCTION("""COMPUTED_VALUE"""),"Damage")</f>
        <v>Damage</v>
      </c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>
      <c r="A180" s="12">
        <f>IFERROR(__xludf.DUMMYFUNCTION("""COMPUTED_VALUE"""),2021.0)</f>
        <v>2021</v>
      </c>
      <c r="B180" s="12">
        <f>IFERROR(__xludf.DUMMYFUNCTION("""COMPUTED_VALUE"""),10.0)</f>
        <v>10</v>
      </c>
      <c r="C180" s="12">
        <f>IFERROR(__xludf.DUMMYFUNCTION("""COMPUTED_VALUE"""),5.0)</f>
        <v>5</v>
      </c>
      <c r="D180" s="12">
        <f>IFERROR(__xludf.DUMMYFUNCTION("""COMPUTED_VALUE"""),1003538.0)</f>
        <v>1003538</v>
      </c>
      <c r="E180" s="12">
        <f>IFERROR(__xludf.DUMMYFUNCTION("""COMPUTED_VALUE"""),6.0)</f>
        <v>6</v>
      </c>
      <c r="F180" s="12">
        <f>IFERROR(__xludf.DUMMYFUNCTION("""COMPUTED_VALUE"""),0.0)</f>
        <v>0</v>
      </c>
      <c r="G180" s="12">
        <f>IFERROR(__xludf.DUMMYFUNCTION("""COMPUTED_VALUE"""),0.0)</f>
        <v>0</v>
      </c>
      <c r="H180" s="12" t="str">
        <f>IFERROR(__xludf.DUMMYFUNCTION("""COMPUTED_VALUE"""),"Damage")</f>
        <v>Damage</v>
      </c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>
      <c r="A181" s="12">
        <f>IFERROR(__xludf.DUMMYFUNCTION("""COMPUTED_VALUE"""),2021.0)</f>
        <v>2021</v>
      </c>
      <c r="B181" s="12">
        <f>IFERROR(__xludf.DUMMYFUNCTION("""COMPUTED_VALUE"""),10.0)</f>
        <v>10</v>
      </c>
      <c r="C181" s="12">
        <f>IFERROR(__xludf.DUMMYFUNCTION("""COMPUTED_VALUE"""),5.0)</f>
        <v>5</v>
      </c>
      <c r="D181" s="12">
        <f>IFERROR(__xludf.DUMMYFUNCTION("""COMPUTED_VALUE"""),1003476.0)</f>
        <v>1003476</v>
      </c>
      <c r="E181" s="12">
        <f>IFERROR(__xludf.DUMMYFUNCTION("""COMPUTED_VALUE"""),3.0)</f>
        <v>3</v>
      </c>
      <c r="F181" s="12">
        <f>IFERROR(__xludf.DUMMYFUNCTION("""COMPUTED_VALUE"""),0.0)</f>
        <v>0</v>
      </c>
      <c r="G181" s="12">
        <f>IFERROR(__xludf.DUMMYFUNCTION("""COMPUTED_VALUE"""),0.0)</f>
        <v>0</v>
      </c>
      <c r="H181" s="12" t="str">
        <f>IFERROR(__xludf.DUMMYFUNCTION("""COMPUTED_VALUE"""),"Wrong product")</f>
        <v>Wrong product</v>
      </c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>
      <c r="A182" s="12">
        <f>IFERROR(__xludf.DUMMYFUNCTION("""COMPUTED_VALUE"""),2021.0)</f>
        <v>2021</v>
      </c>
      <c r="B182" s="12">
        <f>IFERROR(__xludf.DUMMYFUNCTION("""COMPUTED_VALUE"""),10.0)</f>
        <v>10</v>
      </c>
      <c r="C182" s="12">
        <f>IFERROR(__xludf.DUMMYFUNCTION("""COMPUTED_VALUE"""),5.0)</f>
        <v>5</v>
      </c>
      <c r="D182" s="12">
        <f>IFERROR(__xludf.DUMMYFUNCTION("""COMPUTED_VALUE"""),1003661.0)</f>
        <v>1003661</v>
      </c>
      <c r="E182" s="12">
        <f>IFERROR(__xludf.DUMMYFUNCTION("""COMPUTED_VALUE"""),1.0)</f>
        <v>1</v>
      </c>
      <c r="F182" s="12">
        <f>IFERROR(__xludf.DUMMYFUNCTION("""COMPUTED_VALUE"""),0.93)</f>
        <v>0.93</v>
      </c>
      <c r="G182" s="12">
        <f>IFERROR(__xludf.DUMMYFUNCTION("""COMPUTED_VALUE"""),0.0)</f>
        <v>0</v>
      </c>
      <c r="H182" s="12" t="str">
        <f>IFERROR(__xludf.DUMMYFUNCTION("""COMPUTED_VALUE"""),"Return")</f>
        <v>Return</v>
      </c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>
      <c r="A183" s="12">
        <f>IFERROR(__xludf.DUMMYFUNCTION("""COMPUTED_VALUE"""),2021.0)</f>
        <v>2021</v>
      </c>
      <c r="B183" s="12">
        <f>IFERROR(__xludf.DUMMYFUNCTION("""COMPUTED_VALUE"""),10.0)</f>
        <v>10</v>
      </c>
      <c r="C183" s="12">
        <f>IFERROR(__xludf.DUMMYFUNCTION("""COMPUTED_VALUE"""),5.0)</f>
        <v>5</v>
      </c>
      <c r="D183" s="12">
        <f>IFERROR(__xludf.DUMMYFUNCTION("""COMPUTED_VALUE"""),1003863.0)</f>
        <v>1003863</v>
      </c>
      <c r="E183" s="12">
        <f>IFERROR(__xludf.DUMMYFUNCTION("""COMPUTED_VALUE"""),5.0)</f>
        <v>5</v>
      </c>
      <c r="F183" s="12">
        <f>IFERROR(__xludf.DUMMYFUNCTION("""COMPUTED_VALUE"""),0.0)</f>
        <v>0</v>
      </c>
      <c r="G183" s="12">
        <f>IFERROR(__xludf.DUMMYFUNCTION("""COMPUTED_VALUE"""),0.0)</f>
        <v>0</v>
      </c>
      <c r="H183" s="12" t="str">
        <f>IFERROR(__xludf.DUMMYFUNCTION("""COMPUTED_VALUE"""),"Damage")</f>
        <v>Damage</v>
      </c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>
      <c r="A184" s="12">
        <f>IFERROR(__xludf.DUMMYFUNCTION("""COMPUTED_VALUE"""),2021.0)</f>
        <v>2021</v>
      </c>
      <c r="B184" s="12">
        <f>IFERROR(__xludf.DUMMYFUNCTION("""COMPUTED_VALUE"""),10.0)</f>
        <v>10</v>
      </c>
      <c r="C184" s="12">
        <f>IFERROR(__xludf.DUMMYFUNCTION("""COMPUTED_VALUE"""),5.0)</f>
        <v>5</v>
      </c>
      <c r="D184" s="12">
        <f>IFERROR(__xludf.DUMMYFUNCTION("""COMPUTED_VALUE"""),1003877.0)</f>
        <v>1003877</v>
      </c>
      <c r="E184" s="12">
        <f>IFERROR(__xludf.DUMMYFUNCTION("""COMPUTED_VALUE"""),3.0)</f>
        <v>3</v>
      </c>
      <c r="F184" s="12">
        <f>IFERROR(__xludf.DUMMYFUNCTION("""COMPUTED_VALUE"""),0.0)</f>
        <v>0</v>
      </c>
      <c r="G184" s="12">
        <f>IFERROR(__xludf.DUMMYFUNCTION("""COMPUTED_VALUE"""),0.0)</f>
        <v>0</v>
      </c>
      <c r="H184" s="12" t="str">
        <f>IFERROR(__xludf.DUMMYFUNCTION("""COMPUTED_VALUE"""),"Return")</f>
        <v>Return</v>
      </c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>
      <c r="A185" s="12">
        <f>IFERROR(__xludf.DUMMYFUNCTION("""COMPUTED_VALUE"""),2021.0)</f>
        <v>2021</v>
      </c>
      <c r="B185" s="12">
        <f>IFERROR(__xludf.DUMMYFUNCTION("""COMPUTED_VALUE"""),10.0)</f>
        <v>10</v>
      </c>
      <c r="C185" s="12">
        <f>IFERROR(__xludf.DUMMYFUNCTION("""COMPUTED_VALUE"""),5.0)</f>
        <v>5</v>
      </c>
      <c r="D185" s="12">
        <f>IFERROR(__xludf.DUMMYFUNCTION("""COMPUTED_VALUE"""),1003450.0)</f>
        <v>1003450</v>
      </c>
      <c r="E185" s="12">
        <f>IFERROR(__xludf.DUMMYFUNCTION("""COMPUTED_VALUE"""),5.0)</f>
        <v>5</v>
      </c>
      <c r="F185" s="12">
        <f>IFERROR(__xludf.DUMMYFUNCTION("""COMPUTED_VALUE"""),8.25)</f>
        <v>8.25</v>
      </c>
      <c r="G185" s="12">
        <f>IFERROR(__xludf.DUMMYFUNCTION("""COMPUTED_VALUE"""),0.0)</f>
        <v>0</v>
      </c>
      <c r="H185" s="12" t="str">
        <f>IFERROR(__xludf.DUMMYFUNCTION("""COMPUTED_VALUE"""),"Return")</f>
        <v>Return</v>
      </c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>
      <c r="A186" s="12">
        <f>IFERROR(__xludf.DUMMYFUNCTION("""COMPUTED_VALUE"""),2021.0)</f>
        <v>2021</v>
      </c>
      <c r="B186" s="12">
        <f>IFERROR(__xludf.DUMMYFUNCTION("""COMPUTED_VALUE"""),10.0)</f>
        <v>10</v>
      </c>
      <c r="C186" s="12">
        <f>IFERROR(__xludf.DUMMYFUNCTION("""COMPUTED_VALUE"""),5.0)</f>
        <v>5</v>
      </c>
      <c r="D186" s="12">
        <f>IFERROR(__xludf.DUMMYFUNCTION("""COMPUTED_VALUE"""),1003741.0)</f>
        <v>1003741</v>
      </c>
      <c r="E186" s="12">
        <f>IFERROR(__xludf.DUMMYFUNCTION("""COMPUTED_VALUE"""),1.0)</f>
        <v>1</v>
      </c>
      <c r="F186" s="12">
        <f>IFERROR(__xludf.DUMMYFUNCTION("""COMPUTED_VALUE"""),9.38)</f>
        <v>9.38</v>
      </c>
      <c r="G186" s="12">
        <f>IFERROR(__xludf.DUMMYFUNCTION("""COMPUTED_VALUE"""),0.0)</f>
        <v>0</v>
      </c>
      <c r="H186" s="12" t="str">
        <f>IFERROR(__xludf.DUMMYFUNCTION("""COMPUTED_VALUE"""),"Return")</f>
        <v>Return</v>
      </c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>
      <c r="A187" s="12">
        <f>IFERROR(__xludf.DUMMYFUNCTION("""COMPUTED_VALUE"""),2021.0)</f>
        <v>2021</v>
      </c>
      <c r="B187" s="12">
        <f>IFERROR(__xludf.DUMMYFUNCTION("""COMPUTED_VALUE"""),10.0)</f>
        <v>10</v>
      </c>
      <c r="C187" s="12">
        <f>IFERROR(__xludf.DUMMYFUNCTION("""COMPUTED_VALUE"""),5.0)</f>
        <v>5</v>
      </c>
      <c r="D187" s="12">
        <f>IFERROR(__xludf.DUMMYFUNCTION("""COMPUTED_VALUE"""),1003769.0)</f>
        <v>1003769</v>
      </c>
      <c r="E187" s="12">
        <f>IFERROR(__xludf.DUMMYFUNCTION("""COMPUTED_VALUE"""),1.0)</f>
        <v>1</v>
      </c>
      <c r="F187" s="12">
        <f>IFERROR(__xludf.DUMMYFUNCTION("""COMPUTED_VALUE"""),0.0)</f>
        <v>0</v>
      </c>
      <c r="G187" s="12">
        <f>IFERROR(__xludf.DUMMYFUNCTION("""COMPUTED_VALUE"""),5.0)</f>
        <v>5</v>
      </c>
      <c r="H187" s="12" t="str">
        <f>IFERROR(__xludf.DUMMYFUNCTION("""COMPUTED_VALUE"""),"Return")</f>
        <v>Return</v>
      </c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>
      <c r="A188" s="12">
        <f>IFERROR(__xludf.DUMMYFUNCTION("""COMPUTED_VALUE"""),2021.0)</f>
        <v>2021</v>
      </c>
      <c r="B188" s="12">
        <f>IFERROR(__xludf.DUMMYFUNCTION("""COMPUTED_VALUE"""),10.0)</f>
        <v>10</v>
      </c>
      <c r="C188" s="12">
        <f>IFERROR(__xludf.DUMMYFUNCTION("""COMPUTED_VALUE"""),5.0)</f>
        <v>5</v>
      </c>
      <c r="D188" s="12">
        <f>IFERROR(__xludf.DUMMYFUNCTION("""COMPUTED_VALUE"""),1003423.0)</f>
        <v>1003423</v>
      </c>
      <c r="E188" s="12">
        <f>IFERROR(__xludf.DUMMYFUNCTION("""COMPUTED_VALUE"""),1.0)</f>
        <v>1</v>
      </c>
      <c r="F188" s="12">
        <f>IFERROR(__xludf.DUMMYFUNCTION("""COMPUTED_VALUE"""),0.0)</f>
        <v>0</v>
      </c>
      <c r="G188" s="12">
        <f>IFERROR(__xludf.DUMMYFUNCTION("""COMPUTED_VALUE"""),0.0)</f>
        <v>0</v>
      </c>
      <c r="H188" s="12" t="str">
        <f>IFERROR(__xludf.DUMMYFUNCTION("""COMPUTED_VALUE"""),"Damage")</f>
        <v>Damage</v>
      </c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>
      <c r="A189" s="12">
        <f>IFERROR(__xludf.DUMMYFUNCTION("""COMPUTED_VALUE"""),2021.0)</f>
        <v>2021</v>
      </c>
      <c r="B189" s="12">
        <f>IFERROR(__xludf.DUMMYFUNCTION("""COMPUTED_VALUE"""),10.0)</f>
        <v>10</v>
      </c>
      <c r="C189" s="12">
        <f>IFERROR(__xludf.DUMMYFUNCTION("""COMPUTED_VALUE"""),5.0)</f>
        <v>5</v>
      </c>
      <c r="D189" s="12">
        <f>IFERROR(__xludf.DUMMYFUNCTION("""COMPUTED_VALUE"""),1003779.0)</f>
        <v>1003779</v>
      </c>
      <c r="E189" s="12">
        <f>IFERROR(__xludf.DUMMYFUNCTION("""COMPUTED_VALUE"""),3.0)</f>
        <v>3</v>
      </c>
      <c r="F189" s="12">
        <f>IFERROR(__xludf.DUMMYFUNCTION("""COMPUTED_VALUE"""),0.0)</f>
        <v>0</v>
      </c>
      <c r="G189" s="12">
        <f>IFERROR(__xludf.DUMMYFUNCTION("""COMPUTED_VALUE"""),10.0)</f>
        <v>10</v>
      </c>
      <c r="H189" s="12" t="str">
        <f>IFERROR(__xludf.DUMMYFUNCTION("""COMPUTED_VALUE"""),"Wrong product")</f>
        <v>Wrong product</v>
      </c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>
      <c r="A190" s="12">
        <f>IFERROR(__xludf.DUMMYFUNCTION("""COMPUTED_VALUE"""),2021.0)</f>
        <v>2021</v>
      </c>
      <c r="B190" s="12">
        <f>IFERROR(__xludf.DUMMYFUNCTION("""COMPUTED_VALUE"""),10.0)</f>
        <v>10</v>
      </c>
      <c r="C190" s="12">
        <f>IFERROR(__xludf.DUMMYFUNCTION("""COMPUTED_VALUE"""),5.0)</f>
        <v>5</v>
      </c>
      <c r="D190" s="12">
        <f>IFERROR(__xludf.DUMMYFUNCTION("""COMPUTED_VALUE"""),1003614.0)</f>
        <v>1003614</v>
      </c>
      <c r="E190" s="12">
        <f>IFERROR(__xludf.DUMMYFUNCTION("""COMPUTED_VALUE"""),2.0)</f>
        <v>2</v>
      </c>
      <c r="F190" s="12">
        <f>IFERROR(__xludf.DUMMYFUNCTION("""COMPUTED_VALUE"""),0.0)</f>
        <v>0</v>
      </c>
      <c r="G190" s="12">
        <f>IFERROR(__xludf.DUMMYFUNCTION("""COMPUTED_VALUE"""),6.0)</f>
        <v>6</v>
      </c>
      <c r="H190" s="12" t="str">
        <f>IFERROR(__xludf.DUMMYFUNCTION("""COMPUTED_VALUE"""),"Return")</f>
        <v>Return</v>
      </c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>
      <c r="A191" s="12">
        <f>IFERROR(__xludf.DUMMYFUNCTION("""COMPUTED_VALUE"""),2021.0)</f>
        <v>2021</v>
      </c>
      <c r="B191" s="12">
        <f>IFERROR(__xludf.DUMMYFUNCTION("""COMPUTED_VALUE"""),10.0)</f>
        <v>10</v>
      </c>
      <c r="C191" s="12">
        <f>IFERROR(__xludf.DUMMYFUNCTION("""COMPUTED_VALUE"""),5.0)</f>
        <v>5</v>
      </c>
      <c r="D191" s="12">
        <f>IFERROR(__xludf.DUMMYFUNCTION("""COMPUTED_VALUE"""),1003971.0)</f>
        <v>1003971</v>
      </c>
      <c r="E191" s="12">
        <f>IFERROR(__xludf.DUMMYFUNCTION("""COMPUTED_VALUE"""),2.0)</f>
        <v>2</v>
      </c>
      <c r="F191" s="12">
        <f>IFERROR(__xludf.DUMMYFUNCTION("""COMPUTED_VALUE"""),0.0)</f>
        <v>0</v>
      </c>
      <c r="G191" s="12">
        <f>IFERROR(__xludf.DUMMYFUNCTION("""COMPUTED_VALUE"""),0.0)</f>
        <v>0</v>
      </c>
      <c r="H191" s="12" t="str">
        <f>IFERROR(__xludf.DUMMYFUNCTION("""COMPUTED_VALUE"""),"Return")</f>
        <v>Return</v>
      </c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>
      <c r="A192" s="12">
        <f>IFERROR(__xludf.DUMMYFUNCTION("""COMPUTED_VALUE"""),2021.0)</f>
        <v>2021</v>
      </c>
      <c r="B192" s="12">
        <f>IFERROR(__xludf.DUMMYFUNCTION("""COMPUTED_VALUE"""),10.0)</f>
        <v>10</v>
      </c>
      <c r="C192" s="12">
        <f>IFERROR(__xludf.DUMMYFUNCTION("""COMPUTED_VALUE"""),5.0)</f>
        <v>5</v>
      </c>
      <c r="D192" s="12">
        <f>IFERROR(__xludf.DUMMYFUNCTION("""COMPUTED_VALUE"""),1003934.0)</f>
        <v>1003934</v>
      </c>
      <c r="E192" s="12">
        <f>IFERROR(__xludf.DUMMYFUNCTION("""COMPUTED_VALUE"""),1.0)</f>
        <v>1</v>
      </c>
      <c r="F192" s="12">
        <f>IFERROR(__xludf.DUMMYFUNCTION("""COMPUTED_VALUE"""),0.0)</f>
        <v>0</v>
      </c>
      <c r="G192" s="12">
        <f>IFERROR(__xludf.DUMMYFUNCTION("""COMPUTED_VALUE"""),0.0)</f>
        <v>0</v>
      </c>
      <c r="H192" s="12" t="str">
        <f>IFERROR(__xludf.DUMMYFUNCTION("""COMPUTED_VALUE"""),"Return")</f>
        <v>Return</v>
      </c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>
      <c r="A193" s="12">
        <f>IFERROR(__xludf.DUMMYFUNCTION("""COMPUTED_VALUE"""),2021.0)</f>
        <v>2021</v>
      </c>
      <c r="B193" s="12">
        <f>IFERROR(__xludf.DUMMYFUNCTION("""COMPUTED_VALUE"""),10.0)</f>
        <v>10</v>
      </c>
      <c r="C193" s="12">
        <f>IFERROR(__xludf.DUMMYFUNCTION("""COMPUTED_VALUE"""),5.0)</f>
        <v>5</v>
      </c>
      <c r="D193" s="12">
        <f>IFERROR(__xludf.DUMMYFUNCTION("""COMPUTED_VALUE"""),1003470.0)</f>
        <v>1003470</v>
      </c>
      <c r="E193" s="12">
        <f>IFERROR(__xludf.DUMMYFUNCTION("""COMPUTED_VALUE"""),12.0)</f>
        <v>12</v>
      </c>
      <c r="F193" s="12">
        <f>IFERROR(__xludf.DUMMYFUNCTION("""COMPUTED_VALUE"""),0.0)</f>
        <v>0</v>
      </c>
      <c r="G193" s="12">
        <f>IFERROR(__xludf.DUMMYFUNCTION("""COMPUTED_VALUE"""),0.0)</f>
        <v>0</v>
      </c>
      <c r="H193" s="12" t="str">
        <f>IFERROR(__xludf.DUMMYFUNCTION("""COMPUTED_VALUE"""),"Damage")</f>
        <v>Damage</v>
      </c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>
      <c r="A194" s="12">
        <f>IFERROR(__xludf.DUMMYFUNCTION("""COMPUTED_VALUE"""),2021.0)</f>
        <v>2021</v>
      </c>
      <c r="B194" s="12">
        <f>IFERROR(__xludf.DUMMYFUNCTION("""COMPUTED_VALUE"""),10.0)</f>
        <v>10</v>
      </c>
      <c r="C194" s="12">
        <f>IFERROR(__xludf.DUMMYFUNCTION("""COMPUTED_VALUE"""),5.0)</f>
        <v>5</v>
      </c>
      <c r="D194" s="12">
        <f>IFERROR(__xludf.DUMMYFUNCTION("""COMPUTED_VALUE"""),1003767.0)</f>
        <v>1003767</v>
      </c>
      <c r="E194" s="13">
        <f>IFERROR(__xludf.DUMMYFUNCTION("""COMPUTED_VALUE"""),0.3848026435531944)</f>
        <v>0.3848026436</v>
      </c>
      <c r="F194" s="12">
        <f>IFERROR(__xludf.DUMMYFUNCTION("""COMPUTED_VALUE"""),0.0)</f>
        <v>0</v>
      </c>
      <c r="G194" s="12">
        <f>IFERROR(__xludf.DUMMYFUNCTION("""COMPUTED_VALUE"""),0.0)</f>
        <v>0</v>
      </c>
      <c r="H194" s="12" t="str">
        <f>IFERROR(__xludf.DUMMYFUNCTION("""COMPUTED_VALUE"""),"Damage")</f>
        <v>Damage</v>
      </c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>
      <c r="A195" s="12">
        <f>IFERROR(__xludf.DUMMYFUNCTION("""COMPUTED_VALUE"""),2021.0)</f>
        <v>2021</v>
      </c>
      <c r="B195" s="12">
        <f>IFERROR(__xludf.DUMMYFUNCTION("""COMPUTED_VALUE"""),10.0)</f>
        <v>10</v>
      </c>
      <c r="C195" s="12">
        <f>IFERROR(__xludf.DUMMYFUNCTION("""COMPUTED_VALUE"""),5.0)</f>
        <v>5</v>
      </c>
      <c r="D195" s="12">
        <f>IFERROR(__xludf.DUMMYFUNCTION("""COMPUTED_VALUE"""),1003876.0)</f>
        <v>1003876</v>
      </c>
      <c r="E195" s="12">
        <f>IFERROR(__xludf.DUMMYFUNCTION("""COMPUTED_VALUE"""),6.0)</f>
        <v>6</v>
      </c>
      <c r="F195" s="12">
        <f>IFERROR(__xludf.DUMMYFUNCTION("""COMPUTED_VALUE"""),0.0)</f>
        <v>0</v>
      </c>
      <c r="G195" s="12">
        <f>IFERROR(__xludf.DUMMYFUNCTION("""COMPUTED_VALUE"""),0.0)</f>
        <v>0</v>
      </c>
      <c r="H195" s="12" t="str">
        <f>IFERROR(__xludf.DUMMYFUNCTION("""COMPUTED_VALUE"""),"Return")</f>
        <v>Return</v>
      </c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>
      <c r="A196" s="12">
        <f>IFERROR(__xludf.DUMMYFUNCTION("""COMPUTED_VALUE"""),2021.0)</f>
        <v>2021</v>
      </c>
      <c r="B196" s="12">
        <f>IFERROR(__xludf.DUMMYFUNCTION("""COMPUTED_VALUE"""),10.0)</f>
        <v>10</v>
      </c>
      <c r="C196" s="12">
        <f>IFERROR(__xludf.DUMMYFUNCTION("""COMPUTED_VALUE"""),5.0)</f>
        <v>5</v>
      </c>
      <c r="D196" s="12">
        <f>IFERROR(__xludf.DUMMYFUNCTION("""COMPUTED_VALUE"""),1003995.0)</f>
        <v>1003995</v>
      </c>
      <c r="E196" s="12">
        <f>IFERROR(__xludf.DUMMYFUNCTION("""COMPUTED_VALUE"""),1.0)</f>
        <v>1</v>
      </c>
      <c r="F196" s="12">
        <f>IFERROR(__xludf.DUMMYFUNCTION("""COMPUTED_VALUE"""),0.0)</f>
        <v>0</v>
      </c>
      <c r="G196" s="12">
        <f>IFERROR(__xludf.DUMMYFUNCTION("""COMPUTED_VALUE"""),0.0)</f>
        <v>0</v>
      </c>
      <c r="H196" s="12" t="str">
        <f>IFERROR(__xludf.DUMMYFUNCTION("""COMPUTED_VALUE"""),"Damage")</f>
        <v>Damage</v>
      </c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>
      <c r="A197" s="12">
        <f>IFERROR(__xludf.DUMMYFUNCTION("""COMPUTED_VALUE"""),2021.0)</f>
        <v>2021</v>
      </c>
      <c r="B197" s="12">
        <f>IFERROR(__xludf.DUMMYFUNCTION("""COMPUTED_VALUE"""),10.0)</f>
        <v>10</v>
      </c>
      <c r="C197" s="12">
        <f>IFERROR(__xludf.DUMMYFUNCTION("""COMPUTED_VALUE"""),5.0)</f>
        <v>5</v>
      </c>
      <c r="D197" s="12">
        <f>IFERROR(__xludf.DUMMYFUNCTION("""COMPUTED_VALUE"""),1003735.0)</f>
        <v>1003735</v>
      </c>
      <c r="E197" s="12">
        <f>IFERROR(__xludf.DUMMYFUNCTION("""COMPUTED_VALUE"""),3.0)</f>
        <v>3</v>
      </c>
      <c r="F197" s="12">
        <f>IFERROR(__xludf.DUMMYFUNCTION("""COMPUTED_VALUE"""),0.0)</f>
        <v>0</v>
      </c>
      <c r="G197" s="12">
        <f>IFERROR(__xludf.DUMMYFUNCTION("""COMPUTED_VALUE"""),0.0)</f>
        <v>0</v>
      </c>
      <c r="H197" s="12" t="str">
        <f>IFERROR(__xludf.DUMMYFUNCTION("""COMPUTED_VALUE"""),"Return")</f>
        <v>Return</v>
      </c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>
      <c r="A198" s="12">
        <f>IFERROR(__xludf.DUMMYFUNCTION("""COMPUTED_VALUE"""),2021.0)</f>
        <v>2021</v>
      </c>
      <c r="B198" s="12">
        <f>IFERROR(__xludf.DUMMYFUNCTION("""COMPUTED_VALUE"""),10.0)</f>
        <v>10</v>
      </c>
      <c r="C198" s="12">
        <f>IFERROR(__xludf.DUMMYFUNCTION("""COMPUTED_VALUE"""),5.0)</f>
        <v>5</v>
      </c>
      <c r="D198" s="12">
        <f>IFERROR(__xludf.DUMMYFUNCTION("""COMPUTED_VALUE"""),1003869.0)</f>
        <v>1003869</v>
      </c>
      <c r="E198" s="12">
        <f>IFERROR(__xludf.DUMMYFUNCTION("""COMPUTED_VALUE"""),3.0)</f>
        <v>3</v>
      </c>
      <c r="F198" s="12">
        <f>IFERROR(__xludf.DUMMYFUNCTION("""COMPUTED_VALUE"""),0.0)</f>
        <v>0</v>
      </c>
      <c r="G198" s="12">
        <f>IFERROR(__xludf.DUMMYFUNCTION("""COMPUTED_VALUE"""),10.0)</f>
        <v>10</v>
      </c>
      <c r="H198" s="12" t="str">
        <f>IFERROR(__xludf.DUMMYFUNCTION("""COMPUTED_VALUE"""),"Wrong product")</f>
        <v>Wrong product</v>
      </c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>
      <c r="A199" s="12">
        <f>IFERROR(__xludf.DUMMYFUNCTION("""COMPUTED_VALUE"""),2021.0)</f>
        <v>2021</v>
      </c>
      <c r="B199" s="12">
        <f>IFERROR(__xludf.DUMMYFUNCTION("""COMPUTED_VALUE"""),10.0)</f>
        <v>10</v>
      </c>
      <c r="C199" s="12">
        <f>IFERROR(__xludf.DUMMYFUNCTION("""COMPUTED_VALUE"""),5.0)</f>
        <v>5</v>
      </c>
      <c r="D199" s="12">
        <f>IFERROR(__xludf.DUMMYFUNCTION("""COMPUTED_VALUE"""),1003535.0)</f>
        <v>1003535</v>
      </c>
      <c r="E199" s="12">
        <f>IFERROR(__xludf.DUMMYFUNCTION("""COMPUTED_VALUE"""),1.0)</f>
        <v>1</v>
      </c>
      <c r="F199" s="12">
        <f>IFERROR(__xludf.DUMMYFUNCTION("""COMPUTED_VALUE"""),0.0)</f>
        <v>0</v>
      </c>
      <c r="G199" s="12">
        <f>IFERROR(__xludf.DUMMYFUNCTION("""COMPUTED_VALUE"""),0.0)</f>
        <v>0</v>
      </c>
      <c r="H199" s="12" t="str">
        <f>IFERROR(__xludf.DUMMYFUNCTION("""COMPUTED_VALUE"""),"Damage")</f>
        <v>Damage</v>
      </c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>
      <c r="A200" s="12">
        <f>IFERROR(__xludf.DUMMYFUNCTION("""COMPUTED_VALUE"""),2021.0)</f>
        <v>2021</v>
      </c>
      <c r="B200" s="12">
        <f>IFERROR(__xludf.DUMMYFUNCTION("""COMPUTED_VALUE"""),10.0)</f>
        <v>10</v>
      </c>
      <c r="C200" s="12">
        <f>IFERROR(__xludf.DUMMYFUNCTION("""COMPUTED_VALUE"""),5.0)</f>
        <v>5</v>
      </c>
      <c r="D200" s="12">
        <f>IFERROR(__xludf.DUMMYFUNCTION("""COMPUTED_VALUE"""),1003412.0)</f>
        <v>1003412</v>
      </c>
      <c r="E200" s="12">
        <f>IFERROR(__xludf.DUMMYFUNCTION("""COMPUTED_VALUE"""),14.0)</f>
        <v>14</v>
      </c>
      <c r="F200" s="12">
        <f>IFERROR(__xludf.DUMMYFUNCTION("""COMPUTED_VALUE"""),0.0)</f>
        <v>0</v>
      </c>
      <c r="G200" s="12">
        <f>IFERROR(__xludf.DUMMYFUNCTION("""COMPUTED_VALUE"""),6.0)</f>
        <v>6</v>
      </c>
      <c r="H200" s="12" t="str">
        <f>IFERROR(__xludf.DUMMYFUNCTION("""COMPUTED_VALUE"""),"Return")</f>
        <v>Return</v>
      </c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>
      <c r="A201" s="12">
        <f>IFERROR(__xludf.DUMMYFUNCTION("""COMPUTED_VALUE"""),2021.0)</f>
        <v>2021</v>
      </c>
      <c r="B201" s="12">
        <f>IFERROR(__xludf.DUMMYFUNCTION("""COMPUTED_VALUE"""),10.0)</f>
        <v>10</v>
      </c>
      <c r="C201" s="12">
        <f>IFERROR(__xludf.DUMMYFUNCTION("""COMPUTED_VALUE"""),5.0)</f>
        <v>5</v>
      </c>
      <c r="D201" s="12">
        <f>IFERROR(__xludf.DUMMYFUNCTION("""COMPUTED_VALUE"""),1003878.0)</f>
        <v>1003878</v>
      </c>
      <c r="E201" s="12">
        <f>IFERROR(__xludf.DUMMYFUNCTION("""COMPUTED_VALUE"""),2.0)</f>
        <v>2</v>
      </c>
      <c r="F201" s="12">
        <f>IFERROR(__xludf.DUMMYFUNCTION("""COMPUTED_VALUE"""),0.0)</f>
        <v>0</v>
      </c>
      <c r="G201" s="12">
        <f>IFERROR(__xludf.DUMMYFUNCTION("""COMPUTED_VALUE"""),0.0)</f>
        <v>0</v>
      </c>
      <c r="H201" s="12" t="str">
        <f>IFERROR(__xludf.DUMMYFUNCTION("""COMPUTED_VALUE"""),"Return")</f>
        <v>Return</v>
      </c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>
      <c r="A202" s="12">
        <f>IFERROR(__xludf.DUMMYFUNCTION("""COMPUTED_VALUE"""),2021.0)</f>
        <v>2021</v>
      </c>
      <c r="B202" s="12">
        <f>IFERROR(__xludf.DUMMYFUNCTION("""COMPUTED_VALUE"""),10.0)</f>
        <v>10</v>
      </c>
      <c r="C202" s="12">
        <f>IFERROR(__xludf.DUMMYFUNCTION("""COMPUTED_VALUE"""),5.0)</f>
        <v>5</v>
      </c>
      <c r="D202" s="12">
        <f>IFERROR(__xludf.DUMMYFUNCTION("""COMPUTED_VALUE"""),1003311.0)</f>
        <v>1003311</v>
      </c>
      <c r="E202" s="12">
        <f>IFERROR(__xludf.DUMMYFUNCTION("""COMPUTED_VALUE"""),6.0)</f>
        <v>6</v>
      </c>
      <c r="F202" s="12">
        <f>IFERROR(__xludf.DUMMYFUNCTION("""COMPUTED_VALUE"""),0.0)</f>
        <v>0</v>
      </c>
      <c r="G202" s="12">
        <f>IFERROR(__xludf.DUMMYFUNCTION("""COMPUTED_VALUE"""),5.0)</f>
        <v>5</v>
      </c>
      <c r="H202" s="12" t="str">
        <f>IFERROR(__xludf.DUMMYFUNCTION("""COMPUTED_VALUE"""),"Return")</f>
        <v>Return</v>
      </c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>
      <c r="A203" s="12">
        <f>IFERROR(__xludf.DUMMYFUNCTION("""COMPUTED_VALUE"""),2021.0)</f>
        <v>2021</v>
      </c>
      <c r="B203" s="12">
        <f>IFERROR(__xludf.DUMMYFUNCTION("""COMPUTED_VALUE"""),10.0)</f>
        <v>10</v>
      </c>
      <c r="C203" s="12">
        <f>IFERROR(__xludf.DUMMYFUNCTION("""COMPUTED_VALUE"""),5.0)</f>
        <v>5</v>
      </c>
      <c r="D203" s="12">
        <f>IFERROR(__xludf.DUMMYFUNCTION("""COMPUTED_VALUE"""),1003421.0)</f>
        <v>1003421</v>
      </c>
      <c r="E203" s="12">
        <f>IFERROR(__xludf.DUMMYFUNCTION("""COMPUTED_VALUE"""),1.0)</f>
        <v>1</v>
      </c>
      <c r="F203" s="12">
        <f>IFERROR(__xludf.DUMMYFUNCTION("""COMPUTED_VALUE"""),0.0)</f>
        <v>0</v>
      </c>
      <c r="G203" s="12">
        <f>IFERROR(__xludf.DUMMYFUNCTION("""COMPUTED_VALUE"""),0.0)</f>
        <v>0</v>
      </c>
      <c r="H203" s="12" t="str">
        <f>IFERROR(__xludf.DUMMYFUNCTION("""COMPUTED_VALUE"""),"Return")</f>
        <v>Return</v>
      </c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>
      <c r="A204" s="12">
        <f>IFERROR(__xludf.DUMMYFUNCTION("""COMPUTED_VALUE"""),2021.0)</f>
        <v>2021</v>
      </c>
      <c r="B204" s="12">
        <f>IFERROR(__xludf.DUMMYFUNCTION("""COMPUTED_VALUE"""),10.0)</f>
        <v>10</v>
      </c>
      <c r="C204" s="12">
        <f>IFERROR(__xludf.DUMMYFUNCTION("""COMPUTED_VALUE"""),5.0)</f>
        <v>5</v>
      </c>
      <c r="D204" s="12">
        <f>IFERROR(__xludf.DUMMYFUNCTION("""COMPUTED_VALUE"""),1003502.0)</f>
        <v>1003502</v>
      </c>
      <c r="E204" s="12">
        <f>IFERROR(__xludf.DUMMYFUNCTION("""COMPUTED_VALUE"""),7.0)</f>
        <v>7</v>
      </c>
      <c r="F204" s="12">
        <f>IFERROR(__xludf.DUMMYFUNCTION("""COMPUTED_VALUE"""),0.0)</f>
        <v>0</v>
      </c>
      <c r="G204" s="12">
        <f>IFERROR(__xludf.DUMMYFUNCTION("""COMPUTED_VALUE"""),0.0)</f>
        <v>0</v>
      </c>
      <c r="H204" s="12" t="str">
        <f>IFERROR(__xludf.DUMMYFUNCTION("""COMPUTED_VALUE"""),"Damage")</f>
        <v>Damage</v>
      </c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>
      <c r="A205" s="12">
        <f>IFERROR(__xludf.DUMMYFUNCTION("""COMPUTED_VALUE"""),2021.0)</f>
        <v>2021</v>
      </c>
      <c r="B205" s="12">
        <f>IFERROR(__xludf.DUMMYFUNCTION("""COMPUTED_VALUE"""),10.0)</f>
        <v>10</v>
      </c>
      <c r="C205" s="12">
        <f>IFERROR(__xludf.DUMMYFUNCTION("""COMPUTED_VALUE"""),5.0)</f>
        <v>5</v>
      </c>
      <c r="D205" s="12">
        <f>IFERROR(__xludf.DUMMYFUNCTION("""COMPUTED_VALUE"""),1003301.0)</f>
        <v>1003301</v>
      </c>
      <c r="E205" s="12">
        <f>IFERROR(__xludf.DUMMYFUNCTION("""COMPUTED_VALUE"""),5.0)</f>
        <v>5</v>
      </c>
      <c r="F205" s="12">
        <f>IFERROR(__xludf.DUMMYFUNCTION("""COMPUTED_VALUE"""),0.92)</f>
        <v>0.92</v>
      </c>
      <c r="G205" s="12">
        <f>IFERROR(__xludf.DUMMYFUNCTION("""COMPUTED_VALUE"""),7.0)</f>
        <v>7</v>
      </c>
      <c r="H205" s="12" t="str">
        <f>IFERROR(__xludf.DUMMYFUNCTION("""COMPUTED_VALUE"""),"Return")</f>
        <v>Return</v>
      </c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>
      <c r="A206" s="12">
        <f>IFERROR(__xludf.DUMMYFUNCTION("""COMPUTED_VALUE"""),2021.0)</f>
        <v>2021</v>
      </c>
      <c r="B206" s="12">
        <f>IFERROR(__xludf.DUMMYFUNCTION("""COMPUTED_VALUE"""),10.0)</f>
        <v>10</v>
      </c>
      <c r="C206" s="12">
        <f>IFERROR(__xludf.DUMMYFUNCTION("""COMPUTED_VALUE"""),5.0)</f>
        <v>5</v>
      </c>
      <c r="D206" s="12">
        <f>IFERROR(__xludf.DUMMYFUNCTION("""COMPUTED_VALUE"""),1003451.0)</f>
        <v>1003451</v>
      </c>
      <c r="E206" s="12">
        <f>IFERROR(__xludf.DUMMYFUNCTION("""COMPUTED_VALUE"""),2.0)</f>
        <v>2</v>
      </c>
      <c r="F206" s="12">
        <f>IFERROR(__xludf.DUMMYFUNCTION("""COMPUTED_VALUE"""),0.0)</f>
        <v>0</v>
      </c>
      <c r="G206" s="12">
        <f>IFERROR(__xludf.DUMMYFUNCTION("""COMPUTED_VALUE"""),0.0)</f>
        <v>0</v>
      </c>
      <c r="H206" s="12" t="str">
        <f>IFERROR(__xludf.DUMMYFUNCTION("""COMPUTED_VALUE"""),"Wrong product")</f>
        <v>Wrong product</v>
      </c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>
      <c r="A207" s="12">
        <f>IFERROR(__xludf.DUMMYFUNCTION("""COMPUTED_VALUE"""),2021.0)</f>
        <v>2021</v>
      </c>
      <c r="B207" s="12">
        <f>IFERROR(__xludf.DUMMYFUNCTION("""COMPUTED_VALUE"""),10.0)</f>
        <v>10</v>
      </c>
      <c r="C207" s="12">
        <f>IFERROR(__xludf.DUMMYFUNCTION("""COMPUTED_VALUE"""),5.0)</f>
        <v>5</v>
      </c>
      <c r="D207" s="12">
        <f>IFERROR(__xludf.DUMMYFUNCTION("""COMPUTED_VALUE"""),1003687.0)</f>
        <v>1003687</v>
      </c>
      <c r="E207" s="12">
        <f>IFERROR(__xludf.DUMMYFUNCTION("""COMPUTED_VALUE"""),1.0)</f>
        <v>1</v>
      </c>
      <c r="F207" s="12">
        <f>IFERROR(__xludf.DUMMYFUNCTION("""COMPUTED_VALUE"""),0.0)</f>
        <v>0</v>
      </c>
      <c r="G207" s="12">
        <f>IFERROR(__xludf.DUMMYFUNCTION("""COMPUTED_VALUE"""),0.0)</f>
        <v>0</v>
      </c>
      <c r="H207" s="12" t="str">
        <f>IFERROR(__xludf.DUMMYFUNCTION("""COMPUTED_VALUE"""),"Wrong product")</f>
        <v>Wrong product</v>
      </c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>
      <c r="A208" s="12">
        <f>IFERROR(__xludf.DUMMYFUNCTION("""COMPUTED_VALUE"""),2021.0)</f>
        <v>2021</v>
      </c>
      <c r="B208" s="12">
        <f>IFERROR(__xludf.DUMMYFUNCTION("""COMPUTED_VALUE"""),10.0)</f>
        <v>10</v>
      </c>
      <c r="C208" s="12">
        <f>IFERROR(__xludf.DUMMYFUNCTION("""COMPUTED_VALUE"""),5.0)</f>
        <v>5</v>
      </c>
      <c r="D208" s="12">
        <f>IFERROR(__xludf.DUMMYFUNCTION("""COMPUTED_VALUE"""),1003394.0)</f>
        <v>1003394</v>
      </c>
      <c r="E208" s="12">
        <f>IFERROR(__xludf.DUMMYFUNCTION("""COMPUTED_VALUE"""),1.0)</f>
        <v>1</v>
      </c>
      <c r="F208" s="12">
        <f>IFERROR(__xludf.DUMMYFUNCTION("""COMPUTED_VALUE"""),0.0)</f>
        <v>0</v>
      </c>
      <c r="G208" s="12">
        <f>IFERROR(__xludf.DUMMYFUNCTION("""COMPUTED_VALUE"""),0.0)</f>
        <v>0</v>
      </c>
      <c r="H208" s="12" t="str">
        <f>IFERROR(__xludf.DUMMYFUNCTION("""COMPUTED_VALUE"""),"Damage")</f>
        <v>Damage</v>
      </c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>
      <c r="A209" s="12">
        <f>IFERROR(__xludf.DUMMYFUNCTION("""COMPUTED_VALUE"""),2021.0)</f>
        <v>2021</v>
      </c>
      <c r="B209" s="12">
        <f>IFERROR(__xludf.DUMMYFUNCTION("""COMPUTED_VALUE"""),10.0)</f>
        <v>10</v>
      </c>
      <c r="C209" s="12">
        <f>IFERROR(__xludf.DUMMYFUNCTION("""COMPUTED_VALUE"""),5.0)</f>
        <v>5</v>
      </c>
      <c r="D209" s="12">
        <f>IFERROR(__xludf.DUMMYFUNCTION("""COMPUTED_VALUE"""),1003541.0)</f>
        <v>1003541</v>
      </c>
      <c r="E209" s="12">
        <f>IFERROR(__xludf.DUMMYFUNCTION("""COMPUTED_VALUE"""),12.0)</f>
        <v>12</v>
      </c>
      <c r="F209" s="12">
        <f>IFERROR(__xludf.DUMMYFUNCTION("""COMPUTED_VALUE"""),0.0)</f>
        <v>0</v>
      </c>
      <c r="G209" s="12">
        <f>IFERROR(__xludf.DUMMYFUNCTION("""COMPUTED_VALUE"""),7.0)</f>
        <v>7</v>
      </c>
      <c r="H209" s="12" t="str">
        <f>IFERROR(__xludf.DUMMYFUNCTION("""COMPUTED_VALUE"""),"Return")</f>
        <v>Return</v>
      </c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>
      <c r="A210" s="12">
        <f>IFERROR(__xludf.DUMMYFUNCTION("""COMPUTED_VALUE"""),2021.0)</f>
        <v>2021</v>
      </c>
      <c r="B210" s="12">
        <f>IFERROR(__xludf.DUMMYFUNCTION("""COMPUTED_VALUE"""),10.0)</f>
        <v>10</v>
      </c>
      <c r="C210" s="12">
        <f>IFERROR(__xludf.DUMMYFUNCTION("""COMPUTED_VALUE"""),5.0)</f>
        <v>5</v>
      </c>
      <c r="D210" s="12">
        <f>IFERROR(__xludf.DUMMYFUNCTION("""COMPUTED_VALUE"""),1003324.0)</f>
        <v>1003324</v>
      </c>
      <c r="E210" s="13">
        <f>IFERROR(__xludf.DUMMYFUNCTION("""COMPUTED_VALUE"""),0.34762011296766715)</f>
        <v>0.347620113</v>
      </c>
      <c r="F210" s="12">
        <f>IFERROR(__xludf.DUMMYFUNCTION("""COMPUTED_VALUE"""),0.0)</f>
        <v>0</v>
      </c>
      <c r="G210" s="12">
        <f>IFERROR(__xludf.DUMMYFUNCTION("""COMPUTED_VALUE"""),6.0)</f>
        <v>6</v>
      </c>
      <c r="H210" s="12" t="str">
        <f>IFERROR(__xludf.DUMMYFUNCTION("""COMPUTED_VALUE"""),"Return")</f>
        <v>Return</v>
      </c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>
      <c r="A211" s="12">
        <f>IFERROR(__xludf.DUMMYFUNCTION("""COMPUTED_VALUE"""),2021.0)</f>
        <v>2021</v>
      </c>
      <c r="B211" s="12">
        <f>IFERROR(__xludf.DUMMYFUNCTION("""COMPUTED_VALUE"""),10.0)</f>
        <v>10</v>
      </c>
      <c r="C211" s="12">
        <f>IFERROR(__xludf.DUMMYFUNCTION("""COMPUTED_VALUE"""),5.0)</f>
        <v>5</v>
      </c>
      <c r="D211" s="12">
        <f>IFERROR(__xludf.DUMMYFUNCTION("""COMPUTED_VALUE"""),1003731.0)</f>
        <v>1003731</v>
      </c>
      <c r="E211" s="12">
        <f>IFERROR(__xludf.DUMMYFUNCTION("""COMPUTED_VALUE"""),5.0)</f>
        <v>5</v>
      </c>
      <c r="F211" s="12">
        <f>IFERROR(__xludf.DUMMYFUNCTION("""COMPUTED_VALUE"""),0.0)</f>
        <v>0</v>
      </c>
      <c r="G211" s="12">
        <f>IFERROR(__xludf.DUMMYFUNCTION("""COMPUTED_VALUE"""),0.0)</f>
        <v>0</v>
      </c>
      <c r="H211" s="12" t="str">
        <f>IFERROR(__xludf.DUMMYFUNCTION("""COMPUTED_VALUE"""),"Damage")</f>
        <v>Damage</v>
      </c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>
      <c r="A212" s="12">
        <f>IFERROR(__xludf.DUMMYFUNCTION("""COMPUTED_VALUE"""),2021.0)</f>
        <v>2021</v>
      </c>
      <c r="B212" s="12">
        <f>IFERROR(__xludf.DUMMYFUNCTION("""COMPUTED_VALUE"""),10.0)</f>
        <v>10</v>
      </c>
      <c r="C212" s="12">
        <f>IFERROR(__xludf.DUMMYFUNCTION("""COMPUTED_VALUE"""),5.0)</f>
        <v>5</v>
      </c>
      <c r="D212" s="12">
        <f>IFERROR(__xludf.DUMMYFUNCTION("""COMPUTED_VALUE"""),1003548.0)</f>
        <v>1003548</v>
      </c>
      <c r="E212" s="13">
        <f>IFERROR(__xludf.DUMMYFUNCTION("""COMPUTED_VALUE"""),0.7516991183302398)</f>
        <v>0.7516991183</v>
      </c>
      <c r="F212" s="12">
        <f>IFERROR(__xludf.DUMMYFUNCTION("""COMPUTED_VALUE"""),0.0)</f>
        <v>0</v>
      </c>
      <c r="G212" s="12">
        <f>IFERROR(__xludf.DUMMYFUNCTION("""COMPUTED_VALUE"""),0.0)</f>
        <v>0</v>
      </c>
      <c r="H212" s="12" t="str">
        <f>IFERROR(__xludf.DUMMYFUNCTION("""COMPUTED_VALUE"""),"Return")</f>
        <v>Return</v>
      </c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>
      <c r="A213" s="12">
        <f>IFERROR(__xludf.DUMMYFUNCTION("""COMPUTED_VALUE"""),2021.0)</f>
        <v>2021</v>
      </c>
      <c r="B213" s="12">
        <f>IFERROR(__xludf.DUMMYFUNCTION("""COMPUTED_VALUE"""),10.0)</f>
        <v>10</v>
      </c>
      <c r="C213" s="12">
        <f>IFERROR(__xludf.DUMMYFUNCTION("""COMPUTED_VALUE"""),5.0)</f>
        <v>5</v>
      </c>
      <c r="D213" s="12">
        <f>IFERROR(__xludf.DUMMYFUNCTION("""COMPUTED_VALUE"""),1003656.0)</f>
        <v>1003656</v>
      </c>
      <c r="E213" s="12">
        <f>IFERROR(__xludf.DUMMYFUNCTION("""COMPUTED_VALUE"""),2.0)</f>
        <v>2</v>
      </c>
      <c r="F213" s="12">
        <f>IFERROR(__xludf.DUMMYFUNCTION("""COMPUTED_VALUE"""),0.0)</f>
        <v>0</v>
      </c>
      <c r="G213" s="12">
        <f>IFERROR(__xludf.DUMMYFUNCTION("""COMPUTED_VALUE"""),0.0)</f>
        <v>0</v>
      </c>
      <c r="H213" s="12" t="str">
        <f>IFERROR(__xludf.DUMMYFUNCTION("""COMPUTED_VALUE"""),"Damage")</f>
        <v>Damage</v>
      </c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>
      <c r="A214" s="12">
        <f>IFERROR(__xludf.DUMMYFUNCTION("""COMPUTED_VALUE"""),2021.0)</f>
        <v>2021</v>
      </c>
      <c r="B214" s="12">
        <f>IFERROR(__xludf.DUMMYFUNCTION("""COMPUTED_VALUE"""),10.0)</f>
        <v>10</v>
      </c>
      <c r="C214" s="12">
        <f>IFERROR(__xludf.DUMMYFUNCTION("""COMPUTED_VALUE"""),5.0)</f>
        <v>5</v>
      </c>
      <c r="D214" s="12">
        <f>IFERROR(__xludf.DUMMYFUNCTION("""COMPUTED_VALUE"""),1003828.0)</f>
        <v>1003828</v>
      </c>
      <c r="E214" s="12">
        <f>IFERROR(__xludf.DUMMYFUNCTION("""COMPUTED_VALUE"""),18.0)</f>
        <v>18</v>
      </c>
      <c r="F214" s="12">
        <f>IFERROR(__xludf.DUMMYFUNCTION("""COMPUTED_VALUE"""),0.0)</f>
        <v>0</v>
      </c>
      <c r="G214" s="12">
        <f>IFERROR(__xludf.DUMMYFUNCTION("""COMPUTED_VALUE"""),0.0)</f>
        <v>0</v>
      </c>
      <c r="H214" s="12" t="str">
        <f>IFERROR(__xludf.DUMMYFUNCTION("""COMPUTED_VALUE"""),"Wrong product")</f>
        <v>Wrong product</v>
      </c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>
      <c r="A215" s="12">
        <f>IFERROR(__xludf.DUMMYFUNCTION("""COMPUTED_VALUE"""),2021.0)</f>
        <v>2021</v>
      </c>
      <c r="B215" s="12">
        <f>IFERROR(__xludf.DUMMYFUNCTION("""COMPUTED_VALUE"""),10.0)</f>
        <v>10</v>
      </c>
      <c r="C215" s="12">
        <f>IFERROR(__xludf.DUMMYFUNCTION("""COMPUTED_VALUE"""),6.0)</f>
        <v>6</v>
      </c>
      <c r="D215" s="12">
        <f>IFERROR(__xludf.DUMMYFUNCTION("""COMPUTED_VALUE"""),1003434.0)</f>
        <v>1003434</v>
      </c>
      <c r="E215" s="12">
        <f>IFERROR(__xludf.DUMMYFUNCTION("""COMPUTED_VALUE"""),1.0)</f>
        <v>1</v>
      </c>
      <c r="F215" s="12">
        <f>IFERROR(__xludf.DUMMYFUNCTION("""COMPUTED_VALUE"""),0.0)</f>
        <v>0</v>
      </c>
      <c r="G215" s="12">
        <f>IFERROR(__xludf.DUMMYFUNCTION("""COMPUTED_VALUE"""),0.0)</f>
        <v>0</v>
      </c>
      <c r="H215" s="12" t="str">
        <f>IFERROR(__xludf.DUMMYFUNCTION("""COMPUTED_VALUE"""),"Return")</f>
        <v>Return</v>
      </c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>
      <c r="A216" s="12">
        <f>IFERROR(__xludf.DUMMYFUNCTION("""COMPUTED_VALUE"""),2021.0)</f>
        <v>2021</v>
      </c>
      <c r="B216" s="12">
        <f>IFERROR(__xludf.DUMMYFUNCTION("""COMPUTED_VALUE"""),10.0)</f>
        <v>10</v>
      </c>
      <c r="C216" s="12">
        <f>IFERROR(__xludf.DUMMYFUNCTION("""COMPUTED_VALUE"""),6.0)</f>
        <v>6</v>
      </c>
      <c r="D216" s="12">
        <f>IFERROR(__xludf.DUMMYFUNCTION("""COMPUTED_VALUE"""),1003667.0)</f>
        <v>1003667</v>
      </c>
      <c r="E216" s="12">
        <f>IFERROR(__xludf.DUMMYFUNCTION("""COMPUTED_VALUE"""),3.0)</f>
        <v>3</v>
      </c>
      <c r="F216" s="12">
        <f>IFERROR(__xludf.DUMMYFUNCTION("""COMPUTED_VALUE"""),7.42)</f>
        <v>7.42</v>
      </c>
      <c r="G216" s="12">
        <f>IFERROR(__xludf.DUMMYFUNCTION("""COMPUTED_VALUE"""),0.0)</f>
        <v>0</v>
      </c>
      <c r="H216" s="12" t="str">
        <f>IFERROR(__xludf.DUMMYFUNCTION("""COMPUTED_VALUE"""),"Return")</f>
        <v>Return</v>
      </c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>
      <c r="A217" s="12">
        <f>IFERROR(__xludf.DUMMYFUNCTION("""COMPUTED_VALUE"""),2021.0)</f>
        <v>2021</v>
      </c>
      <c r="B217" s="12">
        <f>IFERROR(__xludf.DUMMYFUNCTION("""COMPUTED_VALUE"""),10.0)</f>
        <v>10</v>
      </c>
      <c r="C217" s="12">
        <f>IFERROR(__xludf.DUMMYFUNCTION("""COMPUTED_VALUE"""),6.0)</f>
        <v>6</v>
      </c>
      <c r="D217" s="12">
        <f>IFERROR(__xludf.DUMMYFUNCTION("""COMPUTED_VALUE"""),1003353.0)</f>
        <v>1003353</v>
      </c>
      <c r="E217" s="12">
        <f>IFERROR(__xludf.DUMMYFUNCTION("""COMPUTED_VALUE"""),1.0)</f>
        <v>1</v>
      </c>
      <c r="F217" s="12">
        <f>IFERROR(__xludf.DUMMYFUNCTION("""COMPUTED_VALUE"""),0.0)</f>
        <v>0</v>
      </c>
      <c r="G217" s="12">
        <f>IFERROR(__xludf.DUMMYFUNCTION("""COMPUTED_VALUE"""),0.0)</f>
        <v>0</v>
      </c>
      <c r="H217" s="12" t="str">
        <f>IFERROR(__xludf.DUMMYFUNCTION("""COMPUTED_VALUE"""),"Wrong product")</f>
        <v>Wrong product</v>
      </c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>
      <c r="A218" s="12">
        <f>IFERROR(__xludf.DUMMYFUNCTION("""COMPUTED_VALUE"""),2021.0)</f>
        <v>2021</v>
      </c>
      <c r="B218" s="12">
        <f>IFERROR(__xludf.DUMMYFUNCTION("""COMPUTED_VALUE"""),10.0)</f>
        <v>10</v>
      </c>
      <c r="C218" s="12">
        <f>IFERROR(__xludf.DUMMYFUNCTION("""COMPUTED_VALUE"""),6.0)</f>
        <v>6</v>
      </c>
      <c r="D218" s="12">
        <f>IFERROR(__xludf.DUMMYFUNCTION("""COMPUTED_VALUE"""),1003370.0)</f>
        <v>1003370</v>
      </c>
      <c r="E218" s="12">
        <f>IFERROR(__xludf.DUMMYFUNCTION("""COMPUTED_VALUE"""),11.0)</f>
        <v>11</v>
      </c>
      <c r="F218" s="12">
        <f>IFERROR(__xludf.DUMMYFUNCTION("""COMPUTED_VALUE"""),0.0)</f>
        <v>0</v>
      </c>
      <c r="G218" s="12">
        <f>IFERROR(__xludf.DUMMYFUNCTION("""COMPUTED_VALUE"""),10.0)</f>
        <v>10</v>
      </c>
      <c r="H218" s="12" t="str">
        <f>IFERROR(__xludf.DUMMYFUNCTION("""COMPUTED_VALUE"""),"Return")</f>
        <v>Return</v>
      </c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>
      <c r="A219" s="12">
        <f>IFERROR(__xludf.DUMMYFUNCTION("""COMPUTED_VALUE"""),2021.0)</f>
        <v>2021</v>
      </c>
      <c r="B219" s="12">
        <f>IFERROR(__xludf.DUMMYFUNCTION("""COMPUTED_VALUE"""),10.0)</f>
        <v>10</v>
      </c>
      <c r="C219" s="12">
        <f>IFERROR(__xludf.DUMMYFUNCTION("""COMPUTED_VALUE"""),6.0)</f>
        <v>6</v>
      </c>
      <c r="D219" s="12">
        <f>IFERROR(__xludf.DUMMYFUNCTION("""COMPUTED_VALUE"""),1003560.0)</f>
        <v>1003560</v>
      </c>
      <c r="E219" s="12">
        <f>IFERROR(__xludf.DUMMYFUNCTION("""COMPUTED_VALUE"""),4.0)</f>
        <v>4</v>
      </c>
      <c r="F219" s="12">
        <f>IFERROR(__xludf.DUMMYFUNCTION("""COMPUTED_VALUE"""),0.0)</f>
        <v>0</v>
      </c>
      <c r="G219" s="12">
        <f>IFERROR(__xludf.DUMMYFUNCTION("""COMPUTED_VALUE"""),0.0)</f>
        <v>0</v>
      </c>
      <c r="H219" s="12" t="str">
        <f>IFERROR(__xludf.DUMMYFUNCTION("""COMPUTED_VALUE"""),"Damage")</f>
        <v>Damage</v>
      </c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>
      <c r="A220" s="12">
        <f>IFERROR(__xludf.DUMMYFUNCTION("""COMPUTED_VALUE"""),2021.0)</f>
        <v>2021</v>
      </c>
      <c r="B220" s="12">
        <f>IFERROR(__xludf.DUMMYFUNCTION("""COMPUTED_VALUE"""),10.0)</f>
        <v>10</v>
      </c>
      <c r="C220" s="12">
        <f>IFERROR(__xludf.DUMMYFUNCTION("""COMPUTED_VALUE"""),6.0)</f>
        <v>6</v>
      </c>
      <c r="D220" s="12">
        <f>IFERROR(__xludf.DUMMYFUNCTION("""COMPUTED_VALUE"""),1003306.0)</f>
        <v>1003306</v>
      </c>
      <c r="E220" s="12">
        <f>IFERROR(__xludf.DUMMYFUNCTION("""COMPUTED_VALUE"""),5.0)</f>
        <v>5</v>
      </c>
      <c r="F220" s="12">
        <f>IFERROR(__xludf.DUMMYFUNCTION("""COMPUTED_VALUE"""),0.0)</f>
        <v>0</v>
      </c>
      <c r="G220" s="12">
        <f>IFERROR(__xludf.DUMMYFUNCTION("""COMPUTED_VALUE"""),0.0)</f>
        <v>0</v>
      </c>
      <c r="H220" s="12" t="str">
        <f>IFERROR(__xludf.DUMMYFUNCTION("""COMPUTED_VALUE"""),"Return")</f>
        <v>Return</v>
      </c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>
      <c r="A221" s="12">
        <f>IFERROR(__xludf.DUMMYFUNCTION("""COMPUTED_VALUE"""),2021.0)</f>
        <v>2021</v>
      </c>
      <c r="B221" s="12">
        <f>IFERROR(__xludf.DUMMYFUNCTION("""COMPUTED_VALUE"""),10.0)</f>
        <v>10</v>
      </c>
      <c r="C221" s="12">
        <f>IFERROR(__xludf.DUMMYFUNCTION("""COMPUTED_VALUE"""),6.0)</f>
        <v>6</v>
      </c>
      <c r="D221" s="12">
        <f>IFERROR(__xludf.DUMMYFUNCTION("""COMPUTED_VALUE"""),1003553.0)</f>
        <v>1003553</v>
      </c>
      <c r="E221" s="13">
        <f>IFERROR(__xludf.DUMMYFUNCTION("""COMPUTED_VALUE"""),0.07463021206743825)</f>
        <v>0.07463021207</v>
      </c>
      <c r="F221" s="12">
        <f>IFERROR(__xludf.DUMMYFUNCTION("""COMPUTED_VALUE"""),0.0)</f>
        <v>0</v>
      </c>
      <c r="G221" s="12">
        <f>IFERROR(__xludf.DUMMYFUNCTION("""COMPUTED_VALUE"""),0.0)</f>
        <v>0</v>
      </c>
      <c r="H221" s="12" t="str">
        <f>IFERROR(__xludf.DUMMYFUNCTION("""COMPUTED_VALUE"""),"Return")</f>
        <v>Return</v>
      </c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  <row r="222">
      <c r="A222" s="12">
        <f>IFERROR(__xludf.DUMMYFUNCTION("""COMPUTED_VALUE"""),2021.0)</f>
        <v>2021</v>
      </c>
      <c r="B222" s="12">
        <f>IFERROR(__xludf.DUMMYFUNCTION("""COMPUTED_VALUE"""),10.0)</f>
        <v>10</v>
      </c>
      <c r="C222" s="12">
        <f>IFERROR(__xludf.DUMMYFUNCTION("""COMPUTED_VALUE"""),6.0)</f>
        <v>6</v>
      </c>
      <c r="D222" s="12">
        <f>IFERROR(__xludf.DUMMYFUNCTION("""COMPUTED_VALUE"""),1004019.0)</f>
        <v>1004019</v>
      </c>
      <c r="E222" s="12">
        <f>IFERROR(__xludf.DUMMYFUNCTION("""COMPUTED_VALUE"""),1.0)</f>
        <v>1</v>
      </c>
      <c r="F222" s="12">
        <f>IFERROR(__xludf.DUMMYFUNCTION("""COMPUTED_VALUE"""),0.0)</f>
        <v>0</v>
      </c>
      <c r="G222" s="12">
        <f>IFERROR(__xludf.DUMMYFUNCTION("""COMPUTED_VALUE"""),0.0)</f>
        <v>0</v>
      </c>
      <c r="H222" s="12" t="str">
        <f>IFERROR(__xludf.DUMMYFUNCTION("""COMPUTED_VALUE"""),"Damage")</f>
        <v>Damage</v>
      </c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</row>
    <row r="223">
      <c r="A223" s="12">
        <f>IFERROR(__xludf.DUMMYFUNCTION("""COMPUTED_VALUE"""),2021.0)</f>
        <v>2021</v>
      </c>
      <c r="B223" s="12">
        <f>IFERROR(__xludf.DUMMYFUNCTION("""COMPUTED_VALUE"""),10.0)</f>
        <v>10</v>
      </c>
      <c r="C223" s="12">
        <f>IFERROR(__xludf.DUMMYFUNCTION("""COMPUTED_VALUE"""),6.0)</f>
        <v>6</v>
      </c>
      <c r="D223" s="12">
        <f>IFERROR(__xludf.DUMMYFUNCTION("""COMPUTED_VALUE"""),1003402.0)</f>
        <v>1003402</v>
      </c>
      <c r="E223" s="12">
        <f>IFERROR(__xludf.DUMMYFUNCTION("""COMPUTED_VALUE"""),1.0)</f>
        <v>1</v>
      </c>
      <c r="F223" s="12">
        <f>IFERROR(__xludf.DUMMYFUNCTION("""COMPUTED_VALUE"""),0.0)</f>
        <v>0</v>
      </c>
      <c r="G223" s="12">
        <f>IFERROR(__xludf.DUMMYFUNCTION("""COMPUTED_VALUE"""),0.0)</f>
        <v>0</v>
      </c>
      <c r="H223" s="12" t="str">
        <f>IFERROR(__xludf.DUMMYFUNCTION("""COMPUTED_VALUE"""),"Return")</f>
        <v>Return</v>
      </c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</row>
    <row r="224">
      <c r="A224" s="12">
        <f>IFERROR(__xludf.DUMMYFUNCTION("""COMPUTED_VALUE"""),2021.0)</f>
        <v>2021</v>
      </c>
      <c r="B224" s="12">
        <f>IFERROR(__xludf.DUMMYFUNCTION("""COMPUTED_VALUE"""),10.0)</f>
        <v>10</v>
      </c>
      <c r="C224" s="12">
        <f>IFERROR(__xludf.DUMMYFUNCTION("""COMPUTED_VALUE"""),6.0)</f>
        <v>6</v>
      </c>
      <c r="D224" s="12">
        <f>IFERROR(__xludf.DUMMYFUNCTION("""COMPUTED_VALUE"""),1003403.0)</f>
        <v>1003403</v>
      </c>
      <c r="E224" s="12">
        <f>IFERROR(__xludf.DUMMYFUNCTION("""COMPUTED_VALUE"""),2.0)</f>
        <v>2</v>
      </c>
      <c r="F224" s="12">
        <f>IFERROR(__xludf.DUMMYFUNCTION("""COMPUTED_VALUE"""),5.75)</f>
        <v>5.75</v>
      </c>
      <c r="G224" s="12">
        <f>IFERROR(__xludf.DUMMYFUNCTION("""COMPUTED_VALUE"""),0.0)</f>
        <v>0</v>
      </c>
      <c r="H224" s="12" t="str">
        <f>IFERROR(__xludf.DUMMYFUNCTION("""COMPUTED_VALUE"""),"Return")</f>
        <v>Return</v>
      </c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</row>
    <row r="225">
      <c r="A225" s="12">
        <f>IFERROR(__xludf.DUMMYFUNCTION("""COMPUTED_VALUE"""),2021.0)</f>
        <v>2021</v>
      </c>
      <c r="B225" s="12">
        <f>IFERROR(__xludf.DUMMYFUNCTION("""COMPUTED_VALUE"""),10.0)</f>
        <v>10</v>
      </c>
      <c r="C225" s="12">
        <f>IFERROR(__xludf.DUMMYFUNCTION("""COMPUTED_VALUE"""),6.0)</f>
        <v>6</v>
      </c>
      <c r="D225" s="12">
        <f>IFERROR(__xludf.DUMMYFUNCTION("""COMPUTED_VALUE"""),1003775.0)</f>
        <v>1003775</v>
      </c>
      <c r="E225" s="12">
        <f>IFERROR(__xludf.DUMMYFUNCTION("""COMPUTED_VALUE"""),1.0)</f>
        <v>1</v>
      </c>
      <c r="F225" s="12">
        <f>IFERROR(__xludf.DUMMYFUNCTION("""COMPUTED_VALUE"""),0.0)</f>
        <v>0</v>
      </c>
      <c r="G225" s="12">
        <f>IFERROR(__xludf.DUMMYFUNCTION("""COMPUTED_VALUE"""),5.0)</f>
        <v>5</v>
      </c>
      <c r="H225" s="12" t="str">
        <f>IFERROR(__xludf.DUMMYFUNCTION("""COMPUTED_VALUE"""),"Return")</f>
        <v>Return</v>
      </c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</row>
    <row r="226">
      <c r="A226" s="12">
        <f>IFERROR(__xludf.DUMMYFUNCTION("""COMPUTED_VALUE"""),2021.0)</f>
        <v>2021</v>
      </c>
      <c r="B226" s="12">
        <f>IFERROR(__xludf.DUMMYFUNCTION("""COMPUTED_VALUE"""),10.0)</f>
        <v>10</v>
      </c>
      <c r="C226" s="12">
        <f>IFERROR(__xludf.DUMMYFUNCTION("""COMPUTED_VALUE"""),6.0)</f>
        <v>6</v>
      </c>
      <c r="D226" s="12">
        <f>IFERROR(__xludf.DUMMYFUNCTION("""COMPUTED_VALUE"""),1003704.0)</f>
        <v>1003704</v>
      </c>
      <c r="E226" s="12">
        <f>IFERROR(__xludf.DUMMYFUNCTION("""COMPUTED_VALUE"""),1.0)</f>
        <v>1</v>
      </c>
      <c r="F226" s="12">
        <f>IFERROR(__xludf.DUMMYFUNCTION("""COMPUTED_VALUE"""),0.0)</f>
        <v>0</v>
      </c>
      <c r="G226" s="12">
        <f>IFERROR(__xludf.DUMMYFUNCTION("""COMPUTED_VALUE"""),0.0)</f>
        <v>0</v>
      </c>
      <c r="H226" s="12" t="str">
        <f>IFERROR(__xludf.DUMMYFUNCTION("""COMPUTED_VALUE"""),"Damage")</f>
        <v>Damage</v>
      </c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</row>
    <row r="227">
      <c r="A227" s="12">
        <f>IFERROR(__xludf.DUMMYFUNCTION("""COMPUTED_VALUE"""),2021.0)</f>
        <v>2021</v>
      </c>
      <c r="B227" s="12">
        <f>IFERROR(__xludf.DUMMYFUNCTION("""COMPUTED_VALUE"""),10.0)</f>
        <v>10</v>
      </c>
      <c r="C227" s="12">
        <f>IFERROR(__xludf.DUMMYFUNCTION("""COMPUTED_VALUE"""),6.0)</f>
        <v>6</v>
      </c>
      <c r="D227" s="12">
        <f>IFERROR(__xludf.DUMMYFUNCTION("""COMPUTED_VALUE"""),1003467.0)</f>
        <v>1003467</v>
      </c>
      <c r="E227" s="12">
        <f>IFERROR(__xludf.DUMMYFUNCTION("""COMPUTED_VALUE"""),2.0)</f>
        <v>2</v>
      </c>
      <c r="F227" s="12">
        <f>IFERROR(__xludf.DUMMYFUNCTION("""COMPUTED_VALUE"""),0.0)</f>
        <v>0</v>
      </c>
      <c r="G227" s="12">
        <f>IFERROR(__xludf.DUMMYFUNCTION("""COMPUTED_VALUE"""),0.0)</f>
        <v>0</v>
      </c>
      <c r="H227" s="12" t="str">
        <f>IFERROR(__xludf.DUMMYFUNCTION("""COMPUTED_VALUE"""),"Wrong product")</f>
        <v>Wrong product</v>
      </c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</row>
    <row r="228">
      <c r="A228" s="12">
        <f>IFERROR(__xludf.DUMMYFUNCTION("""COMPUTED_VALUE"""),2021.0)</f>
        <v>2021</v>
      </c>
      <c r="B228" s="12">
        <f>IFERROR(__xludf.DUMMYFUNCTION("""COMPUTED_VALUE"""),10.0)</f>
        <v>10</v>
      </c>
      <c r="C228" s="12">
        <f>IFERROR(__xludf.DUMMYFUNCTION("""COMPUTED_VALUE"""),6.0)</f>
        <v>6</v>
      </c>
      <c r="D228" s="12">
        <f>IFERROR(__xludf.DUMMYFUNCTION("""COMPUTED_VALUE"""),1003430.0)</f>
        <v>1003430</v>
      </c>
      <c r="E228" s="12">
        <f>IFERROR(__xludf.DUMMYFUNCTION("""COMPUTED_VALUE"""),2.0)</f>
        <v>2</v>
      </c>
      <c r="F228" s="12">
        <f>IFERROR(__xludf.DUMMYFUNCTION("""COMPUTED_VALUE"""),0.0)</f>
        <v>0</v>
      </c>
      <c r="G228" s="12">
        <f>IFERROR(__xludf.DUMMYFUNCTION("""COMPUTED_VALUE"""),0.0)</f>
        <v>0</v>
      </c>
      <c r="H228" s="12" t="str">
        <f>IFERROR(__xludf.DUMMYFUNCTION("""COMPUTED_VALUE"""),"Wrong product")</f>
        <v>Wrong product</v>
      </c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</row>
    <row r="229">
      <c r="A229" s="12">
        <f>IFERROR(__xludf.DUMMYFUNCTION("""COMPUTED_VALUE"""),2021.0)</f>
        <v>2021</v>
      </c>
      <c r="B229" s="12">
        <f>IFERROR(__xludf.DUMMYFUNCTION("""COMPUTED_VALUE"""),10.0)</f>
        <v>10</v>
      </c>
      <c r="C229" s="12">
        <f>IFERROR(__xludf.DUMMYFUNCTION("""COMPUTED_VALUE"""),6.0)</f>
        <v>6</v>
      </c>
      <c r="D229" s="12">
        <f>IFERROR(__xludf.DUMMYFUNCTION("""COMPUTED_VALUE"""),1003349.0)</f>
        <v>1003349</v>
      </c>
      <c r="E229" s="12">
        <f>IFERROR(__xludf.DUMMYFUNCTION("""COMPUTED_VALUE"""),10.0)</f>
        <v>10</v>
      </c>
      <c r="F229" s="12">
        <f>IFERROR(__xludf.DUMMYFUNCTION("""COMPUTED_VALUE"""),0.0)</f>
        <v>0</v>
      </c>
      <c r="G229" s="12">
        <f>IFERROR(__xludf.DUMMYFUNCTION("""COMPUTED_VALUE"""),0.0)</f>
        <v>0</v>
      </c>
      <c r="H229" s="12" t="str">
        <f>IFERROR(__xludf.DUMMYFUNCTION("""COMPUTED_VALUE"""),"Return")</f>
        <v>Return</v>
      </c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</row>
    <row r="230">
      <c r="A230" s="12">
        <f>IFERROR(__xludf.DUMMYFUNCTION("""COMPUTED_VALUE"""),2021.0)</f>
        <v>2021</v>
      </c>
      <c r="B230" s="12">
        <f>IFERROR(__xludf.DUMMYFUNCTION("""COMPUTED_VALUE"""),10.0)</f>
        <v>10</v>
      </c>
      <c r="C230" s="12">
        <f>IFERROR(__xludf.DUMMYFUNCTION("""COMPUTED_VALUE"""),6.0)</f>
        <v>6</v>
      </c>
      <c r="D230" s="12">
        <f>IFERROR(__xludf.DUMMYFUNCTION("""COMPUTED_VALUE"""),1003946.0)</f>
        <v>1003946</v>
      </c>
      <c r="E230" s="12">
        <f>IFERROR(__xludf.DUMMYFUNCTION("""COMPUTED_VALUE"""),5.0)</f>
        <v>5</v>
      </c>
      <c r="F230" s="12">
        <f>IFERROR(__xludf.DUMMYFUNCTION("""COMPUTED_VALUE"""),0.0)</f>
        <v>0</v>
      </c>
      <c r="G230" s="12">
        <f>IFERROR(__xludf.DUMMYFUNCTION("""COMPUTED_VALUE"""),10.0)</f>
        <v>10</v>
      </c>
      <c r="H230" s="12" t="str">
        <f>IFERROR(__xludf.DUMMYFUNCTION("""COMPUTED_VALUE"""),"Return")</f>
        <v>Return</v>
      </c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</row>
    <row r="231">
      <c r="A231" s="12">
        <f>IFERROR(__xludf.DUMMYFUNCTION("""COMPUTED_VALUE"""),2021.0)</f>
        <v>2021</v>
      </c>
      <c r="B231" s="12">
        <f>IFERROR(__xludf.DUMMYFUNCTION("""COMPUTED_VALUE"""),10.0)</f>
        <v>10</v>
      </c>
      <c r="C231" s="12">
        <f>IFERROR(__xludf.DUMMYFUNCTION("""COMPUTED_VALUE"""),6.0)</f>
        <v>6</v>
      </c>
      <c r="D231" s="12">
        <f>IFERROR(__xludf.DUMMYFUNCTION("""COMPUTED_VALUE"""),1003738.0)</f>
        <v>1003738</v>
      </c>
      <c r="E231" s="12">
        <f>IFERROR(__xludf.DUMMYFUNCTION("""COMPUTED_VALUE"""),7.0)</f>
        <v>7</v>
      </c>
      <c r="F231" s="12">
        <f>IFERROR(__xludf.DUMMYFUNCTION("""COMPUTED_VALUE"""),7.36)</f>
        <v>7.36</v>
      </c>
      <c r="G231" s="12">
        <f>IFERROR(__xludf.DUMMYFUNCTION("""COMPUTED_VALUE"""),0.0)</f>
        <v>0</v>
      </c>
      <c r="H231" s="12" t="str">
        <f>IFERROR(__xludf.DUMMYFUNCTION("""COMPUTED_VALUE"""),"Return")</f>
        <v>Return</v>
      </c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r="232">
      <c r="A232" s="12">
        <f>IFERROR(__xludf.DUMMYFUNCTION("""COMPUTED_VALUE"""),2021.0)</f>
        <v>2021</v>
      </c>
      <c r="B232" s="12">
        <f>IFERROR(__xludf.DUMMYFUNCTION("""COMPUTED_VALUE"""),10.0)</f>
        <v>10</v>
      </c>
      <c r="C232" s="12">
        <f>IFERROR(__xludf.DUMMYFUNCTION("""COMPUTED_VALUE"""),6.0)</f>
        <v>6</v>
      </c>
      <c r="D232" s="12">
        <f>IFERROR(__xludf.DUMMYFUNCTION("""COMPUTED_VALUE"""),1003897.0)</f>
        <v>1003897</v>
      </c>
      <c r="E232" s="12">
        <f>IFERROR(__xludf.DUMMYFUNCTION("""COMPUTED_VALUE"""),5.0)</f>
        <v>5</v>
      </c>
      <c r="F232" s="12">
        <f>IFERROR(__xludf.DUMMYFUNCTION("""COMPUTED_VALUE"""),0.0)</f>
        <v>0</v>
      </c>
      <c r="G232" s="12">
        <f>IFERROR(__xludf.DUMMYFUNCTION("""COMPUTED_VALUE"""),10.0)</f>
        <v>10</v>
      </c>
      <c r="H232" s="12" t="str">
        <f>IFERROR(__xludf.DUMMYFUNCTION("""COMPUTED_VALUE"""),"Return")</f>
        <v>Return</v>
      </c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>
      <c r="A233" s="12">
        <f>IFERROR(__xludf.DUMMYFUNCTION("""COMPUTED_VALUE"""),2021.0)</f>
        <v>2021</v>
      </c>
      <c r="B233" s="12">
        <f>IFERROR(__xludf.DUMMYFUNCTION("""COMPUTED_VALUE"""),10.0)</f>
        <v>10</v>
      </c>
      <c r="C233" s="12">
        <f>IFERROR(__xludf.DUMMYFUNCTION("""COMPUTED_VALUE"""),6.0)</f>
        <v>6</v>
      </c>
      <c r="D233" s="12">
        <f>IFERROR(__xludf.DUMMYFUNCTION("""COMPUTED_VALUE"""),1003666.0)</f>
        <v>1003666</v>
      </c>
      <c r="E233" s="12">
        <f>IFERROR(__xludf.DUMMYFUNCTION("""COMPUTED_VALUE"""),2.0)</f>
        <v>2</v>
      </c>
      <c r="F233" s="12">
        <f>IFERROR(__xludf.DUMMYFUNCTION("""COMPUTED_VALUE"""),0.0)</f>
        <v>0</v>
      </c>
      <c r="G233" s="12">
        <f>IFERROR(__xludf.DUMMYFUNCTION("""COMPUTED_VALUE"""),0.0)</f>
        <v>0</v>
      </c>
      <c r="H233" s="12" t="str">
        <f>IFERROR(__xludf.DUMMYFUNCTION("""COMPUTED_VALUE"""),"Wrong product")</f>
        <v>Wrong product</v>
      </c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>
      <c r="A234" s="12">
        <f>IFERROR(__xludf.DUMMYFUNCTION("""COMPUTED_VALUE"""),2021.0)</f>
        <v>2021</v>
      </c>
      <c r="B234" s="12">
        <f>IFERROR(__xludf.DUMMYFUNCTION("""COMPUTED_VALUE"""),10.0)</f>
        <v>10</v>
      </c>
      <c r="C234" s="12">
        <f>IFERROR(__xludf.DUMMYFUNCTION("""COMPUTED_VALUE"""),6.0)</f>
        <v>6</v>
      </c>
      <c r="D234" s="12">
        <f>IFERROR(__xludf.DUMMYFUNCTION("""COMPUTED_VALUE"""),1003325.0)</f>
        <v>1003325</v>
      </c>
      <c r="E234" s="12">
        <f>IFERROR(__xludf.DUMMYFUNCTION("""COMPUTED_VALUE"""),2.0)</f>
        <v>2</v>
      </c>
      <c r="F234" s="12">
        <f>IFERROR(__xludf.DUMMYFUNCTION("""COMPUTED_VALUE"""),0.0)</f>
        <v>0</v>
      </c>
      <c r="G234" s="12">
        <f>IFERROR(__xludf.DUMMYFUNCTION("""COMPUTED_VALUE"""),0.0)</f>
        <v>0</v>
      </c>
      <c r="H234" s="12" t="str">
        <f>IFERROR(__xludf.DUMMYFUNCTION("""COMPUTED_VALUE"""),"Damage")</f>
        <v>Damage</v>
      </c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>
      <c r="A235" s="12">
        <f>IFERROR(__xludf.DUMMYFUNCTION("""COMPUTED_VALUE"""),2021.0)</f>
        <v>2021</v>
      </c>
      <c r="B235" s="12">
        <f>IFERROR(__xludf.DUMMYFUNCTION("""COMPUTED_VALUE"""),10.0)</f>
        <v>10</v>
      </c>
      <c r="C235" s="12">
        <f>IFERROR(__xludf.DUMMYFUNCTION("""COMPUTED_VALUE"""),6.0)</f>
        <v>6</v>
      </c>
      <c r="D235" s="12">
        <f>IFERROR(__xludf.DUMMYFUNCTION("""COMPUTED_VALUE"""),1003962.0)</f>
        <v>1003962</v>
      </c>
      <c r="E235" s="12">
        <f>IFERROR(__xludf.DUMMYFUNCTION("""COMPUTED_VALUE"""),2.0)</f>
        <v>2</v>
      </c>
      <c r="F235" s="12">
        <f>IFERROR(__xludf.DUMMYFUNCTION("""COMPUTED_VALUE"""),0.0)</f>
        <v>0</v>
      </c>
      <c r="G235" s="12">
        <f>IFERROR(__xludf.DUMMYFUNCTION("""COMPUTED_VALUE"""),0.0)</f>
        <v>0</v>
      </c>
      <c r="H235" s="12" t="str">
        <f>IFERROR(__xludf.DUMMYFUNCTION("""COMPUTED_VALUE"""),"Wrong product")</f>
        <v>Wrong product</v>
      </c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>
      <c r="A236" s="12">
        <f>IFERROR(__xludf.DUMMYFUNCTION("""COMPUTED_VALUE"""),2021.0)</f>
        <v>2021</v>
      </c>
      <c r="B236" s="12">
        <f>IFERROR(__xludf.DUMMYFUNCTION("""COMPUTED_VALUE"""),10.0)</f>
        <v>10</v>
      </c>
      <c r="C236" s="12">
        <f>IFERROR(__xludf.DUMMYFUNCTION("""COMPUTED_VALUE"""),6.0)</f>
        <v>6</v>
      </c>
      <c r="D236" s="12">
        <f>IFERROR(__xludf.DUMMYFUNCTION("""COMPUTED_VALUE"""),1003351.0)</f>
        <v>1003351</v>
      </c>
      <c r="E236" s="12">
        <f>IFERROR(__xludf.DUMMYFUNCTION("""COMPUTED_VALUE"""),3.0)</f>
        <v>3</v>
      </c>
      <c r="F236" s="12">
        <f>IFERROR(__xludf.DUMMYFUNCTION("""COMPUTED_VALUE"""),0.0)</f>
        <v>0</v>
      </c>
      <c r="G236" s="12">
        <f>IFERROR(__xludf.DUMMYFUNCTION("""COMPUTED_VALUE"""),0.0)</f>
        <v>0</v>
      </c>
      <c r="H236" s="12" t="str">
        <f>IFERROR(__xludf.DUMMYFUNCTION("""COMPUTED_VALUE"""),"Return")</f>
        <v>Return</v>
      </c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>
      <c r="A237" s="12">
        <f>IFERROR(__xludf.DUMMYFUNCTION("""COMPUTED_VALUE"""),2021.0)</f>
        <v>2021</v>
      </c>
      <c r="B237" s="12">
        <f>IFERROR(__xludf.DUMMYFUNCTION("""COMPUTED_VALUE"""),10.0)</f>
        <v>10</v>
      </c>
      <c r="C237" s="12">
        <f>IFERROR(__xludf.DUMMYFUNCTION("""COMPUTED_VALUE"""),6.0)</f>
        <v>6</v>
      </c>
      <c r="D237" s="12">
        <f>IFERROR(__xludf.DUMMYFUNCTION("""COMPUTED_VALUE"""),1003700.0)</f>
        <v>1003700</v>
      </c>
      <c r="E237" s="12">
        <f>IFERROR(__xludf.DUMMYFUNCTION("""COMPUTED_VALUE"""),3.0)</f>
        <v>3</v>
      </c>
      <c r="F237" s="12">
        <f>IFERROR(__xludf.DUMMYFUNCTION("""COMPUTED_VALUE"""),0.0)</f>
        <v>0</v>
      </c>
      <c r="G237" s="12">
        <f>IFERROR(__xludf.DUMMYFUNCTION("""COMPUTED_VALUE"""),0.0)</f>
        <v>0</v>
      </c>
      <c r="H237" s="12" t="str">
        <f>IFERROR(__xludf.DUMMYFUNCTION("""COMPUTED_VALUE"""),"Damage")</f>
        <v>Damage</v>
      </c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>
      <c r="A238" s="12">
        <f>IFERROR(__xludf.DUMMYFUNCTION("""COMPUTED_VALUE"""),2021.0)</f>
        <v>2021</v>
      </c>
      <c r="B238" s="12">
        <f>IFERROR(__xludf.DUMMYFUNCTION("""COMPUTED_VALUE"""),10.0)</f>
        <v>10</v>
      </c>
      <c r="C238" s="12">
        <f>IFERROR(__xludf.DUMMYFUNCTION("""COMPUTED_VALUE"""),6.0)</f>
        <v>6</v>
      </c>
      <c r="D238" s="12">
        <f>IFERROR(__xludf.DUMMYFUNCTION("""COMPUTED_VALUE"""),1003475.0)</f>
        <v>1003475</v>
      </c>
      <c r="E238" s="13">
        <f>IFERROR(__xludf.DUMMYFUNCTION("""COMPUTED_VALUE"""),0.3553481942915355)</f>
        <v>0.3553481943</v>
      </c>
      <c r="F238" s="12">
        <f>IFERROR(__xludf.DUMMYFUNCTION("""COMPUTED_VALUE"""),0.0)</f>
        <v>0</v>
      </c>
      <c r="G238" s="12">
        <f>IFERROR(__xludf.DUMMYFUNCTION("""COMPUTED_VALUE"""),5.0)</f>
        <v>5</v>
      </c>
      <c r="H238" s="12" t="str">
        <f>IFERROR(__xludf.DUMMYFUNCTION("""COMPUTED_VALUE"""),"Return")</f>
        <v>Return</v>
      </c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>
      <c r="A239" s="12">
        <f>IFERROR(__xludf.DUMMYFUNCTION("""COMPUTED_VALUE"""),2021.0)</f>
        <v>2021</v>
      </c>
      <c r="B239" s="12">
        <f>IFERROR(__xludf.DUMMYFUNCTION("""COMPUTED_VALUE"""),10.0)</f>
        <v>10</v>
      </c>
      <c r="C239" s="12">
        <f>IFERROR(__xludf.DUMMYFUNCTION("""COMPUTED_VALUE"""),6.0)</f>
        <v>6</v>
      </c>
      <c r="D239" s="12">
        <f>IFERROR(__xludf.DUMMYFUNCTION("""COMPUTED_VALUE"""),1003834.0)</f>
        <v>1003834</v>
      </c>
      <c r="E239" s="12">
        <f>IFERROR(__xludf.DUMMYFUNCTION("""COMPUTED_VALUE"""),1.0)</f>
        <v>1</v>
      </c>
      <c r="F239" s="12">
        <f>IFERROR(__xludf.DUMMYFUNCTION("""COMPUTED_VALUE"""),8.25)</f>
        <v>8.25</v>
      </c>
      <c r="G239" s="12">
        <f>IFERROR(__xludf.DUMMYFUNCTION("""COMPUTED_VALUE"""),0.0)</f>
        <v>0</v>
      </c>
      <c r="H239" s="12" t="str">
        <f>IFERROR(__xludf.DUMMYFUNCTION("""COMPUTED_VALUE"""),"Return")</f>
        <v>Return</v>
      </c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>
      <c r="A240" s="12">
        <f>IFERROR(__xludf.DUMMYFUNCTION("""COMPUTED_VALUE"""),2021.0)</f>
        <v>2021</v>
      </c>
      <c r="B240" s="12">
        <f>IFERROR(__xludf.DUMMYFUNCTION("""COMPUTED_VALUE"""),10.0)</f>
        <v>10</v>
      </c>
      <c r="C240" s="12">
        <f>IFERROR(__xludf.DUMMYFUNCTION("""COMPUTED_VALUE"""),6.0)</f>
        <v>6</v>
      </c>
      <c r="D240" s="12">
        <f>IFERROR(__xludf.DUMMYFUNCTION("""COMPUTED_VALUE"""),1003552.0)</f>
        <v>1003552</v>
      </c>
      <c r="E240" s="12">
        <f>IFERROR(__xludf.DUMMYFUNCTION("""COMPUTED_VALUE"""),6.0)</f>
        <v>6</v>
      </c>
      <c r="F240" s="12">
        <f>IFERROR(__xludf.DUMMYFUNCTION("""COMPUTED_VALUE"""),0.0)</f>
        <v>0</v>
      </c>
      <c r="G240" s="12">
        <f>IFERROR(__xludf.DUMMYFUNCTION("""COMPUTED_VALUE"""),6.0)</f>
        <v>6</v>
      </c>
      <c r="H240" s="12" t="str">
        <f>IFERROR(__xludf.DUMMYFUNCTION("""COMPUTED_VALUE"""),"Return")</f>
        <v>Return</v>
      </c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>
      <c r="A241" s="12">
        <f>IFERROR(__xludf.DUMMYFUNCTION("""COMPUTED_VALUE"""),2021.0)</f>
        <v>2021</v>
      </c>
      <c r="B241" s="12">
        <f>IFERROR(__xludf.DUMMYFUNCTION("""COMPUTED_VALUE"""),10.0)</f>
        <v>10</v>
      </c>
      <c r="C241" s="12">
        <f>IFERROR(__xludf.DUMMYFUNCTION("""COMPUTED_VALUE"""),6.0)</f>
        <v>6</v>
      </c>
      <c r="D241" s="12">
        <f>IFERROR(__xludf.DUMMYFUNCTION("""COMPUTED_VALUE"""),1003334.0)</f>
        <v>1003334</v>
      </c>
      <c r="E241" s="12">
        <f>IFERROR(__xludf.DUMMYFUNCTION("""COMPUTED_VALUE"""),3.0)</f>
        <v>3</v>
      </c>
      <c r="F241" s="12">
        <f>IFERROR(__xludf.DUMMYFUNCTION("""COMPUTED_VALUE"""),0.0)</f>
        <v>0</v>
      </c>
      <c r="G241" s="12">
        <f>IFERROR(__xludf.DUMMYFUNCTION("""COMPUTED_VALUE"""),0.0)</f>
        <v>0</v>
      </c>
      <c r="H241" s="12" t="str">
        <f>IFERROR(__xludf.DUMMYFUNCTION("""COMPUTED_VALUE"""),"Wrong product")</f>
        <v>Wrong product</v>
      </c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>
      <c r="A242" s="12">
        <f>IFERROR(__xludf.DUMMYFUNCTION("""COMPUTED_VALUE"""),2021.0)</f>
        <v>2021</v>
      </c>
      <c r="B242" s="12">
        <f>IFERROR(__xludf.DUMMYFUNCTION("""COMPUTED_VALUE"""),10.0)</f>
        <v>10</v>
      </c>
      <c r="C242" s="12">
        <f>IFERROR(__xludf.DUMMYFUNCTION("""COMPUTED_VALUE"""),6.0)</f>
        <v>6</v>
      </c>
      <c r="D242" s="12">
        <f>IFERROR(__xludf.DUMMYFUNCTION("""COMPUTED_VALUE"""),1003293.0)</f>
        <v>1003293</v>
      </c>
      <c r="E242" s="12">
        <f>IFERROR(__xludf.DUMMYFUNCTION("""COMPUTED_VALUE"""),4.0)</f>
        <v>4</v>
      </c>
      <c r="F242" s="12">
        <f>IFERROR(__xludf.DUMMYFUNCTION("""COMPUTED_VALUE"""),0.0)</f>
        <v>0</v>
      </c>
      <c r="G242" s="12">
        <f>IFERROR(__xludf.DUMMYFUNCTION("""COMPUTED_VALUE"""),0.0)</f>
        <v>0</v>
      </c>
      <c r="H242" s="12" t="str">
        <f>IFERROR(__xludf.DUMMYFUNCTION("""COMPUTED_VALUE"""),"Damage")</f>
        <v>Damage</v>
      </c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>
      <c r="A243" s="12">
        <f>IFERROR(__xludf.DUMMYFUNCTION("""COMPUTED_VALUE"""),2021.0)</f>
        <v>2021</v>
      </c>
      <c r="B243" s="12">
        <f>IFERROR(__xludf.DUMMYFUNCTION("""COMPUTED_VALUE"""),10.0)</f>
        <v>10</v>
      </c>
      <c r="C243" s="12">
        <f>IFERROR(__xludf.DUMMYFUNCTION("""COMPUTED_VALUE"""),6.0)</f>
        <v>6</v>
      </c>
      <c r="D243" s="12">
        <f>IFERROR(__xludf.DUMMYFUNCTION("""COMPUTED_VALUE"""),1003308.0)</f>
        <v>1003308</v>
      </c>
      <c r="E243" s="12">
        <f>IFERROR(__xludf.DUMMYFUNCTION("""COMPUTED_VALUE"""),1.0)</f>
        <v>1</v>
      </c>
      <c r="F243" s="12">
        <f>IFERROR(__xludf.DUMMYFUNCTION("""COMPUTED_VALUE"""),7.36)</f>
        <v>7.36</v>
      </c>
      <c r="G243" s="12">
        <f>IFERROR(__xludf.DUMMYFUNCTION("""COMPUTED_VALUE"""),0.0)</f>
        <v>0</v>
      </c>
      <c r="H243" s="12" t="str">
        <f>IFERROR(__xludf.DUMMYFUNCTION("""COMPUTED_VALUE"""),"Return")</f>
        <v>Return</v>
      </c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>
      <c r="A244" s="12">
        <f>IFERROR(__xludf.DUMMYFUNCTION("""COMPUTED_VALUE"""),2021.0)</f>
        <v>2021</v>
      </c>
      <c r="B244" s="12">
        <f>IFERROR(__xludf.DUMMYFUNCTION("""COMPUTED_VALUE"""),10.0)</f>
        <v>10</v>
      </c>
      <c r="C244" s="12">
        <f>IFERROR(__xludf.DUMMYFUNCTION("""COMPUTED_VALUE"""),6.0)</f>
        <v>6</v>
      </c>
      <c r="D244" s="12">
        <f>IFERROR(__xludf.DUMMYFUNCTION("""COMPUTED_VALUE"""),1003883.0)</f>
        <v>1003883</v>
      </c>
      <c r="E244" s="12">
        <f>IFERROR(__xludf.DUMMYFUNCTION("""COMPUTED_VALUE"""),1.0)</f>
        <v>1</v>
      </c>
      <c r="F244" s="12">
        <f>IFERROR(__xludf.DUMMYFUNCTION("""COMPUTED_VALUE"""),0.0)</f>
        <v>0</v>
      </c>
      <c r="G244" s="12">
        <f>IFERROR(__xludf.DUMMYFUNCTION("""COMPUTED_VALUE"""),5.0)</f>
        <v>5</v>
      </c>
      <c r="H244" s="12" t="str">
        <f>IFERROR(__xludf.DUMMYFUNCTION("""COMPUTED_VALUE"""),"Return")</f>
        <v>Return</v>
      </c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>
      <c r="A245" s="12">
        <f>IFERROR(__xludf.DUMMYFUNCTION("""COMPUTED_VALUE"""),2021.0)</f>
        <v>2021</v>
      </c>
      <c r="B245" s="12">
        <f>IFERROR(__xludf.DUMMYFUNCTION("""COMPUTED_VALUE"""),10.0)</f>
        <v>10</v>
      </c>
      <c r="C245" s="12">
        <f>IFERROR(__xludf.DUMMYFUNCTION("""COMPUTED_VALUE"""),6.0)</f>
        <v>6</v>
      </c>
      <c r="D245" s="12">
        <f>IFERROR(__xludf.DUMMYFUNCTION("""COMPUTED_VALUE"""),1003890.0)</f>
        <v>1003890</v>
      </c>
      <c r="E245" s="13">
        <f>IFERROR(__xludf.DUMMYFUNCTION("""COMPUTED_VALUE"""),0.553065610367219)</f>
        <v>0.5530656104</v>
      </c>
      <c r="F245" s="12">
        <f>IFERROR(__xludf.DUMMYFUNCTION("""COMPUTED_VALUE"""),0.0)</f>
        <v>0</v>
      </c>
      <c r="G245" s="12">
        <f>IFERROR(__xludf.DUMMYFUNCTION("""COMPUTED_VALUE"""),0.0)</f>
        <v>0</v>
      </c>
      <c r="H245" s="12" t="str">
        <f>IFERROR(__xludf.DUMMYFUNCTION("""COMPUTED_VALUE"""),"Wrong product")</f>
        <v>Wrong product</v>
      </c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>
      <c r="A246" s="12">
        <f>IFERROR(__xludf.DUMMYFUNCTION("""COMPUTED_VALUE"""),2021.0)</f>
        <v>2021</v>
      </c>
      <c r="B246" s="12">
        <f>IFERROR(__xludf.DUMMYFUNCTION("""COMPUTED_VALUE"""),10.0)</f>
        <v>10</v>
      </c>
      <c r="C246" s="12">
        <f>IFERROR(__xludf.DUMMYFUNCTION("""COMPUTED_VALUE"""),6.0)</f>
        <v>6</v>
      </c>
      <c r="D246" s="12">
        <f>IFERROR(__xludf.DUMMYFUNCTION("""COMPUTED_VALUE"""),1003316.0)</f>
        <v>1003316</v>
      </c>
      <c r="E246" s="12">
        <f>IFERROR(__xludf.DUMMYFUNCTION("""COMPUTED_VALUE"""),5.0)</f>
        <v>5</v>
      </c>
      <c r="F246" s="12">
        <f>IFERROR(__xludf.DUMMYFUNCTION("""COMPUTED_VALUE"""),0.0)</f>
        <v>0</v>
      </c>
      <c r="G246" s="12">
        <f>IFERROR(__xludf.DUMMYFUNCTION("""COMPUTED_VALUE"""),0.0)</f>
        <v>0</v>
      </c>
      <c r="H246" s="12" t="str">
        <f>IFERROR(__xludf.DUMMYFUNCTION("""COMPUTED_VALUE"""),"Return")</f>
        <v>Return</v>
      </c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>
      <c r="A247" s="12">
        <f>IFERROR(__xludf.DUMMYFUNCTION("""COMPUTED_VALUE"""),2021.0)</f>
        <v>2021</v>
      </c>
      <c r="B247" s="12">
        <f>IFERROR(__xludf.DUMMYFUNCTION("""COMPUTED_VALUE"""),10.0)</f>
        <v>10</v>
      </c>
      <c r="C247" s="12">
        <f>IFERROR(__xludf.DUMMYFUNCTION("""COMPUTED_VALUE"""),6.0)</f>
        <v>6</v>
      </c>
      <c r="D247" s="12">
        <f>IFERROR(__xludf.DUMMYFUNCTION("""COMPUTED_VALUE"""),1003558.0)</f>
        <v>1003558</v>
      </c>
      <c r="E247" s="12">
        <f>IFERROR(__xludf.DUMMYFUNCTION("""COMPUTED_VALUE"""),2.0)</f>
        <v>2</v>
      </c>
      <c r="F247" s="12">
        <f>IFERROR(__xludf.DUMMYFUNCTION("""COMPUTED_VALUE"""),0.0)</f>
        <v>0</v>
      </c>
      <c r="G247" s="12">
        <f>IFERROR(__xludf.DUMMYFUNCTION("""COMPUTED_VALUE"""),10.0)</f>
        <v>10</v>
      </c>
      <c r="H247" s="12" t="str">
        <f>IFERROR(__xludf.DUMMYFUNCTION("""COMPUTED_VALUE"""),"Return")</f>
        <v>Return</v>
      </c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>
      <c r="A248" s="12">
        <f>IFERROR(__xludf.DUMMYFUNCTION("""COMPUTED_VALUE"""),2021.0)</f>
        <v>2021</v>
      </c>
      <c r="B248" s="12">
        <f>IFERROR(__xludf.DUMMYFUNCTION("""COMPUTED_VALUE"""),10.0)</f>
        <v>10</v>
      </c>
      <c r="C248" s="12">
        <f>IFERROR(__xludf.DUMMYFUNCTION("""COMPUTED_VALUE"""),6.0)</f>
        <v>6</v>
      </c>
      <c r="D248" s="12">
        <f>IFERROR(__xludf.DUMMYFUNCTION("""COMPUTED_VALUE"""),1003449.0)</f>
        <v>1003449</v>
      </c>
      <c r="E248" s="13">
        <f>IFERROR(__xludf.DUMMYFUNCTION("""COMPUTED_VALUE"""),0.5602246257135752)</f>
        <v>0.5602246257</v>
      </c>
      <c r="F248" s="12">
        <f>IFERROR(__xludf.DUMMYFUNCTION("""COMPUTED_VALUE"""),0.0)</f>
        <v>0</v>
      </c>
      <c r="G248" s="12">
        <f>IFERROR(__xludf.DUMMYFUNCTION("""COMPUTED_VALUE"""),5.0)</f>
        <v>5</v>
      </c>
      <c r="H248" s="12" t="str">
        <f>IFERROR(__xludf.DUMMYFUNCTION("""COMPUTED_VALUE"""),"Return")</f>
        <v>Return</v>
      </c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>
      <c r="A249" s="12">
        <f>IFERROR(__xludf.DUMMYFUNCTION("""COMPUTED_VALUE"""),2021.0)</f>
        <v>2021</v>
      </c>
      <c r="B249" s="12">
        <f>IFERROR(__xludf.DUMMYFUNCTION("""COMPUTED_VALUE"""),10.0)</f>
        <v>10</v>
      </c>
      <c r="C249" s="12">
        <f>IFERROR(__xludf.DUMMYFUNCTION("""COMPUTED_VALUE"""),6.0)</f>
        <v>6</v>
      </c>
      <c r="D249" s="12">
        <f>IFERROR(__xludf.DUMMYFUNCTION("""COMPUTED_VALUE"""),1003574.0)</f>
        <v>1003574</v>
      </c>
      <c r="E249" s="12">
        <f>IFERROR(__xludf.DUMMYFUNCTION("""COMPUTED_VALUE"""),7.0)</f>
        <v>7</v>
      </c>
      <c r="F249" s="12">
        <f>IFERROR(__xludf.DUMMYFUNCTION("""COMPUTED_VALUE"""),0.0)</f>
        <v>0</v>
      </c>
      <c r="G249" s="12">
        <f>IFERROR(__xludf.DUMMYFUNCTION("""COMPUTED_VALUE"""),0.0)</f>
        <v>0</v>
      </c>
      <c r="H249" s="12" t="str">
        <f>IFERROR(__xludf.DUMMYFUNCTION("""COMPUTED_VALUE"""),"Damage")</f>
        <v>Damage</v>
      </c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>
      <c r="A250" s="12">
        <f>IFERROR(__xludf.DUMMYFUNCTION("""COMPUTED_VALUE"""),2021.0)</f>
        <v>2021</v>
      </c>
      <c r="B250" s="12">
        <f>IFERROR(__xludf.DUMMYFUNCTION("""COMPUTED_VALUE"""),10.0)</f>
        <v>10</v>
      </c>
      <c r="C250" s="12">
        <f>IFERROR(__xludf.DUMMYFUNCTION("""COMPUTED_VALUE"""),6.0)</f>
        <v>6</v>
      </c>
      <c r="D250" s="12">
        <f>IFERROR(__xludf.DUMMYFUNCTION("""COMPUTED_VALUE"""),1003899.0)</f>
        <v>1003899</v>
      </c>
      <c r="E250" s="12">
        <f>IFERROR(__xludf.DUMMYFUNCTION("""COMPUTED_VALUE"""),1.0)</f>
        <v>1</v>
      </c>
      <c r="F250" s="12">
        <f>IFERROR(__xludf.DUMMYFUNCTION("""COMPUTED_VALUE"""),0.0)</f>
        <v>0</v>
      </c>
      <c r="G250" s="12">
        <f>IFERROR(__xludf.DUMMYFUNCTION("""COMPUTED_VALUE"""),0.0)</f>
        <v>0</v>
      </c>
      <c r="H250" s="12" t="str">
        <f>IFERROR(__xludf.DUMMYFUNCTION("""COMPUTED_VALUE"""),"Wrong product")</f>
        <v>Wrong product</v>
      </c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>
      <c r="A251" s="12">
        <f>IFERROR(__xludf.DUMMYFUNCTION("""COMPUTED_VALUE"""),2021.0)</f>
        <v>2021</v>
      </c>
      <c r="B251" s="12">
        <f>IFERROR(__xludf.DUMMYFUNCTION("""COMPUTED_VALUE"""),10.0)</f>
        <v>10</v>
      </c>
      <c r="C251" s="12">
        <f>IFERROR(__xludf.DUMMYFUNCTION("""COMPUTED_VALUE"""),6.0)</f>
        <v>6</v>
      </c>
      <c r="D251" s="12">
        <f>IFERROR(__xludf.DUMMYFUNCTION("""COMPUTED_VALUE"""),1003286.0)</f>
        <v>1003286</v>
      </c>
      <c r="E251" s="12">
        <f>IFERROR(__xludf.DUMMYFUNCTION("""COMPUTED_VALUE"""),8.0)</f>
        <v>8</v>
      </c>
      <c r="F251" s="12">
        <f>IFERROR(__xludf.DUMMYFUNCTION("""COMPUTED_VALUE"""),0.0)</f>
        <v>0</v>
      </c>
      <c r="G251" s="12">
        <f>IFERROR(__xludf.DUMMYFUNCTION("""COMPUTED_VALUE"""),0.0)</f>
        <v>0</v>
      </c>
      <c r="H251" s="12" t="str">
        <f>IFERROR(__xludf.DUMMYFUNCTION("""COMPUTED_VALUE"""),"Return")</f>
        <v>Return</v>
      </c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>
      <c r="A252" s="12">
        <f>IFERROR(__xludf.DUMMYFUNCTION("""COMPUTED_VALUE"""),2021.0)</f>
        <v>2021</v>
      </c>
      <c r="B252" s="12">
        <f>IFERROR(__xludf.DUMMYFUNCTION("""COMPUTED_VALUE"""),10.0)</f>
        <v>10</v>
      </c>
      <c r="C252" s="12">
        <f>IFERROR(__xludf.DUMMYFUNCTION("""COMPUTED_VALUE"""),6.0)</f>
        <v>6</v>
      </c>
      <c r="D252" s="12">
        <f>IFERROR(__xludf.DUMMYFUNCTION("""COMPUTED_VALUE"""),1003586.0)</f>
        <v>1003586</v>
      </c>
      <c r="E252" s="12">
        <f>IFERROR(__xludf.DUMMYFUNCTION("""COMPUTED_VALUE"""),2.0)</f>
        <v>2</v>
      </c>
      <c r="F252" s="12">
        <f>IFERROR(__xludf.DUMMYFUNCTION("""COMPUTED_VALUE"""),0.0)</f>
        <v>0</v>
      </c>
      <c r="G252" s="12">
        <f>IFERROR(__xludf.DUMMYFUNCTION("""COMPUTED_VALUE"""),7.0)</f>
        <v>7</v>
      </c>
      <c r="H252" s="12" t="str">
        <f>IFERROR(__xludf.DUMMYFUNCTION("""COMPUTED_VALUE"""),"Damage")</f>
        <v>Damage</v>
      </c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>
      <c r="A253" s="12">
        <f>IFERROR(__xludf.DUMMYFUNCTION("""COMPUTED_VALUE"""),2021.0)</f>
        <v>2021</v>
      </c>
      <c r="B253" s="12">
        <f>IFERROR(__xludf.DUMMYFUNCTION("""COMPUTED_VALUE"""),10.0)</f>
        <v>10</v>
      </c>
      <c r="C253" s="12">
        <f>IFERROR(__xludf.DUMMYFUNCTION("""COMPUTED_VALUE"""),6.0)</f>
        <v>6</v>
      </c>
      <c r="D253" s="12">
        <f>IFERROR(__xludf.DUMMYFUNCTION("""COMPUTED_VALUE"""),1003668.0)</f>
        <v>1003668</v>
      </c>
      <c r="E253" s="12">
        <f>IFERROR(__xludf.DUMMYFUNCTION("""COMPUTED_VALUE"""),2.0)</f>
        <v>2</v>
      </c>
      <c r="F253" s="12">
        <f>IFERROR(__xludf.DUMMYFUNCTION("""COMPUTED_VALUE"""),0.0)</f>
        <v>0</v>
      </c>
      <c r="G253" s="12">
        <f>IFERROR(__xludf.DUMMYFUNCTION("""COMPUTED_VALUE"""),0.0)</f>
        <v>0</v>
      </c>
      <c r="H253" s="12" t="str">
        <f>IFERROR(__xludf.DUMMYFUNCTION("""COMPUTED_VALUE"""),"Return")</f>
        <v>Return</v>
      </c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>
      <c r="A254" s="12">
        <f>IFERROR(__xludf.DUMMYFUNCTION("""COMPUTED_VALUE"""),2021.0)</f>
        <v>2021</v>
      </c>
      <c r="B254" s="12">
        <f>IFERROR(__xludf.DUMMYFUNCTION("""COMPUTED_VALUE"""),10.0)</f>
        <v>10</v>
      </c>
      <c r="C254" s="12">
        <f>IFERROR(__xludf.DUMMYFUNCTION("""COMPUTED_VALUE"""),6.0)</f>
        <v>6</v>
      </c>
      <c r="D254" s="12">
        <f>IFERROR(__xludf.DUMMYFUNCTION("""COMPUTED_VALUE"""),1003746.0)</f>
        <v>1003746</v>
      </c>
      <c r="E254" s="12">
        <f>IFERROR(__xludf.DUMMYFUNCTION("""COMPUTED_VALUE"""),1.0)</f>
        <v>1</v>
      </c>
      <c r="F254" s="12">
        <f>IFERROR(__xludf.DUMMYFUNCTION("""COMPUTED_VALUE"""),0.0)</f>
        <v>0</v>
      </c>
      <c r="G254" s="12">
        <f>IFERROR(__xludf.DUMMYFUNCTION("""COMPUTED_VALUE"""),0.0)</f>
        <v>0</v>
      </c>
      <c r="H254" s="12" t="str">
        <f>IFERROR(__xludf.DUMMYFUNCTION("""COMPUTED_VALUE"""),"Damage")</f>
        <v>Damage</v>
      </c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>
      <c r="A255" s="12">
        <f>IFERROR(__xludf.DUMMYFUNCTION("""COMPUTED_VALUE"""),2021.0)</f>
        <v>2021</v>
      </c>
      <c r="B255" s="12">
        <f>IFERROR(__xludf.DUMMYFUNCTION("""COMPUTED_VALUE"""),10.0)</f>
        <v>10</v>
      </c>
      <c r="C255" s="12">
        <f>IFERROR(__xludf.DUMMYFUNCTION("""COMPUTED_VALUE"""),6.0)</f>
        <v>6</v>
      </c>
      <c r="D255" s="12">
        <f>IFERROR(__xludf.DUMMYFUNCTION("""COMPUTED_VALUE"""),1003481.0)</f>
        <v>1003481</v>
      </c>
      <c r="E255" s="13">
        <f>IFERROR(__xludf.DUMMYFUNCTION("""COMPUTED_VALUE"""),0.9906947508126732)</f>
        <v>0.9906947508</v>
      </c>
      <c r="F255" s="12">
        <f>IFERROR(__xludf.DUMMYFUNCTION("""COMPUTED_VALUE"""),0.0)</f>
        <v>0</v>
      </c>
      <c r="G255" s="12">
        <f>IFERROR(__xludf.DUMMYFUNCTION("""COMPUTED_VALUE"""),0.0)</f>
        <v>0</v>
      </c>
      <c r="H255" s="12" t="str">
        <f>IFERROR(__xludf.DUMMYFUNCTION("""COMPUTED_VALUE"""),"Return")</f>
        <v>Return</v>
      </c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>
      <c r="A256" s="12">
        <f>IFERROR(__xludf.DUMMYFUNCTION("""COMPUTED_VALUE"""),2021.0)</f>
        <v>2021</v>
      </c>
      <c r="B256" s="12">
        <f>IFERROR(__xludf.DUMMYFUNCTION("""COMPUTED_VALUE"""),10.0)</f>
        <v>10</v>
      </c>
      <c r="C256" s="12">
        <f>IFERROR(__xludf.DUMMYFUNCTION("""COMPUTED_VALUE"""),6.0)</f>
        <v>6</v>
      </c>
      <c r="D256" s="12">
        <f>IFERROR(__xludf.DUMMYFUNCTION("""COMPUTED_VALUE"""),1003504.0)</f>
        <v>1003504</v>
      </c>
      <c r="E256" s="12">
        <f>IFERROR(__xludf.DUMMYFUNCTION("""COMPUTED_VALUE"""),2.0)</f>
        <v>2</v>
      </c>
      <c r="F256" s="12">
        <f>IFERROR(__xludf.DUMMYFUNCTION("""COMPUTED_VALUE"""),0.0)</f>
        <v>0</v>
      </c>
      <c r="G256" s="12">
        <f>IFERROR(__xludf.DUMMYFUNCTION("""COMPUTED_VALUE"""),5.0)</f>
        <v>5</v>
      </c>
      <c r="H256" s="12" t="str">
        <f>IFERROR(__xludf.DUMMYFUNCTION("""COMPUTED_VALUE"""),"Damage")</f>
        <v>Damage</v>
      </c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>
      <c r="A257" s="12">
        <f>IFERROR(__xludf.DUMMYFUNCTION("""COMPUTED_VALUE"""),2021.0)</f>
        <v>2021</v>
      </c>
      <c r="B257" s="12">
        <f>IFERROR(__xludf.DUMMYFUNCTION("""COMPUTED_VALUE"""),10.0)</f>
        <v>10</v>
      </c>
      <c r="C257" s="12">
        <f>IFERROR(__xludf.DUMMYFUNCTION("""COMPUTED_VALUE"""),6.0)</f>
        <v>6</v>
      </c>
      <c r="D257" s="12">
        <f>IFERROR(__xludf.DUMMYFUNCTION("""COMPUTED_VALUE"""),1003527.0)</f>
        <v>1003527</v>
      </c>
      <c r="E257" s="12">
        <f>IFERROR(__xludf.DUMMYFUNCTION("""COMPUTED_VALUE"""),2.0)</f>
        <v>2</v>
      </c>
      <c r="F257" s="12">
        <f>IFERROR(__xludf.DUMMYFUNCTION("""COMPUTED_VALUE"""),0.0)</f>
        <v>0</v>
      </c>
      <c r="G257" s="12">
        <f>IFERROR(__xludf.DUMMYFUNCTION("""COMPUTED_VALUE"""),0.0)</f>
        <v>0</v>
      </c>
      <c r="H257" s="12" t="str">
        <f>IFERROR(__xludf.DUMMYFUNCTION("""COMPUTED_VALUE"""),"Return")</f>
        <v>Return</v>
      </c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>
      <c r="A258" s="12">
        <f>IFERROR(__xludf.DUMMYFUNCTION("""COMPUTED_VALUE"""),2021.0)</f>
        <v>2021</v>
      </c>
      <c r="B258" s="12">
        <f>IFERROR(__xludf.DUMMYFUNCTION("""COMPUTED_VALUE"""),10.0)</f>
        <v>10</v>
      </c>
      <c r="C258" s="12">
        <f>IFERROR(__xludf.DUMMYFUNCTION("""COMPUTED_VALUE"""),6.0)</f>
        <v>6</v>
      </c>
      <c r="D258" s="12">
        <f>IFERROR(__xludf.DUMMYFUNCTION("""COMPUTED_VALUE"""),1003800.0)</f>
        <v>1003800</v>
      </c>
      <c r="E258" s="12">
        <f>IFERROR(__xludf.DUMMYFUNCTION("""COMPUTED_VALUE"""),10.0)</f>
        <v>10</v>
      </c>
      <c r="F258" s="12">
        <f>IFERROR(__xludf.DUMMYFUNCTION("""COMPUTED_VALUE"""),0.0)</f>
        <v>0</v>
      </c>
      <c r="G258" s="12">
        <f>IFERROR(__xludf.DUMMYFUNCTION("""COMPUTED_VALUE"""),0.0)</f>
        <v>0</v>
      </c>
      <c r="H258" s="12" t="str">
        <f>IFERROR(__xludf.DUMMYFUNCTION("""COMPUTED_VALUE"""),"Damage")</f>
        <v>Damage</v>
      </c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>
      <c r="A259" s="12">
        <f>IFERROR(__xludf.DUMMYFUNCTION("""COMPUTED_VALUE"""),2021.0)</f>
        <v>2021</v>
      </c>
      <c r="B259" s="12">
        <f>IFERROR(__xludf.DUMMYFUNCTION("""COMPUTED_VALUE"""),10.0)</f>
        <v>10</v>
      </c>
      <c r="C259" s="12">
        <f>IFERROR(__xludf.DUMMYFUNCTION("""COMPUTED_VALUE"""),6.0)</f>
        <v>6</v>
      </c>
      <c r="D259" s="12">
        <f>IFERROR(__xludf.DUMMYFUNCTION("""COMPUTED_VALUE"""),1004013.0)</f>
        <v>1004013</v>
      </c>
      <c r="E259" s="13">
        <f>IFERROR(__xludf.DUMMYFUNCTION("""COMPUTED_VALUE"""),0.41891249411787845)</f>
        <v>0.4189124941</v>
      </c>
      <c r="F259" s="12">
        <f>IFERROR(__xludf.DUMMYFUNCTION("""COMPUTED_VALUE"""),0.0)</f>
        <v>0</v>
      </c>
      <c r="G259" s="12">
        <f>IFERROR(__xludf.DUMMYFUNCTION("""COMPUTED_VALUE"""),0.0)</f>
        <v>0</v>
      </c>
      <c r="H259" s="12" t="str">
        <f>IFERROR(__xludf.DUMMYFUNCTION("""COMPUTED_VALUE"""),"Return")</f>
        <v>Return</v>
      </c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>
      <c r="A260" s="12">
        <f>IFERROR(__xludf.DUMMYFUNCTION("""COMPUTED_VALUE"""),2021.0)</f>
        <v>2021</v>
      </c>
      <c r="B260" s="12">
        <f>IFERROR(__xludf.DUMMYFUNCTION("""COMPUTED_VALUE"""),10.0)</f>
        <v>10</v>
      </c>
      <c r="C260" s="12">
        <f>IFERROR(__xludf.DUMMYFUNCTION("""COMPUTED_VALUE"""),6.0)</f>
        <v>6</v>
      </c>
      <c r="D260" s="12">
        <f>IFERROR(__xludf.DUMMYFUNCTION("""COMPUTED_VALUE"""),1004018.0)</f>
        <v>1004018</v>
      </c>
      <c r="E260" s="12">
        <f>IFERROR(__xludf.DUMMYFUNCTION("""COMPUTED_VALUE"""),3.0)</f>
        <v>3</v>
      </c>
      <c r="F260" s="12">
        <f>IFERROR(__xludf.DUMMYFUNCTION("""COMPUTED_VALUE"""),0.0)</f>
        <v>0</v>
      </c>
      <c r="G260" s="12">
        <f>IFERROR(__xludf.DUMMYFUNCTION("""COMPUTED_VALUE"""),0.0)</f>
        <v>0</v>
      </c>
      <c r="H260" s="12" t="str">
        <f>IFERROR(__xludf.DUMMYFUNCTION("""COMPUTED_VALUE"""),"Return")</f>
        <v>Return</v>
      </c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>
      <c r="A261" s="12">
        <f>IFERROR(__xludf.DUMMYFUNCTION("""COMPUTED_VALUE"""),2021.0)</f>
        <v>2021</v>
      </c>
      <c r="B261" s="12">
        <f>IFERROR(__xludf.DUMMYFUNCTION("""COMPUTED_VALUE"""),10.0)</f>
        <v>10</v>
      </c>
      <c r="C261" s="12">
        <f>IFERROR(__xludf.DUMMYFUNCTION("""COMPUTED_VALUE"""),6.0)</f>
        <v>6</v>
      </c>
      <c r="D261" s="12">
        <f>IFERROR(__xludf.DUMMYFUNCTION("""COMPUTED_VALUE"""),1003320.0)</f>
        <v>1003320</v>
      </c>
      <c r="E261" s="12">
        <f>IFERROR(__xludf.DUMMYFUNCTION("""COMPUTED_VALUE"""),14.0)</f>
        <v>14</v>
      </c>
      <c r="F261" s="12">
        <f>IFERROR(__xludf.DUMMYFUNCTION("""COMPUTED_VALUE"""),0.0)</f>
        <v>0</v>
      </c>
      <c r="G261" s="12">
        <f>IFERROR(__xludf.DUMMYFUNCTION("""COMPUTED_VALUE"""),0.0)</f>
        <v>0</v>
      </c>
      <c r="H261" s="12" t="str">
        <f>IFERROR(__xludf.DUMMYFUNCTION("""COMPUTED_VALUE"""),"Damage")</f>
        <v>Damage</v>
      </c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>
      <c r="A262" s="12">
        <f>IFERROR(__xludf.DUMMYFUNCTION("""COMPUTED_VALUE"""),2021.0)</f>
        <v>2021</v>
      </c>
      <c r="B262" s="12">
        <f>IFERROR(__xludf.DUMMYFUNCTION("""COMPUTED_VALUE"""),10.0)</f>
        <v>10</v>
      </c>
      <c r="C262" s="12">
        <f>IFERROR(__xludf.DUMMYFUNCTION("""COMPUTED_VALUE"""),6.0)</f>
        <v>6</v>
      </c>
      <c r="D262" s="12">
        <f>IFERROR(__xludf.DUMMYFUNCTION("""COMPUTED_VALUE"""),1003374.0)</f>
        <v>1003374</v>
      </c>
      <c r="E262" s="12">
        <f>IFERROR(__xludf.DUMMYFUNCTION("""COMPUTED_VALUE"""),4.0)</f>
        <v>4</v>
      </c>
      <c r="F262" s="12">
        <f>IFERROR(__xludf.DUMMYFUNCTION("""COMPUTED_VALUE"""),9.38)</f>
        <v>9.38</v>
      </c>
      <c r="G262" s="12">
        <f>IFERROR(__xludf.DUMMYFUNCTION("""COMPUTED_VALUE"""),0.0)</f>
        <v>0</v>
      </c>
      <c r="H262" s="12" t="str">
        <f>IFERROR(__xludf.DUMMYFUNCTION("""COMPUTED_VALUE"""),"Return")</f>
        <v>Return</v>
      </c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>
      <c r="A263" s="12">
        <f>IFERROR(__xludf.DUMMYFUNCTION("""COMPUTED_VALUE"""),2021.0)</f>
        <v>2021</v>
      </c>
      <c r="B263" s="12">
        <f>IFERROR(__xludf.DUMMYFUNCTION("""COMPUTED_VALUE"""),10.0)</f>
        <v>10</v>
      </c>
      <c r="C263" s="12">
        <f>IFERROR(__xludf.DUMMYFUNCTION("""COMPUTED_VALUE"""),6.0)</f>
        <v>6</v>
      </c>
      <c r="D263" s="12">
        <f>IFERROR(__xludf.DUMMYFUNCTION("""COMPUTED_VALUE"""),1003930.0)</f>
        <v>1003930</v>
      </c>
      <c r="E263" s="12">
        <f>IFERROR(__xludf.DUMMYFUNCTION("""COMPUTED_VALUE"""),12.0)</f>
        <v>12</v>
      </c>
      <c r="F263" s="12">
        <f>IFERROR(__xludf.DUMMYFUNCTION("""COMPUTED_VALUE"""),3.58)</f>
        <v>3.58</v>
      </c>
      <c r="G263" s="12">
        <f>IFERROR(__xludf.DUMMYFUNCTION("""COMPUTED_VALUE"""),0.0)</f>
        <v>0</v>
      </c>
      <c r="H263" s="12" t="str">
        <f>IFERROR(__xludf.DUMMYFUNCTION("""COMPUTED_VALUE"""),"Wrong product")</f>
        <v>Wrong product</v>
      </c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>
      <c r="A264" s="12">
        <f>IFERROR(__xludf.DUMMYFUNCTION("""COMPUTED_VALUE"""),2021.0)</f>
        <v>2021</v>
      </c>
      <c r="B264" s="12">
        <f>IFERROR(__xludf.DUMMYFUNCTION("""COMPUTED_VALUE"""),10.0)</f>
        <v>10</v>
      </c>
      <c r="C264" s="12">
        <f>IFERROR(__xludf.DUMMYFUNCTION("""COMPUTED_VALUE"""),7.0)</f>
        <v>7</v>
      </c>
      <c r="D264" s="12">
        <f>IFERROR(__xludf.DUMMYFUNCTION("""COMPUTED_VALUE"""),1003920.0)</f>
        <v>1003920</v>
      </c>
      <c r="E264" s="12">
        <f>IFERROR(__xludf.DUMMYFUNCTION("""COMPUTED_VALUE"""),1.0)</f>
        <v>1</v>
      </c>
      <c r="F264" s="12">
        <f>IFERROR(__xludf.DUMMYFUNCTION("""COMPUTED_VALUE"""),0.0)</f>
        <v>0</v>
      </c>
      <c r="G264" s="12">
        <f>IFERROR(__xludf.DUMMYFUNCTION("""COMPUTED_VALUE"""),0.0)</f>
        <v>0</v>
      </c>
      <c r="H264" s="12" t="str">
        <f>IFERROR(__xludf.DUMMYFUNCTION("""COMPUTED_VALUE"""),"Return")</f>
        <v>Return</v>
      </c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>
      <c r="A265" s="12">
        <f>IFERROR(__xludf.DUMMYFUNCTION("""COMPUTED_VALUE"""),2021.0)</f>
        <v>2021</v>
      </c>
      <c r="B265" s="12">
        <f>IFERROR(__xludf.DUMMYFUNCTION("""COMPUTED_VALUE"""),10.0)</f>
        <v>10</v>
      </c>
      <c r="C265" s="12">
        <f>IFERROR(__xludf.DUMMYFUNCTION("""COMPUTED_VALUE"""),7.0)</f>
        <v>7</v>
      </c>
      <c r="D265" s="12">
        <f>IFERROR(__xludf.DUMMYFUNCTION("""COMPUTED_VALUE"""),1003295.0)</f>
        <v>1003295</v>
      </c>
      <c r="E265" s="12">
        <f>IFERROR(__xludf.DUMMYFUNCTION("""COMPUTED_VALUE"""),2.0)</f>
        <v>2</v>
      </c>
      <c r="F265" s="12">
        <f>IFERROR(__xludf.DUMMYFUNCTION("""COMPUTED_VALUE"""),0.0)</f>
        <v>0</v>
      </c>
      <c r="G265" s="12">
        <f>IFERROR(__xludf.DUMMYFUNCTION("""COMPUTED_VALUE"""),0.0)</f>
        <v>0</v>
      </c>
      <c r="H265" s="12" t="str">
        <f>IFERROR(__xludf.DUMMYFUNCTION("""COMPUTED_VALUE"""),"Wrong product")</f>
        <v>Wrong product</v>
      </c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>
      <c r="A266" s="12">
        <f>IFERROR(__xludf.DUMMYFUNCTION("""COMPUTED_VALUE"""),2021.0)</f>
        <v>2021</v>
      </c>
      <c r="B266" s="12">
        <f>IFERROR(__xludf.DUMMYFUNCTION("""COMPUTED_VALUE"""),10.0)</f>
        <v>10</v>
      </c>
      <c r="C266" s="12">
        <f>IFERROR(__xludf.DUMMYFUNCTION("""COMPUTED_VALUE"""),7.0)</f>
        <v>7</v>
      </c>
      <c r="D266" s="12">
        <f>IFERROR(__xludf.DUMMYFUNCTION("""COMPUTED_VALUE"""),1003348.0)</f>
        <v>1003348</v>
      </c>
      <c r="E266" s="12">
        <f>IFERROR(__xludf.DUMMYFUNCTION("""COMPUTED_VALUE"""),10.0)</f>
        <v>10</v>
      </c>
      <c r="F266" s="12">
        <f>IFERROR(__xludf.DUMMYFUNCTION("""COMPUTED_VALUE"""),0.0)</f>
        <v>0</v>
      </c>
      <c r="G266" s="12">
        <f>IFERROR(__xludf.DUMMYFUNCTION("""COMPUTED_VALUE"""),0.0)</f>
        <v>0</v>
      </c>
      <c r="H266" s="12" t="str">
        <f>IFERROR(__xludf.DUMMYFUNCTION("""COMPUTED_VALUE"""),"Return")</f>
        <v>Return</v>
      </c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>
      <c r="A267" s="12">
        <f>IFERROR(__xludf.DUMMYFUNCTION("""COMPUTED_VALUE"""),2021.0)</f>
        <v>2021</v>
      </c>
      <c r="B267" s="12">
        <f>IFERROR(__xludf.DUMMYFUNCTION("""COMPUTED_VALUE"""),10.0)</f>
        <v>10</v>
      </c>
      <c r="C267" s="12">
        <f>IFERROR(__xludf.DUMMYFUNCTION("""COMPUTED_VALUE"""),7.0)</f>
        <v>7</v>
      </c>
      <c r="D267" s="12">
        <f>IFERROR(__xludf.DUMMYFUNCTION("""COMPUTED_VALUE"""),1003578.0)</f>
        <v>1003578</v>
      </c>
      <c r="E267" s="12">
        <f>IFERROR(__xludf.DUMMYFUNCTION("""COMPUTED_VALUE"""),3.0)</f>
        <v>3</v>
      </c>
      <c r="F267" s="12">
        <f>IFERROR(__xludf.DUMMYFUNCTION("""COMPUTED_VALUE"""),0.0)</f>
        <v>0</v>
      </c>
      <c r="G267" s="12">
        <f>IFERROR(__xludf.DUMMYFUNCTION("""COMPUTED_VALUE"""),0.0)</f>
        <v>0</v>
      </c>
      <c r="H267" s="12" t="str">
        <f>IFERROR(__xludf.DUMMYFUNCTION("""COMPUTED_VALUE"""),"Damage")</f>
        <v>Damage</v>
      </c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>
      <c r="A268" s="12">
        <f>IFERROR(__xludf.DUMMYFUNCTION("""COMPUTED_VALUE"""),2021.0)</f>
        <v>2021</v>
      </c>
      <c r="B268" s="12">
        <f>IFERROR(__xludf.DUMMYFUNCTION("""COMPUTED_VALUE"""),10.0)</f>
        <v>10</v>
      </c>
      <c r="C268" s="12">
        <f>IFERROR(__xludf.DUMMYFUNCTION("""COMPUTED_VALUE"""),7.0)</f>
        <v>7</v>
      </c>
      <c r="D268" s="12">
        <f>IFERROR(__xludf.DUMMYFUNCTION("""COMPUTED_VALUE"""),1003942.0)</f>
        <v>1003942</v>
      </c>
      <c r="E268" s="12">
        <f>IFERROR(__xludf.DUMMYFUNCTION("""COMPUTED_VALUE"""),5.0)</f>
        <v>5</v>
      </c>
      <c r="F268" s="12">
        <f>IFERROR(__xludf.DUMMYFUNCTION("""COMPUTED_VALUE"""),0.0)</f>
        <v>0</v>
      </c>
      <c r="G268" s="12">
        <f>IFERROR(__xludf.DUMMYFUNCTION("""COMPUTED_VALUE"""),0.0)</f>
        <v>0</v>
      </c>
      <c r="H268" s="12" t="str">
        <f>IFERROR(__xludf.DUMMYFUNCTION("""COMPUTED_VALUE"""),"Damage")</f>
        <v>Damage</v>
      </c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>
      <c r="A269" s="12">
        <f>IFERROR(__xludf.DUMMYFUNCTION("""COMPUTED_VALUE"""),2021.0)</f>
        <v>2021</v>
      </c>
      <c r="B269" s="12">
        <f>IFERROR(__xludf.DUMMYFUNCTION("""COMPUTED_VALUE"""),10.0)</f>
        <v>10</v>
      </c>
      <c r="C269" s="12">
        <f>IFERROR(__xludf.DUMMYFUNCTION("""COMPUTED_VALUE"""),7.0)</f>
        <v>7</v>
      </c>
      <c r="D269" s="12">
        <f>IFERROR(__xludf.DUMMYFUNCTION("""COMPUTED_VALUE"""),1003728.0)</f>
        <v>1003728</v>
      </c>
      <c r="E269" s="13">
        <f>IFERROR(__xludf.DUMMYFUNCTION("""COMPUTED_VALUE"""),0.3754180006316007)</f>
        <v>0.3754180006</v>
      </c>
      <c r="F269" s="12">
        <f>IFERROR(__xludf.DUMMYFUNCTION("""COMPUTED_VALUE"""),0.0)</f>
        <v>0</v>
      </c>
      <c r="G269" s="12">
        <f>IFERROR(__xludf.DUMMYFUNCTION("""COMPUTED_VALUE"""),5.0)</f>
        <v>5</v>
      </c>
      <c r="H269" s="12" t="str">
        <f>IFERROR(__xludf.DUMMYFUNCTION("""COMPUTED_VALUE"""),"Return")</f>
        <v>Return</v>
      </c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>
      <c r="A270" s="12">
        <f>IFERROR(__xludf.DUMMYFUNCTION("""COMPUTED_VALUE"""),2021.0)</f>
        <v>2021</v>
      </c>
      <c r="B270" s="12">
        <f>IFERROR(__xludf.DUMMYFUNCTION("""COMPUTED_VALUE"""),10.0)</f>
        <v>10</v>
      </c>
      <c r="C270" s="12">
        <f>IFERROR(__xludf.DUMMYFUNCTION("""COMPUTED_VALUE"""),7.0)</f>
        <v>7</v>
      </c>
      <c r="D270" s="12">
        <f>IFERROR(__xludf.DUMMYFUNCTION("""COMPUTED_VALUE"""),1003819.0)</f>
        <v>1003819</v>
      </c>
      <c r="E270" s="12">
        <f>IFERROR(__xludf.DUMMYFUNCTION("""COMPUTED_VALUE"""),3.0)</f>
        <v>3</v>
      </c>
      <c r="F270" s="12">
        <f>IFERROR(__xludf.DUMMYFUNCTION("""COMPUTED_VALUE"""),0.0)</f>
        <v>0</v>
      </c>
      <c r="G270" s="12">
        <f>IFERROR(__xludf.DUMMYFUNCTION("""COMPUTED_VALUE"""),0.0)</f>
        <v>0</v>
      </c>
      <c r="H270" s="12" t="str">
        <f>IFERROR(__xludf.DUMMYFUNCTION("""COMPUTED_VALUE"""),"Damage")</f>
        <v>Damage</v>
      </c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>
      <c r="A271" s="12">
        <f>IFERROR(__xludf.DUMMYFUNCTION("""COMPUTED_VALUE"""),2021.0)</f>
        <v>2021</v>
      </c>
      <c r="B271" s="12">
        <f>IFERROR(__xludf.DUMMYFUNCTION("""COMPUTED_VALUE"""),10.0)</f>
        <v>10</v>
      </c>
      <c r="C271" s="12">
        <f>IFERROR(__xludf.DUMMYFUNCTION("""COMPUTED_VALUE"""),7.0)</f>
        <v>7</v>
      </c>
      <c r="D271" s="12">
        <f>IFERROR(__xludf.DUMMYFUNCTION("""COMPUTED_VALUE"""),1003497.0)</f>
        <v>1003497</v>
      </c>
      <c r="E271" s="12">
        <f>IFERROR(__xludf.DUMMYFUNCTION("""COMPUTED_VALUE"""),1.0)</f>
        <v>1</v>
      </c>
      <c r="F271" s="12">
        <f>IFERROR(__xludf.DUMMYFUNCTION("""COMPUTED_VALUE"""),0.0)</f>
        <v>0</v>
      </c>
      <c r="G271" s="12">
        <f>IFERROR(__xludf.DUMMYFUNCTION("""COMPUTED_VALUE"""),5.0)</f>
        <v>5</v>
      </c>
      <c r="H271" s="12" t="str">
        <f>IFERROR(__xludf.DUMMYFUNCTION("""COMPUTED_VALUE"""),"Return")</f>
        <v>Return</v>
      </c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>
      <c r="A272" s="12">
        <f>IFERROR(__xludf.DUMMYFUNCTION("""COMPUTED_VALUE"""),2021.0)</f>
        <v>2021</v>
      </c>
      <c r="B272" s="12">
        <f>IFERROR(__xludf.DUMMYFUNCTION("""COMPUTED_VALUE"""),10.0)</f>
        <v>10</v>
      </c>
      <c r="C272" s="12">
        <f>IFERROR(__xludf.DUMMYFUNCTION("""COMPUTED_VALUE"""),7.0)</f>
        <v>7</v>
      </c>
      <c r="D272" s="12">
        <f>IFERROR(__xludf.DUMMYFUNCTION("""COMPUTED_VALUE"""),1003327.0)</f>
        <v>1003327</v>
      </c>
      <c r="E272" s="12">
        <f>IFERROR(__xludf.DUMMYFUNCTION("""COMPUTED_VALUE"""),1.0)</f>
        <v>1</v>
      </c>
      <c r="F272" s="12">
        <f>IFERROR(__xludf.DUMMYFUNCTION("""COMPUTED_VALUE"""),0.0)</f>
        <v>0</v>
      </c>
      <c r="G272" s="12">
        <f>IFERROR(__xludf.DUMMYFUNCTION("""COMPUTED_VALUE"""),0.0)</f>
        <v>0</v>
      </c>
      <c r="H272" s="12" t="str">
        <f>IFERROR(__xludf.DUMMYFUNCTION("""COMPUTED_VALUE"""),"Return")</f>
        <v>Return</v>
      </c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>
      <c r="A273" s="12">
        <f>IFERROR(__xludf.DUMMYFUNCTION("""COMPUTED_VALUE"""),2021.0)</f>
        <v>2021</v>
      </c>
      <c r="B273" s="12">
        <f>IFERROR(__xludf.DUMMYFUNCTION("""COMPUTED_VALUE"""),10.0)</f>
        <v>10</v>
      </c>
      <c r="C273" s="12">
        <f>IFERROR(__xludf.DUMMYFUNCTION("""COMPUTED_VALUE"""),7.0)</f>
        <v>7</v>
      </c>
      <c r="D273" s="12">
        <f>IFERROR(__xludf.DUMMYFUNCTION("""COMPUTED_VALUE"""),1003759.0)</f>
        <v>1003759</v>
      </c>
      <c r="E273" s="12">
        <f>IFERROR(__xludf.DUMMYFUNCTION("""COMPUTED_VALUE"""),1.0)</f>
        <v>1</v>
      </c>
      <c r="F273" s="12">
        <f>IFERROR(__xludf.DUMMYFUNCTION("""COMPUTED_VALUE"""),0.0)</f>
        <v>0</v>
      </c>
      <c r="G273" s="12">
        <f>IFERROR(__xludf.DUMMYFUNCTION("""COMPUTED_VALUE"""),0.0)</f>
        <v>0</v>
      </c>
      <c r="H273" s="12" t="str">
        <f>IFERROR(__xludf.DUMMYFUNCTION("""COMPUTED_VALUE"""),"Damage")</f>
        <v>Damage</v>
      </c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>
      <c r="A274" s="12">
        <f>IFERROR(__xludf.DUMMYFUNCTION("""COMPUTED_VALUE"""),2021.0)</f>
        <v>2021</v>
      </c>
      <c r="B274" s="12">
        <f>IFERROR(__xludf.DUMMYFUNCTION("""COMPUTED_VALUE"""),10.0)</f>
        <v>10</v>
      </c>
      <c r="C274" s="12">
        <f>IFERROR(__xludf.DUMMYFUNCTION("""COMPUTED_VALUE"""),7.0)</f>
        <v>7</v>
      </c>
      <c r="D274" s="12">
        <f>IFERROR(__xludf.DUMMYFUNCTION("""COMPUTED_VALUE"""),1003304.0)</f>
        <v>1003304</v>
      </c>
      <c r="E274" s="12">
        <f>IFERROR(__xludf.DUMMYFUNCTION("""COMPUTED_VALUE"""),1.0)</f>
        <v>1</v>
      </c>
      <c r="F274" s="12">
        <f>IFERROR(__xludf.DUMMYFUNCTION("""COMPUTED_VALUE"""),0.0)</f>
        <v>0</v>
      </c>
      <c r="G274" s="12">
        <f>IFERROR(__xludf.DUMMYFUNCTION("""COMPUTED_VALUE"""),10.0)</f>
        <v>10</v>
      </c>
      <c r="H274" s="12" t="str">
        <f>IFERROR(__xludf.DUMMYFUNCTION("""COMPUTED_VALUE"""),"Return")</f>
        <v>Return</v>
      </c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>
      <c r="A275" s="12">
        <f>IFERROR(__xludf.DUMMYFUNCTION("""COMPUTED_VALUE"""),2021.0)</f>
        <v>2021</v>
      </c>
      <c r="B275" s="12">
        <f>IFERROR(__xludf.DUMMYFUNCTION("""COMPUTED_VALUE"""),10.0)</f>
        <v>10</v>
      </c>
      <c r="C275" s="12">
        <f>IFERROR(__xludf.DUMMYFUNCTION("""COMPUTED_VALUE"""),7.0)</f>
        <v>7</v>
      </c>
      <c r="D275" s="12">
        <f>IFERROR(__xludf.DUMMYFUNCTION("""COMPUTED_VALUE"""),1003439.0)</f>
        <v>1003439</v>
      </c>
      <c r="E275" s="12">
        <f>IFERROR(__xludf.DUMMYFUNCTION("""COMPUTED_VALUE"""),3.0)</f>
        <v>3</v>
      </c>
      <c r="F275" s="12">
        <f>IFERROR(__xludf.DUMMYFUNCTION("""COMPUTED_VALUE"""),0.0)</f>
        <v>0</v>
      </c>
      <c r="G275" s="12">
        <f>IFERROR(__xludf.DUMMYFUNCTION("""COMPUTED_VALUE"""),0.0)</f>
        <v>0</v>
      </c>
      <c r="H275" s="12" t="str">
        <f>IFERROR(__xludf.DUMMYFUNCTION("""COMPUTED_VALUE"""),"Damage")</f>
        <v>Damage</v>
      </c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>
      <c r="A276" s="12">
        <f>IFERROR(__xludf.DUMMYFUNCTION("""COMPUTED_VALUE"""),2021.0)</f>
        <v>2021</v>
      </c>
      <c r="B276" s="12">
        <f>IFERROR(__xludf.DUMMYFUNCTION("""COMPUTED_VALUE"""),10.0)</f>
        <v>10</v>
      </c>
      <c r="C276" s="12">
        <f>IFERROR(__xludf.DUMMYFUNCTION("""COMPUTED_VALUE"""),7.0)</f>
        <v>7</v>
      </c>
      <c r="D276" s="12">
        <f>IFERROR(__xludf.DUMMYFUNCTION("""COMPUTED_VALUE"""),1003626.0)</f>
        <v>1003626</v>
      </c>
      <c r="E276" s="12">
        <f>IFERROR(__xludf.DUMMYFUNCTION("""COMPUTED_VALUE"""),2.0)</f>
        <v>2</v>
      </c>
      <c r="F276" s="12">
        <f>IFERROR(__xludf.DUMMYFUNCTION("""COMPUTED_VALUE"""),0.0)</f>
        <v>0</v>
      </c>
      <c r="G276" s="12">
        <f>IFERROR(__xludf.DUMMYFUNCTION("""COMPUTED_VALUE"""),0.0)</f>
        <v>0</v>
      </c>
      <c r="H276" s="12" t="str">
        <f>IFERROR(__xludf.DUMMYFUNCTION("""COMPUTED_VALUE"""),"Wrong product")</f>
        <v>Wrong product</v>
      </c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>
      <c r="A277" s="12">
        <f>IFERROR(__xludf.DUMMYFUNCTION("""COMPUTED_VALUE"""),2021.0)</f>
        <v>2021</v>
      </c>
      <c r="B277" s="12">
        <f>IFERROR(__xludf.DUMMYFUNCTION("""COMPUTED_VALUE"""),10.0)</f>
        <v>10</v>
      </c>
      <c r="C277" s="12">
        <f>IFERROR(__xludf.DUMMYFUNCTION("""COMPUTED_VALUE"""),7.0)</f>
        <v>7</v>
      </c>
      <c r="D277" s="12">
        <f>IFERROR(__xludf.DUMMYFUNCTION("""COMPUTED_VALUE"""),1003413.0)</f>
        <v>1003413</v>
      </c>
      <c r="E277" s="12">
        <f>IFERROR(__xludf.DUMMYFUNCTION("""COMPUTED_VALUE"""),4.0)</f>
        <v>4</v>
      </c>
      <c r="F277" s="12">
        <f>IFERROR(__xludf.DUMMYFUNCTION("""COMPUTED_VALUE"""),0.0)</f>
        <v>0</v>
      </c>
      <c r="G277" s="12">
        <f>IFERROR(__xludf.DUMMYFUNCTION("""COMPUTED_VALUE"""),0.0)</f>
        <v>0</v>
      </c>
      <c r="H277" s="12" t="str">
        <f>IFERROR(__xludf.DUMMYFUNCTION("""COMPUTED_VALUE"""),"Wrong product")</f>
        <v>Wrong product</v>
      </c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>
      <c r="A278" s="12">
        <f>IFERROR(__xludf.DUMMYFUNCTION("""COMPUTED_VALUE"""),2021.0)</f>
        <v>2021</v>
      </c>
      <c r="B278" s="12">
        <f>IFERROR(__xludf.DUMMYFUNCTION("""COMPUTED_VALUE"""),10.0)</f>
        <v>10</v>
      </c>
      <c r="C278" s="12">
        <f>IFERROR(__xludf.DUMMYFUNCTION("""COMPUTED_VALUE"""),7.0)</f>
        <v>7</v>
      </c>
      <c r="D278" s="12">
        <f>IFERROR(__xludf.DUMMYFUNCTION("""COMPUTED_VALUE"""),1003770.0)</f>
        <v>1003770</v>
      </c>
      <c r="E278" s="12">
        <f>IFERROR(__xludf.DUMMYFUNCTION("""COMPUTED_VALUE"""),2.0)</f>
        <v>2</v>
      </c>
      <c r="F278" s="12">
        <f>IFERROR(__xludf.DUMMYFUNCTION("""COMPUTED_VALUE"""),0.0)</f>
        <v>0</v>
      </c>
      <c r="G278" s="12">
        <f>IFERROR(__xludf.DUMMYFUNCTION("""COMPUTED_VALUE"""),0.0)</f>
        <v>0</v>
      </c>
      <c r="H278" s="12" t="str">
        <f>IFERROR(__xludf.DUMMYFUNCTION("""COMPUTED_VALUE"""),"Damage")</f>
        <v>Damage</v>
      </c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>
      <c r="A279" s="12">
        <f>IFERROR(__xludf.DUMMYFUNCTION("""COMPUTED_VALUE"""),2021.0)</f>
        <v>2021</v>
      </c>
      <c r="B279" s="12">
        <f>IFERROR(__xludf.DUMMYFUNCTION("""COMPUTED_VALUE"""),10.0)</f>
        <v>10</v>
      </c>
      <c r="C279" s="12">
        <f>IFERROR(__xludf.DUMMYFUNCTION("""COMPUTED_VALUE"""),7.0)</f>
        <v>7</v>
      </c>
      <c r="D279" s="12">
        <f>IFERROR(__xludf.DUMMYFUNCTION("""COMPUTED_VALUE"""),1003994.0)</f>
        <v>1003994</v>
      </c>
      <c r="E279" s="12">
        <f>IFERROR(__xludf.DUMMYFUNCTION("""COMPUTED_VALUE"""),4.0)</f>
        <v>4</v>
      </c>
      <c r="F279" s="12">
        <f>IFERROR(__xludf.DUMMYFUNCTION("""COMPUTED_VALUE"""),0.0)</f>
        <v>0</v>
      </c>
      <c r="G279" s="12">
        <f>IFERROR(__xludf.DUMMYFUNCTION("""COMPUTED_VALUE"""),5.0)</f>
        <v>5</v>
      </c>
      <c r="H279" s="12" t="str">
        <f>IFERROR(__xludf.DUMMYFUNCTION("""COMPUTED_VALUE"""),"Return")</f>
        <v>Return</v>
      </c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>
      <c r="A280" s="12">
        <f>IFERROR(__xludf.DUMMYFUNCTION("""COMPUTED_VALUE"""),2021.0)</f>
        <v>2021</v>
      </c>
      <c r="B280" s="12">
        <f>IFERROR(__xludf.DUMMYFUNCTION("""COMPUTED_VALUE"""),10.0)</f>
        <v>10</v>
      </c>
      <c r="C280" s="12">
        <f>IFERROR(__xludf.DUMMYFUNCTION("""COMPUTED_VALUE"""),7.0)</f>
        <v>7</v>
      </c>
      <c r="D280" s="12">
        <f>IFERROR(__xludf.DUMMYFUNCTION("""COMPUTED_VALUE"""),1003368.0)</f>
        <v>1003368</v>
      </c>
      <c r="E280" s="12">
        <f>IFERROR(__xludf.DUMMYFUNCTION("""COMPUTED_VALUE"""),1.0)</f>
        <v>1</v>
      </c>
      <c r="F280" s="12">
        <f>IFERROR(__xludf.DUMMYFUNCTION("""COMPUTED_VALUE"""),0.0)</f>
        <v>0</v>
      </c>
      <c r="G280" s="12">
        <f>IFERROR(__xludf.DUMMYFUNCTION("""COMPUTED_VALUE"""),5.0)</f>
        <v>5</v>
      </c>
      <c r="H280" s="12" t="str">
        <f>IFERROR(__xludf.DUMMYFUNCTION("""COMPUTED_VALUE"""),"Return")</f>
        <v>Return</v>
      </c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>
      <c r="A281" s="12">
        <f>IFERROR(__xludf.DUMMYFUNCTION("""COMPUTED_VALUE"""),2021.0)</f>
        <v>2021</v>
      </c>
      <c r="B281" s="12">
        <f>IFERROR(__xludf.DUMMYFUNCTION("""COMPUTED_VALUE"""),10.0)</f>
        <v>10</v>
      </c>
      <c r="C281" s="12">
        <f>IFERROR(__xludf.DUMMYFUNCTION("""COMPUTED_VALUE"""),7.0)</f>
        <v>7</v>
      </c>
      <c r="D281" s="12">
        <f>IFERROR(__xludf.DUMMYFUNCTION("""COMPUTED_VALUE"""),1003472.0)</f>
        <v>1003472</v>
      </c>
      <c r="E281" s="13">
        <f>IFERROR(__xludf.DUMMYFUNCTION("""COMPUTED_VALUE"""),0.42889864981504233)</f>
        <v>0.4288986498</v>
      </c>
      <c r="F281" s="12">
        <f>IFERROR(__xludf.DUMMYFUNCTION("""COMPUTED_VALUE"""),6.54)</f>
        <v>6.54</v>
      </c>
      <c r="G281" s="12">
        <f>IFERROR(__xludf.DUMMYFUNCTION("""COMPUTED_VALUE"""),0.0)</f>
        <v>0</v>
      </c>
      <c r="H281" s="12" t="str">
        <f>IFERROR(__xludf.DUMMYFUNCTION("""COMPUTED_VALUE"""),"Return")</f>
        <v>Return</v>
      </c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>
      <c r="A282" s="12">
        <f>IFERROR(__xludf.DUMMYFUNCTION("""COMPUTED_VALUE"""),2021.0)</f>
        <v>2021</v>
      </c>
      <c r="B282" s="12">
        <f>IFERROR(__xludf.DUMMYFUNCTION("""COMPUTED_VALUE"""),10.0)</f>
        <v>10</v>
      </c>
      <c r="C282" s="12">
        <f>IFERROR(__xludf.DUMMYFUNCTION("""COMPUTED_VALUE"""),7.0)</f>
        <v>7</v>
      </c>
      <c r="D282" s="12">
        <f>IFERROR(__xludf.DUMMYFUNCTION("""COMPUTED_VALUE"""),1003422.0)</f>
        <v>1003422</v>
      </c>
      <c r="E282" s="12">
        <f>IFERROR(__xludf.DUMMYFUNCTION("""COMPUTED_VALUE"""),3.0)</f>
        <v>3</v>
      </c>
      <c r="F282" s="12">
        <f>IFERROR(__xludf.DUMMYFUNCTION("""COMPUTED_VALUE"""),0.0)</f>
        <v>0</v>
      </c>
      <c r="G282" s="12">
        <f>IFERROR(__xludf.DUMMYFUNCTION("""COMPUTED_VALUE"""),5.0)</f>
        <v>5</v>
      </c>
      <c r="H282" s="12" t="str">
        <f>IFERROR(__xludf.DUMMYFUNCTION("""COMPUTED_VALUE"""),"Return")</f>
        <v>Return</v>
      </c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>
      <c r="A283" s="12">
        <f>IFERROR(__xludf.DUMMYFUNCTION("""COMPUTED_VALUE"""),2021.0)</f>
        <v>2021</v>
      </c>
      <c r="B283" s="12">
        <f>IFERROR(__xludf.DUMMYFUNCTION("""COMPUTED_VALUE"""),10.0)</f>
        <v>10</v>
      </c>
      <c r="C283" s="12">
        <f>IFERROR(__xludf.DUMMYFUNCTION("""COMPUTED_VALUE"""),7.0)</f>
        <v>7</v>
      </c>
      <c r="D283" s="12">
        <f>IFERROR(__xludf.DUMMYFUNCTION("""COMPUTED_VALUE"""),1003697.0)</f>
        <v>1003697</v>
      </c>
      <c r="E283" s="12">
        <f>IFERROR(__xludf.DUMMYFUNCTION("""COMPUTED_VALUE"""),3.0)</f>
        <v>3</v>
      </c>
      <c r="F283" s="12">
        <f>IFERROR(__xludf.DUMMYFUNCTION("""COMPUTED_VALUE"""),0.0)</f>
        <v>0</v>
      </c>
      <c r="G283" s="12">
        <f>IFERROR(__xludf.DUMMYFUNCTION("""COMPUTED_VALUE"""),6.0)</f>
        <v>6</v>
      </c>
      <c r="H283" s="12" t="str">
        <f>IFERROR(__xludf.DUMMYFUNCTION("""COMPUTED_VALUE"""),"Return")</f>
        <v>Return</v>
      </c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>
      <c r="A284" s="12">
        <f>IFERROR(__xludf.DUMMYFUNCTION("""COMPUTED_VALUE"""),2021.0)</f>
        <v>2021</v>
      </c>
      <c r="B284" s="12">
        <f>IFERROR(__xludf.DUMMYFUNCTION("""COMPUTED_VALUE"""),10.0)</f>
        <v>10</v>
      </c>
      <c r="C284" s="12">
        <f>IFERROR(__xludf.DUMMYFUNCTION("""COMPUTED_VALUE"""),7.0)</f>
        <v>7</v>
      </c>
      <c r="D284" s="12">
        <f>IFERROR(__xludf.DUMMYFUNCTION("""COMPUTED_VALUE"""),1003321.0)</f>
        <v>1003321</v>
      </c>
      <c r="E284" s="13">
        <f>IFERROR(__xludf.DUMMYFUNCTION("""COMPUTED_VALUE"""),0.8590133848862741)</f>
        <v>0.8590133849</v>
      </c>
      <c r="F284" s="12">
        <f>IFERROR(__xludf.DUMMYFUNCTION("""COMPUTED_VALUE"""),0.0)</f>
        <v>0</v>
      </c>
      <c r="G284" s="12">
        <f>IFERROR(__xludf.DUMMYFUNCTION("""COMPUTED_VALUE"""),0.0)</f>
        <v>0</v>
      </c>
      <c r="H284" s="12" t="str">
        <f>IFERROR(__xludf.DUMMYFUNCTION("""COMPUTED_VALUE"""),"Wrong product")</f>
        <v>Wrong product</v>
      </c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>
      <c r="A285" s="12">
        <f>IFERROR(__xludf.DUMMYFUNCTION("""COMPUTED_VALUE"""),2021.0)</f>
        <v>2021</v>
      </c>
      <c r="B285" s="12">
        <f>IFERROR(__xludf.DUMMYFUNCTION("""COMPUTED_VALUE"""),10.0)</f>
        <v>10</v>
      </c>
      <c r="C285" s="12">
        <f>IFERROR(__xludf.DUMMYFUNCTION("""COMPUTED_VALUE"""),7.0)</f>
        <v>7</v>
      </c>
      <c r="D285" s="12">
        <f>IFERROR(__xludf.DUMMYFUNCTION("""COMPUTED_VALUE"""),1003329.0)</f>
        <v>1003329</v>
      </c>
      <c r="E285" s="12">
        <f>IFERROR(__xludf.DUMMYFUNCTION("""COMPUTED_VALUE"""),1.0)</f>
        <v>1</v>
      </c>
      <c r="F285" s="12">
        <f>IFERROR(__xludf.DUMMYFUNCTION("""COMPUTED_VALUE"""),0.0)</f>
        <v>0</v>
      </c>
      <c r="G285" s="12">
        <f>IFERROR(__xludf.DUMMYFUNCTION("""COMPUTED_VALUE"""),0.0)</f>
        <v>0</v>
      </c>
      <c r="H285" s="12" t="str">
        <f>IFERROR(__xludf.DUMMYFUNCTION("""COMPUTED_VALUE"""),"Damage")</f>
        <v>Damage</v>
      </c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>
      <c r="A286" s="12">
        <f>IFERROR(__xludf.DUMMYFUNCTION("""COMPUTED_VALUE"""),2021.0)</f>
        <v>2021</v>
      </c>
      <c r="B286" s="12">
        <f>IFERROR(__xludf.DUMMYFUNCTION("""COMPUTED_VALUE"""),10.0)</f>
        <v>10</v>
      </c>
      <c r="C286" s="12">
        <f>IFERROR(__xludf.DUMMYFUNCTION("""COMPUTED_VALUE"""),7.0)</f>
        <v>7</v>
      </c>
      <c r="D286" s="12">
        <f>IFERROR(__xludf.DUMMYFUNCTION("""COMPUTED_VALUE"""),1003477.0)</f>
        <v>1003477</v>
      </c>
      <c r="E286" s="12">
        <f>IFERROR(__xludf.DUMMYFUNCTION("""COMPUTED_VALUE"""),7.0)</f>
        <v>7</v>
      </c>
      <c r="F286" s="12">
        <f>IFERROR(__xludf.DUMMYFUNCTION("""COMPUTED_VALUE"""),0.0)</f>
        <v>0</v>
      </c>
      <c r="G286" s="12">
        <f>IFERROR(__xludf.DUMMYFUNCTION("""COMPUTED_VALUE"""),0.0)</f>
        <v>0</v>
      </c>
      <c r="H286" s="12" t="str">
        <f>IFERROR(__xludf.DUMMYFUNCTION("""COMPUTED_VALUE"""),"Damage")</f>
        <v>Damage</v>
      </c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>
      <c r="A287" s="12">
        <f>IFERROR(__xludf.DUMMYFUNCTION("""COMPUTED_VALUE"""),2021.0)</f>
        <v>2021</v>
      </c>
      <c r="B287" s="12">
        <f>IFERROR(__xludf.DUMMYFUNCTION("""COMPUTED_VALUE"""),10.0)</f>
        <v>10</v>
      </c>
      <c r="C287" s="12">
        <f>IFERROR(__xludf.DUMMYFUNCTION("""COMPUTED_VALUE"""),7.0)</f>
        <v>7</v>
      </c>
      <c r="D287" s="12">
        <f>IFERROR(__xludf.DUMMYFUNCTION("""COMPUTED_VALUE"""),1003485.0)</f>
        <v>1003485</v>
      </c>
      <c r="E287" s="12">
        <f>IFERROR(__xludf.DUMMYFUNCTION("""COMPUTED_VALUE"""),5.0)</f>
        <v>5</v>
      </c>
      <c r="F287" s="12">
        <f>IFERROR(__xludf.DUMMYFUNCTION("""COMPUTED_VALUE"""),0.0)</f>
        <v>0</v>
      </c>
      <c r="G287" s="12">
        <f>IFERROR(__xludf.DUMMYFUNCTION("""COMPUTED_VALUE"""),5.0)</f>
        <v>5</v>
      </c>
      <c r="H287" s="12" t="str">
        <f>IFERROR(__xludf.DUMMYFUNCTION("""COMPUTED_VALUE"""),"Damage")</f>
        <v>Damage</v>
      </c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>
      <c r="A288" s="12">
        <f>IFERROR(__xludf.DUMMYFUNCTION("""COMPUTED_VALUE"""),2021.0)</f>
        <v>2021</v>
      </c>
      <c r="B288" s="12">
        <f>IFERROR(__xludf.DUMMYFUNCTION("""COMPUTED_VALUE"""),10.0)</f>
        <v>10</v>
      </c>
      <c r="C288" s="12">
        <f>IFERROR(__xludf.DUMMYFUNCTION("""COMPUTED_VALUE"""),7.0)</f>
        <v>7</v>
      </c>
      <c r="D288" s="12">
        <f>IFERROR(__xludf.DUMMYFUNCTION("""COMPUTED_VALUE"""),1003972.0)</f>
        <v>1003972</v>
      </c>
      <c r="E288" s="12">
        <f>IFERROR(__xludf.DUMMYFUNCTION("""COMPUTED_VALUE"""),5.0)</f>
        <v>5</v>
      </c>
      <c r="F288" s="12">
        <f>IFERROR(__xludf.DUMMYFUNCTION("""COMPUTED_VALUE"""),0.0)</f>
        <v>0</v>
      </c>
      <c r="G288" s="12">
        <f>IFERROR(__xludf.DUMMYFUNCTION("""COMPUTED_VALUE"""),0.0)</f>
        <v>0</v>
      </c>
      <c r="H288" s="12" t="str">
        <f>IFERROR(__xludf.DUMMYFUNCTION("""COMPUTED_VALUE"""),"Wrong product")</f>
        <v>Wrong product</v>
      </c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>
      <c r="A289" s="12">
        <f>IFERROR(__xludf.DUMMYFUNCTION("""COMPUTED_VALUE"""),2021.0)</f>
        <v>2021</v>
      </c>
      <c r="B289" s="12">
        <f>IFERROR(__xludf.DUMMYFUNCTION("""COMPUTED_VALUE"""),10.0)</f>
        <v>10</v>
      </c>
      <c r="C289" s="12">
        <f>IFERROR(__xludf.DUMMYFUNCTION("""COMPUTED_VALUE"""),7.0)</f>
        <v>7</v>
      </c>
      <c r="D289" s="12">
        <f>IFERROR(__xludf.DUMMYFUNCTION("""COMPUTED_VALUE"""),1003597.0)</f>
        <v>1003597</v>
      </c>
      <c r="E289" s="12">
        <f>IFERROR(__xludf.DUMMYFUNCTION("""COMPUTED_VALUE"""),3.0)</f>
        <v>3</v>
      </c>
      <c r="F289" s="12">
        <f>IFERROR(__xludf.DUMMYFUNCTION("""COMPUTED_VALUE"""),0.0)</f>
        <v>0</v>
      </c>
      <c r="G289" s="12">
        <f>IFERROR(__xludf.DUMMYFUNCTION("""COMPUTED_VALUE"""),0.0)</f>
        <v>0</v>
      </c>
      <c r="H289" s="12" t="str">
        <f>IFERROR(__xludf.DUMMYFUNCTION("""COMPUTED_VALUE"""),"Wrong product")</f>
        <v>Wrong product</v>
      </c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>
      <c r="A290" s="12">
        <f>IFERROR(__xludf.DUMMYFUNCTION("""COMPUTED_VALUE"""),2021.0)</f>
        <v>2021</v>
      </c>
      <c r="B290" s="12">
        <f>IFERROR(__xludf.DUMMYFUNCTION("""COMPUTED_VALUE"""),10.0)</f>
        <v>10</v>
      </c>
      <c r="C290" s="12">
        <f>IFERROR(__xludf.DUMMYFUNCTION("""COMPUTED_VALUE"""),7.0)</f>
        <v>7</v>
      </c>
      <c r="D290" s="12">
        <f>IFERROR(__xludf.DUMMYFUNCTION("""COMPUTED_VALUE"""),1003625.0)</f>
        <v>1003625</v>
      </c>
      <c r="E290" s="12">
        <f>IFERROR(__xludf.DUMMYFUNCTION("""COMPUTED_VALUE"""),4.0)</f>
        <v>4</v>
      </c>
      <c r="F290" s="12">
        <f>IFERROR(__xludf.DUMMYFUNCTION("""COMPUTED_VALUE"""),0.0)</f>
        <v>0</v>
      </c>
      <c r="G290" s="12">
        <f>IFERROR(__xludf.DUMMYFUNCTION("""COMPUTED_VALUE"""),0.0)</f>
        <v>0</v>
      </c>
      <c r="H290" s="12" t="str">
        <f>IFERROR(__xludf.DUMMYFUNCTION("""COMPUTED_VALUE"""),"Wrong product")</f>
        <v>Wrong product</v>
      </c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>
      <c r="A291" s="12">
        <f>IFERROR(__xludf.DUMMYFUNCTION("""COMPUTED_VALUE"""),2021.0)</f>
        <v>2021</v>
      </c>
      <c r="B291" s="12">
        <f>IFERROR(__xludf.DUMMYFUNCTION("""COMPUTED_VALUE"""),10.0)</f>
        <v>10</v>
      </c>
      <c r="C291" s="12">
        <f>IFERROR(__xludf.DUMMYFUNCTION("""COMPUTED_VALUE"""),7.0)</f>
        <v>7</v>
      </c>
      <c r="D291" s="12">
        <f>IFERROR(__xludf.DUMMYFUNCTION("""COMPUTED_VALUE"""),1003608.0)</f>
        <v>1003608</v>
      </c>
      <c r="E291" s="12">
        <f>IFERROR(__xludf.DUMMYFUNCTION("""COMPUTED_VALUE"""),4.0)</f>
        <v>4</v>
      </c>
      <c r="F291" s="12">
        <f>IFERROR(__xludf.DUMMYFUNCTION("""COMPUTED_VALUE"""),0.0)</f>
        <v>0</v>
      </c>
      <c r="G291" s="12">
        <f>IFERROR(__xludf.DUMMYFUNCTION("""COMPUTED_VALUE"""),0.0)</f>
        <v>0</v>
      </c>
      <c r="H291" s="12" t="str">
        <f>IFERROR(__xludf.DUMMYFUNCTION("""COMPUTED_VALUE"""),"Wrong product")</f>
        <v>Wrong product</v>
      </c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>
      <c r="A292" s="12">
        <f>IFERROR(__xludf.DUMMYFUNCTION("""COMPUTED_VALUE"""),2021.0)</f>
        <v>2021</v>
      </c>
      <c r="B292" s="12">
        <f>IFERROR(__xludf.DUMMYFUNCTION("""COMPUTED_VALUE"""),10.0)</f>
        <v>10</v>
      </c>
      <c r="C292" s="12">
        <f>IFERROR(__xludf.DUMMYFUNCTION("""COMPUTED_VALUE"""),7.0)</f>
        <v>7</v>
      </c>
      <c r="D292" s="12">
        <f>IFERROR(__xludf.DUMMYFUNCTION("""COMPUTED_VALUE"""),1003621.0)</f>
        <v>1003621</v>
      </c>
      <c r="E292" s="13">
        <f>IFERROR(__xludf.DUMMYFUNCTION("""COMPUTED_VALUE"""),0.791385464979351)</f>
        <v>0.791385465</v>
      </c>
      <c r="F292" s="12">
        <f>IFERROR(__xludf.DUMMYFUNCTION("""COMPUTED_VALUE"""),0.0)</f>
        <v>0</v>
      </c>
      <c r="G292" s="12">
        <f>IFERROR(__xludf.DUMMYFUNCTION("""COMPUTED_VALUE"""),0.0)</f>
        <v>0</v>
      </c>
      <c r="H292" s="12" t="str">
        <f>IFERROR(__xludf.DUMMYFUNCTION("""COMPUTED_VALUE"""),"Wrong product")</f>
        <v>Wrong product</v>
      </c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>
      <c r="A293" s="12">
        <f>IFERROR(__xludf.DUMMYFUNCTION("""COMPUTED_VALUE"""),2021.0)</f>
        <v>2021</v>
      </c>
      <c r="B293" s="12">
        <f>IFERROR(__xludf.DUMMYFUNCTION("""COMPUTED_VALUE"""),10.0)</f>
        <v>10</v>
      </c>
      <c r="C293" s="12">
        <f>IFERROR(__xludf.DUMMYFUNCTION("""COMPUTED_VALUE"""),7.0)</f>
        <v>7</v>
      </c>
      <c r="D293" s="12">
        <f>IFERROR(__xludf.DUMMYFUNCTION("""COMPUTED_VALUE"""),1003688.0)</f>
        <v>1003688</v>
      </c>
      <c r="E293" s="12">
        <f>IFERROR(__xludf.DUMMYFUNCTION("""COMPUTED_VALUE"""),1.0)</f>
        <v>1</v>
      </c>
      <c r="F293" s="12">
        <f>IFERROR(__xludf.DUMMYFUNCTION("""COMPUTED_VALUE"""),0.0)</f>
        <v>0</v>
      </c>
      <c r="G293" s="12">
        <f>IFERROR(__xludf.DUMMYFUNCTION("""COMPUTED_VALUE"""),0.0)</f>
        <v>0</v>
      </c>
      <c r="H293" s="12" t="str">
        <f>IFERROR(__xludf.DUMMYFUNCTION("""COMPUTED_VALUE"""),"Damage")</f>
        <v>Damage</v>
      </c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>
      <c r="A294" s="12">
        <f>IFERROR(__xludf.DUMMYFUNCTION("""COMPUTED_VALUE"""),2021.0)</f>
        <v>2021</v>
      </c>
      <c r="B294" s="12">
        <f>IFERROR(__xludf.DUMMYFUNCTION("""COMPUTED_VALUE"""),10.0)</f>
        <v>10</v>
      </c>
      <c r="C294" s="12">
        <f>IFERROR(__xludf.DUMMYFUNCTION("""COMPUTED_VALUE"""),7.0)</f>
        <v>7</v>
      </c>
      <c r="D294" s="12">
        <f>IFERROR(__xludf.DUMMYFUNCTION("""COMPUTED_VALUE"""),1003630.0)</f>
        <v>1003630</v>
      </c>
      <c r="E294" s="12">
        <f>IFERROR(__xludf.DUMMYFUNCTION("""COMPUTED_VALUE"""),8.0)</f>
        <v>8</v>
      </c>
      <c r="F294" s="12">
        <f>IFERROR(__xludf.DUMMYFUNCTION("""COMPUTED_VALUE"""),0.0)</f>
        <v>0</v>
      </c>
      <c r="G294" s="12">
        <f>IFERROR(__xludf.DUMMYFUNCTION("""COMPUTED_VALUE"""),5.0)</f>
        <v>5</v>
      </c>
      <c r="H294" s="12" t="str">
        <f>IFERROR(__xludf.DUMMYFUNCTION("""COMPUTED_VALUE"""),"Return")</f>
        <v>Return</v>
      </c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>
      <c r="A295" s="12">
        <f>IFERROR(__xludf.DUMMYFUNCTION("""COMPUTED_VALUE"""),2021.0)</f>
        <v>2021</v>
      </c>
      <c r="B295" s="12">
        <f>IFERROR(__xludf.DUMMYFUNCTION("""COMPUTED_VALUE"""),10.0)</f>
        <v>10</v>
      </c>
      <c r="C295" s="12">
        <f>IFERROR(__xludf.DUMMYFUNCTION("""COMPUTED_VALUE"""),7.0)</f>
        <v>7</v>
      </c>
      <c r="D295" s="12">
        <f>IFERROR(__xludf.DUMMYFUNCTION("""COMPUTED_VALUE"""),1003866.0)</f>
        <v>1003866</v>
      </c>
      <c r="E295" s="12">
        <f>IFERROR(__xludf.DUMMYFUNCTION("""COMPUTED_VALUE"""),4.0)</f>
        <v>4</v>
      </c>
      <c r="F295" s="12">
        <f>IFERROR(__xludf.DUMMYFUNCTION("""COMPUTED_VALUE"""),0.0)</f>
        <v>0</v>
      </c>
      <c r="G295" s="12">
        <f>IFERROR(__xludf.DUMMYFUNCTION("""COMPUTED_VALUE"""),0.0)</f>
        <v>0</v>
      </c>
      <c r="H295" s="12" t="str">
        <f>IFERROR(__xludf.DUMMYFUNCTION("""COMPUTED_VALUE"""),"Wrong product")</f>
        <v>Wrong product</v>
      </c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>
      <c r="A296" s="12">
        <f>IFERROR(__xludf.DUMMYFUNCTION("""COMPUTED_VALUE"""),2021.0)</f>
        <v>2021</v>
      </c>
      <c r="B296" s="12">
        <f>IFERROR(__xludf.DUMMYFUNCTION("""COMPUTED_VALUE"""),10.0)</f>
        <v>10</v>
      </c>
      <c r="C296" s="12">
        <f>IFERROR(__xludf.DUMMYFUNCTION("""COMPUTED_VALUE"""),7.0)</f>
        <v>7</v>
      </c>
      <c r="D296" s="12">
        <f>IFERROR(__xludf.DUMMYFUNCTION("""COMPUTED_VALUE"""),1003937.0)</f>
        <v>1003937</v>
      </c>
      <c r="E296" s="12">
        <f>IFERROR(__xludf.DUMMYFUNCTION("""COMPUTED_VALUE"""),2.0)</f>
        <v>2</v>
      </c>
      <c r="F296" s="12">
        <f>IFERROR(__xludf.DUMMYFUNCTION("""COMPUTED_VALUE"""),0.0)</f>
        <v>0</v>
      </c>
      <c r="G296" s="12">
        <f>IFERROR(__xludf.DUMMYFUNCTION("""COMPUTED_VALUE"""),0.0)</f>
        <v>0</v>
      </c>
      <c r="H296" s="12" t="str">
        <f>IFERROR(__xludf.DUMMYFUNCTION("""COMPUTED_VALUE"""),"Wrong product")</f>
        <v>Wrong product</v>
      </c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>
      <c r="A297" s="12">
        <f>IFERROR(__xludf.DUMMYFUNCTION("""COMPUTED_VALUE"""),2021.0)</f>
        <v>2021</v>
      </c>
      <c r="B297" s="12">
        <f>IFERROR(__xludf.DUMMYFUNCTION("""COMPUTED_VALUE"""),10.0)</f>
        <v>10</v>
      </c>
      <c r="C297" s="12">
        <f>IFERROR(__xludf.DUMMYFUNCTION("""COMPUTED_VALUE"""),7.0)</f>
        <v>7</v>
      </c>
      <c r="D297" s="12">
        <f>IFERROR(__xludf.DUMMYFUNCTION("""COMPUTED_VALUE"""),1003462.0)</f>
        <v>1003462</v>
      </c>
      <c r="E297" s="12">
        <f>IFERROR(__xludf.DUMMYFUNCTION("""COMPUTED_VALUE"""),2.0)</f>
        <v>2</v>
      </c>
      <c r="F297" s="12">
        <f>IFERROR(__xludf.DUMMYFUNCTION("""COMPUTED_VALUE"""),0.0)</f>
        <v>0</v>
      </c>
      <c r="G297" s="12">
        <f>IFERROR(__xludf.DUMMYFUNCTION("""COMPUTED_VALUE"""),0.0)</f>
        <v>0</v>
      </c>
      <c r="H297" s="12" t="str">
        <f>IFERROR(__xludf.DUMMYFUNCTION("""COMPUTED_VALUE"""),"Wrong product")</f>
        <v>Wrong product</v>
      </c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>
      <c r="A298" s="12">
        <f>IFERROR(__xludf.DUMMYFUNCTION("""COMPUTED_VALUE"""),2021.0)</f>
        <v>2021</v>
      </c>
      <c r="B298" s="12">
        <f>IFERROR(__xludf.DUMMYFUNCTION("""COMPUTED_VALUE"""),10.0)</f>
        <v>10</v>
      </c>
      <c r="C298" s="12">
        <f>IFERROR(__xludf.DUMMYFUNCTION("""COMPUTED_VALUE"""),7.0)</f>
        <v>7</v>
      </c>
      <c r="D298" s="12">
        <f>IFERROR(__xludf.DUMMYFUNCTION("""COMPUTED_VALUE"""),1003356.0)</f>
        <v>1003356</v>
      </c>
      <c r="E298" s="12">
        <f>IFERROR(__xludf.DUMMYFUNCTION("""COMPUTED_VALUE"""),3.0)</f>
        <v>3</v>
      </c>
      <c r="F298" s="12">
        <f>IFERROR(__xludf.DUMMYFUNCTION("""COMPUTED_VALUE"""),0.83)</f>
        <v>0.83</v>
      </c>
      <c r="G298" s="12">
        <f>IFERROR(__xludf.DUMMYFUNCTION("""COMPUTED_VALUE"""),0.0)</f>
        <v>0</v>
      </c>
      <c r="H298" s="12" t="str">
        <f>IFERROR(__xludf.DUMMYFUNCTION("""COMPUTED_VALUE"""),"Return")</f>
        <v>Return</v>
      </c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>
      <c r="A299" s="12">
        <f>IFERROR(__xludf.DUMMYFUNCTION("""COMPUTED_VALUE"""),2021.0)</f>
        <v>2021</v>
      </c>
      <c r="B299" s="12">
        <f>IFERROR(__xludf.DUMMYFUNCTION("""COMPUTED_VALUE"""),10.0)</f>
        <v>10</v>
      </c>
      <c r="C299" s="12">
        <f>IFERROR(__xludf.DUMMYFUNCTION("""COMPUTED_VALUE"""),7.0)</f>
        <v>7</v>
      </c>
      <c r="D299" s="12">
        <f>IFERROR(__xludf.DUMMYFUNCTION("""COMPUTED_VALUE"""),1003965.0)</f>
        <v>1003965</v>
      </c>
      <c r="E299" s="12">
        <f>IFERROR(__xludf.DUMMYFUNCTION("""COMPUTED_VALUE"""),1.0)</f>
        <v>1</v>
      </c>
      <c r="F299" s="12">
        <f>IFERROR(__xludf.DUMMYFUNCTION("""COMPUTED_VALUE"""),0.0)</f>
        <v>0</v>
      </c>
      <c r="G299" s="12">
        <f>IFERROR(__xludf.DUMMYFUNCTION("""COMPUTED_VALUE"""),0.0)</f>
        <v>0</v>
      </c>
      <c r="H299" s="12" t="str">
        <f>IFERROR(__xludf.DUMMYFUNCTION("""COMPUTED_VALUE"""),"Damage")</f>
        <v>Damage</v>
      </c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>
      <c r="A300" s="12">
        <f>IFERROR(__xludf.DUMMYFUNCTION("""COMPUTED_VALUE"""),2021.0)</f>
        <v>2021</v>
      </c>
      <c r="B300" s="12">
        <f>IFERROR(__xludf.DUMMYFUNCTION("""COMPUTED_VALUE"""),10.0)</f>
        <v>10</v>
      </c>
      <c r="C300" s="12">
        <f>IFERROR(__xludf.DUMMYFUNCTION("""COMPUTED_VALUE"""),7.0)</f>
        <v>7</v>
      </c>
      <c r="D300" s="12">
        <f>IFERROR(__xludf.DUMMYFUNCTION("""COMPUTED_VALUE"""),1003595.0)</f>
        <v>1003595</v>
      </c>
      <c r="E300" s="12">
        <f>IFERROR(__xludf.DUMMYFUNCTION("""COMPUTED_VALUE"""),3.0)</f>
        <v>3</v>
      </c>
      <c r="F300" s="12">
        <f>IFERROR(__xludf.DUMMYFUNCTION("""COMPUTED_VALUE"""),0.0)</f>
        <v>0</v>
      </c>
      <c r="G300" s="12">
        <f>IFERROR(__xludf.DUMMYFUNCTION("""COMPUTED_VALUE"""),8.0)</f>
        <v>8</v>
      </c>
      <c r="H300" s="12" t="str">
        <f>IFERROR(__xludf.DUMMYFUNCTION("""COMPUTED_VALUE"""),"Return")</f>
        <v>Return</v>
      </c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>
      <c r="A301" s="12">
        <f>IFERROR(__xludf.DUMMYFUNCTION("""COMPUTED_VALUE"""),2021.0)</f>
        <v>2021</v>
      </c>
      <c r="B301" s="12">
        <f>IFERROR(__xludf.DUMMYFUNCTION("""COMPUTED_VALUE"""),10.0)</f>
        <v>10</v>
      </c>
      <c r="C301" s="12">
        <f>IFERROR(__xludf.DUMMYFUNCTION("""COMPUTED_VALUE"""),7.0)</f>
        <v>7</v>
      </c>
      <c r="D301" s="12">
        <f>IFERROR(__xludf.DUMMYFUNCTION("""COMPUTED_VALUE"""),1003756.0)</f>
        <v>1003756</v>
      </c>
      <c r="E301" s="12">
        <f>IFERROR(__xludf.DUMMYFUNCTION("""COMPUTED_VALUE"""),3.0)</f>
        <v>3</v>
      </c>
      <c r="F301" s="12">
        <f>IFERROR(__xludf.DUMMYFUNCTION("""COMPUTED_VALUE"""),0.0)</f>
        <v>0</v>
      </c>
      <c r="G301" s="12">
        <f>IFERROR(__xludf.DUMMYFUNCTION("""COMPUTED_VALUE"""),5.0)</f>
        <v>5</v>
      </c>
      <c r="H301" s="12" t="str">
        <f>IFERROR(__xludf.DUMMYFUNCTION("""COMPUTED_VALUE"""),"Return")</f>
        <v>Return</v>
      </c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>
      <c r="A302" s="12">
        <f>IFERROR(__xludf.DUMMYFUNCTION("""COMPUTED_VALUE"""),2021.0)</f>
        <v>2021</v>
      </c>
      <c r="B302" s="12">
        <f>IFERROR(__xludf.DUMMYFUNCTION("""COMPUTED_VALUE"""),10.0)</f>
        <v>10</v>
      </c>
      <c r="C302" s="12">
        <f>IFERROR(__xludf.DUMMYFUNCTION("""COMPUTED_VALUE"""),7.0)</f>
        <v>7</v>
      </c>
      <c r="D302" s="12">
        <f>IFERROR(__xludf.DUMMYFUNCTION("""COMPUTED_VALUE"""),1003397.0)</f>
        <v>1003397</v>
      </c>
      <c r="E302" s="12">
        <f>IFERROR(__xludf.DUMMYFUNCTION("""COMPUTED_VALUE"""),2.0)</f>
        <v>2</v>
      </c>
      <c r="F302" s="12">
        <f>IFERROR(__xludf.DUMMYFUNCTION("""COMPUTED_VALUE"""),0.0)</f>
        <v>0</v>
      </c>
      <c r="G302" s="12">
        <f>IFERROR(__xludf.DUMMYFUNCTION("""COMPUTED_VALUE"""),0.0)</f>
        <v>0</v>
      </c>
      <c r="H302" s="12" t="str">
        <f>IFERROR(__xludf.DUMMYFUNCTION("""COMPUTED_VALUE"""),"Wrong product")</f>
        <v>Wrong product</v>
      </c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>
      <c r="A303" s="12">
        <f>IFERROR(__xludf.DUMMYFUNCTION("""COMPUTED_VALUE"""),2021.0)</f>
        <v>2021</v>
      </c>
      <c r="B303" s="12">
        <f>IFERROR(__xludf.DUMMYFUNCTION("""COMPUTED_VALUE"""),10.0)</f>
        <v>10</v>
      </c>
      <c r="C303" s="12">
        <f>IFERROR(__xludf.DUMMYFUNCTION("""COMPUTED_VALUE"""),7.0)</f>
        <v>7</v>
      </c>
      <c r="D303" s="12">
        <f>IFERROR(__xludf.DUMMYFUNCTION("""COMPUTED_VALUE"""),1003520.0)</f>
        <v>1003520</v>
      </c>
      <c r="E303" s="12">
        <f>IFERROR(__xludf.DUMMYFUNCTION("""COMPUTED_VALUE"""),3.0)</f>
        <v>3</v>
      </c>
      <c r="F303" s="12">
        <f>IFERROR(__xludf.DUMMYFUNCTION("""COMPUTED_VALUE"""),0.0)</f>
        <v>0</v>
      </c>
      <c r="G303" s="12">
        <f>IFERROR(__xludf.DUMMYFUNCTION("""COMPUTED_VALUE"""),0.0)</f>
        <v>0</v>
      </c>
      <c r="H303" s="12" t="str">
        <f>IFERROR(__xludf.DUMMYFUNCTION("""COMPUTED_VALUE"""),"Damage")</f>
        <v>Damage</v>
      </c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>
      <c r="A304" s="12">
        <f>IFERROR(__xludf.DUMMYFUNCTION("""COMPUTED_VALUE"""),2021.0)</f>
        <v>2021</v>
      </c>
      <c r="B304" s="12">
        <f>IFERROR(__xludf.DUMMYFUNCTION("""COMPUTED_VALUE"""),10.0)</f>
        <v>10</v>
      </c>
      <c r="C304" s="12">
        <f>IFERROR(__xludf.DUMMYFUNCTION("""COMPUTED_VALUE"""),7.0)</f>
        <v>7</v>
      </c>
      <c r="D304" s="12">
        <f>IFERROR(__xludf.DUMMYFUNCTION("""COMPUTED_VALUE"""),1003884.0)</f>
        <v>1003884</v>
      </c>
      <c r="E304" s="12">
        <f>IFERROR(__xludf.DUMMYFUNCTION("""COMPUTED_VALUE"""),1.0)</f>
        <v>1</v>
      </c>
      <c r="F304" s="12">
        <f>IFERROR(__xludf.DUMMYFUNCTION("""COMPUTED_VALUE"""),0.0)</f>
        <v>0</v>
      </c>
      <c r="G304" s="12">
        <f>IFERROR(__xludf.DUMMYFUNCTION("""COMPUTED_VALUE"""),0.0)</f>
        <v>0</v>
      </c>
      <c r="H304" s="12" t="str">
        <f>IFERROR(__xludf.DUMMYFUNCTION("""COMPUTED_VALUE"""),"Return")</f>
        <v>Return</v>
      </c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>
      <c r="A305" s="12">
        <f>IFERROR(__xludf.DUMMYFUNCTION("""COMPUTED_VALUE"""),2021.0)</f>
        <v>2021</v>
      </c>
      <c r="B305" s="12">
        <f>IFERROR(__xludf.DUMMYFUNCTION("""COMPUTED_VALUE"""),10.0)</f>
        <v>10</v>
      </c>
      <c r="C305" s="12">
        <f>IFERROR(__xludf.DUMMYFUNCTION("""COMPUTED_VALUE"""),7.0)</f>
        <v>7</v>
      </c>
      <c r="D305" s="12">
        <f>IFERROR(__xludf.DUMMYFUNCTION("""COMPUTED_VALUE"""),1003752.0)</f>
        <v>1003752</v>
      </c>
      <c r="E305" s="12">
        <f>IFERROR(__xludf.DUMMYFUNCTION("""COMPUTED_VALUE"""),10.0)</f>
        <v>10</v>
      </c>
      <c r="F305" s="12">
        <f>IFERROR(__xludf.DUMMYFUNCTION("""COMPUTED_VALUE"""),0.0)</f>
        <v>0</v>
      </c>
      <c r="G305" s="12">
        <f>IFERROR(__xludf.DUMMYFUNCTION("""COMPUTED_VALUE"""),0.0)</f>
        <v>0</v>
      </c>
      <c r="H305" s="12" t="str">
        <f>IFERROR(__xludf.DUMMYFUNCTION("""COMPUTED_VALUE"""),"Return")</f>
        <v>Return</v>
      </c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>
      <c r="A306" s="12">
        <f>IFERROR(__xludf.DUMMYFUNCTION("""COMPUTED_VALUE"""),2021.0)</f>
        <v>2021</v>
      </c>
      <c r="B306" s="12">
        <f>IFERROR(__xludf.DUMMYFUNCTION("""COMPUTED_VALUE"""),10.0)</f>
        <v>10</v>
      </c>
      <c r="C306" s="12">
        <f>IFERROR(__xludf.DUMMYFUNCTION("""COMPUTED_VALUE"""),7.0)</f>
        <v>7</v>
      </c>
      <c r="D306" s="12">
        <f>IFERROR(__xludf.DUMMYFUNCTION("""COMPUTED_VALUE"""),1003830.0)</f>
        <v>1003830</v>
      </c>
      <c r="E306" s="12">
        <f>IFERROR(__xludf.DUMMYFUNCTION("""COMPUTED_VALUE"""),1.0)</f>
        <v>1</v>
      </c>
      <c r="F306" s="12">
        <f>IFERROR(__xludf.DUMMYFUNCTION("""COMPUTED_VALUE"""),0.0)</f>
        <v>0</v>
      </c>
      <c r="G306" s="12">
        <f>IFERROR(__xludf.DUMMYFUNCTION("""COMPUTED_VALUE"""),0.0)</f>
        <v>0</v>
      </c>
      <c r="H306" s="12" t="str">
        <f>IFERROR(__xludf.DUMMYFUNCTION("""COMPUTED_VALUE"""),"Damage")</f>
        <v>Damage</v>
      </c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>
      <c r="A307" s="12">
        <f>IFERROR(__xludf.DUMMYFUNCTION("""COMPUTED_VALUE"""),2021.0)</f>
        <v>2021</v>
      </c>
      <c r="B307" s="12">
        <f>IFERROR(__xludf.DUMMYFUNCTION("""COMPUTED_VALUE"""),10.0)</f>
        <v>10</v>
      </c>
      <c r="C307" s="12">
        <f>IFERROR(__xludf.DUMMYFUNCTION("""COMPUTED_VALUE"""),7.0)</f>
        <v>7</v>
      </c>
      <c r="D307" s="12">
        <f>IFERROR(__xludf.DUMMYFUNCTION("""COMPUTED_VALUE"""),1003984.0)</f>
        <v>1003984</v>
      </c>
      <c r="E307" s="12">
        <f>IFERROR(__xludf.DUMMYFUNCTION("""COMPUTED_VALUE"""),2.0)</f>
        <v>2</v>
      </c>
      <c r="F307" s="12">
        <f>IFERROR(__xludf.DUMMYFUNCTION("""COMPUTED_VALUE"""),3.25)</f>
        <v>3.25</v>
      </c>
      <c r="G307" s="12">
        <f>IFERROR(__xludf.DUMMYFUNCTION("""COMPUTED_VALUE"""),0.0)</f>
        <v>0</v>
      </c>
      <c r="H307" s="12" t="str">
        <f>IFERROR(__xludf.DUMMYFUNCTION("""COMPUTED_VALUE"""),"Return")</f>
        <v>Return</v>
      </c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>
      <c r="A308" s="12">
        <f>IFERROR(__xludf.DUMMYFUNCTION("""COMPUTED_VALUE"""),2021.0)</f>
        <v>2021</v>
      </c>
      <c r="B308" s="12">
        <f>IFERROR(__xludf.DUMMYFUNCTION("""COMPUTED_VALUE"""),10.0)</f>
        <v>10</v>
      </c>
      <c r="C308" s="12">
        <f>IFERROR(__xludf.DUMMYFUNCTION("""COMPUTED_VALUE"""),7.0)</f>
        <v>7</v>
      </c>
      <c r="D308" s="12">
        <f>IFERROR(__xludf.DUMMYFUNCTION("""COMPUTED_VALUE"""),1003508.0)</f>
        <v>1003508</v>
      </c>
      <c r="E308" s="12">
        <f>IFERROR(__xludf.DUMMYFUNCTION("""COMPUTED_VALUE"""),1.0)</f>
        <v>1</v>
      </c>
      <c r="F308" s="12">
        <f>IFERROR(__xludf.DUMMYFUNCTION("""COMPUTED_VALUE"""),0.0)</f>
        <v>0</v>
      </c>
      <c r="G308" s="12">
        <f>IFERROR(__xludf.DUMMYFUNCTION("""COMPUTED_VALUE"""),6.0)</f>
        <v>6</v>
      </c>
      <c r="H308" s="12" t="str">
        <f>IFERROR(__xludf.DUMMYFUNCTION("""COMPUTED_VALUE"""),"Return")</f>
        <v>Return</v>
      </c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>
      <c r="A309" s="12">
        <f>IFERROR(__xludf.DUMMYFUNCTION("""COMPUTED_VALUE"""),2021.0)</f>
        <v>2021</v>
      </c>
      <c r="B309" s="12">
        <f>IFERROR(__xludf.DUMMYFUNCTION("""COMPUTED_VALUE"""),10.0)</f>
        <v>10</v>
      </c>
      <c r="C309" s="12">
        <f>IFERROR(__xludf.DUMMYFUNCTION("""COMPUTED_VALUE"""),7.0)</f>
        <v>7</v>
      </c>
      <c r="D309" s="12">
        <f>IFERROR(__xludf.DUMMYFUNCTION("""COMPUTED_VALUE"""),1003976.0)</f>
        <v>1003976</v>
      </c>
      <c r="E309" s="13">
        <f>IFERROR(__xludf.DUMMYFUNCTION("""COMPUTED_VALUE"""),0.9909109803681703)</f>
        <v>0.9909109804</v>
      </c>
      <c r="F309" s="12">
        <f>IFERROR(__xludf.DUMMYFUNCTION("""COMPUTED_VALUE"""),0.0)</f>
        <v>0</v>
      </c>
      <c r="G309" s="12">
        <f>IFERROR(__xludf.DUMMYFUNCTION("""COMPUTED_VALUE"""),0.0)</f>
        <v>0</v>
      </c>
      <c r="H309" s="12" t="str">
        <f>IFERROR(__xludf.DUMMYFUNCTION("""COMPUTED_VALUE"""),"Wrong product")</f>
        <v>Wrong product</v>
      </c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>
      <c r="A310" s="12">
        <f>IFERROR(__xludf.DUMMYFUNCTION("""COMPUTED_VALUE"""),2021.0)</f>
        <v>2021</v>
      </c>
      <c r="B310" s="12">
        <f>IFERROR(__xludf.DUMMYFUNCTION("""COMPUTED_VALUE"""),10.0)</f>
        <v>10</v>
      </c>
      <c r="C310" s="12">
        <f>IFERROR(__xludf.DUMMYFUNCTION("""COMPUTED_VALUE"""),7.0)</f>
        <v>7</v>
      </c>
      <c r="D310" s="12">
        <f>IFERROR(__xludf.DUMMYFUNCTION("""COMPUTED_VALUE"""),1003457.0)</f>
        <v>1003457</v>
      </c>
      <c r="E310" s="12">
        <f>IFERROR(__xludf.DUMMYFUNCTION("""COMPUTED_VALUE"""),3.0)</f>
        <v>3</v>
      </c>
      <c r="F310" s="12">
        <f>IFERROR(__xludf.DUMMYFUNCTION("""COMPUTED_VALUE"""),0.0)</f>
        <v>0</v>
      </c>
      <c r="G310" s="12">
        <f>IFERROR(__xludf.DUMMYFUNCTION("""COMPUTED_VALUE"""),0.0)</f>
        <v>0</v>
      </c>
      <c r="H310" s="12" t="str">
        <f>IFERROR(__xludf.DUMMYFUNCTION("""COMPUTED_VALUE"""),"Return")</f>
        <v>Return</v>
      </c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>
      <c r="A311" s="12">
        <f>IFERROR(__xludf.DUMMYFUNCTION("""COMPUTED_VALUE"""),2021.0)</f>
        <v>2021</v>
      </c>
      <c r="B311" s="12">
        <f>IFERROR(__xludf.DUMMYFUNCTION("""COMPUTED_VALUE"""),10.0)</f>
        <v>10</v>
      </c>
      <c r="C311" s="12">
        <f>IFERROR(__xludf.DUMMYFUNCTION("""COMPUTED_VALUE"""),7.0)</f>
        <v>7</v>
      </c>
      <c r="D311" s="12">
        <f>IFERROR(__xludf.DUMMYFUNCTION("""COMPUTED_VALUE"""),1003285.0)</f>
        <v>1003285</v>
      </c>
      <c r="E311" s="12">
        <f>IFERROR(__xludf.DUMMYFUNCTION("""COMPUTED_VALUE"""),3.0)</f>
        <v>3</v>
      </c>
      <c r="F311" s="12">
        <f>IFERROR(__xludf.DUMMYFUNCTION("""COMPUTED_VALUE"""),0.94)</f>
        <v>0.94</v>
      </c>
      <c r="G311" s="12">
        <f>IFERROR(__xludf.DUMMYFUNCTION("""COMPUTED_VALUE"""),5.0)</f>
        <v>5</v>
      </c>
      <c r="H311" s="12" t="str">
        <f>IFERROR(__xludf.DUMMYFUNCTION("""COMPUTED_VALUE"""),"Return")</f>
        <v>Return</v>
      </c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>
      <c r="A312" s="12">
        <f>IFERROR(__xludf.DUMMYFUNCTION("""COMPUTED_VALUE"""),2021.0)</f>
        <v>2021</v>
      </c>
      <c r="B312" s="12">
        <f>IFERROR(__xludf.DUMMYFUNCTION("""COMPUTED_VALUE"""),10.0)</f>
        <v>10</v>
      </c>
      <c r="C312" s="12">
        <f>IFERROR(__xludf.DUMMYFUNCTION("""COMPUTED_VALUE"""),7.0)</f>
        <v>7</v>
      </c>
      <c r="D312" s="12">
        <f>IFERROR(__xludf.DUMMYFUNCTION("""COMPUTED_VALUE"""),1003840.0)</f>
        <v>1003840</v>
      </c>
      <c r="E312" s="12">
        <f>IFERROR(__xludf.DUMMYFUNCTION("""COMPUTED_VALUE"""),9.0)</f>
        <v>9</v>
      </c>
      <c r="F312" s="12">
        <f>IFERROR(__xludf.DUMMYFUNCTION("""COMPUTED_VALUE"""),0.0)</f>
        <v>0</v>
      </c>
      <c r="G312" s="12">
        <f>IFERROR(__xludf.DUMMYFUNCTION("""COMPUTED_VALUE"""),0.0)</f>
        <v>0</v>
      </c>
      <c r="H312" s="12" t="str">
        <f>IFERROR(__xludf.DUMMYFUNCTION("""COMPUTED_VALUE"""),"Wrong product")</f>
        <v>Wrong product</v>
      </c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>
      <c r="A313" s="12">
        <f>IFERROR(__xludf.DUMMYFUNCTION("""COMPUTED_VALUE"""),2021.0)</f>
        <v>2021</v>
      </c>
      <c r="B313" s="12">
        <f>IFERROR(__xludf.DUMMYFUNCTION("""COMPUTED_VALUE"""),10.0)</f>
        <v>10</v>
      </c>
      <c r="C313" s="12">
        <f>IFERROR(__xludf.DUMMYFUNCTION("""COMPUTED_VALUE"""),7.0)</f>
        <v>7</v>
      </c>
      <c r="D313" s="12">
        <f>IFERROR(__xludf.DUMMYFUNCTION("""COMPUTED_VALUE"""),1003635.0)</f>
        <v>1003635</v>
      </c>
      <c r="E313" s="12">
        <f>IFERROR(__xludf.DUMMYFUNCTION("""COMPUTED_VALUE"""),2.0)</f>
        <v>2</v>
      </c>
      <c r="F313" s="12">
        <f>IFERROR(__xludf.DUMMYFUNCTION("""COMPUTED_VALUE"""),5.75)</f>
        <v>5.75</v>
      </c>
      <c r="G313" s="12">
        <f>IFERROR(__xludf.DUMMYFUNCTION("""COMPUTED_VALUE"""),0.0)</f>
        <v>0</v>
      </c>
      <c r="H313" s="12" t="str">
        <f>IFERROR(__xludf.DUMMYFUNCTION("""COMPUTED_VALUE"""),"Return")</f>
        <v>Return</v>
      </c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>
      <c r="A314" s="12">
        <f>IFERROR(__xludf.DUMMYFUNCTION("""COMPUTED_VALUE"""),2021.0)</f>
        <v>2021</v>
      </c>
      <c r="B314" s="12">
        <f>IFERROR(__xludf.DUMMYFUNCTION("""COMPUTED_VALUE"""),10.0)</f>
        <v>10</v>
      </c>
      <c r="C314" s="12">
        <f>IFERROR(__xludf.DUMMYFUNCTION("""COMPUTED_VALUE"""),7.0)</f>
        <v>7</v>
      </c>
      <c r="D314" s="12">
        <f>IFERROR(__xludf.DUMMYFUNCTION("""COMPUTED_VALUE"""),1003640.0)</f>
        <v>1003640</v>
      </c>
      <c r="E314" s="12">
        <f>IFERROR(__xludf.DUMMYFUNCTION("""COMPUTED_VALUE"""),1.0)</f>
        <v>1</v>
      </c>
      <c r="F314" s="12">
        <f>IFERROR(__xludf.DUMMYFUNCTION("""COMPUTED_VALUE"""),0.0)</f>
        <v>0</v>
      </c>
      <c r="G314" s="12">
        <f>IFERROR(__xludf.DUMMYFUNCTION("""COMPUTED_VALUE"""),0.0)</f>
        <v>0</v>
      </c>
      <c r="H314" s="12" t="str">
        <f>IFERROR(__xludf.DUMMYFUNCTION("""COMPUTED_VALUE"""),"Damage")</f>
        <v>Damage</v>
      </c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>
      <c r="A315" s="12">
        <f>IFERROR(__xludf.DUMMYFUNCTION("""COMPUTED_VALUE"""),2021.0)</f>
        <v>2021</v>
      </c>
      <c r="B315" s="12">
        <f>IFERROR(__xludf.DUMMYFUNCTION("""COMPUTED_VALUE"""),10.0)</f>
        <v>10</v>
      </c>
      <c r="C315" s="12">
        <f>IFERROR(__xludf.DUMMYFUNCTION("""COMPUTED_VALUE"""),7.0)</f>
        <v>7</v>
      </c>
      <c r="D315" s="12">
        <f>IFERROR(__xludf.DUMMYFUNCTION("""COMPUTED_VALUE"""),1003755.0)</f>
        <v>1003755</v>
      </c>
      <c r="E315" s="12">
        <f>IFERROR(__xludf.DUMMYFUNCTION("""COMPUTED_VALUE"""),1.0)</f>
        <v>1</v>
      </c>
      <c r="F315" s="12">
        <f>IFERROR(__xludf.DUMMYFUNCTION("""COMPUTED_VALUE"""),0.0)</f>
        <v>0</v>
      </c>
      <c r="G315" s="12">
        <f>IFERROR(__xludf.DUMMYFUNCTION("""COMPUTED_VALUE"""),0.0)</f>
        <v>0</v>
      </c>
      <c r="H315" s="12" t="str">
        <f>IFERROR(__xludf.DUMMYFUNCTION("""COMPUTED_VALUE"""),"Return")</f>
        <v>Return</v>
      </c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>
      <c r="A316" s="12">
        <f>IFERROR(__xludf.DUMMYFUNCTION("""COMPUTED_VALUE"""),2021.0)</f>
        <v>2021</v>
      </c>
      <c r="B316" s="12">
        <f>IFERROR(__xludf.DUMMYFUNCTION("""COMPUTED_VALUE"""),10.0)</f>
        <v>10</v>
      </c>
      <c r="C316" s="12">
        <f>IFERROR(__xludf.DUMMYFUNCTION("""COMPUTED_VALUE"""),7.0)</f>
        <v>7</v>
      </c>
      <c r="D316" s="12">
        <f>IFERROR(__xludf.DUMMYFUNCTION("""COMPUTED_VALUE"""),1003682.0)</f>
        <v>1003682</v>
      </c>
      <c r="E316" s="12">
        <f>IFERROR(__xludf.DUMMYFUNCTION("""COMPUTED_VALUE"""),1.0)</f>
        <v>1</v>
      </c>
      <c r="F316" s="12">
        <f>IFERROR(__xludf.DUMMYFUNCTION("""COMPUTED_VALUE"""),0.0)</f>
        <v>0</v>
      </c>
      <c r="G316" s="12">
        <f>IFERROR(__xludf.DUMMYFUNCTION("""COMPUTED_VALUE"""),0.0)</f>
        <v>0</v>
      </c>
      <c r="H316" s="12" t="str">
        <f>IFERROR(__xludf.DUMMYFUNCTION("""COMPUTED_VALUE"""),"Damage")</f>
        <v>Damage</v>
      </c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>
      <c r="A317" s="12">
        <f>IFERROR(__xludf.DUMMYFUNCTION("""COMPUTED_VALUE"""),2021.0)</f>
        <v>2021</v>
      </c>
      <c r="B317" s="12">
        <f>IFERROR(__xludf.DUMMYFUNCTION("""COMPUTED_VALUE"""),10.0)</f>
        <v>10</v>
      </c>
      <c r="C317" s="12">
        <f>IFERROR(__xludf.DUMMYFUNCTION("""COMPUTED_VALUE"""),7.0)</f>
        <v>7</v>
      </c>
      <c r="D317" s="12">
        <f>IFERROR(__xludf.DUMMYFUNCTION("""COMPUTED_VALUE"""),1003838.0)</f>
        <v>1003838</v>
      </c>
      <c r="E317" s="12">
        <f>IFERROR(__xludf.DUMMYFUNCTION("""COMPUTED_VALUE"""),1.0)</f>
        <v>1</v>
      </c>
      <c r="F317" s="12">
        <f>IFERROR(__xludf.DUMMYFUNCTION("""COMPUTED_VALUE"""),0.0)</f>
        <v>0</v>
      </c>
      <c r="G317" s="12">
        <f>IFERROR(__xludf.DUMMYFUNCTION("""COMPUTED_VALUE"""),0.0)</f>
        <v>0</v>
      </c>
      <c r="H317" s="12" t="str">
        <f>IFERROR(__xludf.DUMMYFUNCTION("""COMPUTED_VALUE"""),"Return")</f>
        <v>Return</v>
      </c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>
      <c r="A318" s="12">
        <f>IFERROR(__xludf.DUMMYFUNCTION("""COMPUTED_VALUE"""),2021.0)</f>
        <v>2021</v>
      </c>
      <c r="B318" s="12">
        <f>IFERROR(__xludf.DUMMYFUNCTION("""COMPUTED_VALUE"""),10.0)</f>
        <v>10</v>
      </c>
      <c r="C318" s="12">
        <f>IFERROR(__xludf.DUMMYFUNCTION("""COMPUTED_VALUE"""),7.0)</f>
        <v>7</v>
      </c>
      <c r="D318" s="12">
        <f>IFERROR(__xludf.DUMMYFUNCTION("""COMPUTED_VALUE"""),1003309.0)</f>
        <v>1003309</v>
      </c>
      <c r="E318" s="12">
        <f>IFERROR(__xludf.DUMMYFUNCTION("""COMPUTED_VALUE"""),1.0)</f>
        <v>1</v>
      </c>
      <c r="F318" s="12">
        <f>IFERROR(__xludf.DUMMYFUNCTION("""COMPUTED_VALUE"""),0.0)</f>
        <v>0</v>
      </c>
      <c r="G318" s="12">
        <f>IFERROR(__xludf.DUMMYFUNCTION("""COMPUTED_VALUE"""),5.0)</f>
        <v>5</v>
      </c>
      <c r="H318" s="12" t="str">
        <f>IFERROR(__xludf.DUMMYFUNCTION("""COMPUTED_VALUE"""),"Return")</f>
        <v>Return</v>
      </c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>
      <c r="A319" s="12">
        <f>IFERROR(__xludf.DUMMYFUNCTION("""COMPUTED_VALUE"""),2021.0)</f>
        <v>2021</v>
      </c>
      <c r="B319" s="12">
        <f>IFERROR(__xludf.DUMMYFUNCTION("""COMPUTED_VALUE"""),10.0)</f>
        <v>10</v>
      </c>
      <c r="C319" s="12">
        <f>IFERROR(__xludf.DUMMYFUNCTION("""COMPUTED_VALUE"""),7.0)</f>
        <v>7</v>
      </c>
      <c r="D319" s="12">
        <f>IFERROR(__xludf.DUMMYFUNCTION("""COMPUTED_VALUE"""),1003379.0)</f>
        <v>1003379</v>
      </c>
      <c r="E319" s="12">
        <f>IFERROR(__xludf.DUMMYFUNCTION("""COMPUTED_VALUE"""),1.0)</f>
        <v>1</v>
      </c>
      <c r="F319" s="12">
        <f>IFERROR(__xludf.DUMMYFUNCTION("""COMPUTED_VALUE"""),6.08)</f>
        <v>6.08</v>
      </c>
      <c r="G319" s="12">
        <f>IFERROR(__xludf.DUMMYFUNCTION("""COMPUTED_VALUE"""),0.0)</f>
        <v>0</v>
      </c>
      <c r="H319" s="12" t="str">
        <f>IFERROR(__xludf.DUMMYFUNCTION("""COMPUTED_VALUE"""),"Return")</f>
        <v>Return</v>
      </c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>
      <c r="A320" s="12">
        <f>IFERROR(__xludf.DUMMYFUNCTION("""COMPUTED_VALUE"""),2021.0)</f>
        <v>2021</v>
      </c>
      <c r="B320" s="12">
        <f>IFERROR(__xludf.DUMMYFUNCTION("""COMPUTED_VALUE"""),10.0)</f>
        <v>10</v>
      </c>
      <c r="C320" s="12">
        <f>IFERROR(__xludf.DUMMYFUNCTION("""COMPUTED_VALUE"""),7.0)</f>
        <v>7</v>
      </c>
      <c r="D320" s="12">
        <f>IFERROR(__xludf.DUMMYFUNCTION("""COMPUTED_VALUE"""),1003512.0)</f>
        <v>1003512</v>
      </c>
      <c r="E320" s="12">
        <f>IFERROR(__xludf.DUMMYFUNCTION("""COMPUTED_VALUE"""),3.0)</f>
        <v>3</v>
      </c>
      <c r="F320" s="12">
        <f>IFERROR(__xludf.DUMMYFUNCTION("""COMPUTED_VALUE"""),0.0)</f>
        <v>0</v>
      </c>
      <c r="G320" s="12">
        <f>IFERROR(__xludf.DUMMYFUNCTION("""COMPUTED_VALUE"""),0.0)</f>
        <v>0</v>
      </c>
      <c r="H320" s="12" t="str">
        <f>IFERROR(__xludf.DUMMYFUNCTION("""COMPUTED_VALUE"""),"Damage")</f>
        <v>Damage</v>
      </c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>
      <c r="A321" s="12">
        <f>IFERROR(__xludf.DUMMYFUNCTION("""COMPUTED_VALUE"""),2021.0)</f>
        <v>2021</v>
      </c>
      <c r="B321" s="12">
        <f>IFERROR(__xludf.DUMMYFUNCTION("""COMPUTED_VALUE"""),10.0)</f>
        <v>10</v>
      </c>
      <c r="C321" s="12">
        <f>IFERROR(__xludf.DUMMYFUNCTION("""COMPUTED_VALUE"""),7.0)</f>
        <v>7</v>
      </c>
      <c r="D321" s="12">
        <f>IFERROR(__xludf.DUMMYFUNCTION("""COMPUTED_VALUE"""),1003549.0)</f>
        <v>1003549</v>
      </c>
      <c r="E321" s="12">
        <f>IFERROR(__xludf.DUMMYFUNCTION("""COMPUTED_VALUE"""),2.0)</f>
        <v>2</v>
      </c>
      <c r="F321" s="12">
        <f>IFERROR(__xludf.DUMMYFUNCTION("""COMPUTED_VALUE"""),0.0)</f>
        <v>0</v>
      </c>
      <c r="G321" s="12">
        <f>IFERROR(__xludf.DUMMYFUNCTION("""COMPUTED_VALUE"""),8.0)</f>
        <v>8</v>
      </c>
      <c r="H321" s="12" t="str">
        <f>IFERROR(__xludf.DUMMYFUNCTION("""COMPUTED_VALUE"""),"Return")</f>
        <v>Return</v>
      </c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>
      <c r="A322" s="12">
        <f>IFERROR(__xludf.DUMMYFUNCTION("""COMPUTED_VALUE"""),2021.0)</f>
        <v>2021</v>
      </c>
      <c r="B322" s="12">
        <f>IFERROR(__xludf.DUMMYFUNCTION("""COMPUTED_VALUE"""),10.0)</f>
        <v>10</v>
      </c>
      <c r="C322" s="12">
        <f>IFERROR(__xludf.DUMMYFUNCTION("""COMPUTED_VALUE"""),7.0)</f>
        <v>7</v>
      </c>
      <c r="D322" s="12">
        <f>IFERROR(__xludf.DUMMYFUNCTION("""COMPUTED_VALUE"""),1003793.0)</f>
        <v>1003793</v>
      </c>
      <c r="E322" s="12">
        <f>IFERROR(__xludf.DUMMYFUNCTION("""COMPUTED_VALUE"""),8.0)</f>
        <v>8</v>
      </c>
      <c r="F322" s="12">
        <f>IFERROR(__xludf.DUMMYFUNCTION("""COMPUTED_VALUE"""),0.0)</f>
        <v>0</v>
      </c>
      <c r="G322" s="12">
        <f>IFERROR(__xludf.DUMMYFUNCTION("""COMPUTED_VALUE"""),7.0)</f>
        <v>7</v>
      </c>
      <c r="H322" s="12" t="str">
        <f>IFERROR(__xludf.DUMMYFUNCTION("""COMPUTED_VALUE"""),"Return")</f>
        <v>Return</v>
      </c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>
      <c r="A323" s="12">
        <f>IFERROR(__xludf.DUMMYFUNCTION("""COMPUTED_VALUE"""),2021.0)</f>
        <v>2021</v>
      </c>
      <c r="B323" s="12">
        <f>IFERROR(__xludf.DUMMYFUNCTION("""COMPUTED_VALUE"""),10.0)</f>
        <v>10</v>
      </c>
      <c r="C323" s="12">
        <f>IFERROR(__xludf.DUMMYFUNCTION("""COMPUTED_VALUE"""),7.0)</f>
        <v>7</v>
      </c>
      <c r="D323" s="12">
        <f>IFERROR(__xludf.DUMMYFUNCTION("""COMPUTED_VALUE"""),1003305.0)</f>
        <v>1003305</v>
      </c>
      <c r="E323" s="12">
        <f>IFERROR(__xludf.DUMMYFUNCTION("""COMPUTED_VALUE"""),10.0)</f>
        <v>10</v>
      </c>
      <c r="F323" s="12">
        <f>IFERROR(__xludf.DUMMYFUNCTION("""COMPUTED_VALUE"""),0.0)</f>
        <v>0</v>
      </c>
      <c r="G323" s="12">
        <f>IFERROR(__xludf.DUMMYFUNCTION("""COMPUTED_VALUE"""),0.0)</f>
        <v>0</v>
      </c>
      <c r="H323" s="12" t="str">
        <f>IFERROR(__xludf.DUMMYFUNCTION("""COMPUTED_VALUE"""),"Wrong product")</f>
        <v>Wrong product</v>
      </c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>
      <c r="A324" s="12">
        <f>IFERROR(__xludf.DUMMYFUNCTION("""COMPUTED_VALUE"""),2021.0)</f>
        <v>2021</v>
      </c>
      <c r="B324" s="12">
        <f>IFERROR(__xludf.DUMMYFUNCTION("""COMPUTED_VALUE"""),10.0)</f>
        <v>10</v>
      </c>
      <c r="C324" s="12">
        <f>IFERROR(__xludf.DUMMYFUNCTION("""COMPUTED_VALUE"""),7.0)</f>
        <v>7</v>
      </c>
      <c r="D324" s="12">
        <f>IFERROR(__xludf.DUMMYFUNCTION("""COMPUTED_VALUE"""),1003772.0)</f>
        <v>1003772</v>
      </c>
      <c r="E324" s="12">
        <f>IFERROR(__xludf.DUMMYFUNCTION("""COMPUTED_VALUE"""),1.0)</f>
        <v>1</v>
      </c>
      <c r="F324" s="12">
        <f>IFERROR(__xludf.DUMMYFUNCTION("""COMPUTED_VALUE"""),0.0)</f>
        <v>0</v>
      </c>
      <c r="G324" s="12">
        <f>IFERROR(__xludf.DUMMYFUNCTION("""COMPUTED_VALUE"""),0.0)</f>
        <v>0</v>
      </c>
      <c r="H324" s="12" t="str">
        <f>IFERROR(__xludf.DUMMYFUNCTION("""COMPUTED_VALUE"""),"Damage")</f>
        <v>Damage</v>
      </c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>
      <c r="A325" s="12">
        <f>IFERROR(__xludf.DUMMYFUNCTION("""COMPUTED_VALUE"""),2021.0)</f>
        <v>2021</v>
      </c>
      <c r="B325" s="12">
        <f>IFERROR(__xludf.DUMMYFUNCTION("""COMPUTED_VALUE"""),10.0)</f>
        <v>10</v>
      </c>
      <c r="C325" s="12">
        <f>IFERROR(__xludf.DUMMYFUNCTION("""COMPUTED_VALUE"""),7.0)</f>
        <v>7</v>
      </c>
      <c r="D325" s="12">
        <f>IFERROR(__xludf.DUMMYFUNCTION("""COMPUTED_VALUE"""),1003879.0)</f>
        <v>1003879</v>
      </c>
      <c r="E325" s="12">
        <f>IFERROR(__xludf.DUMMYFUNCTION("""COMPUTED_VALUE"""),2.0)</f>
        <v>2</v>
      </c>
      <c r="F325" s="12">
        <f>IFERROR(__xludf.DUMMYFUNCTION("""COMPUTED_VALUE"""),0.0)</f>
        <v>0</v>
      </c>
      <c r="G325" s="12">
        <f>IFERROR(__xludf.DUMMYFUNCTION("""COMPUTED_VALUE"""),10.0)</f>
        <v>10</v>
      </c>
      <c r="H325" s="12" t="str">
        <f>IFERROR(__xludf.DUMMYFUNCTION("""COMPUTED_VALUE"""),"Return")</f>
        <v>Return</v>
      </c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>
      <c r="A326" s="12">
        <f>IFERROR(__xludf.DUMMYFUNCTION("""COMPUTED_VALUE"""),2021.0)</f>
        <v>2021</v>
      </c>
      <c r="B326" s="12">
        <f>IFERROR(__xludf.DUMMYFUNCTION("""COMPUTED_VALUE"""),10.0)</f>
        <v>10</v>
      </c>
      <c r="C326" s="12">
        <f>IFERROR(__xludf.DUMMYFUNCTION("""COMPUTED_VALUE"""),7.0)</f>
        <v>7</v>
      </c>
      <c r="D326" s="12">
        <f>IFERROR(__xludf.DUMMYFUNCTION("""COMPUTED_VALUE"""),1003496.0)</f>
        <v>1003496</v>
      </c>
      <c r="E326" s="12">
        <f>IFERROR(__xludf.DUMMYFUNCTION("""COMPUTED_VALUE"""),2.0)</f>
        <v>2</v>
      </c>
      <c r="F326" s="12">
        <f>IFERROR(__xludf.DUMMYFUNCTION("""COMPUTED_VALUE"""),0.0)</f>
        <v>0</v>
      </c>
      <c r="G326" s="12">
        <f>IFERROR(__xludf.DUMMYFUNCTION("""COMPUTED_VALUE"""),0.0)</f>
        <v>0</v>
      </c>
      <c r="H326" s="12" t="str">
        <f>IFERROR(__xludf.DUMMYFUNCTION("""COMPUTED_VALUE"""),"Damage")</f>
        <v>Damage</v>
      </c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>
      <c r="A327" s="12">
        <f>IFERROR(__xludf.DUMMYFUNCTION("""COMPUTED_VALUE"""),2021.0)</f>
        <v>2021</v>
      </c>
      <c r="B327" s="12">
        <f>IFERROR(__xludf.DUMMYFUNCTION("""COMPUTED_VALUE"""),10.0)</f>
        <v>10</v>
      </c>
      <c r="C327" s="12">
        <f>IFERROR(__xludf.DUMMYFUNCTION("""COMPUTED_VALUE"""),8.0)</f>
        <v>8</v>
      </c>
      <c r="D327" s="12">
        <f>IFERROR(__xludf.DUMMYFUNCTION("""COMPUTED_VALUE"""),1003580.0)</f>
        <v>1003580</v>
      </c>
      <c r="E327" s="12">
        <f>IFERROR(__xludf.DUMMYFUNCTION("""COMPUTED_VALUE"""),4.0)</f>
        <v>4</v>
      </c>
      <c r="F327" s="12">
        <f>IFERROR(__xludf.DUMMYFUNCTION("""COMPUTED_VALUE"""),0.0)</f>
        <v>0</v>
      </c>
      <c r="G327" s="12">
        <f>IFERROR(__xludf.DUMMYFUNCTION("""COMPUTED_VALUE"""),10.0)</f>
        <v>10</v>
      </c>
      <c r="H327" s="12" t="str">
        <f>IFERROR(__xludf.DUMMYFUNCTION("""COMPUTED_VALUE"""),"Return")</f>
        <v>Return</v>
      </c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>
      <c r="A328" s="12">
        <f>IFERROR(__xludf.DUMMYFUNCTION("""COMPUTED_VALUE"""),2021.0)</f>
        <v>2021</v>
      </c>
      <c r="B328" s="12">
        <f>IFERROR(__xludf.DUMMYFUNCTION("""COMPUTED_VALUE"""),10.0)</f>
        <v>10</v>
      </c>
      <c r="C328" s="12">
        <f>IFERROR(__xludf.DUMMYFUNCTION("""COMPUTED_VALUE"""),8.0)</f>
        <v>8</v>
      </c>
      <c r="D328" s="12">
        <f>IFERROR(__xludf.DUMMYFUNCTION("""COMPUTED_VALUE"""),1003339.0)</f>
        <v>1003339</v>
      </c>
      <c r="E328" s="13">
        <f>IFERROR(__xludf.DUMMYFUNCTION("""COMPUTED_VALUE"""),0.7147263327122729)</f>
        <v>0.7147263327</v>
      </c>
      <c r="F328" s="12">
        <f>IFERROR(__xludf.DUMMYFUNCTION("""COMPUTED_VALUE"""),0.0)</f>
        <v>0</v>
      </c>
      <c r="G328" s="12">
        <f>IFERROR(__xludf.DUMMYFUNCTION("""COMPUTED_VALUE"""),0.0)</f>
        <v>0</v>
      </c>
      <c r="H328" s="12" t="str">
        <f>IFERROR(__xludf.DUMMYFUNCTION("""COMPUTED_VALUE"""),"Return")</f>
        <v>Return</v>
      </c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>
      <c r="A329" s="12">
        <f>IFERROR(__xludf.DUMMYFUNCTION("""COMPUTED_VALUE"""),2021.0)</f>
        <v>2021</v>
      </c>
      <c r="B329" s="12">
        <f>IFERROR(__xludf.DUMMYFUNCTION("""COMPUTED_VALUE"""),10.0)</f>
        <v>10</v>
      </c>
      <c r="C329" s="12">
        <f>IFERROR(__xludf.DUMMYFUNCTION("""COMPUTED_VALUE"""),8.0)</f>
        <v>8</v>
      </c>
      <c r="D329" s="12">
        <f>IFERROR(__xludf.DUMMYFUNCTION("""COMPUTED_VALUE"""),1003590.0)</f>
        <v>1003590</v>
      </c>
      <c r="E329" s="12">
        <f>IFERROR(__xludf.DUMMYFUNCTION("""COMPUTED_VALUE"""),6.0)</f>
        <v>6</v>
      </c>
      <c r="F329" s="12">
        <f>IFERROR(__xludf.DUMMYFUNCTION("""COMPUTED_VALUE"""),0.0)</f>
        <v>0</v>
      </c>
      <c r="G329" s="12">
        <f>IFERROR(__xludf.DUMMYFUNCTION("""COMPUTED_VALUE"""),0.0)</f>
        <v>0</v>
      </c>
      <c r="H329" s="12" t="str">
        <f>IFERROR(__xludf.DUMMYFUNCTION("""COMPUTED_VALUE"""),"Return")</f>
        <v>Return</v>
      </c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>
      <c r="A330" s="12">
        <f>IFERROR(__xludf.DUMMYFUNCTION("""COMPUTED_VALUE"""),2021.0)</f>
        <v>2021</v>
      </c>
      <c r="B330" s="12">
        <f>IFERROR(__xludf.DUMMYFUNCTION("""COMPUTED_VALUE"""),10.0)</f>
        <v>10</v>
      </c>
      <c r="C330" s="12">
        <f>IFERROR(__xludf.DUMMYFUNCTION("""COMPUTED_VALUE"""),8.0)</f>
        <v>8</v>
      </c>
      <c r="D330" s="12">
        <f>IFERROR(__xludf.DUMMYFUNCTION("""COMPUTED_VALUE"""),1003909.0)</f>
        <v>1003909</v>
      </c>
      <c r="E330" s="12">
        <f>IFERROR(__xludf.DUMMYFUNCTION("""COMPUTED_VALUE"""),2.0)</f>
        <v>2</v>
      </c>
      <c r="F330" s="12">
        <f>IFERROR(__xludf.DUMMYFUNCTION("""COMPUTED_VALUE"""),0.0)</f>
        <v>0</v>
      </c>
      <c r="G330" s="12">
        <f>IFERROR(__xludf.DUMMYFUNCTION("""COMPUTED_VALUE"""),0.0)</f>
        <v>0</v>
      </c>
      <c r="H330" s="12" t="str">
        <f>IFERROR(__xludf.DUMMYFUNCTION("""COMPUTED_VALUE"""),"Return")</f>
        <v>Return</v>
      </c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>
      <c r="A331" s="12">
        <f>IFERROR(__xludf.DUMMYFUNCTION("""COMPUTED_VALUE"""),2021.0)</f>
        <v>2021</v>
      </c>
      <c r="B331" s="12">
        <f>IFERROR(__xludf.DUMMYFUNCTION("""COMPUTED_VALUE"""),10.0)</f>
        <v>10</v>
      </c>
      <c r="C331" s="12">
        <f>IFERROR(__xludf.DUMMYFUNCTION("""COMPUTED_VALUE"""),8.0)</f>
        <v>8</v>
      </c>
      <c r="D331" s="12">
        <f>IFERROR(__xludf.DUMMYFUNCTION("""COMPUTED_VALUE"""),1003471.0)</f>
        <v>1003471</v>
      </c>
      <c r="E331" s="12">
        <f>IFERROR(__xludf.DUMMYFUNCTION("""COMPUTED_VALUE"""),6.0)</f>
        <v>6</v>
      </c>
      <c r="F331" s="12">
        <f>IFERROR(__xludf.DUMMYFUNCTION("""COMPUTED_VALUE"""),0.0)</f>
        <v>0</v>
      </c>
      <c r="G331" s="12">
        <f>IFERROR(__xludf.DUMMYFUNCTION("""COMPUTED_VALUE"""),0.0)</f>
        <v>0</v>
      </c>
      <c r="H331" s="12" t="str">
        <f>IFERROR(__xludf.DUMMYFUNCTION("""COMPUTED_VALUE"""),"Return")</f>
        <v>Return</v>
      </c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>
      <c r="A332" s="12">
        <f>IFERROR(__xludf.DUMMYFUNCTION("""COMPUTED_VALUE"""),2021.0)</f>
        <v>2021</v>
      </c>
      <c r="B332" s="12">
        <f>IFERROR(__xludf.DUMMYFUNCTION("""COMPUTED_VALUE"""),10.0)</f>
        <v>10</v>
      </c>
      <c r="C332" s="12">
        <f>IFERROR(__xludf.DUMMYFUNCTION("""COMPUTED_VALUE"""),8.0)</f>
        <v>8</v>
      </c>
      <c r="D332" s="12">
        <f>IFERROR(__xludf.DUMMYFUNCTION("""COMPUTED_VALUE"""),1003727.0)</f>
        <v>1003727</v>
      </c>
      <c r="E332" s="12">
        <f>IFERROR(__xludf.DUMMYFUNCTION("""COMPUTED_VALUE"""),1.0)</f>
        <v>1</v>
      </c>
      <c r="F332" s="12">
        <f>IFERROR(__xludf.DUMMYFUNCTION("""COMPUTED_VALUE"""),0.86)</f>
        <v>0.86</v>
      </c>
      <c r="G332" s="12">
        <f>IFERROR(__xludf.DUMMYFUNCTION("""COMPUTED_VALUE"""),0.0)</f>
        <v>0</v>
      </c>
      <c r="H332" s="12" t="str">
        <f>IFERROR(__xludf.DUMMYFUNCTION("""COMPUTED_VALUE"""),"Return")</f>
        <v>Return</v>
      </c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>
      <c r="A333" s="12">
        <f>IFERROR(__xludf.DUMMYFUNCTION("""COMPUTED_VALUE"""),2021.0)</f>
        <v>2021</v>
      </c>
      <c r="B333" s="12">
        <f>IFERROR(__xludf.DUMMYFUNCTION("""COMPUTED_VALUE"""),10.0)</f>
        <v>10</v>
      </c>
      <c r="C333" s="12">
        <f>IFERROR(__xludf.DUMMYFUNCTION("""COMPUTED_VALUE"""),8.0)</f>
        <v>8</v>
      </c>
      <c r="D333" s="12">
        <f>IFERROR(__xludf.DUMMYFUNCTION("""COMPUTED_VALUE"""),1003469.0)</f>
        <v>1003469</v>
      </c>
      <c r="E333" s="12">
        <f>IFERROR(__xludf.DUMMYFUNCTION("""COMPUTED_VALUE"""),1.0)</f>
        <v>1</v>
      </c>
      <c r="F333" s="12">
        <f>IFERROR(__xludf.DUMMYFUNCTION("""COMPUTED_VALUE"""),0.95)</f>
        <v>0.95</v>
      </c>
      <c r="G333" s="12">
        <f>IFERROR(__xludf.DUMMYFUNCTION("""COMPUTED_VALUE"""),0.0)</f>
        <v>0</v>
      </c>
      <c r="H333" s="12" t="str">
        <f>IFERROR(__xludf.DUMMYFUNCTION("""COMPUTED_VALUE"""),"Wrong product")</f>
        <v>Wrong product</v>
      </c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>
      <c r="A334" s="12">
        <f>IFERROR(__xludf.DUMMYFUNCTION("""COMPUTED_VALUE"""),2021.0)</f>
        <v>2021</v>
      </c>
      <c r="B334" s="12">
        <f>IFERROR(__xludf.DUMMYFUNCTION("""COMPUTED_VALUE"""),10.0)</f>
        <v>10</v>
      </c>
      <c r="C334" s="12">
        <f>IFERROR(__xludf.DUMMYFUNCTION("""COMPUTED_VALUE"""),8.0)</f>
        <v>8</v>
      </c>
      <c r="D334" s="12">
        <f>IFERROR(__xludf.DUMMYFUNCTION("""COMPUTED_VALUE"""),1003927.0)</f>
        <v>1003927</v>
      </c>
      <c r="E334" s="12">
        <f>IFERROR(__xludf.DUMMYFUNCTION("""COMPUTED_VALUE"""),3.0)</f>
        <v>3</v>
      </c>
      <c r="F334" s="12">
        <f>IFERROR(__xludf.DUMMYFUNCTION("""COMPUTED_VALUE"""),0.0)</f>
        <v>0</v>
      </c>
      <c r="G334" s="12">
        <f>IFERROR(__xludf.DUMMYFUNCTION("""COMPUTED_VALUE"""),0.0)</f>
        <v>0</v>
      </c>
      <c r="H334" s="12" t="str">
        <f>IFERROR(__xludf.DUMMYFUNCTION("""COMPUTED_VALUE"""),"Return")</f>
        <v>Return</v>
      </c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>
      <c r="A335" s="12">
        <f>IFERROR(__xludf.DUMMYFUNCTION("""COMPUTED_VALUE"""),2021.0)</f>
        <v>2021</v>
      </c>
      <c r="B335" s="12">
        <f>IFERROR(__xludf.DUMMYFUNCTION("""COMPUTED_VALUE"""),10.0)</f>
        <v>10</v>
      </c>
      <c r="C335" s="12">
        <f>IFERROR(__xludf.DUMMYFUNCTION("""COMPUTED_VALUE"""),8.0)</f>
        <v>8</v>
      </c>
      <c r="D335" s="12">
        <f>IFERROR(__xludf.DUMMYFUNCTION("""COMPUTED_VALUE"""),1003865.0)</f>
        <v>1003865</v>
      </c>
      <c r="E335" s="12">
        <f>IFERROR(__xludf.DUMMYFUNCTION("""COMPUTED_VALUE"""),2.0)</f>
        <v>2</v>
      </c>
      <c r="F335" s="12">
        <f>IFERROR(__xludf.DUMMYFUNCTION("""COMPUTED_VALUE"""),0.0)</f>
        <v>0</v>
      </c>
      <c r="G335" s="12">
        <f>IFERROR(__xludf.DUMMYFUNCTION("""COMPUTED_VALUE"""),0.0)</f>
        <v>0</v>
      </c>
      <c r="H335" s="12" t="str">
        <f>IFERROR(__xludf.DUMMYFUNCTION("""COMPUTED_VALUE"""),"Return")</f>
        <v>Return</v>
      </c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>
      <c r="A336" s="12">
        <f>IFERROR(__xludf.DUMMYFUNCTION("""COMPUTED_VALUE"""),2021.0)</f>
        <v>2021</v>
      </c>
      <c r="B336" s="12">
        <f>IFERROR(__xludf.DUMMYFUNCTION("""COMPUTED_VALUE"""),10.0)</f>
        <v>10</v>
      </c>
      <c r="C336" s="12">
        <f>IFERROR(__xludf.DUMMYFUNCTION("""COMPUTED_VALUE"""),8.0)</f>
        <v>8</v>
      </c>
      <c r="D336" s="12">
        <f>IFERROR(__xludf.DUMMYFUNCTION("""COMPUTED_VALUE"""),1003554.0)</f>
        <v>1003554</v>
      </c>
      <c r="E336" s="13">
        <f>IFERROR(__xludf.DUMMYFUNCTION("""COMPUTED_VALUE"""),0.340939151429405)</f>
        <v>0.3409391514</v>
      </c>
      <c r="F336" s="12">
        <f>IFERROR(__xludf.DUMMYFUNCTION("""COMPUTED_VALUE"""),0.0)</f>
        <v>0</v>
      </c>
      <c r="G336" s="12">
        <f>IFERROR(__xludf.DUMMYFUNCTION("""COMPUTED_VALUE"""),0.0)</f>
        <v>0</v>
      </c>
      <c r="H336" s="12" t="str">
        <f>IFERROR(__xludf.DUMMYFUNCTION("""COMPUTED_VALUE"""),"Return")</f>
        <v>Return</v>
      </c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>
      <c r="A337" s="12">
        <f>IFERROR(__xludf.DUMMYFUNCTION("""COMPUTED_VALUE"""),2021.0)</f>
        <v>2021</v>
      </c>
      <c r="B337" s="12">
        <f>IFERROR(__xludf.DUMMYFUNCTION("""COMPUTED_VALUE"""),10.0)</f>
        <v>10</v>
      </c>
      <c r="C337" s="12">
        <f>IFERROR(__xludf.DUMMYFUNCTION("""COMPUTED_VALUE"""),8.0)</f>
        <v>8</v>
      </c>
      <c r="D337" s="12">
        <f>IFERROR(__xludf.DUMMYFUNCTION("""COMPUTED_VALUE"""),1003809.0)</f>
        <v>1003809</v>
      </c>
      <c r="E337" s="12">
        <f>IFERROR(__xludf.DUMMYFUNCTION("""COMPUTED_VALUE"""),1.0)</f>
        <v>1</v>
      </c>
      <c r="F337" s="12">
        <f>IFERROR(__xludf.DUMMYFUNCTION("""COMPUTED_VALUE"""),0.0)</f>
        <v>0</v>
      </c>
      <c r="G337" s="12">
        <f>IFERROR(__xludf.DUMMYFUNCTION("""COMPUTED_VALUE"""),7.0)</f>
        <v>7</v>
      </c>
      <c r="H337" s="12" t="str">
        <f>IFERROR(__xludf.DUMMYFUNCTION("""COMPUTED_VALUE"""),"Return")</f>
        <v>Return</v>
      </c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>
      <c r="A338" s="12">
        <f>IFERROR(__xludf.DUMMYFUNCTION("""COMPUTED_VALUE"""),2021.0)</f>
        <v>2021</v>
      </c>
      <c r="B338" s="12">
        <f>IFERROR(__xludf.DUMMYFUNCTION("""COMPUTED_VALUE"""),10.0)</f>
        <v>10</v>
      </c>
      <c r="C338" s="12">
        <f>IFERROR(__xludf.DUMMYFUNCTION("""COMPUTED_VALUE"""),8.0)</f>
        <v>8</v>
      </c>
      <c r="D338" s="12">
        <f>IFERROR(__xludf.DUMMYFUNCTION("""COMPUTED_VALUE"""),1003744.0)</f>
        <v>1003744</v>
      </c>
      <c r="E338" s="12">
        <f>IFERROR(__xludf.DUMMYFUNCTION("""COMPUTED_VALUE"""),16.0)</f>
        <v>16</v>
      </c>
      <c r="F338" s="12">
        <f>IFERROR(__xludf.DUMMYFUNCTION("""COMPUTED_VALUE"""),0.0)</f>
        <v>0</v>
      </c>
      <c r="G338" s="12">
        <f>IFERROR(__xludf.DUMMYFUNCTION("""COMPUTED_VALUE"""),8.0)</f>
        <v>8</v>
      </c>
      <c r="H338" s="12" t="str">
        <f>IFERROR(__xludf.DUMMYFUNCTION("""COMPUTED_VALUE"""),"Return")</f>
        <v>Return</v>
      </c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>
      <c r="A339" s="12">
        <f>IFERROR(__xludf.DUMMYFUNCTION("""COMPUTED_VALUE"""),2021.0)</f>
        <v>2021</v>
      </c>
      <c r="B339" s="12">
        <f>IFERROR(__xludf.DUMMYFUNCTION("""COMPUTED_VALUE"""),10.0)</f>
        <v>10</v>
      </c>
      <c r="C339" s="12">
        <f>IFERROR(__xludf.DUMMYFUNCTION("""COMPUTED_VALUE"""),8.0)</f>
        <v>8</v>
      </c>
      <c r="D339" s="12">
        <f>IFERROR(__xludf.DUMMYFUNCTION("""COMPUTED_VALUE"""),1003910.0)</f>
        <v>1003910</v>
      </c>
      <c r="E339" s="12">
        <f>IFERROR(__xludf.DUMMYFUNCTION("""COMPUTED_VALUE"""),1.0)</f>
        <v>1</v>
      </c>
      <c r="F339" s="12">
        <f>IFERROR(__xludf.DUMMYFUNCTION("""COMPUTED_VALUE"""),0.0)</f>
        <v>0</v>
      </c>
      <c r="G339" s="12">
        <f>IFERROR(__xludf.DUMMYFUNCTION("""COMPUTED_VALUE"""),0.0)</f>
        <v>0</v>
      </c>
      <c r="H339" s="12" t="str">
        <f>IFERROR(__xludf.DUMMYFUNCTION("""COMPUTED_VALUE"""),"Damage")</f>
        <v>Damage</v>
      </c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>
      <c r="A340" s="12">
        <f>IFERROR(__xludf.DUMMYFUNCTION("""COMPUTED_VALUE"""),2021.0)</f>
        <v>2021</v>
      </c>
      <c r="B340" s="12">
        <f>IFERROR(__xludf.DUMMYFUNCTION("""COMPUTED_VALUE"""),10.0)</f>
        <v>10</v>
      </c>
      <c r="C340" s="12">
        <f>IFERROR(__xludf.DUMMYFUNCTION("""COMPUTED_VALUE"""),8.0)</f>
        <v>8</v>
      </c>
      <c r="D340" s="12">
        <f>IFERROR(__xludf.DUMMYFUNCTION("""COMPUTED_VALUE"""),1003658.0)</f>
        <v>1003658</v>
      </c>
      <c r="E340" s="12">
        <f>IFERROR(__xludf.DUMMYFUNCTION("""COMPUTED_VALUE"""),1.0)</f>
        <v>1</v>
      </c>
      <c r="F340" s="12">
        <f>IFERROR(__xludf.DUMMYFUNCTION("""COMPUTED_VALUE"""),0.0)</f>
        <v>0</v>
      </c>
      <c r="G340" s="12">
        <f>IFERROR(__xludf.DUMMYFUNCTION("""COMPUTED_VALUE"""),0.0)</f>
        <v>0</v>
      </c>
      <c r="H340" s="12" t="str">
        <f>IFERROR(__xludf.DUMMYFUNCTION("""COMPUTED_VALUE"""),"Damage")</f>
        <v>Damage</v>
      </c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>
      <c r="A341" s="12">
        <f>IFERROR(__xludf.DUMMYFUNCTION("""COMPUTED_VALUE"""),2021.0)</f>
        <v>2021</v>
      </c>
      <c r="B341" s="12">
        <f>IFERROR(__xludf.DUMMYFUNCTION("""COMPUTED_VALUE"""),10.0)</f>
        <v>10</v>
      </c>
      <c r="C341" s="12">
        <f>IFERROR(__xludf.DUMMYFUNCTION("""COMPUTED_VALUE"""),8.0)</f>
        <v>8</v>
      </c>
      <c r="D341" s="12">
        <f>IFERROR(__xludf.DUMMYFUNCTION("""COMPUTED_VALUE"""),1003736.0)</f>
        <v>1003736</v>
      </c>
      <c r="E341" s="12">
        <f>IFERROR(__xludf.DUMMYFUNCTION("""COMPUTED_VALUE"""),4.0)</f>
        <v>4</v>
      </c>
      <c r="F341" s="12">
        <f>IFERROR(__xludf.DUMMYFUNCTION("""COMPUTED_VALUE"""),0.0)</f>
        <v>0</v>
      </c>
      <c r="G341" s="12">
        <f>IFERROR(__xludf.DUMMYFUNCTION("""COMPUTED_VALUE"""),0.0)</f>
        <v>0</v>
      </c>
      <c r="H341" s="12" t="str">
        <f>IFERROR(__xludf.DUMMYFUNCTION("""COMPUTED_VALUE"""),"Damage")</f>
        <v>Damage</v>
      </c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>
      <c r="A342" s="12">
        <f>IFERROR(__xludf.DUMMYFUNCTION("""COMPUTED_VALUE"""),2021.0)</f>
        <v>2021</v>
      </c>
      <c r="B342" s="12">
        <f>IFERROR(__xludf.DUMMYFUNCTION("""COMPUTED_VALUE"""),10.0)</f>
        <v>10</v>
      </c>
      <c r="C342" s="12">
        <f>IFERROR(__xludf.DUMMYFUNCTION("""COMPUTED_VALUE"""),8.0)</f>
        <v>8</v>
      </c>
      <c r="D342" s="12">
        <f>IFERROR(__xludf.DUMMYFUNCTION("""COMPUTED_VALUE"""),1003882.0)</f>
        <v>1003882</v>
      </c>
      <c r="E342" s="12">
        <f>IFERROR(__xludf.DUMMYFUNCTION("""COMPUTED_VALUE"""),8.0)</f>
        <v>8</v>
      </c>
      <c r="F342" s="12">
        <f>IFERROR(__xludf.DUMMYFUNCTION("""COMPUTED_VALUE"""),0.0)</f>
        <v>0</v>
      </c>
      <c r="G342" s="12">
        <f>IFERROR(__xludf.DUMMYFUNCTION("""COMPUTED_VALUE"""),10.0)</f>
        <v>10</v>
      </c>
      <c r="H342" s="12" t="str">
        <f>IFERROR(__xludf.DUMMYFUNCTION("""COMPUTED_VALUE"""),"Return")</f>
        <v>Return</v>
      </c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>
      <c r="A343" s="12">
        <f>IFERROR(__xludf.DUMMYFUNCTION("""COMPUTED_VALUE"""),2021.0)</f>
        <v>2021</v>
      </c>
      <c r="B343" s="12">
        <f>IFERROR(__xludf.DUMMYFUNCTION("""COMPUTED_VALUE"""),10.0)</f>
        <v>10</v>
      </c>
      <c r="C343" s="12">
        <f>IFERROR(__xludf.DUMMYFUNCTION("""COMPUTED_VALUE"""),8.0)</f>
        <v>8</v>
      </c>
      <c r="D343" s="12">
        <f>IFERROR(__xludf.DUMMYFUNCTION("""COMPUTED_VALUE"""),1003711.0)</f>
        <v>1003711</v>
      </c>
      <c r="E343" s="12">
        <f>IFERROR(__xludf.DUMMYFUNCTION("""COMPUTED_VALUE"""),3.0)</f>
        <v>3</v>
      </c>
      <c r="F343" s="12">
        <f>IFERROR(__xludf.DUMMYFUNCTION("""COMPUTED_VALUE"""),7.36)</f>
        <v>7.36</v>
      </c>
      <c r="G343" s="12">
        <f>IFERROR(__xludf.DUMMYFUNCTION("""COMPUTED_VALUE"""),0.0)</f>
        <v>0</v>
      </c>
      <c r="H343" s="12" t="str">
        <f>IFERROR(__xludf.DUMMYFUNCTION("""COMPUTED_VALUE"""),"Return")</f>
        <v>Return</v>
      </c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>
      <c r="A344" s="12">
        <f>IFERROR(__xludf.DUMMYFUNCTION("""COMPUTED_VALUE"""),2021.0)</f>
        <v>2021</v>
      </c>
      <c r="B344" s="12">
        <f>IFERROR(__xludf.DUMMYFUNCTION("""COMPUTED_VALUE"""),10.0)</f>
        <v>10</v>
      </c>
      <c r="C344" s="12">
        <f>IFERROR(__xludf.DUMMYFUNCTION("""COMPUTED_VALUE"""),8.0)</f>
        <v>8</v>
      </c>
      <c r="D344" s="12">
        <f>IFERROR(__xludf.DUMMYFUNCTION("""COMPUTED_VALUE"""),1003832.0)</f>
        <v>1003832</v>
      </c>
      <c r="E344" s="12">
        <f>IFERROR(__xludf.DUMMYFUNCTION("""COMPUTED_VALUE"""),1.0)</f>
        <v>1</v>
      </c>
      <c r="F344" s="12">
        <f>IFERROR(__xludf.DUMMYFUNCTION("""COMPUTED_VALUE"""),0.0)</f>
        <v>0</v>
      </c>
      <c r="G344" s="12">
        <f>IFERROR(__xludf.DUMMYFUNCTION("""COMPUTED_VALUE"""),0.0)</f>
        <v>0</v>
      </c>
      <c r="H344" s="12" t="str">
        <f>IFERROR(__xludf.DUMMYFUNCTION("""COMPUTED_VALUE"""),"Return")</f>
        <v>Return</v>
      </c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>
      <c r="A345" s="12">
        <f>IFERROR(__xludf.DUMMYFUNCTION("""COMPUTED_VALUE"""),2021.0)</f>
        <v>2021</v>
      </c>
      <c r="B345" s="12">
        <f>IFERROR(__xludf.DUMMYFUNCTION("""COMPUTED_VALUE"""),10.0)</f>
        <v>10</v>
      </c>
      <c r="C345" s="12">
        <f>IFERROR(__xludf.DUMMYFUNCTION("""COMPUTED_VALUE"""),8.0)</f>
        <v>8</v>
      </c>
      <c r="D345" s="12">
        <f>IFERROR(__xludf.DUMMYFUNCTION("""COMPUTED_VALUE"""),1003850.0)</f>
        <v>1003850</v>
      </c>
      <c r="E345" s="12">
        <f>IFERROR(__xludf.DUMMYFUNCTION("""COMPUTED_VALUE"""),15.0)</f>
        <v>15</v>
      </c>
      <c r="F345" s="12">
        <f>IFERROR(__xludf.DUMMYFUNCTION("""COMPUTED_VALUE"""),0.0)</f>
        <v>0</v>
      </c>
      <c r="G345" s="12">
        <f>IFERROR(__xludf.DUMMYFUNCTION("""COMPUTED_VALUE"""),5.0)</f>
        <v>5</v>
      </c>
      <c r="H345" s="12" t="str">
        <f>IFERROR(__xludf.DUMMYFUNCTION("""COMPUTED_VALUE"""),"Return")</f>
        <v>Return</v>
      </c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>
      <c r="A346" s="12">
        <f>IFERROR(__xludf.DUMMYFUNCTION("""COMPUTED_VALUE"""),2021.0)</f>
        <v>2021</v>
      </c>
      <c r="B346" s="12">
        <f>IFERROR(__xludf.DUMMYFUNCTION("""COMPUTED_VALUE"""),10.0)</f>
        <v>10</v>
      </c>
      <c r="C346" s="12">
        <f>IFERROR(__xludf.DUMMYFUNCTION("""COMPUTED_VALUE"""),8.0)</f>
        <v>8</v>
      </c>
      <c r="D346" s="12">
        <f>IFERROR(__xludf.DUMMYFUNCTION("""COMPUTED_VALUE"""),1003765.0)</f>
        <v>1003765</v>
      </c>
      <c r="E346" s="12">
        <f>IFERROR(__xludf.DUMMYFUNCTION("""COMPUTED_VALUE"""),12.0)</f>
        <v>12</v>
      </c>
      <c r="F346" s="12">
        <f>IFERROR(__xludf.DUMMYFUNCTION("""COMPUTED_VALUE"""),0.0)</f>
        <v>0</v>
      </c>
      <c r="G346" s="12">
        <f>IFERROR(__xludf.DUMMYFUNCTION("""COMPUTED_VALUE"""),0.0)</f>
        <v>0</v>
      </c>
      <c r="H346" s="12" t="str">
        <f>IFERROR(__xludf.DUMMYFUNCTION("""COMPUTED_VALUE"""),"Wrong product")</f>
        <v>Wrong product</v>
      </c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>
      <c r="A347" s="12">
        <f>IFERROR(__xludf.DUMMYFUNCTION("""COMPUTED_VALUE"""),2021.0)</f>
        <v>2021</v>
      </c>
      <c r="B347" s="12">
        <f>IFERROR(__xludf.DUMMYFUNCTION("""COMPUTED_VALUE"""),10.0)</f>
        <v>10</v>
      </c>
      <c r="C347" s="12">
        <f>IFERROR(__xludf.DUMMYFUNCTION("""COMPUTED_VALUE"""),8.0)</f>
        <v>8</v>
      </c>
      <c r="D347" s="12">
        <f>IFERROR(__xludf.DUMMYFUNCTION("""COMPUTED_VALUE"""),1003693.0)</f>
        <v>1003693</v>
      </c>
      <c r="E347" s="12">
        <f>IFERROR(__xludf.DUMMYFUNCTION("""COMPUTED_VALUE"""),7.0)</f>
        <v>7</v>
      </c>
      <c r="F347" s="12">
        <f>IFERROR(__xludf.DUMMYFUNCTION("""COMPUTED_VALUE"""),3.7)</f>
        <v>3.7</v>
      </c>
      <c r="G347" s="12">
        <f>IFERROR(__xludf.DUMMYFUNCTION("""COMPUTED_VALUE"""),0.0)</f>
        <v>0</v>
      </c>
      <c r="H347" s="12" t="str">
        <f>IFERROR(__xludf.DUMMYFUNCTION("""COMPUTED_VALUE"""),"Return")</f>
        <v>Return</v>
      </c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>
      <c r="A348" s="12">
        <f>IFERROR(__xludf.DUMMYFUNCTION("""COMPUTED_VALUE"""),2021.0)</f>
        <v>2021</v>
      </c>
      <c r="B348" s="12">
        <f>IFERROR(__xludf.DUMMYFUNCTION("""COMPUTED_VALUE"""),10.0)</f>
        <v>10</v>
      </c>
      <c r="C348" s="12">
        <f>IFERROR(__xludf.DUMMYFUNCTION("""COMPUTED_VALUE"""),8.0)</f>
        <v>8</v>
      </c>
      <c r="D348" s="12">
        <f>IFERROR(__xludf.DUMMYFUNCTION("""COMPUTED_VALUE"""),1003859.0)</f>
        <v>1003859</v>
      </c>
      <c r="E348" s="12">
        <f>IFERROR(__xludf.DUMMYFUNCTION("""COMPUTED_VALUE"""),2.0)</f>
        <v>2</v>
      </c>
      <c r="F348" s="12">
        <f>IFERROR(__xludf.DUMMYFUNCTION("""COMPUTED_VALUE"""),0.0)</f>
        <v>0</v>
      </c>
      <c r="G348" s="12">
        <f>IFERROR(__xludf.DUMMYFUNCTION("""COMPUTED_VALUE"""),0.0)</f>
        <v>0</v>
      </c>
      <c r="H348" s="12" t="str">
        <f>IFERROR(__xludf.DUMMYFUNCTION("""COMPUTED_VALUE"""),"Damage")</f>
        <v>Damage</v>
      </c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>
      <c r="A349" s="12">
        <f>IFERROR(__xludf.DUMMYFUNCTION("""COMPUTED_VALUE"""),2021.0)</f>
        <v>2021</v>
      </c>
      <c r="B349" s="12">
        <f>IFERROR(__xludf.DUMMYFUNCTION("""COMPUTED_VALUE"""),10.0)</f>
        <v>10</v>
      </c>
      <c r="C349" s="12">
        <f>IFERROR(__xludf.DUMMYFUNCTION("""COMPUTED_VALUE"""),8.0)</f>
        <v>8</v>
      </c>
      <c r="D349" s="12">
        <f>IFERROR(__xludf.DUMMYFUNCTION("""COMPUTED_VALUE"""),1003592.0)</f>
        <v>1003592</v>
      </c>
      <c r="E349" s="12">
        <f>IFERROR(__xludf.DUMMYFUNCTION("""COMPUTED_VALUE"""),1.0)</f>
        <v>1</v>
      </c>
      <c r="F349" s="12">
        <f>IFERROR(__xludf.DUMMYFUNCTION("""COMPUTED_VALUE"""),0.0)</f>
        <v>0</v>
      </c>
      <c r="G349" s="12">
        <f>IFERROR(__xludf.DUMMYFUNCTION("""COMPUTED_VALUE"""),0.0)</f>
        <v>0</v>
      </c>
      <c r="H349" s="12" t="str">
        <f>IFERROR(__xludf.DUMMYFUNCTION("""COMPUTED_VALUE"""),"Damage")</f>
        <v>Damage</v>
      </c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>
      <c r="A350" s="12">
        <f>IFERROR(__xludf.DUMMYFUNCTION("""COMPUTED_VALUE"""),2021.0)</f>
        <v>2021</v>
      </c>
      <c r="B350" s="12">
        <f>IFERROR(__xludf.DUMMYFUNCTION("""COMPUTED_VALUE"""),10.0)</f>
        <v>10</v>
      </c>
      <c r="C350" s="12">
        <f>IFERROR(__xludf.DUMMYFUNCTION("""COMPUTED_VALUE"""),8.0)</f>
        <v>8</v>
      </c>
      <c r="D350" s="12">
        <f>IFERROR(__xludf.DUMMYFUNCTION("""COMPUTED_VALUE"""),1003361.0)</f>
        <v>1003361</v>
      </c>
      <c r="E350" s="12">
        <f>IFERROR(__xludf.DUMMYFUNCTION("""COMPUTED_VALUE"""),1.0)</f>
        <v>1</v>
      </c>
      <c r="F350" s="12">
        <f>IFERROR(__xludf.DUMMYFUNCTION("""COMPUTED_VALUE"""),0.0)</f>
        <v>0</v>
      </c>
      <c r="G350" s="12">
        <f>IFERROR(__xludf.DUMMYFUNCTION("""COMPUTED_VALUE"""),6.0)</f>
        <v>6</v>
      </c>
      <c r="H350" s="12" t="str">
        <f>IFERROR(__xludf.DUMMYFUNCTION("""COMPUTED_VALUE"""),"Return")</f>
        <v>Return</v>
      </c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>
      <c r="A351" s="12">
        <f>IFERROR(__xludf.DUMMYFUNCTION("""COMPUTED_VALUE"""),2021.0)</f>
        <v>2021</v>
      </c>
      <c r="B351" s="12">
        <f>IFERROR(__xludf.DUMMYFUNCTION("""COMPUTED_VALUE"""),10.0)</f>
        <v>10</v>
      </c>
      <c r="C351" s="12">
        <f>IFERROR(__xludf.DUMMYFUNCTION("""COMPUTED_VALUE"""),8.0)</f>
        <v>8</v>
      </c>
      <c r="D351" s="12">
        <f>IFERROR(__xludf.DUMMYFUNCTION("""COMPUTED_VALUE"""),1004006.0)</f>
        <v>1004006</v>
      </c>
      <c r="E351" s="12">
        <f>IFERROR(__xludf.DUMMYFUNCTION("""COMPUTED_VALUE"""),8.0)</f>
        <v>8</v>
      </c>
      <c r="F351" s="12">
        <f>IFERROR(__xludf.DUMMYFUNCTION("""COMPUTED_VALUE"""),5.75)</f>
        <v>5.75</v>
      </c>
      <c r="G351" s="12">
        <f>IFERROR(__xludf.DUMMYFUNCTION("""COMPUTED_VALUE"""),6.0)</f>
        <v>6</v>
      </c>
      <c r="H351" s="12" t="str">
        <f>IFERROR(__xludf.DUMMYFUNCTION("""COMPUTED_VALUE"""),"Damage")</f>
        <v>Damage</v>
      </c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>
      <c r="A352" s="12">
        <f>IFERROR(__xludf.DUMMYFUNCTION("""COMPUTED_VALUE"""),2021.0)</f>
        <v>2021</v>
      </c>
      <c r="B352" s="12">
        <f>IFERROR(__xludf.DUMMYFUNCTION("""COMPUTED_VALUE"""),10.0)</f>
        <v>10</v>
      </c>
      <c r="C352" s="12">
        <f>IFERROR(__xludf.DUMMYFUNCTION("""COMPUTED_VALUE"""),8.0)</f>
        <v>8</v>
      </c>
      <c r="D352" s="12">
        <f>IFERROR(__xludf.DUMMYFUNCTION("""COMPUTED_VALUE"""),1003483.0)</f>
        <v>1003483</v>
      </c>
      <c r="E352" s="12">
        <f>IFERROR(__xludf.DUMMYFUNCTION("""COMPUTED_VALUE"""),1.0)</f>
        <v>1</v>
      </c>
      <c r="F352" s="12">
        <f>IFERROR(__xludf.DUMMYFUNCTION("""COMPUTED_VALUE"""),0.0)</f>
        <v>0</v>
      </c>
      <c r="G352" s="12">
        <f>IFERROR(__xludf.DUMMYFUNCTION("""COMPUTED_VALUE"""),0.0)</f>
        <v>0</v>
      </c>
      <c r="H352" s="12" t="str">
        <f>IFERROR(__xludf.DUMMYFUNCTION("""COMPUTED_VALUE"""),"Damage")</f>
        <v>Damage</v>
      </c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>
      <c r="A353" s="12">
        <f>IFERROR(__xludf.DUMMYFUNCTION("""COMPUTED_VALUE"""),2021.0)</f>
        <v>2021</v>
      </c>
      <c r="B353" s="12">
        <f>IFERROR(__xludf.DUMMYFUNCTION("""COMPUTED_VALUE"""),10.0)</f>
        <v>10</v>
      </c>
      <c r="C353" s="12">
        <f>IFERROR(__xludf.DUMMYFUNCTION("""COMPUTED_VALUE"""),8.0)</f>
        <v>8</v>
      </c>
      <c r="D353" s="12">
        <f>IFERROR(__xludf.DUMMYFUNCTION("""COMPUTED_VALUE"""),1003525.0)</f>
        <v>1003525</v>
      </c>
      <c r="E353" s="12">
        <f>IFERROR(__xludf.DUMMYFUNCTION("""COMPUTED_VALUE"""),2.0)</f>
        <v>2</v>
      </c>
      <c r="F353" s="12">
        <f>IFERROR(__xludf.DUMMYFUNCTION("""COMPUTED_VALUE"""),0.0)</f>
        <v>0</v>
      </c>
      <c r="G353" s="12">
        <f>IFERROR(__xludf.DUMMYFUNCTION("""COMPUTED_VALUE"""),0.0)</f>
        <v>0</v>
      </c>
      <c r="H353" s="12" t="str">
        <f>IFERROR(__xludf.DUMMYFUNCTION("""COMPUTED_VALUE"""),"Damage")</f>
        <v>Damage</v>
      </c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>
      <c r="A354" s="12">
        <f>IFERROR(__xludf.DUMMYFUNCTION("""COMPUTED_VALUE"""),2021.0)</f>
        <v>2021</v>
      </c>
      <c r="B354" s="12">
        <f>IFERROR(__xludf.DUMMYFUNCTION("""COMPUTED_VALUE"""),10.0)</f>
        <v>10</v>
      </c>
      <c r="C354" s="12">
        <f>IFERROR(__xludf.DUMMYFUNCTION("""COMPUTED_VALUE"""),8.0)</f>
        <v>8</v>
      </c>
      <c r="D354" s="12">
        <f>IFERROR(__xludf.DUMMYFUNCTION("""COMPUTED_VALUE"""),1003579.0)</f>
        <v>1003579</v>
      </c>
      <c r="E354" s="12">
        <f>IFERROR(__xludf.DUMMYFUNCTION("""COMPUTED_VALUE"""),6.0)</f>
        <v>6</v>
      </c>
      <c r="F354" s="12">
        <f>IFERROR(__xludf.DUMMYFUNCTION("""COMPUTED_VALUE"""),0.0)</f>
        <v>0</v>
      </c>
      <c r="G354" s="12">
        <f>IFERROR(__xludf.DUMMYFUNCTION("""COMPUTED_VALUE"""),10.0)</f>
        <v>10</v>
      </c>
      <c r="H354" s="12" t="str">
        <f>IFERROR(__xludf.DUMMYFUNCTION("""COMPUTED_VALUE"""),"Return")</f>
        <v>Return</v>
      </c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>
      <c r="A355" s="12">
        <f>IFERROR(__xludf.DUMMYFUNCTION("""COMPUTED_VALUE"""),2021.0)</f>
        <v>2021</v>
      </c>
      <c r="B355" s="12">
        <f>IFERROR(__xludf.DUMMYFUNCTION("""COMPUTED_VALUE"""),10.0)</f>
        <v>10</v>
      </c>
      <c r="C355" s="12">
        <f>IFERROR(__xludf.DUMMYFUNCTION("""COMPUTED_VALUE"""),8.0)</f>
        <v>8</v>
      </c>
      <c r="D355" s="12">
        <f>IFERROR(__xludf.DUMMYFUNCTION("""COMPUTED_VALUE"""),1003345.0)</f>
        <v>1003345</v>
      </c>
      <c r="E355" s="12">
        <f>IFERROR(__xludf.DUMMYFUNCTION("""COMPUTED_VALUE"""),1.0)</f>
        <v>1</v>
      </c>
      <c r="F355" s="12">
        <f>IFERROR(__xludf.DUMMYFUNCTION("""COMPUTED_VALUE"""),0.0)</f>
        <v>0</v>
      </c>
      <c r="G355" s="12">
        <f>IFERROR(__xludf.DUMMYFUNCTION("""COMPUTED_VALUE"""),0.0)</f>
        <v>0</v>
      </c>
      <c r="H355" s="12" t="str">
        <f>IFERROR(__xludf.DUMMYFUNCTION("""COMPUTED_VALUE"""),"Wrong product")</f>
        <v>Wrong product</v>
      </c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>
      <c r="A356" s="12">
        <f>IFERROR(__xludf.DUMMYFUNCTION("""COMPUTED_VALUE"""),2021.0)</f>
        <v>2021</v>
      </c>
      <c r="B356" s="12">
        <f>IFERROR(__xludf.DUMMYFUNCTION("""COMPUTED_VALUE"""),10.0)</f>
        <v>10</v>
      </c>
      <c r="C356" s="12">
        <f>IFERROR(__xludf.DUMMYFUNCTION("""COMPUTED_VALUE"""),8.0)</f>
        <v>8</v>
      </c>
      <c r="D356" s="12">
        <f>IFERROR(__xludf.DUMMYFUNCTION("""COMPUTED_VALUE"""),1003399.0)</f>
        <v>1003399</v>
      </c>
      <c r="E356" s="12">
        <f>IFERROR(__xludf.DUMMYFUNCTION("""COMPUTED_VALUE"""),2.0)</f>
        <v>2</v>
      </c>
      <c r="F356" s="12">
        <f>IFERROR(__xludf.DUMMYFUNCTION("""COMPUTED_VALUE"""),0.0)</f>
        <v>0</v>
      </c>
      <c r="G356" s="12">
        <f>IFERROR(__xludf.DUMMYFUNCTION("""COMPUTED_VALUE"""),0.0)</f>
        <v>0</v>
      </c>
      <c r="H356" s="12" t="str">
        <f>IFERROR(__xludf.DUMMYFUNCTION("""COMPUTED_VALUE"""),"Damage")</f>
        <v>Damage</v>
      </c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>
      <c r="A357" s="12">
        <f>IFERROR(__xludf.DUMMYFUNCTION("""COMPUTED_VALUE"""),2021.0)</f>
        <v>2021</v>
      </c>
      <c r="B357" s="12">
        <f>IFERROR(__xludf.DUMMYFUNCTION("""COMPUTED_VALUE"""),10.0)</f>
        <v>10</v>
      </c>
      <c r="C357" s="12">
        <f>IFERROR(__xludf.DUMMYFUNCTION("""COMPUTED_VALUE"""),8.0)</f>
        <v>8</v>
      </c>
      <c r="D357" s="12">
        <f>IFERROR(__xludf.DUMMYFUNCTION("""COMPUTED_VALUE"""),1003709.0)</f>
        <v>1003709</v>
      </c>
      <c r="E357" s="12">
        <f>IFERROR(__xludf.DUMMYFUNCTION("""COMPUTED_VALUE"""),6.0)</f>
        <v>6</v>
      </c>
      <c r="F357" s="12">
        <f>IFERROR(__xludf.DUMMYFUNCTION("""COMPUTED_VALUE"""),0.0)</f>
        <v>0</v>
      </c>
      <c r="G357" s="12">
        <f>IFERROR(__xludf.DUMMYFUNCTION("""COMPUTED_VALUE"""),0.0)</f>
        <v>0</v>
      </c>
      <c r="H357" s="12" t="str">
        <f>IFERROR(__xludf.DUMMYFUNCTION("""COMPUTED_VALUE"""),"Damage")</f>
        <v>Damage</v>
      </c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>
      <c r="A358" s="12">
        <f>IFERROR(__xludf.DUMMYFUNCTION("""COMPUTED_VALUE"""),2021.0)</f>
        <v>2021</v>
      </c>
      <c r="B358" s="12">
        <f>IFERROR(__xludf.DUMMYFUNCTION("""COMPUTED_VALUE"""),10.0)</f>
        <v>10</v>
      </c>
      <c r="C358" s="12">
        <f>IFERROR(__xludf.DUMMYFUNCTION("""COMPUTED_VALUE"""),8.0)</f>
        <v>8</v>
      </c>
      <c r="D358" s="12">
        <f>IFERROR(__xludf.DUMMYFUNCTION("""COMPUTED_VALUE"""),1003998.0)</f>
        <v>1003998</v>
      </c>
      <c r="E358" s="12">
        <f>IFERROR(__xludf.DUMMYFUNCTION("""COMPUTED_VALUE"""),1.0)</f>
        <v>1</v>
      </c>
      <c r="F358" s="12">
        <f>IFERROR(__xludf.DUMMYFUNCTION("""COMPUTED_VALUE"""),0.0)</f>
        <v>0</v>
      </c>
      <c r="G358" s="12">
        <f>IFERROR(__xludf.DUMMYFUNCTION("""COMPUTED_VALUE"""),0.0)</f>
        <v>0</v>
      </c>
      <c r="H358" s="12" t="str">
        <f>IFERROR(__xludf.DUMMYFUNCTION("""COMPUTED_VALUE"""),"Damage")</f>
        <v>Damage</v>
      </c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>
      <c r="A359" s="12">
        <f>IFERROR(__xludf.DUMMYFUNCTION("""COMPUTED_VALUE"""),2021.0)</f>
        <v>2021</v>
      </c>
      <c r="B359" s="12">
        <f>IFERROR(__xludf.DUMMYFUNCTION("""COMPUTED_VALUE"""),10.0)</f>
        <v>10</v>
      </c>
      <c r="C359" s="12">
        <f>IFERROR(__xludf.DUMMYFUNCTION("""COMPUTED_VALUE"""),8.0)</f>
        <v>8</v>
      </c>
      <c r="D359" s="12">
        <f>IFERROR(__xludf.DUMMYFUNCTION("""COMPUTED_VALUE"""),1003453.0)</f>
        <v>1003453</v>
      </c>
      <c r="E359" s="13">
        <f>IFERROR(__xludf.DUMMYFUNCTION("""COMPUTED_VALUE"""),0.5469894970880074)</f>
        <v>0.5469894971</v>
      </c>
      <c r="F359" s="12">
        <f>IFERROR(__xludf.DUMMYFUNCTION("""COMPUTED_VALUE"""),3.35)</f>
        <v>3.35</v>
      </c>
      <c r="G359" s="12">
        <f>IFERROR(__xludf.DUMMYFUNCTION("""COMPUTED_VALUE"""),0.0)</f>
        <v>0</v>
      </c>
      <c r="H359" s="12" t="str">
        <f>IFERROR(__xludf.DUMMYFUNCTION("""COMPUTED_VALUE"""),"Wrong product")</f>
        <v>Wrong product</v>
      </c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>
      <c r="A360" s="12">
        <f>IFERROR(__xludf.DUMMYFUNCTION("""COMPUTED_VALUE"""),2021.0)</f>
        <v>2021</v>
      </c>
      <c r="B360" s="12">
        <f>IFERROR(__xludf.DUMMYFUNCTION("""COMPUTED_VALUE"""),10.0)</f>
        <v>10</v>
      </c>
      <c r="C360" s="12">
        <f>IFERROR(__xludf.DUMMYFUNCTION("""COMPUTED_VALUE"""),8.0)</f>
        <v>8</v>
      </c>
      <c r="D360" s="12">
        <f>IFERROR(__xludf.DUMMYFUNCTION("""COMPUTED_VALUE"""),1003652.0)</f>
        <v>1003652</v>
      </c>
      <c r="E360" s="12">
        <f>IFERROR(__xludf.DUMMYFUNCTION("""COMPUTED_VALUE"""),2.0)</f>
        <v>2</v>
      </c>
      <c r="F360" s="12">
        <f>IFERROR(__xludf.DUMMYFUNCTION("""COMPUTED_VALUE"""),0.0)</f>
        <v>0</v>
      </c>
      <c r="G360" s="12">
        <f>IFERROR(__xludf.DUMMYFUNCTION("""COMPUTED_VALUE"""),0.0)</f>
        <v>0</v>
      </c>
      <c r="H360" s="12" t="str">
        <f>IFERROR(__xludf.DUMMYFUNCTION("""COMPUTED_VALUE"""),"Damage")</f>
        <v>Damage</v>
      </c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>
      <c r="A361" s="12">
        <f>IFERROR(__xludf.DUMMYFUNCTION("""COMPUTED_VALUE"""),2021.0)</f>
        <v>2021</v>
      </c>
      <c r="B361" s="12">
        <f>IFERROR(__xludf.DUMMYFUNCTION("""COMPUTED_VALUE"""),10.0)</f>
        <v>10</v>
      </c>
      <c r="C361" s="12">
        <f>IFERROR(__xludf.DUMMYFUNCTION("""COMPUTED_VALUE"""),8.0)</f>
        <v>8</v>
      </c>
      <c r="D361" s="12">
        <f>IFERROR(__xludf.DUMMYFUNCTION("""COMPUTED_VALUE"""),1003488.0)</f>
        <v>1003488</v>
      </c>
      <c r="E361" s="12">
        <f>IFERROR(__xludf.DUMMYFUNCTION("""COMPUTED_VALUE"""),3.0)</f>
        <v>3</v>
      </c>
      <c r="F361" s="12">
        <f>IFERROR(__xludf.DUMMYFUNCTION("""COMPUTED_VALUE"""),0.0)</f>
        <v>0</v>
      </c>
      <c r="G361" s="12">
        <f>IFERROR(__xludf.DUMMYFUNCTION("""COMPUTED_VALUE"""),0.0)</f>
        <v>0</v>
      </c>
      <c r="H361" s="12" t="str">
        <f>IFERROR(__xludf.DUMMYFUNCTION("""COMPUTED_VALUE"""),"Wrong product")</f>
        <v>Wrong product</v>
      </c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>
      <c r="A362" s="12">
        <f>IFERROR(__xludf.DUMMYFUNCTION("""COMPUTED_VALUE"""),2021.0)</f>
        <v>2021</v>
      </c>
      <c r="B362" s="12">
        <f>IFERROR(__xludf.DUMMYFUNCTION("""COMPUTED_VALUE"""),10.0)</f>
        <v>10</v>
      </c>
      <c r="C362" s="12">
        <f>IFERROR(__xludf.DUMMYFUNCTION("""COMPUTED_VALUE"""),8.0)</f>
        <v>8</v>
      </c>
      <c r="D362" s="12">
        <f>IFERROR(__xludf.DUMMYFUNCTION("""COMPUTED_VALUE"""),1003852.0)</f>
        <v>1003852</v>
      </c>
      <c r="E362" s="12">
        <f>IFERROR(__xludf.DUMMYFUNCTION("""COMPUTED_VALUE"""),14.0)</f>
        <v>14</v>
      </c>
      <c r="F362" s="12">
        <f>IFERROR(__xludf.DUMMYFUNCTION("""COMPUTED_VALUE"""),0.0)</f>
        <v>0</v>
      </c>
      <c r="G362" s="12">
        <f>IFERROR(__xludf.DUMMYFUNCTION("""COMPUTED_VALUE"""),0.0)</f>
        <v>0</v>
      </c>
      <c r="H362" s="12" t="str">
        <f>IFERROR(__xludf.DUMMYFUNCTION("""COMPUTED_VALUE"""),"Return")</f>
        <v>Return</v>
      </c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>
      <c r="A363" s="12">
        <f>IFERROR(__xludf.DUMMYFUNCTION("""COMPUTED_VALUE"""),2021.0)</f>
        <v>2021</v>
      </c>
      <c r="B363" s="12">
        <f>IFERROR(__xludf.DUMMYFUNCTION("""COMPUTED_VALUE"""),10.0)</f>
        <v>10</v>
      </c>
      <c r="C363" s="12">
        <f>IFERROR(__xludf.DUMMYFUNCTION("""COMPUTED_VALUE"""),8.0)</f>
        <v>8</v>
      </c>
      <c r="D363" s="12">
        <f>IFERROR(__xludf.DUMMYFUNCTION("""COMPUTED_VALUE"""),1003794.0)</f>
        <v>1003794</v>
      </c>
      <c r="E363" s="12">
        <f>IFERROR(__xludf.DUMMYFUNCTION("""COMPUTED_VALUE"""),6.0)</f>
        <v>6</v>
      </c>
      <c r="F363" s="12">
        <f>IFERROR(__xludf.DUMMYFUNCTION("""COMPUTED_VALUE"""),0.0)</f>
        <v>0</v>
      </c>
      <c r="G363" s="12">
        <f>IFERROR(__xludf.DUMMYFUNCTION("""COMPUTED_VALUE"""),0.0)</f>
        <v>0</v>
      </c>
      <c r="H363" s="12" t="str">
        <f>IFERROR(__xludf.DUMMYFUNCTION("""COMPUTED_VALUE"""),"Return")</f>
        <v>Return</v>
      </c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>
      <c r="A364" s="12">
        <f>IFERROR(__xludf.DUMMYFUNCTION("""COMPUTED_VALUE"""),2021.0)</f>
        <v>2021</v>
      </c>
      <c r="B364" s="12">
        <f>IFERROR(__xludf.DUMMYFUNCTION("""COMPUTED_VALUE"""),10.0)</f>
        <v>10</v>
      </c>
      <c r="C364" s="12">
        <f>IFERROR(__xludf.DUMMYFUNCTION("""COMPUTED_VALUE"""),8.0)</f>
        <v>8</v>
      </c>
      <c r="D364" s="12">
        <f>IFERROR(__xludf.DUMMYFUNCTION("""COMPUTED_VALUE"""),1003915.0)</f>
        <v>1003915</v>
      </c>
      <c r="E364" s="12">
        <f>IFERROR(__xludf.DUMMYFUNCTION("""COMPUTED_VALUE"""),4.0)</f>
        <v>4</v>
      </c>
      <c r="F364" s="12">
        <f>IFERROR(__xludf.DUMMYFUNCTION("""COMPUTED_VALUE"""),0.0)</f>
        <v>0</v>
      </c>
      <c r="G364" s="12">
        <f>IFERROR(__xludf.DUMMYFUNCTION("""COMPUTED_VALUE"""),0.0)</f>
        <v>0</v>
      </c>
      <c r="H364" s="12" t="str">
        <f>IFERROR(__xludf.DUMMYFUNCTION("""COMPUTED_VALUE"""),"Return")</f>
        <v>Return</v>
      </c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>
      <c r="A365" s="12">
        <f>IFERROR(__xludf.DUMMYFUNCTION("""COMPUTED_VALUE"""),2021.0)</f>
        <v>2021</v>
      </c>
      <c r="B365" s="12">
        <f>IFERROR(__xludf.DUMMYFUNCTION("""COMPUTED_VALUE"""),10.0)</f>
        <v>10</v>
      </c>
      <c r="C365" s="12">
        <f>IFERROR(__xludf.DUMMYFUNCTION("""COMPUTED_VALUE"""),8.0)</f>
        <v>8</v>
      </c>
      <c r="D365" s="12">
        <f>IFERROR(__xludf.DUMMYFUNCTION("""COMPUTED_VALUE"""),1003344.0)</f>
        <v>1003344</v>
      </c>
      <c r="E365" s="12">
        <f>IFERROR(__xludf.DUMMYFUNCTION("""COMPUTED_VALUE"""),1.0)</f>
        <v>1</v>
      </c>
      <c r="F365" s="12">
        <f>IFERROR(__xludf.DUMMYFUNCTION("""COMPUTED_VALUE"""),0.0)</f>
        <v>0</v>
      </c>
      <c r="G365" s="12">
        <f>IFERROR(__xludf.DUMMYFUNCTION("""COMPUTED_VALUE"""),5.0)</f>
        <v>5</v>
      </c>
      <c r="H365" s="12" t="str">
        <f>IFERROR(__xludf.DUMMYFUNCTION("""COMPUTED_VALUE"""),"Return")</f>
        <v>Return</v>
      </c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>
      <c r="A366" s="12">
        <f>IFERROR(__xludf.DUMMYFUNCTION("""COMPUTED_VALUE"""),2021.0)</f>
        <v>2021</v>
      </c>
      <c r="B366" s="12">
        <f>IFERROR(__xludf.DUMMYFUNCTION("""COMPUTED_VALUE"""),10.0)</f>
        <v>10</v>
      </c>
      <c r="C366" s="12">
        <f>IFERROR(__xludf.DUMMYFUNCTION("""COMPUTED_VALUE"""),8.0)</f>
        <v>8</v>
      </c>
      <c r="D366" s="12">
        <f>IFERROR(__xludf.DUMMYFUNCTION("""COMPUTED_VALUE"""),1003816.0)</f>
        <v>1003816</v>
      </c>
      <c r="E366" s="12">
        <f>IFERROR(__xludf.DUMMYFUNCTION("""COMPUTED_VALUE"""),4.0)</f>
        <v>4</v>
      </c>
      <c r="F366" s="12">
        <f>IFERROR(__xludf.DUMMYFUNCTION("""COMPUTED_VALUE"""),0.0)</f>
        <v>0</v>
      </c>
      <c r="G366" s="12">
        <f>IFERROR(__xludf.DUMMYFUNCTION("""COMPUTED_VALUE"""),0.0)</f>
        <v>0</v>
      </c>
      <c r="H366" s="12" t="str">
        <f>IFERROR(__xludf.DUMMYFUNCTION("""COMPUTED_VALUE"""),"Wrong product")</f>
        <v>Wrong product</v>
      </c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>
      <c r="A367" s="12">
        <f>IFERROR(__xludf.DUMMYFUNCTION("""COMPUTED_VALUE"""),2021.0)</f>
        <v>2021</v>
      </c>
      <c r="B367" s="12">
        <f>IFERROR(__xludf.DUMMYFUNCTION("""COMPUTED_VALUE"""),10.0)</f>
        <v>10</v>
      </c>
      <c r="C367" s="12">
        <f>IFERROR(__xludf.DUMMYFUNCTION("""COMPUTED_VALUE"""),8.0)</f>
        <v>8</v>
      </c>
      <c r="D367" s="12">
        <f>IFERROR(__xludf.DUMMYFUNCTION("""COMPUTED_VALUE"""),1003398.0)</f>
        <v>1003398</v>
      </c>
      <c r="E367" s="12">
        <f>IFERROR(__xludf.DUMMYFUNCTION("""COMPUTED_VALUE"""),5.0)</f>
        <v>5</v>
      </c>
      <c r="F367" s="12">
        <f>IFERROR(__xludf.DUMMYFUNCTION("""COMPUTED_VALUE"""),0.0)</f>
        <v>0</v>
      </c>
      <c r="G367" s="12">
        <f>IFERROR(__xludf.DUMMYFUNCTION("""COMPUTED_VALUE"""),0.0)</f>
        <v>0</v>
      </c>
      <c r="H367" s="12" t="str">
        <f>IFERROR(__xludf.DUMMYFUNCTION("""COMPUTED_VALUE"""),"Return")</f>
        <v>Return</v>
      </c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>
      <c r="A368" s="12">
        <f>IFERROR(__xludf.DUMMYFUNCTION("""COMPUTED_VALUE"""),2021.0)</f>
        <v>2021</v>
      </c>
      <c r="B368" s="12">
        <f>IFERROR(__xludf.DUMMYFUNCTION("""COMPUTED_VALUE"""),10.0)</f>
        <v>10</v>
      </c>
      <c r="C368" s="12">
        <f>IFERROR(__xludf.DUMMYFUNCTION("""COMPUTED_VALUE"""),8.0)</f>
        <v>8</v>
      </c>
      <c r="D368" s="12">
        <f>IFERROR(__xludf.DUMMYFUNCTION("""COMPUTED_VALUE"""),1003896.0)</f>
        <v>1003896</v>
      </c>
      <c r="E368" s="12">
        <f>IFERROR(__xludf.DUMMYFUNCTION("""COMPUTED_VALUE"""),1.0)</f>
        <v>1</v>
      </c>
      <c r="F368" s="12">
        <f>IFERROR(__xludf.DUMMYFUNCTION("""COMPUTED_VALUE"""),0.0)</f>
        <v>0</v>
      </c>
      <c r="G368" s="12">
        <f>IFERROR(__xludf.DUMMYFUNCTION("""COMPUTED_VALUE"""),0.0)</f>
        <v>0</v>
      </c>
      <c r="H368" s="12" t="str">
        <f>IFERROR(__xludf.DUMMYFUNCTION("""COMPUTED_VALUE"""),"Wrong product")</f>
        <v>Wrong product</v>
      </c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>
      <c r="A369" s="12">
        <f>IFERROR(__xludf.DUMMYFUNCTION("""COMPUTED_VALUE"""),2021.0)</f>
        <v>2021</v>
      </c>
      <c r="B369" s="12">
        <f>IFERROR(__xludf.DUMMYFUNCTION("""COMPUTED_VALUE"""),10.0)</f>
        <v>10</v>
      </c>
      <c r="C369" s="12">
        <f>IFERROR(__xludf.DUMMYFUNCTION("""COMPUTED_VALUE"""),8.0)</f>
        <v>8</v>
      </c>
      <c r="D369" s="12">
        <f>IFERROR(__xludf.DUMMYFUNCTION("""COMPUTED_VALUE"""),1003999.0)</f>
        <v>1003999</v>
      </c>
      <c r="E369" s="12">
        <f>IFERROR(__xludf.DUMMYFUNCTION("""COMPUTED_VALUE"""),1.0)</f>
        <v>1</v>
      </c>
      <c r="F369" s="12">
        <f>IFERROR(__xludf.DUMMYFUNCTION("""COMPUTED_VALUE"""),0.0)</f>
        <v>0</v>
      </c>
      <c r="G369" s="12">
        <f>IFERROR(__xludf.DUMMYFUNCTION("""COMPUTED_VALUE"""),10.0)</f>
        <v>10</v>
      </c>
      <c r="H369" s="12" t="str">
        <f>IFERROR(__xludf.DUMMYFUNCTION("""COMPUTED_VALUE"""),"Return")</f>
        <v>Return</v>
      </c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>
      <c r="A370" s="12">
        <f>IFERROR(__xludf.DUMMYFUNCTION("""COMPUTED_VALUE"""),2021.0)</f>
        <v>2021</v>
      </c>
      <c r="B370" s="12">
        <f>IFERROR(__xludf.DUMMYFUNCTION("""COMPUTED_VALUE"""),10.0)</f>
        <v>10</v>
      </c>
      <c r="C370" s="12">
        <f>IFERROR(__xludf.DUMMYFUNCTION("""COMPUTED_VALUE"""),8.0)</f>
        <v>8</v>
      </c>
      <c r="D370" s="12">
        <f>IFERROR(__xludf.DUMMYFUNCTION("""COMPUTED_VALUE"""),1003582.0)</f>
        <v>1003582</v>
      </c>
      <c r="E370" s="12">
        <f>IFERROR(__xludf.DUMMYFUNCTION("""COMPUTED_VALUE"""),2.0)</f>
        <v>2</v>
      </c>
      <c r="F370" s="12">
        <f>IFERROR(__xludf.DUMMYFUNCTION("""COMPUTED_VALUE"""),0.0)</f>
        <v>0</v>
      </c>
      <c r="G370" s="12">
        <f>IFERROR(__xludf.DUMMYFUNCTION("""COMPUTED_VALUE"""),0.0)</f>
        <v>0</v>
      </c>
      <c r="H370" s="12" t="str">
        <f>IFERROR(__xludf.DUMMYFUNCTION("""COMPUTED_VALUE"""),"Damage")</f>
        <v>Damage</v>
      </c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>
      <c r="A371" s="12">
        <f>IFERROR(__xludf.DUMMYFUNCTION("""COMPUTED_VALUE"""),2021.0)</f>
        <v>2021</v>
      </c>
      <c r="B371" s="12">
        <f>IFERROR(__xludf.DUMMYFUNCTION("""COMPUTED_VALUE"""),10.0)</f>
        <v>10</v>
      </c>
      <c r="C371" s="12">
        <f>IFERROR(__xludf.DUMMYFUNCTION("""COMPUTED_VALUE"""),8.0)</f>
        <v>8</v>
      </c>
      <c r="D371" s="12">
        <f>IFERROR(__xludf.DUMMYFUNCTION("""COMPUTED_VALUE"""),1003938.0)</f>
        <v>1003938</v>
      </c>
      <c r="E371" s="12">
        <f>IFERROR(__xludf.DUMMYFUNCTION("""COMPUTED_VALUE"""),1.0)</f>
        <v>1</v>
      </c>
      <c r="F371" s="12">
        <f>IFERROR(__xludf.DUMMYFUNCTION("""COMPUTED_VALUE"""),0.0)</f>
        <v>0</v>
      </c>
      <c r="G371" s="12">
        <f>IFERROR(__xludf.DUMMYFUNCTION("""COMPUTED_VALUE"""),8.0)</f>
        <v>8</v>
      </c>
      <c r="H371" s="12" t="str">
        <f>IFERROR(__xludf.DUMMYFUNCTION("""COMPUTED_VALUE"""),"Return")</f>
        <v>Return</v>
      </c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>
      <c r="A372" s="12">
        <f>IFERROR(__xludf.DUMMYFUNCTION("""COMPUTED_VALUE"""),2021.0)</f>
        <v>2021</v>
      </c>
      <c r="B372" s="12">
        <f>IFERROR(__xludf.DUMMYFUNCTION("""COMPUTED_VALUE"""),10.0)</f>
        <v>10</v>
      </c>
      <c r="C372" s="12">
        <f>IFERROR(__xludf.DUMMYFUNCTION("""COMPUTED_VALUE"""),8.0)</f>
        <v>8</v>
      </c>
      <c r="D372" s="12">
        <f>IFERROR(__xludf.DUMMYFUNCTION("""COMPUTED_VALUE"""),1003872.0)</f>
        <v>1003872</v>
      </c>
      <c r="E372" s="12">
        <f>IFERROR(__xludf.DUMMYFUNCTION("""COMPUTED_VALUE"""),5.0)</f>
        <v>5</v>
      </c>
      <c r="F372" s="12">
        <f>IFERROR(__xludf.DUMMYFUNCTION("""COMPUTED_VALUE"""),0.0)</f>
        <v>0</v>
      </c>
      <c r="G372" s="12">
        <f>IFERROR(__xludf.DUMMYFUNCTION("""COMPUTED_VALUE"""),0.0)</f>
        <v>0</v>
      </c>
      <c r="H372" s="12" t="str">
        <f>IFERROR(__xludf.DUMMYFUNCTION("""COMPUTED_VALUE"""),"Damage")</f>
        <v>Damage</v>
      </c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>
      <c r="A373" s="12">
        <f>IFERROR(__xludf.DUMMYFUNCTION("""COMPUTED_VALUE"""),2021.0)</f>
        <v>2021</v>
      </c>
      <c r="B373" s="12">
        <f>IFERROR(__xludf.DUMMYFUNCTION("""COMPUTED_VALUE"""),10.0)</f>
        <v>10</v>
      </c>
      <c r="C373" s="12">
        <f>IFERROR(__xludf.DUMMYFUNCTION("""COMPUTED_VALUE"""),8.0)</f>
        <v>8</v>
      </c>
      <c r="D373" s="12">
        <f>IFERROR(__xludf.DUMMYFUNCTION("""COMPUTED_VALUE"""),1003837.0)</f>
        <v>1003837</v>
      </c>
      <c r="E373" s="12">
        <f>IFERROR(__xludf.DUMMYFUNCTION("""COMPUTED_VALUE"""),2.0)</f>
        <v>2</v>
      </c>
      <c r="F373" s="12">
        <f>IFERROR(__xludf.DUMMYFUNCTION("""COMPUTED_VALUE"""),0.0)</f>
        <v>0</v>
      </c>
      <c r="G373" s="12">
        <f>IFERROR(__xludf.DUMMYFUNCTION("""COMPUTED_VALUE"""),0.0)</f>
        <v>0</v>
      </c>
      <c r="H373" s="12" t="str">
        <f>IFERROR(__xludf.DUMMYFUNCTION("""COMPUTED_VALUE"""),"Damage")</f>
        <v>Damage</v>
      </c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>
      <c r="A374" s="12">
        <f>IFERROR(__xludf.DUMMYFUNCTION("""COMPUTED_VALUE"""),2021.0)</f>
        <v>2021</v>
      </c>
      <c r="B374" s="12">
        <f>IFERROR(__xludf.DUMMYFUNCTION("""COMPUTED_VALUE"""),10.0)</f>
        <v>10</v>
      </c>
      <c r="C374" s="12">
        <f>IFERROR(__xludf.DUMMYFUNCTION("""COMPUTED_VALUE"""),8.0)</f>
        <v>8</v>
      </c>
      <c r="D374" s="12">
        <f>IFERROR(__xludf.DUMMYFUNCTION("""COMPUTED_VALUE"""),1003908.0)</f>
        <v>1003908</v>
      </c>
      <c r="E374" s="12">
        <f>IFERROR(__xludf.DUMMYFUNCTION("""COMPUTED_VALUE"""),2.0)</f>
        <v>2</v>
      </c>
      <c r="F374" s="12">
        <f>IFERROR(__xludf.DUMMYFUNCTION("""COMPUTED_VALUE"""),0.0)</f>
        <v>0</v>
      </c>
      <c r="G374" s="12">
        <f>IFERROR(__xludf.DUMMYFUNCTION("""COMPUTED_VALUE"""),5.0)</f>
        <v>5</v>
      </c>
      <c r="H374" s="12" t="str">
        <f>IFERROR(__xludf.DUMMYFUNCTION("""COMPUTED_VALUE"""),"Damage")</f>
        <v>Damage</v>
      </c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>
      <c r="A375" s="12">
        <f>IFERROR(__xludf.DUMMYFUNCTION("""COMPUTED_VALUE"""),2021.0)</f>
        <v>2021</v>
      </c>
      <c r="B375" s="12">
        <f>IFERROR(__xludf.DUMMYFUNCTION("""COMPUTED_VALUE"""),10.0)</f>
        <v>10</v>
      </c>
      <c r="C375" s="12">
        <f>IFERROR(__xludf.DUMMYFUNCTION("""COMPUTED_VALUE"""),8.0)</f>
        <v>8</v>
      </c>
      <c r="D375" s="12">
        <f>IFERROR(__xludf.DUMMYFUNCTION("""COMPUTED_VALUE"""),1003760.0)</f>
        <v>1003760</v>
      </c>
      <c r="E375" s="12">
        <f>IFERROR(__xludf.DUMMYFUNCTION("""COMPUTED_VALUE"""),5.0)</f>
        <v>5</v>
      </c>
      <c r="F375" s="12">
        <f>IFERROR(__xludf.DUMMYFUNCTION("""COMPUTED_VALUE"""),3.63)</f>
        <v>3.63</v>
      </c>
      <c r="G375" s="12">
        <f>IFERROR(__xludf.DUMMYFUNCTION("""COMPUTED_VALUE"""),0.0)</f>
        <v>0</v>
      </c>
      <c r="H375" s="12" t="str">
        <f>IFERROR(__xludf.DUMMYFUNCTION("""COMPUTED_VALUE"""),"Return")</f>
        <v>Return</v>
      </c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>
      <c r="A376" s="12">
        <f>IFERROR(__xludf.DUMMYFUNCTION("""COMPUTED_VALUE"""),2021.0)</f>
        <v>2021</v>
      </c>
      <c r="B376" s="12">
        <f>IFERROR(__xludf.DUMMYFUNCTION("""COMPUTED_VALUE"""),10.0)</f>
        <v>10</v>
      </c>
      <c r="C376" s="12">
        <f>IFERROR(__xludf.DUMMYFUNCTION("""COMPUTED_VALUE"""),8.0)</f>
        <v>8</v>
      </c>
      <c r="D376" s="12">
        <f>IFERROR(__xludf.DUMMYFUNCTION("""COMPUTED_VALUE"""),1003973.0)</f>
        <v>1003973</v>
      </c>
      <c r="E376" s="12">
        <f>IFERROR(__xludf.DUMMYFUNCTION("""COMPUTED_VALUE"""),3.0)</f>
        <v>3</v>
      </c>
      <c r="F376" s="12">
        <f>IFERROR(__xludf.DUMMYFUNCTION("""COMPUTED_VALUE"""),0.0)</f>
        <v>0</v>
      </c>
      <c r="G376" s="12">
        <f>IFERROR(__xludf.DUMMYFUNCTION("""COMPUTED_VALUE"""),0.0)</f>
        <v>0</v>
      </c>
      <c r="H376" s="12" t="str">
        <f>IFERROR(__xludf.DUMMYFUNCTION("""COMPUTED_VALUE"""),"Return")</f>
        <v>Return</v>
      </c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>
      <c r="A377" s="12">
        <f>IFERROR(__xludf.DUMMYFUNCTION("""COMPUTED_VALUE"""),2021.0)</f>
        <v>2021</v>
      </c>
      <c r="B377" s="12">
        <f>IFERROR(__xludf.DUMMYFUNCTION("""COMPUTED_VALUE"""),10.0)</f>
        <v>10</v>
      </c>
      <c r="C377" s="12">
        <f>IFERROR(__xludf.DUMMYFUNCTION("""COMPUTED_VALUE"""),8.0)</f>
        <v>8</v>
      </c>
      <c r="D377" s="12">
        <f>IFERROR(__xludf.DUMMYFUNCTION("""COMPUTED_VALUE"""),1003969.0)</f>
        <v>1003969</v>
      </c>
      <c r="E377" s="12">
        <f>IFERROR(__xludf.DUMMYFUNCTION("""COMPUTED_VALUE"""),8.0)</f>
        <v>8</v>
      </c>
      <c r="F377" s="12">
        <f>IFERROR(__xludf.DUMMYFUNCTION("""COMPUTED_VALUE"""),0.0)</f>
        <v>0</v>
      </c>
      <c r="G377" s="12">
        <f>IFERROR(__xludf.DUMMYFUNCTION("""COMPUTED_VALUE"""),0.0)</f>
        <v>0</v>
      </c>
      <c r="H377" s="12" t="str">
        <f>IFERROR(__xludf.DUMMYFUNCTION("""COMPUTED_VALUE"""),"Return")</f>
        <v>Return</v>
      </c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>
      <c r="A378" s="12">
        <f>IFERROR(__xludf.DUMMYFUNCTION("""COMPUTED_VALUE"""),2021.0)</f>
        <v>2021</v>
      </c>
      <c r="B378" s="12">
        <f>IFERROR(__xludf.DUMMYFUNCTION("""COMPUTED_VALUE"""),10.0)</f>
        <v>10</v>
      </c>
      <c r="C378" s="12">
        <f>IFERROR(__xludf.DUMMYFUNCTION("""COMPUTED_VALUE"""),8.0)</f>
        <v>8</v>
      </c>
      <c r="D378" s="12">
        <f>IFERROR(__xludf.DUMMYFUNCTION("""COMPUTED_VALUE"""),1003366.0)</f>
        <v>1003366</v>
      </c>
      <c r="E378" s="12">
        <f>IFERROR(__xludf.DUMMYFUNCTION("""COMPUTED_VALUE"""),6.0)</f>
        <v>6</v>
      </c>
      <c r="F378" s="12">
        <f>IFERROR(__xludf.DUMMYFUNCTION("""COMPUTED_VALUE"""),0.0)</f>
        <v>0</v>
      </c>
      <c r="G378" s="12">
        <f>IFERROR(__xludf.DUMMYFUNCTION("""COMPUTED_VALUE"""),0.0)</f>
        <v>0</v>
      </c>
      <c r="H378" s="12" t="str">
        <f>IFERROR(__xludf.DUMMYFUNCTION("""COMPUTED_VALUE"""),"Return")</f>
        <v>Return</v>
      </c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>
      <c r="A379" s="12">
        <f>IFERROR(__xludf.DUMMYFUNCTION("""COMPUTED_VALUE"""),2021.0)</f>
        <v>2021</v>
      </c>
      <c r="B379" s="12">
        <f>IFERROR(__xludf.DUMMYFUNCTION("""COMPUTED_VALUE"""),10.0)</f>
        <v>10</v>
      </c>
      <c r="C379" s="12">
        <f>IFERROR(__xludf.DUMMYFUNCTION("""COMPUTED_VALUE"""),8.0)</f>
        <v>8</v>
      </c>
      <c r="D379" s="12">
        <f>IFERROR(__xludf.DUMMYFUNCTION("""COMPUTED_VALUE"""),1003875.0)</f>
        <v>1003875</v>
      </c>
      <c r="E379" s="12">
        <f>IFERROR(__xludf.DUMMYFUNCTION("""COMPUTED_VALUE"""),2.0)</f>
        <v>2</v>
      </c>
      <c r="F379" s="12">
        <f>IFERROR(__xludf.DUMMYFUNCTION("""COMPUTED_VALUE"""),0.0)</f>
        <v>0</v>
      </c>
      <c r="G379" s="12">
        <f>IFERROR(__xludf.DUMMYFUNCTION("""COMPUTED_VALUE"""),0.0)</f>
        <v>0</v>
      </c>
      <c r="H379" s="12" t="str">
        <f>IFERROR(__xludf.DUMMYFUNCTION("""COMPUTED_VALUE"""),"Damage")</f>
        <v>Damage</v>
      </c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>
      <c r="A380" s="12">
        <f>IFERROR(__xludf.DUMMYFUNCTION("""COMPUTED_VALUE"""),2021.0)</f>
        <v>2021</v>
      </c>
      <c r="B380" s="12">
        <f>IFERROR(__xludf.DUMMYFUNCTION("""COMPUTED_VALUE"""),10.0)</f>
        <v>10</v>
      </c>
      <c r="C380" s="12">
        <f>IFERROR(__xludf.DUMMYFUNCTION("""COMPUTED_VALUE"""),8.0)</f>
        <v>8</v>
      </c>
      <c r="D380" s="12">
        <f>IFERROR(__xludf.DUMMYFUNCTION("""COMPUTED_VALUE"""),1003724.0)</f>
        <v>1003724</v>
      </c>
      <c r="E380" s="12">
        <f>IFERROR(__xludf.DUMMYFUNCTION("""COMPUTED_VALUE"""),3.0)</f>
        <v>3</v>
      </c>
      <c r="F380" s="12">
        <f>IFERROR(__xludf.DUMMYFUNCTION("""COMPUTED_VALUE"""),0.0)</f>
        <v>0</v>
      </c>
      <c r="G380" s="12">
        <f>IFERROR(__xludf.DUMMYFUNCTION("""COMPUTED_VALUE"""),0.0)</f>
        <v>0</v>
      </c>
      <c r="H380" s="12" t="str">
        <f>IFERROR(__xludf.DUMMYFUNCTION("""COMPUTED_VALUE"""),"Return")</f>
        <v>Return</v>
      </c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>
      <c r="A381" s="12">
        <f>IFERROR(__xludf.DUMMYFUNCTION("""COMPUTED_VALUE"""),2021.0)</f>
        <v>2021</v>
      </c>
      <c r="B381" s="12">
        <f>IFERROR(__xludf.DUMMYFUNCTION("""COMPUTED_VALUE"""),10.0)</f>
        <v>10</v>
      </c>
      <c r="C381" s="12">
        <f>IFERROR(__xludf.DUMMYFUNCTION("""COMPUTED_VALUE"""),8.0)</f>
        <v>8</v>
      </c>
      <c r="D381" s="12">
        <f>IFERROR(__xludf.DUMMYFUNCTION("""COMPUTED_VALUE"""),1003815.0)</f>
        <v>1003815</v>
      </c>
      <c r="E381" s="12">
        <f>IFERROR(__xludf.DUMMYFUNCTION("""COMPUTED_VALUE"""),7.0)</f>
        <v>7</v>
      </c>
      <c r="F381" s="12">
        <f>IFERROR(__xludf.DUMMYFUNCTION("""COMPUTED_VALUE"""),0.0)</f>
        <v>0</v>
      </c>
      <c r="G381" s="12">
        <f>IFERROR(__xludf.DUMMYFUNCTION("""COMPUTED_VALUE"""),10.0)</f>
        <v>10</v>
      </c>
      <c r="H381" s="12" t="str">
        <f>IFERROR(__xludf.DUMMYFUNCTION("""COMPUTED_VALUE"""),"Return")</f>
        <v>Return</v>
      </c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>
      <c r="A382" s="12">
        <f>IFERROR(__xludf.DUMMYFUNCTION("""COMPUTED_VALUE"""),2021.0)</f>
        <v>2021</v>
      </c>
      <c r="B382" s="12">
        <f>IFERROR(__xludf.DUMMYFUNCTION("""COMPUTED_VALUE"""),10.0)</f>
        <v>10</v>
      </c>
      <c r="C382" s="12">
        <f>IFERROR(__xludf.DUMMYFUNCTION("""COMPUTED_VALUE"""),8.0)</f>
        <v>8</v>
      </c>
      <c r="D382" s="12">
        <f>IFERROR(__xludf.DUMMYFUNCTION("""COMPUTED_VALUE"""),1003864.0)</f>
        <v>1003864</v>
      </c>
      <c r="E382" s="12">
        <f>IFERROR(__xludf.DUMMYFUNCTION("""COMPUTED_VALUE"""),17.0)</f>
        <v>17</v>
      </c>
      <c r="F382" s="12">
        <f>IFERROR(__xludf.DUMMYFUNCTION("""COMPUTED_VALUE"""),0.0)</f>
        <v>0</v>
      </c>
      <c r="G382" s="12">
        <f>IFERROR(__xludf.DUMMYFUNCTION("""COMPUTED_VALUE"""),0.0)</f>
        <v>0</v>
      </c>
      <c r="H382" s="12" t="str">
        <f>IFERROR(__xludf.DUMMYFUNCTION("""COMPUTED_VALUE"""),"Damage")</f>
        <v>Damage</v>
      </c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>
      <c r="A383" s="12">
        <f>IFERROR(__xludf.DUMMYFUNCTION("""COMPUTED_VALUE"""),2021.0)</f>
        <v>2021</v>
      </c>
      <c r="B383" s="12">
        <f>IFERROR(__xludf.DUMMYFUNCTION("""COMPUTED_VALUE"""),10.0)</f>
        <v>10</v>
      </c>
      <c r="C383" s="12">
        <f>IFERROR(__xludf.DUMMYFUNCTION("""COMPUTED_VALUE"""),8.0)</f>
        <v>8</v>
      </c>
      <c r="D383" s="12">
        <f>IFERROR(__xludf.DUMMYFUNCTION("""COMPUTED_VALUE"""),1003990.0)</f>
        <v>1003990</v>
      </c>
      <c r="E383" s="12">
        <f>IFERROR(__xludf.DUMMYFUNCTION("""COMPUTED_VALUE"""),2.0)</f>
        <v>2</v>
      </c>
      <c r="F383" s="12">
        <f>IFERROR(__xludf.DUMMYFUNCTION("""COMPUTED_VALUE"""),0.0)</f>
        <v>0</v>
      </c>
      <c r="G383" s="12">
        <f>IFERROR(__xludf.DUMMYFUNCTION("""COMPUTED_VALUE"""),0.0)</f>
        <v>0</v>
      </c>
      <c r="H383" s="12" t="str">
        <f>IFERROR(__xludf.DUMMYFUNCTION("""COMPUTED_VALUE"""),"Return")</f>
        <v>Return</v>
      </c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>
      <c r="A384" s="12">
        <f>IFERROR(__xludf.DUMMYFUNCTION("""COMPUTED_VALUE"""),2021.0)</f>
        <v>2021</v>
      </c>
      <c r="B384" s="12">
        <f>IFERROR(__xludf.DUMMYFUNCTION("""COMPUTED_VALUE"""),10.0)</f>
        <v>10</v>
      </c>
      <c r="C384" s="12">
        <f>IFERROR(__xludf.DUMMYFUNCTION("""COMPUTED_VALUE"""),8.0)</f>
        <v>8</v>
      </c>
      <c r="D384" s="12">
        <f>IFERROR(__xludf.DUMMYFUNCTION("""COMPUTED_VALUE"""),1003757.0)</f>
        <v>1003757</v>
      </c>
      <c r="E384" s="12">
        <f>IFERROR(__xludf.DUMMYFUNCTION("""COMPUTED_VALUE"""),14.0)</f>
        <v>14</v>
      </c>
      <c r="F384" s="12">
        <f>IFERROR(__xludf.DUMMYFUNCTION("""COMPUTED_VALUE"""),3.7)</f>
        <v>3.7</v>
      </c>
      <c r="G384" s="12">
        <f>IFERROR(__xludf.DUMMYFUNCTION("""COMPUTED_VALUE"""),0.0)</f>
        <v>0</v>
      </c>
      <c r="H384" s="12" t="str">
        <f>IFERROR(__xludf.DUMMYFUNCTION("""COMPUTED_VALUE"""),"Return")</f>
        <v>Return</v>
      </c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>
      <c r="A385" s="12">
        <f>IFERROR(__xludf.DUMMYFUNCTION("""COMPUTED_VALUE"""),2021.0)</f>
        <v>2021</v>
      </c>
      <c r="B385" s="12">
        <f>IFERROR(__xludf.DUMMYFUNCTION("""COMPUTED_VALUE"""),10.0)</f>
        <v>10</v>
      </c>
      <c r="C385" s="12">
        <f>IFERROR(__xludf.DUMMYFUNCTION("""COMPUTED_VALUE"""),8.0)</f>
        <v>8</v>
      </c>
      <c r="D385" s="12">
        <f>IFERROR(__xludf.DUMMYFUNCTION("""COMPUTED_VALUE"""),1003294.0)</f>
        <v>1003294</v>
      </c>
      <c r="E385" s="12">
        <f>IFERROR(__xludf.DUMMYFUNCTION("""COMPUTED_VALUE"""),5.0)</f>
        <v>5</v>
      </c>
      <c r="F385" s="12">
        <f>IFERROR(__xludf.DUMMYFUNCTION("""COMPUTED_VALUE"""),0.0)</f>
        <v>0</v>
      </c>
      <c r="G385" s="12">
        <f>IFERROR(__xludf.DUMMYFUNCTION("""COMPUTED_VALUE"""),0.0)</f>
        <v>0</v>
      </c>
      <c r="H385" s="12" t="str">
        <f>IFERROR(__xludf.DUMMYFUNCTION("""COMPUTED_VALUE"""),"Return")</f>
        <v>Return</v>
      </c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>
      <c r="A386" s="12">
        <f>IFERROR(__xludf.DUMMYFUNCTION("""COMPUTED_VALUE"""),2021.0)</f>
        <v>2021</v>
      </c>
      <c r="B386" s="12">
        <f>IFERROR(__xludf.DUMMYFUNCTION("""COMPUTED_VALUE"""),10.0)</f>
        <v>10</v>
      </c>
      <c r="C386" s="12">
        <f>IFERROR(__xludf.DUMMYFUNCTION("""COMPUTED_VALUE"""),8.0)</f>
        <v>8</v>
      </c>
      <c r="D386" s="12">
        <f>IFERROR(__xludf.DUMMYFUNCTION("""COMPUTED_VALUE"""),1003495.0)</f>
        <v>1003495</v>
      </c>
      <c r="E386" s="12">
        <f>IFERROR(__xludf.DUMMYFUNCTION("""COMPUTED_VALUE"""),5.0)</f>
        <v>5</v>
      </c>
      <c r="F386" s="12">
        <f>IFERROR(__xludf.DUMMYFUNCTION("""COMPUTED_VALUE"""),0.0)</f>
        <v>0</v>
      </c>
      <c r="G386" s="12">
        <f>IFERROR(__xludf.DUMMYFUNCTION("""COMPUTED_VALUE"""),0.0)</f>
        <v>0</v>
      </c>
      <c r="H386" s="12" t="str">
        <f>IFERROR(__xludf.DUMMYFUNCTION("""COMPUTED_VALUE"""),"Damage")</f>
        <v>Damage</v>
      </c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>
      <c r="A387" s="12">
        <f>IFERROR(__xludf.DUMMYFUNCTION("""COMPUTED_VALUE"""),2021.0)</f>
        <v>2021</v>
      </c>
      <c r="B387" s="12">
        <f>IFERROR(__xludf.DUMMYFUNCTION("""COMPUTED_VALUE"""),10.0)</f>
        <v>10</v>
      </c>
      <c r="C387" s="12">
        <f>IFERROR(__xludf.DUMMYFUNCTION("""COMPUTED_VALUE"""),8.0)</f>
        <v>8</v>
      </c>
      <c r="D387" s="12">
        <f>IFERROR(__xludf.DUMMYFUNCTION("""COMPUTED_VALUE"""),1003499.0)</f>
        <v>1003499</v>
      </c>
      <c r="E387" s="12">
        <f>IFERROR(__xludf.DUMMYFUNCTION("""COMPUTED_VALUE"""),1.0)</f>
        <v>1</v>
      </c>
      <c r="F387" s="12">
        <f>IFERROR(__xludf.DUMMYFUNCTION("""COMPUTED_VALUE"""),0.0)</f>
        <v>0</v>
      </c>
      <c r="G387" s="12">
        <f>IFERROR(__xludf.DUMMYFUNCTION("""COMPUTED_VALUE"""),0.0)</f>
        <v>0</v>
      </c>
      <c r="H387" s="12" t="str">
        <f>IFERROR(__xludf.DUMMYFUNCTION("""COMPUTED_VALUE"""),"Damage")</f>
        <v>Damage</v>
      </c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>
      <c r="A388" s="12">
        <f>IFERROR(__xludf.DUMMYFUNCTION("""COMPUTED_VALUE"""),2021.0)</f>
        <v>2021</v>
      </c>
      <c r="B388" s="12">
        <f>IFERROR(__xludf.DUMMYFUNCTION("""COMPUTED_VALUE"""),10.0)</f>
        <v>10</v>
      </c>
      <c r="C388" s="12">
        <f>IFERROR(__xludf.DUMMYFUNCTION("""COMPUTED_VALUE"""),8.0)</f>
        <v>8</v>
      </c>
      <c r="D388" s="12">
        <f>IFERROR(__xludf.DUMMYFUNCTION("""COMPUTED_VALUE"""),1003646.0)</f>
        <v>1003646</v>
      </c>
      <c r="E388" s="12">
        <f>IFERROR(__xludf.DUMMYFUNCTION("""COMPUTED_VALUE"""),2.0)</f>
        <v>2</v>
      </c>
      <c r="F388" s="12">
        <f>IFERROR(__xludf.DUMMYFUNCTION("""COMPUTED_VALUE"""),0.0)</f>
        <v>0</v>
      </c>
      <c r="G388" s="12">
        <f>IFERROR(__xludf.DUMMYFUNCTION("""COMPUTED_VALUE"""),0.0)</f>
        <v>0</v>
      </c>
      <c r="H388" s="12" t="str">
        <f>IFERROR(__xludf.DUMMYFUNCTION("""COMPUTED_VALUE"""),"Damage")</f>
        <v>Damage</v>
      </c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>
      <c r="A389" s="12">
        <f>IFERROR(__xludf.DUMMYFUNCTION("""COMPUTED_VALUE"""),2021.0)</f>
        <v>2021</v>
      </c>
      <c r="B389" s="12">
        <f>IFERROR(__xludf.DUMMYFUNCTION("""COMPUTED_VALUE"""),10.0)</f>
        <v>10</v>
      </c>
      <c r="C389" s="12">
        <f>IFERROR(__xludf.DUMMYFUNCTION("""COMPUTED_VALUE"""),8.0)</f>
        <v>8</v>
      </c>
      <c r="D389" s="12">
        <f>IFERROR(__xludf.DUMMYFUNCTION("""COMPUTED_VALUE"""),1003602.0)</f>
        <v>1003602</v>
      </c>
      <c r="E389" s="12">
        <f>IFERROR(__xludf.DUMMYFUNCTION("""COMPUTED_VALUE"""),3.0)</f>
        <v>3</v>
      </c>
      <c r="F389" s="12">
        <f>IFERROR(__xludf.DUMMYFUNCTION("""COMPUTED_VALUE"""),0.0)</f>
        <v>0</v>
      </c>
      <c r="G389" s="12">
        <f>IFERROR(__xludf.DUMMYFUNCTION("""COMPUTED_VALUE"""),5.0)</f>
        <v>5</v>
      </c>
      <c r="H389" s="12" t="str">
        <f>IFERROR(__xludf.DUMMYFUNCTION("""COMPUTED_VALUE"""),"Return")</f>
        <v>Return</v>
      </c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>
      <c r="A390" s="12">
        <f>IFERROR(__xludf.DUMMYFUNCTION("""COMPUTED_VALUE"""),2021.0)</f>
        <v>2021</v>
      </c>
      <c r="B390" s="12">
        <f>IFERROR(__xludf.DUMMYFUNCTION("""COMPUTED_VALUE"""),10.0)</f>
        <v>10</v>
      </c>
      <c r="C390" s="12">
        <f>IFERROR(__xludf.DUMMYFUNCTION("""COMPUTED_VALUE"""),9.0)</f>
        <v>9</v>
      </c>
      <c r="D390" s="12">
        <f>IFERROR(__xludf.DUMMYFUNCTION("""COMPUTED_VALUE"""),1003954.0)</f>
        <v>1003954</v>
      </c>
      <c r="E390" s="12">
        <f>IFERROR(__xludf.DUMMYFUNCTION("""COMPUTED_VALUE"""),3.0)</f>
        <v>3</v>
      </c>
      <c r="F390" s="12">
        <f>IFERROR(__xludf.DUMMYFUNCTION("""COMPUTED_VALUE"""),0.0)</f>
        <v>0</v>
      </c>
      <c r="G390" s="12">
        <f>IFERROR(__xludf.DUMMYFUNCTION("""COMPUTED_VALUE"""),5.0)</f>
        <v>5</v>
      </c>
      <c r="H390" s="12" t="str">
        <f>IFERROR(__xludf.DUMMYFUNCTION("""COMPUTED_VALUE"""),"Return")</f>
        <v>Return</v>
      </c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>
      <c r="A391" s="12">
        <f>IFERROR(__xludf.DUMMYFUNCTION("""COMPUTED_VALUE"""),2021.0)</f>
        <v>2021</v>
      </c>
      <c r="B391" s="12">
        <f>IFERROR(__xludf.DUMMYFUNCTION("""COMPUTED_VALUE"""),10.0)</f>
        <v>10</v>
      </c>
      <c r="C391" s="12">
        <f>IFERROR(__xludf.DUMMYFUNCTION("""COMPUTED_VALUE"""),9.0)</f>
        <v>9</v>
      </c>
      <c r="D391" s="12">
        <f>IFERROR(__xludf.DUMMYFUNCTION("""COMPUTED_VALUE"""),1003993.0)</f>
        <v>1003993</v>
      </c>
      <c r="E391" s="12">
        <f>IFERROR(__xludf.DUMMYFUNCTION("""COMPUTED_VALUE"""),2.0)</f>
        <v>2</v>
      </c>
      <c r="F391" s="12">
        <f>IFERROR(__xludf.DUMMYFUNCTION("""COMPUTED_VALUE"""),0.0)</f>
        <v>0</v>
      </c>
      <c r="G391" s="12">
        <f>IFERROR(__xludf.DUMMYFUNCTION("""COMPUTED_VALUE"""),0.0)</f>
        <v>0</v>
      </c>
      <c r="H391" s="12" t="str">
        <f>IFERROR(__xludf.DUMMYFUNCTION("""COMPUTED_VALUE"""),"Damage")</f>
        <v>Damage</v>
      </c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>
      <c r="A392" s="12">
        <f>IFERROR(__xludf.DUMMYFUNCTION("""COMPUTED_VALUE"""),2021.0)</f>
        <v>2021</v>
      </c>
      <c r="B392" s="12">
        <f>IFERROR(__xludf.DUMMYFUNCTION("""COMPUTED_VALUE"""),10.0)</f>
        <v>10</v>
      </c>
      <c r="C392" s="12">
        <f>IFERROR(__xludf.DUMMYFUNCTION("""COMPUTED_VALUE"""),9.0)</f>
        <v>9</v>
      </c>
      <c r="D392" s="12">
        <f>IFERROR(__xludf.DUMMYFUNCTION("""COMPUTED_VALUE"""),1003699.0)</f>
        <v>1003699</v>
      </c>
      <c r="E392" s="12">
        <f>IFERROR(__xludf.DUMMYFUNCTION("""COMPUTED_VALUE"""),14.0)</f>
        <v>14</v>
      </c>
      <c r="F392" s="12">
        <f>IFERROR(__xludf.DUMMYFUNCTION("""COMPUTED_VALUE"""),0.0)</f>
        <v>0</v>
      </c>
      <c r="G392" s="12">
        <f>IFERROR(__xludf.DUMMYFUNCTION("""COMPUTED_VALUE"""),0.0)</f>
        <v>0</v>
      </c>
      <c r="H392" s="12" t="str">
        <f>IFERROR(__xludf.DUMMYFUNCTION("""COMPUTED_VALUE"""),"Damage")</f>
        <v>Damage</v>
      </c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>
      <c r="A393" s="12">
        <f>IFERROR(__xludf.DUMMYFUNCTION("""COMPUTED_VALUE"""),2021.0)</f>
        <v>2021</v>
      </c>
      <c r="B393" s="12">
        <f>IFERROR(__xludf.DUMMYFUNCTION("""COMPUTED_VALUE"""),10.0)</f>
        <v>10</v>
      </c>
      <c r="C393" s="12">
        <f>IFERROR(__xludf.DUMMYFUNCTION("""COMPUTED_VALUE"""),9.0)</f>
        <v>9</v>
      </c>
      <c r="D393" s="12">
        <f>IFERROR(__xludf.DUMMYFUNCTION("""COMPUTED_VALUE"""),1003776.0)</f>
        <v>1003776</v>
      </c>
      <c r="E393" s="12">
        <f>IFERROR(__xludf.DUMMYFUNCTION("""COMPUTED_VALUE"""),7.0)</f>
        <v>7</v>
      </c>
      <c r="F393" s="12">
        <f>IFERROR(__xludf.DUMMYFUNCTION("""COMPUTED_VALUE"""),0.0)</f>
        <v>0</v>
      </c>
      <c r="G393" s="12">
        <f>IFERROR(__xludf.DUMMYFUNCTION("""COMPUTED_VALUE"""),0.0)</f>
        <v>0</v>
      </c>
      <c r="H393" s="12" t="str">
        <f>IFERROR(__xludf.DUMMYFUNCTION("""COMPUTED_VALUE"""),"Damage")</f>
        <v>Damage</v>
      </c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>
      <c r="A394" s="12">
        <f>IFERROR(__xludf.DUMMYFUNCTION("""COMPUTED_VALUE"""),2021.0)</f>
        <v>2021</v>
      </c>
      <c r="B394" s="12">
        <f>IFERROR(__xludf.DUMMYFUNCTION("""COMPUTED_VALUE"""),10.0)</f>
        <v>10</v>
      </c>
      <c r="C394" s="12">
        <f>IFERROR(__xludf.DUMMYFUNCTION("""COMPUTED_VALUE"""),9.0)</f>
        <v>9</v>
      </c>
      <c r="D394" s="12">
        <f>IFERROR(__xludf.DUMMYFUNCTION("""COMPUTED_VALUE"""),1003657.0)</f>
        <v>1003657</v>
      </c>
      <c r="E394" s="12">
        <f>IFERROR(__xludf.DUMMYFUNCTION("""COMPUTED_VALUE"""),2.0)</f>
        <v>2</v>
      </c>
      <c r="F394" s="12">
        <f>IFERROR(__xludf.DUMMYFUNCTION("""COMPUTED_VALUE"""),0.0)</f>
        <v>0</v>
      </c>
      <c r="G394" s="12">
        <f>IFERROR(__xludf.DUMMYFUNCTION("""COMPUTED_VALUE"""),0.0)</f>
        <v>0</v>
      </c>
      <c r="H394" s="12" t="str">
        <f>IFERROR(__xludf.DUMMYFUNCTION("""COMPUTED_VALUE"""),"Return")</f>
        <v>Return</v>
      </c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>
      <c r="A395" s="12">
        <f>IFERROR(__xludf.DUMMYFUNCTION("""COMPUTED_VALUE"""),2021.0)</f>
        <v>2021</v>
      </c>
      <c r="B395" s="12">
        <f>IFERROR(__xludf.DUMMYFUNCTION("""COMPUTED_VALUE"""),10.0)</f>
        <v>10</v>
      </c>
      <c r="C395" s="12">
        <f>IFERROR(__xludf.DUMMYFUNCTION("""COMPUTED_VALUE"""),9.0)</f>
        <v>9</v>
      </c>
      <c r="D395" s="12">
        <f>IFERROR(__xludf.DUMMYFUNCTION("""COMPUTED_VALUE"""),1003983.0)</f>
        <v>1003983</v>
      </c>
      <c r="E395" s="12">
        <f>IFERROR(__xludf.DUMMYFUNCTION("""COMPUTED_VALUE"""),3.0)</f>
        <v>3</v>
      </c>
      <c r="F395" s="12">
        <f>IFERROR(__xludf.DUMMYFUNCTION("""COMPUTED_VALUE"""),0.0)</f>
        <v>0</v>
      </c>
      <c r="G395" s="12">
        <f>IFERROR(__xludf.DUMMYFUNCTION("""COMPUTED_VALUE"""),0.0)</f>
        <v>0</v>
      </c>
      <c r="H395" s="12" t="str">
        <f>IFERROR(__xludf.DUMMYFUNCTION("""COMPUTED_VALUE"""),"Return")</f>
        <v>Return</v>
      </c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>
      <c r="A396" s="12">
        <f>IFERROR(__xludf.DUMMYFUNCTION("""COMPUTED_VALUE"""),2021.0)</f>
        <v>2021</v>
      </c>
      <c r="B396" s="12">
        <f>IFERROR(__xludf.DUMMYFUNCTION("""COMPUTED_VALUE"""),10.0)</f>
        <v>10</v>
      </c>
      <c r="C396" s="12">
        <f>IFERROR(__xludf.DUMMYFUNCTION("""COMPUTED_VALUE"""),9.0)</f>
        <v>9</v>
      </c>
      <c r="D396" s="12">
        <f>IFERROR(__xludf.DUMMYFUNCTION("""COMPUTED_VALUE"""),1003436.0)</f>
        <v>1003436</v>
      </c>
      <c r="E396" s="12">
        <f>IFERROR(__xludf.DUMMYFUNCTION("""COMPUTED_VALUE"""),1.0)</f>
        <v>1</v>
      </c>
      <c r="F396" s="12">
        <f>IFERROR(__xludf.DUMMYFUNCTION("""COMPUTED_VALUE"""),0.0)</f>
        <v>0</v>
      </c>
      <c r="G396" s="12">
        <f>IFERROR(__xludf.DUMMYFUNCTION("""COMPUTED_VALUE"""),0.0)</f>
        <v>0</v>
      </c>
      <c r="H396" s="12" t="str">
        <f>IFERROR(__xludf.DUMMYFUNCTION("""COMPUTED_VALUE"""),"Damage")</f>
        <v>Damage</v>
      </c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>
      <c r="A397" s="12">
        <f>IFERROR(__xludf.DUMMYFUNCTION("""COMPUTED_VALUE"""),2021.0)</f>
        <v>2021</v>
      </c>
      <c r="B397" s="12">
        <f>IFERROR(__xludf.DUMMYFUNCTION("""COMPUTED_VALUE"""),10.0)</f>
        <v>10</v>
      </c>
      <c r="C397" s="12">
        <f>IFERROR(__xludf.DUMMYFUNCTION("""COMPUTED_VALUE"""),9.0)</f>
        <v>9</v>
      </c>
      <c r="D397" s="12">
        <f>IFERROR(__xludf.DUMMYFUNCTION("""COMPUTED_VALUE"""),1003572.0)</f>
        <v>1003572</v>
      </c>
      <c r="E397" s="12">
        <f>IFERROR(__xludf.DUMMYFUNCTION("""COMPUTED_VALUE"""),4.0)</f>
        <v>4</v>
      </c>
      <c r="F397" s="12">
        <f>IFERROR(__xludf.DUMMYFUNCTION("""COMPUTED_VALUE"""),0.0)</f>
        <v>0</v>
      </c>
      <c r="G397" s="12">
        <f>IFERROR(__xludf.DUMMYFUNCTION("""COMPUTED_VALUE"""),0.0)</f>
        <v>0</v>
      </c>
      <c r="H397" s="12" t="str">
        <f>IFERROR(__xludf.DUMMYFUNCTION("""COMPUTED_VALUE"""),"Return")</f>
        <v>Return</v>
      </c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>
      <c r="A398" s="12">
        <f>IFERROR(__xludf.DUMMYFUNCTION("""COMPUTED_VALUE"""),2021.0)</f>
        <v>2021</v>
      </c>
      <c r="B398" s="12">
        <f>IFERROR(__xludf.DUMMYFUNCTION("""COMPUTED_VALUE"""),10.0)</f>
        <v>10</v>
      </c>
      <c r="C398" s="12">
        <f>IFERROR(__xludf.DUMMYFUNCTION("""COMPUTED_VALUE"""),9.0)</f>
        <v>9</v>
      </c>
      <c r="D398" s="12">
        <f>IFERROR(__xludf.DUMMYFUNCTION("""COMPUTED_VALUE"""),1003550.0)</f>
        <v>1003550</v>
      </c>
      <c r="E398" s="12">
        <f>IFERROR(__xludf.DUMMYFUNCTION("""COMPUTED_VALUE"""),1.0)</f>
        <v>1</v>
      </c>
      <c r="F398" s="12">
        <f>IFERROR(__xludf.DUMMYFUNCTION("""COMPUTED_VALUE"""),0.0)</f>
        <v>0</v>
      </c>
      <c r="G398" s="12">
        <f>IFERROR(__xludf.DUMMYFUNCTION("""COMPUTED_VALUE"""),5.0)</f>
        <v>5</v>
      </c>
      <c r="H398" s="12" t="str">
        <f>IFERROR(__xludf.DUMMYFUNCTION("""COMPUTED_VALUE"""),"Return")</f>
        <v>Return</v>
      </c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>
      <c r="A399" s="12">
        <f>IFERROR(__xludf.DUMMYFUNCTION("""COMPUTED_VALUE"""),2021.0)</f>
        <v>2021</v>
      </c>
      <c r="B399" s="12">
        <f>IFERROR(__xludf.DUMMYFUNCTION("""COMPUTED_VALUE"""),10.0)</f>
        <v>10</v>
      </c>
      <c r="C399" s="12">
        <f>IFERROR(__xludf.DUMMYFUNCTION("""COMPUTED_VALUE"""),9.0)</f>
        <v>9</v>
      </c>
      <c r="D399" s="12">
        <f>IFERROR(__xludf.DUMMYFUNCTION("""COMPUTED_VALUE"""),1003812.0)</f>
        <v>1003812</v>
      </c>
      <c r="E399" s="12">
        <f>IFERROR(__xludf.DUMMYFUNCTION("""COMPUTED_VALUE"""),9.0)</f>
        <v>9</v>
      </c>
      <c r="F399" s="12">
        <f>IFERROR(__xludf.DUMMYFUNCTION("""COMPUTED_VALUE"""),0.0)</f>
        <v>0</v>
      </c>
      <c r="G399" s="12">
        <f>IFERROR(__xludf.DUMMYFUNCTION("""COMPUTED_VALUE"""),8.0)</f>
        <v>8</v>
      </c>
      <c r="H399" s="12" t="str">
        <f>IFERROR(__xludf.DUMMYFUNCTION("""COMPUTED_VALUE"""),"Return")</f>
        <v>Return</v>
      </c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>
      <c r="A400" s="12">
        <f>IFERROR(__xludf.DUMMYFUNCTION("""COMPUTED_VALUE"""),2021.0)</f>
        <v>2021</v>
      </c>
      <c r="B400" s="12">
        <f>IFERROR(__xludf.DUMMYFUNCTION("""COMPUTED_VALUE"""),10.0)</f>
        <v>10</v>
      </c>
      <c r="C400" s="12">
        <f>IFERROR(__xludf.DUMMYFUNCTION("""COMPUTED_VALUE"""),9.0)</f>
        <v>9</v>
      </c>
      <c r="D400" s="12">
        <f>IFERROR(__xludf.DUMMYFUNCTION("""COMPUTED_VALUE"""),1003604.0)</f>
        <v>1003604</v>
      </c>
      <c r="E400" s="12">
        <f>IFERROR(__xludf.DUMMYFUNCTION("""COMPUTED_VALUE"""),2.0)</f>
        <v>2</v>
      </c>
      <c r="F400" s="12">
        <f>IFERROR(__xludf.DUMMYFUNCTION("""COMPUTED_VALUE"""),0.0)</f>
        <v>0</v>
      </c>
      <c r="G400" s="12">
        <f>IFERROR(__xludf.DUMMYFUNCTION("""COMPUTED_VALUE"""),0.0)</f>
        <v>0</v>
      </c>
      <c r="H400" s="12" t="str">
        <f>IFERROR(__xludf.DUMMYFUNCTION("""COMPUTED_VALUE"""),"Damage")</f>
        <v>Damage</v>
      </c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>
      <c r="A401" s="12">
        <f>IFERROR(__xludf.DUMMYFUNCTION("""COMPUTED_VALUE"""),2021.0)</f>
        <v>2021</v>
      </c>
      <c r="B401" s="12">
        <f>IFERROR(__xludf.DUMMYFUNCTION("""COMPUTED_VALUE"""),10.0)</f>
        <v>10</v>
      </c>
      <c r="C401" s="12">
        <f>IFERROR(__xludf.DUMMYFUNCTION("""COMPUTED_VALUE"""),9.0)</f>
        <v>9</v>
      </c>
      <c r="D401" s="12">
        <f>IFERROR(__xludf.DUMMYFUNCTION("""COMPUTED_VALUE"""),1003444.0)</f>
        <v>1003444</v>
      </c>
      <c r="E401" s="12">
        <f>IFERROR(__xludf.DUMMYFUNCTION("""COMPUTED_VALUE"""),2.0)</f>
        <v>2</v>
      </c>
      <c r="F401" s="12">
        <f>IFERROR(__xludf.DUMMYFUNCTION("""COMPUTED_VALUE"""),0.94)</f>
        <v>0.94</v>
      </c>
      <c r="G401" s="12">
        <f>IFERROR(__xludf.DUMMYFUNCTION("""COMPUTED_VALUE"""),0.0)</f>
        <v>0</v>
      </c>
      <c r="H401" s="12" t="str">
        <f>IFERROR(__xludf.DUMMYFUNCTION("""COMPUTED_VALUE"""),"Return")</f>
        <v>Return</v>
      </c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>
      <c r="A402" s="12">
        <f>IFERROR(__xludf.DUMMYFUNCTION("""COMPUTED_VALUE"""),2021.0)</f>
        <v>2021</v>
      </c>
      <c r="B402" s="12">
        <f>IFERROR(__xludf.DUMMYFUNCTION("""COMPUTED_VALUE"""),10.0)</f>
        <v>10</v>
      </c>
      <c r="C402" s="12">
        <f>IFERROR(__xludf.DUMMYFUNCTION("""COMPUTED_VALUE"""),9.0)</f>
        <v>9</v>
      </c>
      <c r="D402" s="12">
        <f>IFERROR(__xludf.DUMMYFUNCTION("""COMPUTED_VALUE"""),1004007.0)</f>
        <v>1004007</v>
      </c>
      <c r="E402" s="12">
        <f>IFERROR(__xludf.DUMMYFUNCTION("""COMPUTED_VALUE"""),7.0)</f>
        <v>7</v>
      </c>
      <c r="F402" s="12">
        <f>IFERROR(__xludf.DUMMYFUNCTION("""COMPUTED_VALUE"""),0.0)</f>
        <v>0</v>
      </c>
      <c r="G402" s="12">
        <f>IFERROR(__xludf.DUMMYFUNCTION("""COMPUTED_VALUE"""),0.0)</f>
        <v>0</v>
      </c>
      <c r="H402" s="12" t="str">
        <f>IFERROR(__xludf.DUMMYFUNCTION("""COMPUTED_VALUE"""),"Wrong product")</f>
        <v>Wrong product</v>
      </c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>
      <c r="A403" s="12">
        <f>IFERROR(__xludf.DUMMYFUNCTION("""COMPUTED_VALUE"""),2021.0)</f>
        <v>2021</v>
      </c>
      <c r="B403" s="12">
        <f>IFERROR(__xludf.DUMMYFUNCTION("""COMPUTED_VALUE"""),10.0)</f>
        <v>10</v>
      </c>
      <c r="C403" s="12">
        <f>IFERROR(__xludf.DUMMYFUNCTION("""COMPUTED_VALUE"""),9.0)</f>
        <v>9</v>
      </c>
      <c r="D403" s="12">
        <f>IFERROR(__xludf.DUMMYFUNCTION("""COMPUTED_VALUE"""),1003963.0)</f>
        <v>1003963</v>
      </c>
      <c r="E403" s="12">
        <f>IFERROR(__xludf.DUMMYFUNCTION("""COMPUTED_VALUE"""),1.0)</f>
        <v>1</v>
      </c>
      <c r="F403" s="12">
        <f>IFERROR(__xludf.DUMMYFUNCTION("""COMPUTED_VALUE"""),0.87)</f>
        <v>0.87</v>
      </c>
      <c r="G403" s="12">
        <f>IFERROR(__xludf.DUMMYFUNCTION("""COMPUTED_VALUE"""),0.0)</f>
        <v>0</v>
      </c>
      <c r="H403" s="12" t="str">
        <f>IFERROR(__xludf.DUMMYFUNCTION("""COMPUTED_VALUE"""),"Wrong product")</f>
        <v>Wrong product</v>
      </c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>
      <c r="A404" s="12">
        <f>IFERROR(__xludf.DUMMYFUNCTION("""COMPUTED_VALUE"""),2021.0)</f>
        <v>2021</v>
      </c>
      <c r="B404" s="12">
        <f>IFERROR(__xludf.DUMMYFUNCTION("""COMPUTED_VALUE"""),10.0)</f>
        <v>10</v>
      </c>
      <c r="C404" s="12">
        <f>IFERROR(__xludf.DUMMYFUNCTION("""COMPUTED_VALUE"""),9.0)</f>
        <v>9</v>
      </c>
      <c r="D404" s="12">
        <f>IFERROR(__xludf.DUMMYFUNCTION("""COMPUTED_VALUE"""),1003534.0)</f>
        <v>1003534</v>
      </c>
      <c r="E404" s="12">
        <f>IFERROR(__xludf.DUMMYFUNCTION("""COMPUTED_VALUE"""),7.0)</f>
        <v>7</v>
      </c>
      <c r="F404" s="12">
        <f>IFERROR(__xludf.DUMMYFUNCTION("""COMPUTED_VALUE"""),3.49)</f>
        <v>3.49</v>
      </c>
      <c r="G404" s="12">
        <f>IFERROR(__xludf.DUMMYFUNCTION("""COMPUTED_VALUE"""),0.0)</f>
        <v>0</v>
      </c>
      <c r="H404" s="12" t="str">
        <f>IFERROR(__xludf.DUMMYFUNCTION("""COMPUTED_VALUE"""),"Damage")</f>
        <v>Damage</v>
      </c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>
      <c r="A405" s="12">
        <f>IFERROR(__xludf.DUMMYFUNCTION("""COMPUTED_VALUE"""),2021.0)</f>
        <v>2021</v>
      </c>
      <c r="B405" s="12">
        <f>IFERROR(__xludf.DUMMYFUNCTION("""COMPUTED_VALUE"""),10.0)</f>
        <v>10</v>
      </c>
      <c r="C405" s="12">
        <f>IFERROR(__xludf.DUMMYFUNCTION("""COMPUTED_VALUE"""),9.0)</f>
        <v>9</v>
      </c>
      <c r="D405" s="12">
        <f>IFERROR(__xludf.DUMMYFUNCTION("""COMPUTED_VALUE"""),1003338.0)</f>
        <v>1003338</v>
      </c>
      <c r="E405" s="13">
        <f>IFERROR(__xludf.DUMMYFUNCTION("""COMPUTED_VALUE"""),0.7172113479667884)</f>
        <v>0.717211348</v>
      </c>
      <c r="F405" s="12">
        <f>IFERROR(__xludf.DUMMYFUNCTION("""COMPUTED_VALUE"""),0.88)</f>
        <v>0.88</v>
      </c>
      <c r="G405" s="12">
        <f>IFERROR(__xludf.DUMMYFUNCTION("""COMPUTED_VALUE"""),0.0)</f>
        <v>0</v>
      </c>
      <c r="H405" s="12" t="str">
        <f>IFERROR(__xludf.DUMMYFUNCTION("""COMPUTED_VALUE"""),"Return")</f>
        <v>Return</v>
      </c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>
      <c r="A406" s="12">
        <f>IFERROR(__xludf.DUMMYFUNCTION("""COMPUTED_VALUE"""),2021.0)</f>
        <v>2021</v>
      </c>
      <c r="B406" s="12">
        <f>IFERROR(__xludf.DUMMYFUNCTION("""COMPUTED_VALUE"""),10.0)</f>
        <v>10</v>
      </c>
      <c r="C406" s="12">
        <f>IFERROR(__xludf.DUMMYFUNCTION("""COMPUTED_VALUE"""),9.0)</f>
        <v>9</v>
      </c>
      <c r="D406" s="12">
        <f>IFERROR(__xludf.DUMMYFUNCTION("""COMPUTED_VALUE"""),1003926.0)</f>
        <v>1003926</v>
      </c>
      <c r="E406" s="12">
        <f>IFERROR(__xludf.DUMMYFUNCTION("""COMPUTED_VALUE"""),13.0)</f>
        <v>13</v>
      </c>
      <c r="F406" s="12">
        <f>IFERROR(__xludf.DUMMYFUNCTION("""COMPUTED_VALUE"""),0.0)</f>
        <v>0</v>
      </c>
      <c r="G406" s="12">
        <f>IFERROR(__xludf.DUMMYFUNCTION("""COMPUTED_VALUE"""),0.0)</f>
        <v>0</v>
      </c>
      <c r="H406" s="12" t="str">
        <f>IFERROR(__xludf.DUMMYFUNCTION("""COMPUTED_VALUE"""),"Return")</f>
        <v>Return</v>
      </c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>
      <c r="A407" s="12">
        <f>IFERROR(__xludf.DUMMYFUNCTION("""COMPUTED_VALUE"""),2021.0)</f>
        <v>2021</v>
      </c>
      <c r="B407" s="12">
        <f>IFERROR(__xludf.DUMMYFUNCTION("""COMPUTED_VALUE"""),10.0)</f>
        <v>10</v>
      </c>
      <c r="C407" s="12">
        <f>IFERROR(__xludf.DUMMYFUNCTION("""COMPUTED_VALUE"""),9.0)</f>
        <v>9</v>
      </c>
      <c r="D407" s="12">
        <f>IFERROR(__xludf.DUMMYFUNCTION("""COMPUTED_VALUE"""),1003571.0)</f>
        <v>1003571</v>
      </c>
      <c r="E407" s="12">
        <f>IFERROR(__xludf.DUMMYFUNCTION("""COMPUTED_VALUE"""),2.0)</f>
        <v>2</v>
      </c>
      <c r="F407" s="12">
        <f>IFERROR(__xludf.DUMMYFUNCTION("""COMPUTED_VALUE"""),0.0)</f>
        <v>0</v>
      </c>
      <c r="G407" s="12">
        <f>IFERROR(__xludf.DUMMYFUNCTION("""COMPUTED_VALUE"""),0.0)</f>
        <v>0</v>
      </c>
      <c r="H407" s="12" t="str">
        <f>IFERROR(__xludf.DUMMYFUNCTION("""COMPUTED_VALUE"""),"Return")</f>
        <v>Return</v>
      </c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>
      <c r="A408" s="12">
        <f>IFERROR(__xludf.DUMMYFUNCTION("""COMPUTED_VALUE"""),2021.0)</f>
        <v>2021</v>
      </c>
      <c r="B408" s="12">
        <f>IFERROR(__xludf.DUMMYFUNCTION("""COMPUTED_VALUE"""),10.0)</f>
        <v>10</v>
      </c>
      <c r="C408" s="12">
        <f>IFERROR(__xludf.DUMMYFUNCTION("""COMPUTED_VALUE"""),9.0)</f>
        <v>9</v>
      </c>
      <c r="D408" s="12">
        <f>IFERROR(__xludf.DUMMYFUNCTION("""COMPUTED_VALUE"""),1003774.0)</f>
        <v>1003774</v>
      </c>
      <c r="E408" s="12">
        <f>IFERROR(__xludf.DUMMYFUNCTION("""COMPUTED_VALUE"""),6.0)</f>
        <v>6</v>
      </c>
      <c r="F408" s="12">
        <f>IFERROR(__xludf.DUMMYFUNCTION("""COMPUTED_VALUE"""),8.25)</f>
        <v>8.25</v>
      </c>
      <c r="G408" s="12">
        <f>IFERROR(__xludf.DUMMYFUNCTION("""COMPUTED_VALUE"""),0.0)</f>
        <v>0</v>
      </c>
      <c r="H408" s="12" t="str">
        <f>IFERROR(__xludf.DUMMYFUNCTION("""COMPUTED_VALUE"""),"Return")</f>
        <v>Return</v>
      </c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>
      <c r="A409" s="12">
        <f>IFERROR(__xludf.DUMMYFUNCTION("""COMPUTED_VALUE"""),2021.0)</f>
        <v>2021</v>
      </c>
      <c r="B409" s="12">
        <f>IFERROR(__xludf.DUMMYFUNCTION("""COMPUTED_VALUE"""),10.0)</f>
        <v>10</v>
      </c>
      <c r="C409" s="12">
        <f>IFERROR(__xludf.DUMMYFUNCTION("""COMPUTED_VALUE"""),9.0)</f>
        <v>9</v>
      </c>
      <c r="D409" s="12">
        <f>IFERROR(__xludf.DUMMYFUNCTION("""COMPUTED_VALUE"""),1003665.0)</f>
        <v>1003665</v>
      </c>
      <c r="E409" s="12">
        <f>IFERROR(__xludf.DUMMYFUNCTION("""COMPUTED_VALUE"""),4.0)</f>
        <v>4</v>
      </c>
      <c r="F409" s="12">
        <f>IFERROR(__xludf.DUMMYFUNCTION("""COMPUTED_VALUE"""),0.0)</f>
        <v>0</v>
      </c>
      <c r="G409" s="12">
        <f>IFERROR(__xludf.DUMMYFUNCTION("""COMPUTED_VALUE"""),0.0)</f>
        <v>0</v>
      </c>
      <c r="H409" s="12" t="str">
        <f>IFERROR(__xludf.DUMMYFUNCTION("""COMPUTED_VALUE"""),"Wrong product")</f>
        <v>Wrong product</v>
      </c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>
      <c r="A410" s="12">
        <f>IFERROR(__xludf.DUMMYFUNCTION("""COMPUTED_VALUE"""),2021.0)</f>
        <v>2021</v>
      </c>
      <c r="B410" s="12">
        <f>IFERROR(__xludf.DUMMYFUNCTION("""COMPUTED_VALUE"""),10.0)</f>
        <v>10</v>
      </c>
      <c r="C410" s="12">
        <f>IFERROR(__xludf.DUMMYFUNCTION("""COMPUTED_VALUE"""),9.0)</f>
        <v>9</v>
      </c>
      <c r="D410" s="12">
        <f>IFERROR(__xludf.DUMMYFUNCTION("""COMPUTED_VALUE"""),1003873.0)</f>
        <v>1003873</v>
      </c>
      <c r="E410" s="12">
        <f>IFERROR(__xludf.DUMMYFUNCTION("""COMPUTED_VALUE"""),3.0)</f>
        <v>3</v>
      </c>
      <c r="F410" s="12">
        <f>IFERROR(__xludf.DUMMYFUNCTION("""COMPUTED_VALUE"""),0.92)</f>
        <v>0.92</v>
      </c>
      <c r="G410" s="12">
        <f>IFERROR(__xludf.DUMMYFUNCTION("""COMPUTED_VALUE"""),0.0)</f>
        <v>0</v>
      </c>
      <c r="H410" s="12" t="str">
        <f>IFERROR(__xludf.DUMMYFUNCTION("""COMPUTED_VALUE"""),"Damage")</f>
        <v>Damage</v>
      </c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>
      <c r="A411" s="12">
        <f>IFERROR(__xludf.DUMMYFUNCTION("""COMPUTED_VALUE"""),2021.0)</f>
        <v>2021</v>
      </c>
      <c r="B411" s="12">
        <f>IFERROR(__xludf.DUMMYFUNCTION("""COMPUTED_VALUE"""),10.0)</f>
        <v>10</v>
      </c>
      <c r="C411" s="12">
        <f>IFERROR(__xludf.DUMMYFUNCTION("""COMPUTED_VALUE"""),9.0)</f>
        <v>9</v>
      </c>
      <c r="D411" s="12">
        <f>IFERROR(__xludf.DUMMYFUNCTION("""COMPUTED_VALUE"""),1003506.0)</f>
        <v>1003506</v>
      </c>
      <c r="E411" s="12">
        <f>IFERROR(__xludf.DUMMYFUNCTION("""COMPUTED_VALUE"""),3.0)</f>
        <v>3</v>
      </c>
      <c r="F411" s="12">
        <f>IFERROR(__xludf.DUMMYFUNCTION("""COMPUTED_VALUE"""),0.0)</f>
        <v>0</v>
      </c>
      <c r="G411" s="12">
        <f>IFERROR(__xludf.DUMMYFUNCTION("""COMPUTED_VALUE"""),5.0)</f>
        <v>5</v>
      </c>
      <c r="H411" s="12" t="str">
        <f>IFERROR(__xludf.DUMMYFUNCTION("""COMPUTED_VALUE"""),"Wrong product")</f>
        <v>Wrong product</v>
      </c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>
      <c r="A412" s="12">
        <f>IFERROR(__xludf.DUMMYFUNCTION("""COMPUTED_VALUE"""),2021.0)</f>
        <v>2021</v>
      </c>
      <c r="B412" s="12">
        <f>IFERROR(__xludf.DUMMYFUNCTION("""COMPUTED_VALUE"""),10.0)</f>
        <v>10</v>
      </c>
      <c r="C412" s="12">
        <f>IFERROR(__xludf.DUMMYFUNCTION("""COMPUTED_VALUE"""),9.0)</f>
        <v>9</v>
      </c>
      <c r="D412" s="12">
        <f>IFERROR(__xludf.DUMMYFUNCTION("""COMPUTED_VALUE"""),1003931.0)</f>
        <v>1003931</v>
      </c>
      <c r="E412" s="12">
        <f>IFERROR(__xludf.DUMMYFUNCTION("""COMPUTED_VALUE"""),3.0)</f>
        <v>3</v>
      </c>
      <c r="F412" s="12">
        <f>IFERROR(__xludf.DUMMYFUNCTION("""COMPUTED_VALUE"""),0.0)</f>
        <v>0</v>
      </c>
      <c r="G412" s="12">
        <f>IFERROR(__xludf.DUMMYFUNCTION("""COMPUTED_VALUE"""),0.0)</f>
        <v>0</v>
      </c>
      <c r="H412" s="12" t="str">
        <f>IFERROR(__xludf.DUMMYFUNCTION("""COMPUTED_VALUE"""),"Wrong product")</f>
        <v>Wrong product</v>
      </c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>
      <c r="A413" s="12">
        <f>IFERROR(__xludf.DUMMYFUNCTION("""COMPUTED_VALUE"""),2021.0)</f>
        <v>2021</v>
      </c>
      <c r="B413" s="12">
        <f>IFERROR(__xludf.DUMMYFUNCTION("""COMPUTED_VALUE"""),10.0)</f>
        <v>10</v>
      </c>
      <c r="C413" s="12">
        <f>IFERROR(__xludf.DUMMYFUNCTION("""COMPUTED_VALUE"""),9.0)</f>
        <v>9</v>
      </c>
      <c r="D413" s="12">
        <f>IFERROR(__xludf.DUMMYFUNCTION("""COMPUTED_VALUE"""),1003902.0)</f>
        <v>1003902</v>
      </c>
      <c r="E413" s="12">
        <f>IFERROR(__xludf.DUMMYFUNCTION("""COMPUTED_VALUE"""),16.0)</f>
        <v>16</v>
      </c>
      <c r="F413" s="12">
        <f>IFERROR(__xludf.DUMMYFUNCTION("""COMPUTED_VALUE"""),0.0)</f>
        <v>0</v>
      </c>
      <c r="G413" s="12">
        <f>IFERROR(__xludf.DUMMYFUNCTION("""COMPUTED_VALUE"""),0.0)</f>
        <v>0</v>
      </c>
      <c r="H413" s="12" t="str">
        <f>IFERROR(__xludf.DUMMYFUNCTION("""COMPUTED_VALUE"""),"Wrong product")</f>
        <v>Wrong product</v>
      </c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>
      <c r="A414" s="12">
        <f>IFERROR(__xludf.DUMMYFUNCTION("""COMPUTED_VALUE"""),2021.0)</f>
        <v>2021</v>
      </c>
      <c r="B414" s="12">
        <f>IFERROR(__xludf.DUMMYFUNCTION("""COMPUTED_VALUE"""),10.0)</f>
        <v>10</v>
      </c>
      <c r="C414" s="12">
        <f>IFERROR(__xludf.DUMMYFUNCTION("""COMPUTED_VALUE"""),9.0)</f>
        <v>9</v>
      </c>
      <c r="D414" s="12">
        <f>IFERROR(__xludf.DUMMYFUNCTION("""COMPUTED_VALUE"""),1003960.0)</f>
        <v>1003960</v>
      </c>
      <c r="E414" s="12">
        <f>IFERROR(__xludf.DUMMYFUNCTION("""COMPUTED_VALUE"""),8.0)</f>
        <v>8</v>
      </c>
      <c r="F414" s="12">
        <f>IFERROR(__xludf.DUMMYFUNCTION("""COMPUTED_VALUE"""),0.0)</f>
        <v>0</v>
      </c>
      <c r="G414" s="12">
        <f>IFERROR(__xludf.DUMMYFUNCTION("""COMPUTED_VALUE"""),0.0)</f>
        <v>0</v>
      </c>
      <c r="H414" s="12" t="str">
        <f>IFERROR(__xludf.DUMMYFUNCTION("""COMPUTED_VALUE"""),"Damage")</f>
        <v>Damage</v>
      </c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>
      <c r="A415" s="12">
        <f>IFERROR(__xludf.DUMMYFUNCTION("""COMPUTED_VALUE"""),2021.0)</f>
        <v>2021</v>
      </c>
      <c r="B415" s="12">
        <f>IFERROR(__xludf.DUMMYFUNCTION("""COMPUTED_VALUE"""),10.0)</f>
        <v>10</v>
      </c>
      <c r="C415" s="12">
        <f>IFERROR(__xludf.DUMMYFUNCTION("""COMPUTED_VALUE"""),9.0)</f>
        <v>9</v>
      </c>
      <c r="D415" s="12">
        <f>IFERROR(__xludf.DUMMYFUNCTION("""COMPUTED_VALUE"""),1003980.0)</f>
        <v>1003980</v>
      </c>
      <c r="E415" s="12">
        <f>IFERROR(__xludf.DUMMYFUNCTION("""COMPUTED_VALUE"""),2.0)</f>
        <v>2</v>
      </c>
      <c r="F415" s="12">
        <f>IFERROR(__xludf.DUMMYFUNCTION("""COMPUTED_VALUE"""),0.0)</f>
        <v>0</v>
      </c>
      <c r="G415" s="12">
        <f>IFERROR(__xludf.DUMMYFUNCTION("""COMPUTED_VALUE"""),0.0)</f>
        <v>0</v>
      </c>
      <c r="H415" s="12" t="str">
        <f>IFERROR(__xludf.DUMMYFUNCTION("""COMPUTED_VALUE"""),"Return")</f>
        <v>Return</v>
      </c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>
      <c r="A416" s="12">
        <f>IFERROR(__xludf.DUMMYFUNCTION("""COMPUTED_VALUE"""),2021.0)</f>
        <v>2021</v>
      </c>
      <c r="B416" s="12">
        <f>IFERROR(__xludf.DUMMYFUNCTION("""COMPUTED_VALUE"""),10.0)</f>
        <v>10</v>
      </c>
      <c r="C416" s="12">
        <f>IFERROR(__xludf.DUMMYFUNCTION("""COMPUTED_VALUE"""),9.0)</f>
        <v>9</v>
      </c>
      <c r="D416" s="12">
        <f>IFERROR(__xludf.DUMMYFUNCTION("""COMPUTED_VALUE"""),1004002.0)</f>
        <v>1004002</v>
      </c>
      <c r="E416" s="12">
        <f>IFERROR(__xludf.DUMMYFUNCTION("""COMPUTED_VALUE"""),1.0)</f>
        <v>1</v>
      </c>
      <c r="F416" s="12">
        <f>IFERROR(__xludf.DUMMYFUNCTION("""COMPUTED_VALUE"""),0.0)</f>
        <v>0</v>
      </c>
      <c r="G416" s="12">
        <f>IFERROR(__xludf.DUMMYFUNCTION("""COMPUTED_VALUE"""),0.0)</f>
        <v>0</v>
      </c>
      <c r="H416" s="12" t="str">
        <f>IFERROR(__xludf.DUMMYFUNCTION("""COMPUTED_VALUE"""),"Return")</f>
        <v>Return</v>
      </c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>
      <c r="A417" s="12">
        <f>IFERROR(__xludf.DUMMYFUNCTION("""COMPUTED_VALUE"""),2021.0)</f>
        <v>2021</v>
      </c>
      <c r="B417" s="12">
        <f>IFERROR(__xludf.DUMMYFUNCTION("""COMPUTED_VALUE"""),10.0)</f>
        <v>10</v>
      </c>
      <c r="C417" s="12">
        <f>IFERROR(__xludf.DUMMYFUNCTION("""COMPUTED_VALUE"""),9.0)</f>
        <v>9</v>
      </c>
      <c r="D417" s="12">
        <f>IFERROR(__xludf.DUMMYFUNCTION("""COMPUTED_VALUE"""),1003975.0)</f>
        <v>1003975</v>
      </c>
      <c r="E417" s="12">
        <f>IFERROR(__xludf.DUMMYFUNCTION("""COMPUTED_VALUE"""),1.0)</f>
        <v>1</v>
      </c>
      <c r="F417" s="12">
        <f>IFERROR(__xludf.DUMMYFUNCTION("""COMPUTED_VALUE"""),0.0)</f>
        <v>0</v>
      </c>
      <c r="G417" s="12">
        <f>IFERROR(__xludf.DUMMYFUNCTION("""COMPUTED_VALUE"""),0.0)</f>
        <v>0</v>
      </c>
      <c r="H417" s="12" t="str">
        <f>IFERROR(__xludf.DUMMYFUNCTION("""COMPUTED_VALUE"""),"Damage")</f>
        <v>Damage</v>
      </c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>
      <c r="A418" s="12">
        <f>IFERROR(__xludf.DUMMYFUNCTION("""COMPUTED_VALUE"""),2021.0)</f>
        <v>2021</v>
      </c>
      <c r="B418" s="12">
        <f>IFERROR(__xludf.DUMMYFUNCTION("""COMPUTED_VALUE"""),10.0)</f>
        <v>10</v>
      </c>
      <c r="C418" s="12">
        <f>IFERROR(__xludf.DUMMYFUNCTION("""COMPUTED_VALUE"""),9.0)</f>
        <v>9</v>
      </c>
      <c r="D418" s="12">
        <f>IFERROR(__xludf.DUMMYFUNCTION("""COMPUTED_VALUE"""),1003789.0)</f>
        <v>1003789</v>
      </c>
      <c r="E418" s="12">
        <f>IFERROR(__xludf.DUMMYFUNCTION("""COMPUTED_VALUE"""),4.0)</f>
        <v>4</v>
      </c>
      <c r="F418" s="12">
        <f>IFERROR(__xludf.DUMMYFUNCTION("""COMPUTED_VALUE"""),0.0)</f>
        <v>0</v>
      </c>
      <c r="G418" s="12">
        <f>IFERROR(__xludf.DUMMYFUNCTION("""COMPUTED_VALUE"""),0.0)</f>
        <v>0</v>
      </c>
      <c r="H418" s="12" t="str">
        <f>IFERROR(__xludf.DUMMYFUNCTION("""COMPUTED_VALUE"""),"Wrong product")</f>
        <v>Wrong product</v>
      </c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>
      <c r="A419" s="12">
        <f>IFERROR(__xludf.DUMMYFUNCTION("""COMPUTED_VALUE"""),2021.0)</f>
        <v>2021</v>
      </c>
      <c r="B419" s="12">
        <f>IFERROR(__xludf.DUMMYFUNCTION("""COMPUTED_VALUE"""),10.0)</f>
        <v>10</v>
      </c>
      <c r="C419" s="12">
        <f>IFERROR(__xludf.DUMMYFUNCTION("""COMPUTED_VALUE"""),9.0)</f>
        <v>9</v>
      </c>
      <c r="D419" s="12">
        <f>IFERROR(__xludf.DUMMYFUNCTION("""COMPUTED_VALUE"""),1003425.0)</f>
        <v>1003425</v>
      </c>
      <c r="E419" s="12">
        <f>IFERROR(__xludf.DUMMYFUNCTION("""COMPUTED_VALUE"""),4.0)</f>
        <v>4</v>
      </c>
      <c r="F419" s="12">
        <f>IFERROR(__xludf.DUMMYFUNCTION("""COMPUTED_VALUE"""),0.0)</f>
        <v>0</v>
      </c>
      <c r="G419" s="12">
        <f>IFERROR(__xludf.DUMMYFUNCTION("""COMPUTED_VALUE"""),0.0)</f>
        <v>0</v>
      </c>
      <c r="H419" s="12" t="str">
        <f>IFERROR(__xludf.DUMMYFUNCTION("""COMPUTED_VALUE"""),"Wrong product")</f>
        <v>Wrong product</v>
      </c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>
      <c r="A420" s="12">
        <f>IFERROR(__xludf.DUMMYFUNCTION("""COMPUTED_VALUE"""),2021.0)</f>
        <v>2021</v>
      </c>
      <c r="B420" s="12">
        <f>IFERROR(__xludf.DUMMYFUNCTION("""COMPUTED_VALUE"""),10.0)</f>
        <v>10</v>
      </c>
      <c r="C420" s="12">
        <f>IFERROR(__xludf.DUMMYFUNCTION("""COMPUTED_VALUE"""),9.0)</f>
        <v>9</v>
      </c>
      <c r="D420" s="12">
        <f>IFERROR(__xludf.DUMMYFUNCTION("""COMPUTED_VALUE"""),1004012.0)</f>
        <v>1004012</v>
      </c>
      <c r="E420" s="12">
        <f>IFERROR(__xludf.DUMMYFUNCTION("""COMPUTED_VALUE"""),3.0)</f>
        <v>3</v>
      </c>
      <c r="F420" s="12">
        <f>IFERROR(__xludf.DUMMYFUNCTION("""COMPUTED_VALUE"""),0.0)</f>
        <v>0</v>
      </c>
      <c r="G420" s="12">
        <f>IFERROR(__xludf.DUMMYFUNCTION("""COMPUTED_VALUE"""),0.0)</f>
        <v>0</v>
      </c>
      <c r="H420" s="12" t="str">
        <f>IFERROR(__xludf.DUMMYFUNCTION("""COMPUTED_VALUE"""),"Wrong product")</f>
        <v>Wrong product</v>
      </c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>
      <c r="A421" s="12">
        <f>IFERROR(__xludf.DUMMYFUNCTION("""COMPUTED_VALUE"""),2021.0)</f>
        <v>2021</v>
      </c>
      <c r="B421" s="12">
        <f>IFERROR(__xludf.DUMMYFUNCTION("""COMPUTED_VALUE"""),10.0)</f>
        <v>10</v>
      </c>
      <c r="C421" s="12">
        <f>IFERROR(__xludf.DUMMYFUNCTION("""COMPUTED_VALUE"""),9.0)</f>
        <v>9</v>
      </c>
      <c r="D421" s="12">
        <f>IFERROR(__xludf.DUMMYFUNCTION("""COMPUTED_VALUE"""),1003750.0)</f>
        <v>1003750</v>
      </c>
      <c r="E421" s="12">
        <f>IFERROR(__xludf.DUMMYFUNCTION("""COMPUTED_VALUE"""),6.0)</f>
        <v>6</v>
      </c>
      <c r="F421" s="12">
        <f>IFERROR(__xludf.DUMMYFUNCTION("""COMPUTED_VALUE"""),0.0)</f>
        <v>0</v>
      </c>
      <c r="G421" s="12">
        <f>IFERROR(__xludf.DUMMYFUNCTION("""COMPUTED_VALUE"""),0.0)</f>
        <v>0</v>
      </c>
      <c r="H421" s="12" t="str">
        <f>IFERROR(__xludf.DUMMYFUNCTION("""COMPUTED_VALUE"""),"Wrong product")</f>
        <v>Wrong product</v>
      </c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>
      <c r="A422" s="12">
        <f>IFERROR(__xludf.DUMMYFUNCTION("""COMPUTED_VALUE"""),2021.0)</f>
        <v>2021</v>
      </c>
      <c r="B422" s="12">
        <f>IFERROR(__xludf.DUMMYFUNCTION("""COMPUTED_VALUE"""),10.0)</f>
        <v>10</v>
      </c>
      <c r="C422" s="12">
        <f>IFERROR(__xludf.DUMMYFUNCTION("""COMPUTED_VALUE"""),9.0)</f>
        <v>9</v>
      </c>
      <c r="D422" s="12">
        <f>IFERROR(__xludf.DUMMYFUNCTION("""COMPUTED_VALUE"""),1003795.0)</f>
        <v>1003795</v>
      </c>
      <c r="E422" s="12">
        <f>IFERROR(__xludf.DUMMYFUNCTION("""COMPUTED_VALUE"""),6.0)</f>
        <v>6</v>
      </c>
      <c r="F422" s="12">
        <f>IFERROR(__xludf.DUMMYFUNCTION("""COMPUTED_VALUE"""),0.0)</f>
        <v>0</v>
      </c>
      <c r="G422" s="12">
        <f>IFERROR(__xludf.DUMMYFUNCTION("""COMPUTED_VALUE"""),5.0)</f>
        <v>5</v>
      </c>
      <c r="H422" s="12" t="str">
        <f>IFERROR(__xludf.DUMMYFUNCTION("""COMPUTED_VALUE"""),"Wrong product")</f>
        <v>Wrong product</v>
      </c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>
      <c r="A423" s="12">
        <f>IFERROR(__xludf.DUMMYFUNCTION("""COMPUTED_VALUE"""),2021.0)</f>
        <v>2021</v>
      </c>
      <c r="B423" s="12">
        <f>IFERROR(__xludf.DUMMYFUNCTION("""COMPUTED_VALUE"""),10.0)</f>
        <v>10</v>
      </c>
      <c r="C423" s="12">
        <f>IFERROR(__xludf.DUMMYFUNCTION("""COMPUTED_VALUE"""),9.0)</f>
        <v>9</v>
      </c>
      <c r="D423" s="12">
        <f>IFERROR(__xludf.DUMMYFUNCTION("""COMPUTED_VALUE"""),1003610.0)</f>
        <v>1003610</v>
      </c>
      <c r="E423" s="12">
        <f>IFERROR(__xludf.DUMMYFUNCTION("""COMPUTED_VALUE"""),2.0)</f>
        <v>2</v>
      </c>
      <c r="F423" s="12">
        <f>IFERROR(__xludf.DUMMYFUNCTION("""COMPUTED_VALUE"""),0.0)</f>
        <v>0</v>
      </c>
      <c r="G423" s="12">
        <f>IFERROR(__xludf.DUMMYFUNCTION("""COMPUTED_VALUE"""),0.0)</f>
        <v>0</v>
      </c>
      <c r="H423" s="12" t="str">
        <f>IFERROR(__xludf.DUMMYFUNCTION("""COMPUTED_VALUE"""),"Damage")</f>
        <v>Damage</v>
      </c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>
      <c r="A424" s="12">
        <f>IFERROR(__xludf.DUMMYFUNCTION("""COMPUTED_VALUE"""),2021.0)</f>
        <v>2021</v>
      </c>
      <c r="B424" s="12">
        <f>IFERROR(__xludf.DUMMYFUNCTION("""COMPUTED_VALUE"""),10.0)</f>
        <v>10</v>
      </c>
      <c r="C424" s="12">
        <f>IFERROR(__xludf.DUMMYFUNCTION("""COMPUTED_VALUE"""),9.0)</f>
        <v>9</v>
      </c>
      <c r="D424" s="12">
        <f>IFERROR(__xludf.DUMMYFUNCTION("""COMPUTED_VALUE"""),1003391.0)</f>
        <v>1003391</v>
      </c>
      <c r="E424" s="12">
        <f>IFERROR(__xludf.DUMMYFUNCTION("""COMPUTED_VALUE"""),3.0)</f>
        <v>3</v>
      </c>
      <c r="F424" s="12">
        <f>IFERROR(__xludf.DUMMYFUNCTION("""COMPUTED_VALUE"""),0.0)</f>
        <v>0</v>
      </c>
      <c r="G424" s="12">
        <f>IFERROR(__xludf.DUMMYFUNCTION("""COMPUTED_VALUE"""),0.0)</f>
        <v>0</v>
      </c>
      <c r="H424" s="12" t="str">
        <f>IFERROR(__xludf.DUMMYFUNCTION("""COMPUTED_VALUE"""),"Damage")</f>
        <v>Damage</v>
      </c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>
      <c r="A425" s="12">
        <f>IFERROR(__xludf.DUMMYFUNCTION("""COMPUTED_VALUE"""),2021.0)</f>
        <v>2021</v>
      </c>
      <c r="B425" s="12">
        <f>IFERROR(__xludf.DUMMYFUNCTION("""COMPUTED_VALUE"""),10.0)</f>
        <v>10</v>
      </c>
      <c r="C425" s="12">
        <f>IFERROR(__xludf.DUMMYFUNCTION("""COMPUTED_VALUE"""),9.0)</f>
        <v>9</v>
      </c>
      <c r="D425" s="12">
        <f>IFERROR(__xludf.DUMMYFUNCTION("""COMPUTED_VALUE"""),1003373.0)</f>
        <v>1003373</v>
      </c>
      <c r="E425" s="12">
        <f>IFERROR(__xludf.DUMMYFUNCTION("""COMPUTED_VALUE"""),13.0)</f>
        <v>13</v>
      </c>
      <c r="F425" s="12">
        <f>IFERROR(__xludf.DUMMYFUNCTION("""COMPUTED_VALUE"""),6.54)</f>
        <v>6.54</v>
      </c>
      <c r="G425" s="12">
        <f>IFERROR(__xludf.DUMMYFUNCTION("""COMPUTED_VALUE"""),0.0)</f>
        <v>0</v>
      </c>
      <c r="H425" s="12" t="str">
        <f>IFERROR(__xludf.DUMMYFUNCTION("""COMPUTED_VALUE"""),"Wrong product")</f>
        <v>Wrong product</v>
      </c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>
      <c r="A426" s="12">
        <f>IFERROR(__xludf.DUMMYFUNCTION("""COMPUTED_VALUE"""),2021.0)</f>
        <v>2021</v>
      </c>
      <c r="B426" s="12">
        <f>IFERROR(__xludf.DUMMYFUNCTION("""COMPUTED_VALUE"""),10.0)</f>
        <v>10</v>
      </c>
      <c r="C426" s="12">
        <f>IFERROR(__xludf.DUMMYFUNCTION("""COMPUTED_VALUE"""),9.0)</f>
        <v>9</v>
      </c>
      <c r="D426" s="12">
        <f>IFERROR(__xludf.DUMMYFUNCTION("""COMPUTED_VALUE"""),1003961.0)</f>
        <v>1003961</v>
      </c>
      <c r="E426" s="12">
        <f>IFERROR(__xludf.DUMMYFUNCTION("""COMPUTED_VALUE"""),1.0)</f>
        <v>1</v>
      </c>
      <c r="F426" s="12">
        <f>IFERROR(__xludf.DUMMYFUNCTION("""COMPUTED_VALUE"""),3.63)</f>
        <v>3.63</v>
      </c>
      <c r="G426" s="12">
        <f>IFERROR(__xludf.DUMMYFUNCTION("""COMPUTED_VALUE"""),0.0)</f>
        <v>0</v>
      </c>
      <c r="H426" s="12" t="str">
        <f>IFERROR(__xludf.DUMMYFUNCTION("""COMPUTED_VALUE"""),"Return")</f>
        <v>Return</v>
      </c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>
      <c r="A427" s="12">
        <f>IFERROR(__xludf.DUMMYFUNCTION("""COMPUTED_VALUE"""),2021.0)</f>
        <v>2021</v>
      </c>
      <c r="B427" s="12">
        <f>IFERROR(__xludf.DUMMYFUNCTION("""COMPUTED_VALUE"""),10.0)</f>
        <v>10</v>
      </c>
      <c r="C427" s="12">
        <f>IFERROR(__xludf.DUMMYFUNCTION("""COMPUTED_VALUE"""),9.0)</f>
        <v>9</v>
      </c>
      <c r="D427" s="12">
        <f>IFERROR(__xludf.DUMMYFUNCTION("""COMPUTED_VALUE"""),1003703.0)</f>
        <v>1003703</v>
      </c>
      <c r="E427" s="12">
        <f>IFERROR(__xludf.DUMMYFUNCTION("""COMPUTED_VALUE"""),2.0)</f>
        <v>2</v>
      </c>
      <c r="F427" s="12">
        <f>IFERROR(__xludf.DUMMYFUNCTION("""COMPUTED_VALUE"""),0.0)</f>
        <v>0</v>
      </c>
      <c r="G427" s="12">
        <f>IFERROR(__xludf.DUMMYFUNCTION("""COMPUTED_VALUE"""),5.0)</f>
        <v>5</v>
      </c>
      <c r="H427" s="12" t="str">
        <f>IFERROR(__xludf.DUMMYFUNCTION("""COMPUTED_VALUE"""),"Return")</f>
        <v>Return</v>
      </c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>
      <c r="A428" s="12">
        <f>IFERROR(__xludf.DUMMYFUNCTION("""COMPUTED_VALUE"""),2021.0)</f>
        <v>2021</v>
      </c>
      <c r="B428" s="12">
        <f>IFERROR(__xludf.DUMMYFUNCTION("""COMPUTED_VALUE"""),10.0)</f>
        <v>10</v>
      </c>
      <c r="C428" s="12">
        <f>IFERROR(__xludf.DUMMYFUNCTION("""COMPUTED_VALUE"""),9.0)</f>
        <v>9</v>
      </c>
      <c r="D428" s="12">
        <f>IFERROR(__xludf.DUMMYFUNCTION("""COMPUTED_VALUE"""),1003530.0)</f>
        <v>1003530</v>
      </c>
      <c r="E428" s="12">
        <f>IFERROR(__xludf.DUMMYFUNCTION("""COMPUTED_VALUE"""),3.0)</f>
        <v>3</v>
      </c>
      <c r="F428" s="12">
        <f>IFERROR(__xludf.DUMMYFUNCTION("""COMPUTED_VALUE"""),0.0)</f>
        <v>0</v>
      </c>
      <c r="G428" s="12">
        <f>IFERROR(__xludf.DUMMYFUNCTION("""COMPUTED_VALUE"""),5.0)</f>
        <v>5</v>
      </c>
      <c r="H428" s="12" t="str">
        <f>IFERROR(__xludf.DUMMYFUNCTION("""COMPUTED_VALUE"""),"Return")</f>
        <v>Return</v>
      </c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>
      <c r="A429" s="12">
        <f>IFERROR(__xludf.DUMMYFUNCTION("""COMPUTED_VALUE"""),2021.0)</f>
        <v>2021</v>
      </c>
      <c r="B429" s="12">
        <f>IFERROR(__xludf.DUMMYFUNCTION("""COMPUTED_VALUE"""),10.0)</f>
        <v>10</v>
      </c>
      <c r="C429" s="12">
        <f>IFERROR(__xludf.DUMMYFUNCTION("""COMPUTED_VALUE"""),9.0)</f>
        <v>9</v>
      </c>
      <c r="D429" s="12">
        <f>IFERROR(__xludf.DUMMYFUNCTION("""COMPUTED_VALUE"""),1003284.0)</f>
        <v>1003284</v>
      </c>
      <c r="E429" s="12">
        <f>IFERROR(__xludf.DUMMYFUNCTION("""COMPUTED_VALUE"""),1.0)</f>
        <v>1</v>
      </c>
      <c r="F429" s="12">
        <f>IFERROR(__xludf.DUMMYFUNCTION("""COMPUTED_VALUE"""),0.0)</f>
        <v>0</v>
      </c>
      <c r="G429" s="12">
        <f>IFERROR(__xludf.DUMMYFUNCTION("""COMPUTED_VALUE"""),0.0)</f>
        <v>0</v>
      </c>
      <c r="H429" s="12" t="str">
        <f>IFERROR(__xludf.DUMMYFUNCTION("""COMPUTED_VALUE"""),"Wrong product")</f>
        <v>Wrong product</v>
      </c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>
      <c r="A430" s="12">
        <f>IFERROR(__xludf.DUMMYFUNCTION("""COMPUTED_VALUE"""),2021.0)</f>
        <v>2021</v>
      </c>
      <c r="B430" s="12">
        <f>IFERROR(__xludf.DUMMYFUNCTION("""COMPUTED_VALUE"""),10.0)</f>
        <v>10</v>
      </c>
      <c r="C430" s="12">
        <f>IFERROR(__xludf.DUMMYFUNCTION("""COMPUTED_VALUE"""),9.0)</f>
        <v>9</v>
      </c>
      <c r="D430" s="12">
        <f>IFERROR(__xludf.DUMMYFUNCTION("""COMPUTED_VALUE"""),1003318.0)</f>
        <v>1003318</v>
      </c>
      <c r="E430" s="12">
        <f>IFERROR(__xludf.DUMMYFUNCTION("""COMPUTED_VALUE"""),16.0)</f>
        <v>16</v>
      </c>
      <c r="F430" s="12">
        <f>IFERROR(__xludf.DUMMYFUNCTION("""COMPUTED_VALUE"""),0.0)</f>
        <v>0</v>
      </c>
      <c r="G430" s="12">
        <f>IFERROR(__xludf.DUMMYFUNCTION("""COMPUTED_VALUE"""),0.0)</f>
        <v>0</v>
      </c>
      <c r="H430" s="12" t="str">
        <f>IFERROR(__xludf.DUMMYFUNCTION("""COMPUTED_VALUE"""),"Damage")</f>
        <v>Damage</v>
      </c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>
      <c r="A431" s="12">
        <f>IFERROR(__xludf.DUMMYFUNCTION("""COMPUTED_VALUE"""),2021.0)</f>
        <v>2021</v>
      </c>
      <c r="B431" s="12">
        <f>IFERROR(__xludf.DUMMYFUNCTION("""COMPUTED_VALUE"""),10.0)</f>
        <v>10</v>
      </c>
      <c r="C431" s="12">
        <f>IFERROR(__xludf.DUMMYFUNCTION("""COMPUTED_VALUE"""),9.0)</f>
        <v>9</v>
      </c>
      <c r="D431" s="12">
        <f>IFERROR(__xludf.DUMMYFUNCTION("""COMPUTED_VALUE"""),1003970.0)</f>
        <v>1003970</v>
      </c>
      <c r="E431" s="12">
        <f>IFERROR(__xludf.DUMMYFUNCTION("""COMPUTED_VALUE"""),7.0)</f>
        <v>7</v>
      </c>
      <c r="F431" s="12">
        <f>IFERROR(__xludf.DUMMYFUNCTION("""COMPUTED_VALUE"""),0.0)</f>
        <v>0</v>
      </c>
      <c r="G431" s="12">
        <f>IFERROR(__xludf.DUMMYFUNCTION("""COMPUTED_VALUE"""),0.0)</f>
        <v>0</v>
      </c>
      <c r="H431" s="12" t="str">
        <f>IFERROR(__xludf.DUMMYFUNCTION("""COMPUTED_VALUE"""),"Return")</f>
        <v>Return</v>
      </c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>
      <c r="A432" s="12">
        <f>IFERROR(__xludf.DUMMYFUNCTION("""COMPUTED_VALUE"""),2021.0)</f>
        <v>2021</v>
      </c>
      <c r="B432" s="12">
        <f>IFERROR(__xludf.DUMMYFUNCTION("""COMPUTED_VALUE"""),10.0)</f>
        <v>10</v>
      </c>
      <c r="C432" s="12">
        <f>IFERROR(__xludf.DUMMYFUNCTION("""COMPUTED_VALUE"""),10.0)</f>
        <v>10</v>
      </c>
      <c r="D432" s="12">
        <f>IFERROR(__xludf.DUMMYFUNCTION("""COMPUTED_VALUE"""),1003289.0)</f>
        <v>1003289</v>
      </c>
      <c r="E432" s="12">
        <f>IFERROR(__xludf.DUMMYFUNCTION("""COMPUTED_VALUE"""),17.0)</f>
        <v>17</v>
      </c>
      <c r="F432" s="12">
        <f>IFERROR(__xludf.DUMMYFUNCTION("""COMPUTED_VALUE"""),0.0)</f>
        <v>0</v>
      </c>
      <c r="G432" s="12">
        <f>IFERROR(__xludf.DUMMYFUNCTION("""COMPUTED_VALUE"""),0.0)</f>
        <v>0</v>
      </c>
      <c r="H432" s="12" t="str">
        <f>IFERROR(__xludf.DUMMYFUNCTION("""COMPUTED_VALUE"""),"Wrong product")</f>
        <v>Wrong product</v>
      </c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>
      <c r="A433" s="12">
        <f>IFERROR(__xludf.DUMMYFUNCTION("""COMPUTED_VALUE"""),2021.0)</f>
        <v>2021</v>
      </c>
      <c r="B433" s="12">
        <f>IFERROR(__xludf.DUMMYFUNCTION("""COMPUTED_VALUE"""),10.0)</f>
        <v>10</v>
      </c>
      <c r="C433" s="12">
        <f>IFERROR(__xludf.DUMMYFUNCTION("""COMPUTED_VALUE"""),11.0)</f>
        <v>11</v>
      </c>
      <c r="D433" s="12">
        <f>IFERROR(__xludf.DUMMYFUNCTION("""COMPUTED_VALUE"""),1003921.0)</f>
        <v>1003921</v>
      </c>
      <c r="E433" s="12">
        <f>IFERROR(__xludf.DUMMYFUNCTION("""COMPUTED_VALUE"""),1.0)</f>
        <v>1</v>
      </c>
      <c r="F433" s="12">
        <f>IFERROR(__xludf.DUMMYFUNCTION("""COMPUTED_VALUE"""),0.0)</f>
        <v>0</v>
      </c>
      <c r="G433" s="12">
        <f>IFERROR(__xludf.DUMMYFUNCTION("""COMPUTED_VALUE"""),10.0)</f>
        <v>10</v>
      </c>
      <c r="H433" s="12" t="str">
        <f>IFERROR(__xludf.DUMMYFUNCTION("""COMPUTED_VALUE"""),"Return")</f>
        <v>Return</v>
      </c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>
      <c r="A434" s="12">
        <f>IFERROR(__xludf.DUMMYFUNCTION("""COMPUTED_VALUE"""),2021.0)</f>
        <v>2021</v>
      </c>
      <c r="B434" s="12">
        <f>IFERROR(__xludf.DUMMYFUNCTION("""COMPUTED_VALUE"""),10.0)</f>
        <v>10</v>
      </c>
      <c r="C434" s="12">
        <f>IFERROR(__xludf.DUMMYFUNCTION("""COMPUTED_VALUE"""),11.0)</f>
        <v>11</v>
      </c>
      <c r="D434" s="12">
        <f>IFERROR(__xludf.DUMMYFUNCTION("""COMPUTED_VALUE"""),1004008.0)</f>
        <v>1004008</v>
      </c>
      <c r="E434" s="12">
        <f>IFERROR(__xludf.DUMMYFUNCTION("""COMPUTED_VALUE"""),1.0)</f>
        <v>1</v>
      </c>
      <c r="F434" s="12">
        <f>IFERROR(__xludf.DUMMYFUNCTION("""COMPUTED_VALUE"""),0.0)</f>
        <v>0</v>
      </c>
      <c r="G434" s="12">
        <f>IFERROR(__xludf.DUMMYFUNCTION("""COMPUTED_VALUE"""),0.0)</f>
        <v>0</v>
      </c>
      <c r="H434" s="12" t="str">
        <f>IFERROR(__xludf.DUMMYFUNCTION("""COMPUTED_VALUE"""),"Return")</f>
        <v>Return</v>
      </c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>
      <c r="A435" s="12">
        <f>IFERROR(__xludf.DUMMYFUNCTION("""COMPUTED_VALUE"""),2021.0)</f>
        <v>2021</v>
      </c>
      <c r="B435" s="12">
        <f>IFERROR(__xludf.DUMMYFUNCTION("""COMPUTED_VALUE"""),10.0)</f>
        <v>10</v>
      </c>
      <c r="C435" s="12">
        <f>IFERROR(__xludf.DUMMYFUNCTION("""COMPUTED_VALUE"""),11.0)</f>
        <v>11</v>
      </c>
      <c r="D435" s="12">
        <f>IFERROR(__xludf.DUMMYFUNCTION("""COMPUTED_VALUE"""),1003922.0)</f>
        <v>1003922</v>
      </c>
      <c r="E435" s="12">
        <f>IFERROR(__xludf.DUMMYFUNCTION("""COMPUTED_VALUE"""),2.0)</f>
        <v>2</v>
      </c>
      <c r="F435" s="12">
        <f>IFERROR(__xludf.DUMMYFUNCTION("""COMPUTED_VALUE"""),0.0)</f>
        <v>0</v>
      </c>
      <c r="G435" s="12">
        <f>IFERROR(__xludf.DUMMYFUNCTION("""COMPUTED_VALUE"""),10.0)</f>
        <v>10</v>
      </c>
      <c r="H435" s="12" t="str">
        <f>IFERROR(__xludf.DUMMYFUNCTION("""COMPUTED_VALUE"""),"Return")</f>
        <v>Return</v>
      </c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>
      <c r="A436" s="12">
        <f>IFERROR(__xludf.DUMMYFUNCTION("""COMPUTED_VALUE"""),2021.0)</f>
        <v>2021</v>
      </c>
      <c r="B436" s="12">
        <f>IFERROR(__xludf.DUMMYFUNCTION("""COMPUTED_VALUE"""),10.0)</f>
        <v>10</v>
      </c>
      <c r="C436" s="12">
        <f>IFERROR(__xludf.DUMMYFUNCTION("""COMPUTED_VALUE"""),11.0)</f>
        <v>11</v>
      </c>
      <c r="D436" s="12">
        <f>IFERROR(__xludf.DUMMYFUNCTION("""COMPUTED_VALUE"""),1003547.0)</f>
        <v>1003547</v>
      </c>
      <c r="E436" s="12">
        <f>IFERROR(__xludf.DUMMYFUNCTION("""COMPUTED_VALUE"""),15.0)</f>
        <v>15</v>
      </c>
      <c r="F436" s="12">
        <f>IFERROR(__xludf.DUMMYFUNCTION("""COMPUTED_VALUE"""),0.0)</f>
        <v>0</v>
      </c>
      <c r="G436" s="12">
        <f>IFERROR(__xludf.DUMMYFUNCTION("""COMPUTED_VALUE"""),10.0)</f>
        <v>10</v>
      </c>
      <c r="H436" s="12" t="str">
        <f>IFERROR(__xludf.DUMMYFUNCTION("""COMPUTED_VALUE"""),"Return")</f>
        <v>Return</v>
      </c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>
      <c r="A437" s="12">
        <f>IFERROR(__xludf.DUMMYFUNCTION("""COMPUTED_VALUE"""),2021.0)</f>
        <v>2021</v>
      </c>
      <c r="B437" s="12">
        <f>IFERROR(__xludf.DUMMYFUNCTION("""COMPUTED_VALUE"""),10.0)</f>
        <v>10</v>
      </c>
      <c r="C437" s="12">
        <f>IFERROR(__xludf.DUMMYFUNCTION("""COMPUTED_VALUE"""),11.0)</f>
        <v>11</v>
      </c>
      <c r="D437" s="12">
        <f>IFERROR(__xludf.DUMMYFUNCTION("""COMPUTED_VALUE"""),1003766.0)</f>
        <v>1003766</v>
      </c>
      <c r="E437" s="12">
        <f>IFERROR(__xludf.DUMMYFUNCTION("""COMPUTED_VALUE"""),11.0)</f>
        <v>11</v>
      </c>
      <c r="F437" s="12">
        <f>IFERROR(__xludf.DUMMYFUNCTION("""COMPUTED_VALUE"""),0.85)</f>
        <v>0.85</v>
      </c>
      <c r="G437" s="12">
        <f>IFERROR(__xludf.DUMMYFUNCTION("""COMPUTED_VALUE"""),0.0)</f>
        <v>0</v>
      </c>
      <c r="H437" s="12" t="str">
        <f>IFERROR(__xludf.DUMMYFUNCTION("""COMPUTED_VALUE"""),"Damage")</f>
        <v>Damage</v>
      </c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>
      <c r="A438" s="12">
        <f>IFERROR(__xludf.DUMMYFUNCTION("""COMPUTED_VALUE"""),2021.0)</f>
        <v>2021</v>
      </c>
      <c r="B438" s="12">
        <f>IFERROR(__xludf.DUMMYFUNCTION("""COMPUTED_VALUE"""),10.0)</f>
        <v>10</v>
      </c>
      <c r="C438" s="12">
        <f>IFERROR(__xludf.DUMMYFUNCTION("""COMPUTED_VALUE"""),11.0)</f>
        <v>11</v>
      </c>
      <c r="D438" s="12">
        <f>IFERROR(__xludf.DUMMYFUNCTION("""COMPUTED_VALUE"""),1003559.0)</f>
        <v>1003559</v>
      </c>
      <c r="E438" s="12">
        <f>IFERROR(__xludf.DUMMYFUNCTION("""COMPUTED_VALUE"""),1.0)</f>
        <v>1</v>
      </c>
      <c r="F438" s="12">
        <f>IFERROR(__xludf.DUMMYFUNCTION("""COMPUTED_VALUE"""),0.0)</f>
        <v>0</v>
      </c>
      <c r="G438" s="12">
        <f>IFERROR(__xludf.DUMMYFUNCTION("""COMPUTED_VALUE"""),0.0)</f>
        <v>0</v>
      </c>
      <c r="H438" s="12" t="str">
        <f>IFERROR(__xludf.DUMMYFUNCTION("""COMPUTED_VALUE"""),"Damage")</f>
        <v>Damage</v>
      </c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>
      <c r="A439" s="12">
        <f>IFERROR(__xludf.DUMMYFUNCTION("""COMPUTED_VALUE"""),2021.0)</f>
        <v>2021</v>
      </c>
      <c r="B439" s="12">
        <f>IFERROR(__xludf.DUMMYFUNCTION("""COMPUTED_VALUE"""),10.0)</f>
        <v>10</v>
      </c>
      <c r="C439" s="12">
        <f>IFERROR(__xludf.DUMMYFUNCTION("""COMPUTED_VALUE"""),11.0)</f>
        <v>11</v>
      </c>
      <c r="D439" s="12">
        <f>IFERROR(__xludf.DUMMYFUNCTION("""COMPUTED_VALUE"""),1003768.0)</f>
        <v>1003768</v>
      </c>
      <c r="E439" s="12">
        <f>IFERROR(__xludf.DUMMYFUNCTION("""COMPUTED_VALUE"""),1.0)</f>
        <v>1</v>
      </c>
      <c r="F439" s="12">
        <f>IFERROR(__xludf.DUMMYFUNCTION("""COMPUTED_VALUE"""),0.0)</f>
        <v>0</v>
      </c>
      <c r="G439" s="12">
        <f>IFERROR(__xludf.DUMMYFUNCTION("""COMPUTED_VALUE"""),5.0)</f>
        <v>5</v>
      </c>
      <c r="H439" s="12" t="str">
        <f>IFERROR(__xludf.DUMMYFUNCTION("""COMPUTED_VALUE"""),"Return")</f>
        <v>Return</v>
      </c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>
      <c r="A440" s="12">
        <f>IFERROR(__xludf.DUMMYFUNCTION("""COMPUTED_VALUE"""),2021.0)</f>
        <v>2021</v>
      </c>
      <c r="B440" s="12">
        <f>IFERROR(__xludf.DUMMYFUNCTION("""COMPUTED_VALUE"""),10.0)</f>
        <v>10</v>
      </c>
      <c r="C440" s="12">
        <f>IFERROR(__xludf.DUMMYFUNCTION("""COMPUTED_VALUE"""),11.0)</f>
        <v>11</v>
      </c>
      <c r="D440" s="12">
        <f>IFERROR(__xludf.DUMMYFUNCTION("""COMPUTED_VALUE"""),1003651.0)</f>
        <v>1003651</v>
      </c>
      <c r="E440" s="12">
        <f>IFERROR(__xludf.DUMMYFUNCTION("""COMPUTED_VALUE"""),6.0)</f>
        <v>6</v>
      </c>
      <c r="F440" s="12">
        <f>IFERROR(__xludf.DUMMYFUNCTION("""COMPUTED_VALUE"""),5.43)</f>
        <v>5.43</v>
      </c>
      <c r="G440" s="12">
        <f>IFERROR(__xludf.DUMMYFUNCTION("""COMPUTED_VALUE"""),0.0)</f>
        <v>0</v>
      </c>
      <c r="H440" s="12" t="str">
        <f>IFERROR(__xludf.DUMMYFUNCTION("""COMPUTED_VALUE"""),"Wrong product")</f>
        <v>Wrong product</v>
      </c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>
      <c r="A441" s="12">
        <f>IFERROR(__xludf.DUMMYFUNCTION("""COMPUTED_VALUE"""),2021.0)</f>
        <v>2021</v>
      </c>
      <c r="B441" s="12">
        <f>IFERROR(__xludf.DUMMYFUNCTION("""COMPUTED_VALUE"""),10.0)</f>
        <v>10</v>
      </c>
      <c r="C441" s="12">
        <f>IFERROR(__xludf.DUMMYFUNCTION("""COMPUTED_VALUE"""),11.0)</f>
        <v>11</v>
      </c>
      <c r="D441" s="12">
        <f>IFERROR(__xludf.DUMMYFUNCTION("""COMPUTED_VALUE"""),1003820.0)</f>
        <v>1003820</v>
      </c>
      <c r="E441" s="12">
        <f>IFERROR(__xludf.DUMMYFUNCTION("""COMPUTED_VALUE"""),5.0)</f>
        <v>5</v>
      </c>
      <c r="F441" s="12">
        <f>IFERROR(__xludf.DUMMYFUNCTION("""COMPUTED_VALUE"""),0.0)</f>
        <v>0</v>
      </c>
      <c r="G441" s="12">
        <f>IFERROR(__xludf.DUMMYFUNCTION("""COMPUTED_VALUE"""),0.0)</f>
        <v>0</v>
      </c>
      <c r="H441" s="12" t="str">
        <f>IFERROR(__xludf.DUMMYFUNCTION("""COMPUTED_VALUE"""),"Damage")</f>
        <v>Damage</v>
      </c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>
      <c r="A442" s="12">
        <f>IFERROR(__xludf.DUMMYFUNCTION("""COMPUTED_VALUE"""),2021.0)</f>
        <v>2021</v>
      </c>
      <c r="B442" s="12">
        <f>IFERROR(__xludf.DUMMYFUNCTION("""COMPUTED_VALUE"""),10.0)</f>
        <v>10</v>
      </c>
      <c r="C442" s="12">
        <f>IFERROR(__xludf.DUMMYFUNCTION("""COMPUTED_VALUE"""),11.0)</f>
        <v>11</v>
      </c>
      <c r="D442" s="12">
        <f>IFERROR(__xludf.DUMMYFUNCTION("""COMPUTED_VALUE"""),1003988.0)</f>
        <v>1003988</v>
      </c>
      <c r="E442" s="12">
        <f>IFERROR(__xludf.DUMMYFUNCTION("""COMPUTED_VALUE"""),2.0)</f>
        <v>2</v>
      </c>
      <c r="F442" s="12">
        <f>IFERROR(__xludf.DUMMYFUNCTION("""COMPUTED_VALUE"""),0.0)</f>
        <v>0</v>
      </c>
      <c r="G442" s="12">
        <f>IFERROR(__xludf.DUMMYFUNCTION("""COMPUTED_VALUE"""),5.0)</f>
        <v>5</v>
      </c>
      <c r="H442" s="12" t="str">
        <f>IFERROR(__xludf.DUMMYFUNCTION("""COMPUTED_VALUE"""),"Wrong product")</f>
        <v>Wrong product</v>
      </c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>
      <c r="A443" s="12">
        <f>IFERROR(__xludf.DUMMYFUNCTION("""COMPUTED_VALUE"""),2021.0)</f>
        <v>2021</v>
      </c>
      <c r="B443" s="12">
        <f>IFERROR(__xludf.DUMMYFUNCTION("""COMPUTED_VALUE"""),10.0)</f>
        <v>10</v>
      </c>
      <c r="C443" s="12">
        <f>IFERROR(__xludf.DUMMYFUNCTION("""COMPUTED_VALUE"""),11.0)</f>
        <v>11</v>
      </c>
      <c r="D443" s="12">
        <f>IFERROR(__xludf.DUMMYFUNCTION("""COMPUTED_VALUE"""),1003607.0)</f>
        <v>1003607</v>
      </c>
      <c r="E443" s="12">
        <f>IFERROR(__xludf.DUMMYFUNCTION("""COMPUTED_VALUE"""),15.0)</f>
        <v>15</v>
      </c>
      <c r="F443" s="12">
        <f>IFERROR(__xludf.DUMMYFUNCTION("""COMPUTED_VALUE"""),0.0)</f>
        <v>0</v>
      </c>
      <c r="G443" s="12">
        <f>IFERROR(__xludf.DUMMYFUNCTION("""COMPUTED_VALUE"""),0.0)</f>
        <v>0</v>
      </c>
      <c r="H443" s="12" t="str">
        <f>IFERROR(__xludf.DUMMYFUNCTION("""COMPUTED_VALUE"""),"Wrong product")</f>
        <v>Wrong product</v>
      </c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>
      <c r="A444" s="12">
        <f>IFERROR(__xludf.DUMMYFUNCTION("""COMPUTED_VALUE"""),2021.0)</f>
        <v>2021</v>
      </c>
      <c r="B444" s="12">
        <f>IFERROR(__xludf.DUMMYFUNCTION("""COMPUTED_VALUE"""),10.0)</f>
        <v>10</v>
      </c>
      <c r="C444" s="12">
        <f>IFERROR(__xludf.DUMMYFUNCTION("""COMPUTED_VALUE"""),11.0)</f>
        <v>11</v>
      </c>
      <c r="D444" s="12">
        <f>IFERROR(__xludf.DUMMYFUNCTION("""COMPUTED_VALUE"""),1003874.0)</f>
        <v>1003874</v>
      </c>
      <c r="E444" s="12">
        <f>IFERROR(__xludf.DUMMYFUNCTION("""COMPUTED_VALUE"""),1.0)</f>
        <v>1</v>
      </c>
      <c r="F444" s="12">
        <f>IFERROR(__xludf.DUMMYFUNCTION("""COMPUTED_VALUE"""),5.75)</f>
        <v>5.75</v>
      </c>
      <c r="G444" s="12">
        <f>IFERROR(__xludf.DUMMYFUNCTION("""COMPUTED_VALUE"""),0.0)</f>
        <v>0</v>
      </c>
      <c r="H444" s="12" t="str">
        <f>IFERROR(__xludf.DUMMYFUNCTION("""COMPUTED_VALUE"""),"Damage")</f>
        <v>Damage</v>
      </c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>
      <c r="A445" s="12">
        <f>IFERROR(__xludf.DUMMYFUNCTION("""COMPUTED_VALUE"""),2021.0)</f>
        <v>2021</v>
      </c>
      <c r="B445" s="12">
        <f>IFERROR(__xludf.DUMMYFUNCTION("""COMPUTED_VALUE"""),10.0)</f>
        <v>10</v>
      </c>
      <c r="C445" s="12">
        <f>IFERROR(__xludf.DUMMYFUNCTION("""COMPUTED_VALUE"""),11.0)</f>
        <v>11</v>
      </c>
      <c r="D445" s="12">
        <f>IFERROR(__xludf.DUMMYFUNCTION("""COMPUTED_VALUE"""),1003564.0)</f>
        <v>1003564</v>
      </c>
      <c r="E445" s="12">
        <f>IFERROR(__xludf.DUMMYFUNCTION("""COMPUTED_VALUE"""),1.0)</f>
        <v>1</v>
      </c>
      <c r="F445" s="12">
        <f>IFERROR(__xludf.DUMMYFUNCTION("""COMPUTED_VALUE"""),0.0)</f>
        <v>0</v>
      </c>
      <c r="G445" s="12">
        <f>IFERROR(__xludf.DUMMYFUNCTION("""COMPUTED_VALUE"""),0.0)</f>
        <v>0</v>
      </c>
      <c r="H445" s="12" t="str">
        <f>IFERROR(__xludf.DUMMYFUNCTION("""COMPUTED_VALUE"""),"Wrong product")</f>
        <v>Wrong product</v>
      </c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>
      <c r="A446" s="12">
        <f>IFERROR(__xludf.DUMMYFUNCTION("""COMPUTED_VALUE"""),2021.0)</f>
        <v>2021</v>
      </c>
      <c r="B446" s="12">
        <f>IFERROR(__xludf.DUMMYFUNCTION("""COMPUTED_VALUE"""),10.0)</f>
        <v>10</v>
      </c>
      <c r="C446" s="12">
        <f>IFERROR(__xludf.DUMMYFUNCTION("""COMPUTED_VALUE"""),11.0)</f>
        <v>11</v>
      </c>
      <c r="D446" s="12">
        <f>IFERROR(__xludf.DUMMYFUNCTION("""COMPUTED_VALUE"""),1003692.0)</f>
        <v>1003692</v>
      </c>
      <c r="E446" s="12">
        <f>IFERROR(__xludf.DUMMYFUNCTION("""COMPUTED_VALUE"""),1.0)</f>
        <v>1</v>
      </c>
      <c r="F446" s="12">
        <f>IFERROR(__xludf.DUMMYFUNCTION("""COMPUTED_VALUE"""),7.0)</f>
        <v>7</v>
      </c>
      <c r="G446" s="12">
        <f>IFERROR(__xludf.DUMMYFUNCTION("""COMPUTED_VALUE"""),12.0)</f>
        <v>12</v>
      </c>
      <c r="H446" s="12" t="str">
        <f>IFERROR(__xludf.DUMMYFUNCTION("""COMPUTED_VALUE"""),"Return")</f>
        <v>Return</v>
      </c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>
      <c r="A447" s="12">
        <f>IFERROR(__xludf.DUMMYFUNCTION("""COMPUTED_VALUE"""),2021.0)</f>
        <v>2021</v>
      </c>
      <c r="B447" s="12">
        <f>IFERROR(__xludf.DUMMYFUNCTION("""COMPUTED_VALUE"""),10.0)</f>
        <v>10</v>
      </c>
      <c r="C447" s="12">
        <f>IFERROR(__xludf.DUMMYFUNCTION("""COMPUTED_VALUE"""),11.0)</f>
        <v>11</v>
      </c>
      <c r="D447" s="12">
        <f>IFERROR(__xludf.DUMMYFUNCTION("""COMPUTED_VALUE"""),1003410.0)</f>
        <v>1003410</v>
      </c>
      <c r="E447" s="13">
        <f>IFERROR(__xludf.DUMMYFUNCTION("""COMPUTED_VALUE"""),0.6764708825510813)</f>
        <v>0.6764708826</v>
      </c>
      <c r="F447" s="12">
        <f>IFERROR(__xludf.DUMMYFUNCTION("""COMPUTED_VALUE"""),0.0)</f>
        <v>0</v>
      </c>
      <c r="G447" s="12">
        <f>IFERROR(__xludf.DUMMYFUNCTION("""COMPUTED_VALUE"""),0.0)</f>
        <v>0</v>
      </c>
      <c r="H447" s="12" t="str">
        <f>IFERROR(__xludf.DUMMYFUNCTION("""COMPUTED_VALUE"""),"Damage")</f>
        <v>Damage</v>
      </c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>
      <c r="A448" s="12">
        <f>IFERROR(__xludf.DUMMYFUNCTION("""COMPUTED_VALUE"""),2021.0)</f>
        <v>2021</v>
      </c>
      <c r="B448" s="12">
        <f>IFERROR(__xludf.DUMMYFUNCTION("""COMPUTED_VALUE"""),10.0)</f>
        <v>10</v>
      </c>
      <c r="C448" s="12">
        <f>IFERROR(__xludf.DUMMYFUNCTION("""COMPUTED_VALUE"""),11.0)</f>
        <v>11</v>
      </c>
      <c r="D448" s="12">
        <f>IFERROR(__xludf.DUMMYFUNCTION("""COMPUTED_VALUE"""),1003300.0)</f>
        <v>1003300</v>
      </c>
      <c r="E448" s="12">
        <f>IFERROR(__xludf.DUMMYFUNCTION("""COMPUTED_VALUE"""),10.0)</f>
        <v>10</v>
      </c>
      <c r="F448" s="12">
        <f>IFERROR(__xludf.DUMMYFUNCTION("""COMPUTED_VALUE"""),0.0)</f>
        <v>0</v>
      </c>
      <c r="G448" s="12">
        <f>IFERROR(__xludf.DUMMYFUNCTION("""COMPUTED_VALUE"""),10.0)</f>
        <v>10</v>
      </c>
      <c r="H448" s="12" t="str">
        <f>IFERROR(__xludf.DUMMYFUNCTION("""COMPUTED_VALUE"""),"Return")</f>
        <v>Return</v>
      </c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>
      <c r="A449" s="12">
        <f>IFERROR(__xludf.DUMMYFUNCTION("""COMPUTED_VALUE"""),2021.0)</f>
        <v>2021</v>
      </c>
      <c r="B449" s="12">
        <f>IFERROR(__xludf.DUMMYFUNCTION("""COMPUTED_VALUE"""),10.0)</f>
        <v>10</v>
      </c>
      <c r="C449" s="12">
        <f>IFERROR(__xludf.DUMMYFUNCTION("""COMPUTED_VALUE"""),11.0)</f>
        <v>11</v>
      </c>
      <c r="D449" s="12">
        <f>IFERROR(__xludf.DUMMYFUNCTION("""COMPUTED_VALUE"""),1003914.0)</f>
        <v>1003914</v>
      </c>
      <c r="E449" s="12">
        <f>IFERROR(__xludf.DUMMYFUNCTION("""COMPUTED_VALUE"""),8.0)</f>
        <v>8</v>
      </c>
      <c r="F449" s="12">
        <f>IFERROR(__xludf.DUMMYFUNCTION("""COMPUTED_VALUE"""),0.0)</f>
        <v>0</v>
      </c>
      <c r="G449" s="12">
        <f>IFERROR(__xludf.DUMMYFUNCTION("""COMPUTED_VALUE"""),0.0)</f>
        <v>0</v>
      </c>
      <c r="H449" s="12" t="str">
        <f>IFERROR(__xludf.DUMMYFUNCTION("""COMPUTED_VALUE"""),"Return")</f>
        <v>Return</v>
      </c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>
      <c r="A450" s="12">
        <f>IFERROR(__xludf.DUMMYFUNCTION("""COMPUTED_VALUE"""),2021.0)</f>
        <v>2021</v>
      </c>
      <c r="B450" s="12">
        <f>IFERROR(__xludf.DUMMYFUNCTION("""COMPUTED_VALUE"""),10.0)</f>
        <v>10</v>
      </c>
      <c r="C450" s="12">
        <f>IFERROR(__xludf.DUMMYFUNCTION("""COMPUTED_VALUE"""),11.0)</f>
        <v>11</v>
      </c>
      <c r="D450" s="12">
        <f>IFERROR(__xludf.DUMMYFUNCTION("""COMPUTED_VALUE"""),1003842.0)</f>
        <v>1003842</v>
      </c>
      <c r="E450" s="12">
        <f>IFERROR(__xludf.DUMMYFUNCTION("""COMPUTED_VALUE"""),6.0)</f>
        <v>6</v>
      </c>
      <c r="F450" s="12">
        <f>IFERROR(__xludf.DUMMYFUNCTION("""COMPUTED_VALUE"""),0.0)</f>
        <v>0</v>
      </c>
      <c r="G450" s="12">
        <f>IFERROR(__xludf.DUMMYFUNCTION("""COMPUTED_VALUE"""),0.0)</f>
        <v>0</v>
      </c>
      <c r="H450" s="12" t="str">
        <f>IFERROR(__xludf.DUMMYFUNCTION("""COMPUTED_VALUE"""),"Wrong product")</f>
        <v>Wrong product</v>
      </c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>
      <c r="A451" s="12">
        <f>IFERROR(__xludf.DUMMYFUNCTION("""COMPUTED_VALUE"""),2021.0)</f>
        <v>2021</v>
      </c>
      <c r="B451" s="12">
        <f>IFERROR(__xludf.DUMMYFUNCTION("""COMPUTED_VALUE"""),10.0)</f>
        <v>10</v>
      </c>
      <c r="C451" s="12">
        <f>IFERROR(__xludf.DUMMYFUNCTION("""COMPUTED_VALUE"""),11.0)</f>
        <v>11</v>
      </c>
      <c r="D451" s="12">
        <f>IFERROR(__xludf.DUMMYFUNCTION("""COMPUTED_VALUE"""),1003486.0)</f>
        <v>1003486</v>
      </c>
      <c r="E451" s="12">
        <f>IFERROR(__xludf.DUMMYFUNCTION("""COMPUTED_VALUE"""),5.0)</f>
        <v>5</v>
      </c>
      <c r="F451" s="12">
        <f>IFERROR(__xludf.DUMMYFUNCTION("""COMPUTED_VALUE"""),0.0)</f>
        <v>0</v>
      </c>
      <c r="G451" s="12">
        <f>IFERROR(__xludf.DUMMYFUNCTION("""COMPUTED_VALUE"""),5.0)</f>
        <v>5</v>
      </c>
      <c r="H451" s="12" t="str">
        <f>IFERROR(__xludf.DUMMYFUNCTION("""COMPUTED_VALUE"""),"Return")</f>
        <v>Return</v>
      </c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>
      <c r="A452" s="12">
        <f>IFERROR(__xludf.DUMMYFUNCTION("""COMPUTED_VALUE"""),2021.0)</f>
        <v>2021</v>
      </c>
      <c r="B452" s="12">
        <f>IFERROR(__xludf.DUMMYFUNCTION("""COMPUTED_VALUE"""),10.0)</f>
        <v>10</v>
      </c>
      <c r="C452" s="12">
        <f>IFERROR(__xludf.DUMMYFUNCTION("""COMPUTED_VALUE"""),11.0)</f>
        <v>11</v>
      </c>
      <c r="D452" s="12">
        <f>IFERROR(__xludf.DUMMYFUNCTION("""COMPUTED_VALUE"""),1003435.0)</f>
        <v>1003435</v>
      </c>
      <c r="E452" s="12">
        <f>IFERROR(__xludf.DUMMYFUNCTION("""COMPUTED_VALUE"""),1.0)</f>
        <v>1</v>
      </c>
      <c r="F452" s="12">
        <f>IFERROR(__xludf.DUMMYFUNCTION("""COMPUTED_VALUE"""),0.0)</f>
        <v>0</v>
      </c>
      <c r="G452" s="12">
        <f>IFERROR(__xludf.DUMMYFUNCTION("""COMPUTED_VALUE"""),10.0)</f>
        <v>10</v>
      </c>
      <c r="H452" s="12" t="str">
        <f>IFERROR(__xludf.DUMMYFUNCTION("""COMPUTED_VALUE"""),"Return")</f>
        <v>Return</v>
      </c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>
      <c r="A453" s="12">
        <f>IFERROR(__xludf.DUMMYFUNCTION("""COMPUTED_VALUE"""),2021.0)</f>
        <v>2021</v>
      </c>
      <c r="B453" s="12">
        <f>IFERROR(__xludf.DUMMYFUNCTION("""COMPUTED_VALUE"""),10.0)</f>
        <v>10</v>
      </c>
      <c r="C453" s="12">
        <f>IFERROR(__xludf.DUMMYFUNCTION("""COMPUTED_VALUE"""),11.0)</f>
        <v>11</v>
      </c>
      <c r="D453" s="12">
        <f>IFERROR(__xludf.DUMMYFUNCTION("""COMPUTED_VALUE"""),1003817.0)</f>
        <v>1003817</v>
      </c>
      <c r="E453" s="13">
        <f>IFERROR(__xludf.DUMMYFUNCTION("""COMPUTED_VALUE"""),0.43732425197267577)</f>
        <v>0.437324252</v>
      </c>
      <c r="F453" s="12">
        <f>IFERROR(__xludf.DUMMYFUNCTION("""COMPUTED_VALUE"""),0.0)</f>
        <v>0</v>
      </c>
      <c r="G453" s="12">
        <f>IFERROR(__xludf.DUMMYFUNCTION("""COMPUTED_VALUE"""),0.0)</f>
        <v>0</v>
      </c>
      <c r="H453" s="12" t="str">
        <f>IFERROR(__xludf.DUMMYFUNCTION("""COMPUTED_VALUE"""),"Return")</f>
        <v>Return</v>
      </c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>
      <c r="A454" s="12">
        <f>IFERROR(__xludf.DUMMYFUNCTION("""COMPUTED_VALUE"""),2021.0)</f>
        <v>2021</v>
      </c>
      <c r="B454" s="12">
        <f>IFERROR(__xludf.DUMMYFUNCTION("""COMPUTED_VALUE"""),10.0)</f>
        <v>10</v>
      </c>
      <c r="C454" s="12">
        <f>IFERROR(__xludf.DUMMYFUNCTION("""COMPUTED_VALUE"""),11.0)</f>
        <v>11</v>
      </c>
      <c r="D454" s="12">
        <f>IFERROR(__xludf.DUMMYFUNCTION("""COMPUTED_VALUE"""),1003791.0)</f>
        <v>1003791</v>
      </c>
      <c r="E454" s="12">
        <f>IFERROR(__xludf.DUMMYFUNCTION("""COMPUTED_VALUE"""),1.0)</f>
        <v>1</v>
      </c>
      <c r="F454" s="12">
        <f>IFERROR(__xludf.DUMMYFUNCTION("""COMPUTED_VALUE"""),9.38)</f>
        <v>9.38</v>
      </c>
      <c r="G454" s="12">
        <f>IFERROR(__xludf.DUMMYFUNCTION("""COMPUTED_VALUE"""),5.0)</f>
        <v>5</v>
      </c>
      <c r="H454" s="12" t="str">
        <f>IFERROR(__xludf.DUMMYFUNCTION("""COMPUTED_VALUE"""),"Return")</f>
        <v>Return</v>
      </c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>
      <c r="A455" s="12">
        <f>IFERROR(__xludf.DUMMYFUNCTION("""COMPUTED_VALUE"""),2021.0)</f>
        <v>2021</v>
      </c>
      <c r="B455" s="12">
        <f>IFERROR(__xludf.DUMMYFUNCTION("""COMPUTED_VALUE"""),10.0)</f>
        <v>10</v>
      </c>
      <c r="C455" s="12">
        <f>IFERROR(__xludf.DUMMYFUNCTION("""COMPUTED_VALUE"""),11.0)</f>
        <v>11</v>
      </c>
      <c r="D455" s="12">
        <f>IFERROR(__xludf.DUMMYFUNCTION("""COMPUTED_VALUE"""),1003489.0)</f>
        <v>1003489</v>
      </c>
      <c r="E455" s="12">
        <f>IFERROR(__xludf.DUMMYFUNCTION("""COMPUTED_VALUE"""),4.0)</f>
        <v>4</v>
      </c>
      <c r="F455" s="12">
        <f>IFERROR(__xludf.DUMMYFUNCTION("""COMPUTED_VALUE"""),0.0)</f>
        <v>0</v>
      </c>
      <c r="G455" s="12">
        <f>IFERROR(__xludf.DUMMYFUNCTION("""COMPUTED_VALUE"""),0.0)</f>
        <v>0</v>
      </c>
      <c r="H455" s="12" t="str">
        <f>IFERROR(__xludf.DUMMYFUNCTION("""COMPUTED_VALUE"""),"Damage")</f>
        <v>Damage</v>
      </c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>
      <c r="A456" s="12">
        <f>IFERROR(__xludf.DUMMYFUNCTION("""COMPUTED_VALUE"""),2021.0)</f>
        <v>2021</v>
      </c>
      <c r="B456" s="12">
        <f>IFERROR(__xludf.DUMMYFUNCTION("""COMPUTED_VALUE"""),10.0)</f>
        <v>10</v>
      </c>
      <c r="C456" s="12">
        <f>IFERROR(__xludf.DUMMYFUNCTION("""COMPUTED_VALUE"""),11.0)</f>
        <v>11</v>
      </c>
      <c r="D456" s="12">
        <f>IFERROR(__xludf.DUMMYFUNCTION("""COMPUTED_VALUE"""),1003531.0)</f>
        <v>1003531</v>
      </c>
      <c r="E456" s="12">
        <f>IFERROR(__xludf.DUMMYFUNCTION("""COMPUTED_VALUE"""),3.0)</f>
        <v>3</v>
      </c>
      <c r="F456" s="12">
        <f>IFERROR(__xludf.DUMMYFUNCTION("""COMPUTED_VALUE"""),0.0)</f>
        <v>0</v>
      </c>
      <c r="G456" s="12">
        <f>IFERROR(__xludf.DUMMYFUNCTION("""COMPUTED_VALUE"""),0.0)</f>
        <v>0</v>
      </c>
      <c r="H456" s="12" t="str">
        <f>IFERROR(__xludf.DUMMYFUNCTION("""COMPUTED_VALUE"""),"Return")</f>
        <v>Return</v>
      </c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>
      <c r="A457" s="12">
        <f>IFERROR(__xludf.DUMMYFUNCTION("""COMPUTED_VALUE"""),2021.0)</f>
        <v>2021</v>
      </c>
      <c r="B457" s="12">
        <f>IFERROR(__xludf.DUMMYFUNCTION("""COMPUTED_VALUE"""),10.0)</f>
        <v>10</v>
      </c>
      <c r="C457" s="12">
        <f>IFERROR(__xludf.DUMMYFUNCTION("""COMPUTED_VALUE"""),11.0)</f>
        <v>11</v>
      </c>
      <c r="D457" s="12">
        <f>IFERROR(__xludf.DUMMYFUNCTION("""COMPUTED_VALUE"""),1003919.0)</f>
        <v>1003919</v>
      </c>
      <c r="E457" s="12">
        <f>IFERROR(__xludf.DUMMYFUNCTION("""COMPUTED_VALUE"""),1.0)</f>
        <v>1</v>
      </c>
      <c r="F457" s="12">
        <f>IFERROR(__xludf.DUMMYFUNCTION("""COMPUTED_VALUE"""),0.0)</f>
        <v>0</v>
      </c>
      <c r="G457" s="12">
        <f>IFERROR(__xludf.DUMMYFUNCTION("""COMPUTED_VALUE"""),8.0)</f>
        <v>8</v>
      </c>
      <c r="H457" s="12" t="str">
        <f>IFERROR(__xludf.DUMMYFUNCTION("""COMPUTED_VALUE"""),"Return")</f>
        <v>Return</v>
      </c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>
      <c r="A458" s="12">
        <f>IFERROR(__xludf.DUMMYFUNCTION("""COMPUTED_VALUE"""),2021.0)</f>
        <v>2021</v>
      </c>
      <c r="B458" s="12">
        <f>IFERROR(__xludf.DUMMYFUNCTION("""COMPUTED_VALUE"""),10.0)</f>
        <v>10</v>
      </c>
      <c r="C458" s="12">
        <f>IFERROR(__xludf.DUMMYFUNCTION("""COMPUTED_VALUE"""),11.0)</f>
        <v>11</v>
      </c>
      <c r="D458" s="12">
        <f>IFERROR(__xludf.DUMMYFUNCTION("""COMPUTED_VALUE"""),1003618.0)</f>
        <v>1003618</v>
      </c>
      <c r="E458" s="12">
        <f>IFERROR(__xludf.DUMMYFUNCTION("""COMPUTED_VALUE"""),1.0)</f>
        <v>1</v>
      </c>
      <c r="F458" s="12">
        <f>IFERROR(__xludf.DUMMYFUNCTION("""COMPUTED_VALUE"""),0.0)</f>
        <v>0</v>
      </c>
      <c r="G458" s="12">
        <f>IFERROR(__xludf.DUMMYFUNCTION("""COMPUTED_VALUE"""),5.0)</f>
        <v>5</v>
      </c>
      <c r="H458" s="12" t="str">
        <f>IFERROR(__xludf.DUMMYFUNCTION("""COMPUTED_VALUE"""),"Return")</f>
        <v>Return</v>
      </c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>
      <c r="A459" s="12">
        <f>IFERROR(__xludf.DUMMYFUNCTION("""COMPUTED_VALUE"""),2021.0)</f>
        <v>2021</v>
      </c>
      <c r="B459" s="12">
        <f>IFERROR(__xludf.DUMMYFUNCTION("""COMPUTED_VALUE"""),10.0)</f>
        <v>10</v>
      </c>
      <c r="C459" s="12">
        <f>IFERROR(__xludf.DUMMYFUNCTION("""COMPUTED_VALUE"""),11.0)</f>
        <v>11</v>
      </c>
      <c r="D459" s="12">
        <f>IFERROR(__xludf.DUMMYFUNCTION("""COMPUTED_VALUE"""),1004004.0)</f>
        <v>1004004</v>
      </c>
      <c r="E459" s="12">
        <f>IFERROR(__xludf.DUMMYFUNCTION("""COMPUTED_VALUE"""),1.0)</f>
        <v>1</v>
      </c>
      <c r="F459" s="12">
        <f>IFERROR(__xludf.DUMMYFUNCTION("""COMPUTED_VALUE"""),0.0)</f>
        <v>0</v>
      </c>
      <c r="G459" s="12">
        <f>IFERROR(__xludf.DUMMYFUNCTION("""COMPUTED_VALUE"""),0.0)</f>
        <v>0</v>
      </c>
      <c r="H459" s="12" t="str">
        <f>IFERROR(__xludf.DUMMYFUNCTION("""COMPUTED_VALUE"""),"Return")</f>
        <v>Return</v>
      </c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>
      <c r="A460" s="12">
        <f>IFERROR(__xludf.DUMMYFUNCTION("""COMPUTED_VALUE"""),2021.0)</f>
        <v>2021</v>
      </c>
      <c r="B460" s="12">
        <f>IFERROR(__xludf.DUMMYFUNCTION("""COMPUTED_VALUE"""),10.0)</f>
        <v>10</v>
      </c>
      <c r="C460" s="12">
        <f>IFERROR(__xludf.DUMMYFUNCTION("""COMPUTED_VALUE"""),11.0)</f>
        <v>11</v>
      </c>
      <c r="D460" s="12">
        <f>IFERROR(__xludf.DUMMYFUNCTION("""COMPUTED_VALUE"""),1003419.0)</f>
        <v>1003419</v>
      </c>
      <c r="E460" s="12">
        <f>IFERROR(__xludf.DUMMYFUNCTION("""COMPUTED_VALUE"""),10.0)</f>
        <v>10</v>
      </c>
      <c r="F460" s="12">
        <f>IFERROR(__xludf.DUMMYFUNCTION("""COMPUTED_VALUE"""),0.0)</f>
        <v>0</v>
      </c>
      <c r="G460" s="12">
        <f>IFERROR(__xludf.DUMMYFUNCTION("""COMPUTED_VALUE"""),7.0)</f>
        <v>7</v>
      </c>
      <c r="H460" s="12" t="str">
        <f>IFERROR(__xludf.DUMMYFUNCTION("""COMPUTED_VALUE"""),"Return")</f>
        <v>Return</v>
      </c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>
      <c r="A461" s="12">
        <f>IFERROR(__xludf.DUMMYFUNCTION("""COMPUTED_VALUE"""),2021.0)</f>
        <v>2021</v>
      </c>
      <c r="B461" s="12">
        <f>IFERROR(__xludf.DUMMYFUNCTION("""COMPUTED_VALUE"""),10.0)</f>
        <v>10</v>
      </c>
      <c r="C461" s="12">
        <f>IFERROR(__xludf.DUMMYFUNCTION("""COMPUTED_VALUE"""),11.0)</f>
        <v>11</v>
      </c>
      <c r="D461" s="12">
        <f>IFERROR(__xludf.DUMMYFUNCTION("""COMPUTED_VALUE"""),1004003.0)</f>
        <v>1004003</v>
      </c>
      <c r="E461" s="13">
        <f>IFERROR(__xludf.DUMMYFUNCTION("""COMPUTED_VALUE"""),0.7262156568138505)</f>
        <v>0.7262156568</v>
      </c>
      <c r="F461" s="12">
        <f>IFERROR(__xludf.DUMMYFUNCTION("""COMPUTED_VALUE"""),3.56)</f>
        <v>3.56</v>
      </c>
      <c r="G461" s="12">
        <f>IFERROR(__xludf.DUMMYFUNCTION("""COMPUTED_VALUE"""),0.0)</f>
        <v>0</v>
      </c>
      <c r="H461" s="12" t="str">
        <f>IFERROR(__xludf.DUMMYFUNCTION("""COMPUTED_VALUE"""),"Return")</f>
        <v>Return</v>
      </c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>
      <c r="A462" s="12">
        <f>IFERROR(__xludf.DUMMYFUNCTION("""COMPUTED_VALUE"""),2021.0)</f>
        <v>2021</v>
      </c>
      <c r="B462" s="12">
        <f>IFERROR(__xludf.DUMMYFUNCTION("""COMPUTED_VALUE"""),10.0)</f>
        <v>10</v>
      </c>
      <c r="C462" s="12">
        <f>IFERROR(__xludf.DUMMYFUNCTION("""COMPUTED_VALUE"""),11.0)</f>
        <v>11</v>
      </c>
      <c r="D462" s="12">
        <f>IFERROR(__xludf.DUMMYFUNCTION("""COMPUTED_VALUE"""),1003557.0)</f>
        <v>1003557</v>
      </c>
      <c r="E462" s="12">
        <f>IFERROR(__xludf.DUMMYFUNCTION("""COMPUTED_VALUE"""),7.0)</f>
        <v>7</v>
      </c>
      <c r="F462" s="12">
        <f>IFERROR(__xludf.DUMMYFUNCTION("""COMPUTED_VALUE"""),0.0)</f>
        <v>0</v>
      </c>
      <c r="G462" s="12">
        <f>IFERROR(__xludf.DUMMYFUNCTION("""COMPUTED_VALUE"""),0.0)</f>
        <v>0</v>
      </c>
      <c r="H462" s="12" t="str">
        <f>IFERROR(__xludf.DUMMYFUNCTION("""COMPUTED_VALUE"""),"Wrong product")</f>
        <v>Wrong product</v>
      </c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>
      <c r="A463" s="12">
        <f>IFERROR(__xludf.DUMMYFUNCTION("""COMPUTED_VALUE"""),2021.0)</f>
        <v>2021</v>
      </c>
      <c r="B463" s="12">
        <f>IFERROR(__xludf.DUMMYFUNCTION("""COMPUTED_VALUE"""),10.0)</f>
        <v>10</v>
      </c>
      <c r="C463" s="12">
        <f>IFERROR(__xludf.DUMMYFUNCTION("""COMPUTED_VALUE"""),11.0)</f>
        <v>11</v>
      </c>
      <c r="D463" s="12">
        <f>IFERROR(__xludf.DUMMYFUNCTION("""COMPUTED_VALUE"""),1003291.0)</f>
        <v>1003291</v>
      </c>
      <c r="E463" s="12">
        <f>IFERROR(__xludf.DUMMYFUNCTION("""COMPUTED_VALUE"""),3.0)</f>
        <v>3</v>
      </c>
      <c r="F463" s="12">
        <f>IFERROR(__xludf.DUMMYFUNCTION("""COMPUTED_VALUE"""),0.0)</f>
        <v>0</v>
      </c>
      <c r="G463" s="12">
        <f>IFERROR(__xludf.DUMMYFUNCTION("""COMPUTED_VALUE"""),0.0)</f>
        <v>0</v>
      </c>
      <c r="H463" s="12" t="str">
        <f>IFERROR(__xludf.DUMMYFUNCTION("""COMPUTED_VALUE"""),"Wrong product")</f>
        <v>Wrong product</v>
      </c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>
      <c r="A464" s="12">
        <f>IFERROR(__xludf.DUMMYFUNCTION("""COMPUTED_VALUE"""),2021.0)</f>
        <v>2021</v>
      </c>
      <c r="B464" s="12">
        <f>IFERROR(__xludf.DUMMYFUNCTION("""COMPUTED_VALUE"""),10.0)</f>
        <v>10</v>
      </c>
      <c r="C464" s="12">
        <f>IFERROR(__xludf.DUMMYFUNCTION("""COMPUTED_VALUE"""),11.0)</f>
        <v>11</v>
      </c>
      <c r="D464" s="12">
        <f>IFERROR(__xludf.DUMMYFUNCTION("""COMPUTED_VALUE"""),1003950.0)</f>
        <v>1003950</v>
      </c>
      <c r="E464" s="12">
        <f>IFERROR(__xludf.DUMMYFUNCTION("""COMPUTED_VALUE"""),5.0)</f>
        <v>5</v>
      </c>
      <c r="F464" s="12">
        <f>IFERROR(__xludf.DUMMYFUNCTION("""COMPUTED_VALUE"""),0.0)</f>
        <v>0</v>
      </c>
      <c r="G464" s="12">
        <f>IFERROR(__xludf.DUMMYFUNCTION("""COMPUTED_VALUE"""),5.0)</f>
        <v>5</v>
      </c>
      <c r="H464" s="12" t="str">
        <f>IFERROR(__xludf.DUMMYFUNCTION("""COMPUTED_VALUE"""),"Damage")</f>
        <v>Damage</v>
      </c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>
      <c r="A465" s="12">
        <f>IFERROR(__xludf.DUMMYFUNCTION("""COMPUTED_VALUE"""),2021.0)</f>
        <v>2021</v>
      </c>
      <c r="B465" s="12">
        <f>IFERROR(__xludf.DUMMYFUNCTION("""COMPUTED_VALUE"""),10.0)</f>
        <v>10</v>
      </c>
      <c r="C465" s="12">
        <f>IFERROR(__xludf.DUMMYFUNCTION("""COMPUTED_VALUE"""),11.0)</f>
        <v>11</v>
      </c>
      <c r="D465" s="12">
        <f>IFERROR(__xludf.DUMMYFUNCTION("""COMPUTED_VALUE"""),1003888.0)</f>
        <v>1003888</v>
      </c>
      <c r="E465" s="12">
        <f>IFERROR(__xludf.DUMMYFUNCTION("""COMPUTED_VALUE"""),8.0)</f>
        <v>8</v>
      </c>
      <c r="F465" s="12">
        <f>IFERROR(__xludf.DUMMYFUNCTION("""COMPUTED_VALUE"""),0.0)</f>
        <v>0</v>
      </c>
      <c r="G465" s="12">
        <f>IFERROR(__xludf.DUMMYFUNCTION("""COMPUTED_VALUE"""),0.0)</f>
        <v>0</v>
      </c>
      <c r="H465" s="12" t="str">
        <f>IFERROR(__xludf.DUMMYFUNCTION("""COMPUTED_VALUE"""),"Damage")</f>
        <v>Damage</v>
      </c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>
      <c r="A466" s="12">
        <f>IFERROR(__xludf.DUMMYFUNCTION("""COMPUTED_VALUE"""),2021.0)</f>
        <v>2021</v>
      </c>
      <c r="B466" s="12">
        <f>IFERROR(__xludf.DUMMYFUNCTION("""COMPUTED_VALUE"""),10.0)</f>
        <v>10</v>
      </c>
      <c r="C466" s="12">
        <f>IFERROR(__xludf.DUMMYFUNCTION("""COMPUTED_VALUE"""),11.0)</f>
        <v>11</v>
      </c>
      <c r="D466" s="12">
        <f>IFERROR(__xludf.DUMMYFUNCTION("""COMPUTED_VALUE"""),1003638.0)</f>
        <v>1003638</v>
      </c>
      <c r="E466" s="12">
        <f>IFERROR(__xludf.DUMMYFUNCTION("""COMPUTED_VALUE"""),3.0)</f>
        <v>3</v>
      </c>
      <c r="F466" s="12">
        <f>IFERROR(__xludf.DUMMYFUNCTION("""COMPUTED_VALUE"""),0.85)</f>
        <v>0.85</v>
      </c>
      <c r="G466" s="12">
        <f>IFERROR(__xludf.DUMMYFUNCTION("""COMPUTED_VALUE"""),0.0)</f>
        <v>0</v>
      </c>
      <c r="H466" s="12" t="str">
        <f>IFERROR(__xludf.DUMMYFUNCTION("""COMPUTED_VALUE"""),"Damage")</f>
        <v>Damage</v>
      </c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>
      <c r="A467" s="12">
        <f>IFERROR(__xludf.DUMMYFUNCTION("""COMPUTED_VALUE"""),2021.0)</f>
        <v>2021</v>
      </c>
      <c r="B467" s="12">
        <f>IFERROR(__xludf.DUMMYFUNCTION("""COMPUTED_VALUE"""),10.0)</f>
        <v>10</v>
      </c>
      <c r="C467" s="12">
        <f>IFERROR(__xludf.DUMMYFUNCTION("""COMPUTED_VALUE"""),11.0)</f>
        <v>11</v>
      </c>
      <c r="D467" s="12">
        <f>IFERROR(__xludf.DUMMYFUNCTION("""COMPUTED_VALUE"""),1003440.0)</f>
        <v>1003440</v>
      </c>
      <c r="E467" s="12">
        <f>IFERROR(__xludf.DUMMYFUNCTION("""COMPUTED_VALUE"""),16.0)</f>
        <v>16</v>
      </c>
      <c r="F467" s="12">
        <f>IFERROR(__xludf.DUMMYFUNCTION("""COMPUTED_VALUE"""),6.54)</f>
        <v>6.54</v>
      </c>
      <c r="G467" s="12">
        <f>IFERROR(__xludf.DUMMYFUNCTION("""COMPUTED_VALUE"""),0.0)</f>
        <v>0</v>
      </c>
      <c r="H467" s="12" t="str">
        <f>IFERROR(__xludf.DUMMYFUNCTION("""COMPUTED_VALUE"""),"Return")</f>
        <v>Return</v>
      </c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>
      <c r="A468" s="12">
        <f>IFERROR(__xludf.DUMMYFUNCTION("""COMPUTED_VALUE"""),2021.0)</f>
        <v>2021</v>
      </c>
      <c r="B468" s="12">
        <f>IFERROR(__xludf.DUMMYFUNCTION("""COMPUTED_VALUE"""),10.0)</f>
        <v>10</v>
      </c>
      <c r="C468" s="12">
        <f>IFERROR(__xludf.DUMMYFUNCTION("""COMPUTED_VALUE"""),11.0)</f>
        <v>11</v>
      </c>
      <c r="D468" s="12">
        <f>IFERROR(__xludf.DUMMYFUNCTION("""COMPUTED_VALUE"""),1003596.0)</f>
        <v>1003596</v>
      </c>
      <c r="E468" s="13">
        <f>IFERROR(__xludf.DUMMYFUNCTION("""COMPUTED_VALUE"""),0.10113960600499661)</f>
        <v>0.101139606</v>
      </c>
      <c r="F468" s="12">
        <f>IFERROR(__xludf.DUMMYFUNCTION("""COMPUTED_VALUE"""),6.25)</f>
        <v>6.25</v>
      </c>
      <c r="G468" s="12">
        <f>IFERROR(__xludf.DUMMYFUNCTION("""COMPUTED_VALUE"""),0.0)</f>
        <v>0</v>
      </c>
      <c r="H468" s="12" t="str">
        <f>IFERROR(__xludf.DUMMYFUNCTION("""COMPUTED_VALUE"""),"Return")</f>
        <v>Return</v>
      </c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>
      <c r="A469" s="12">
        <f>IFERROR(__xludf.DUMMYFUNCTION("""COMPUTED_VALUE"""),2021.0)</f>
        <v>2021</v>
      </c>
      <c r="B469" s="12">
        <f>IFERROR(__xludf.DUMMYFUNCTION("""COMPUTED_VALUE"""),10.0)</f>
        <v>10</v>
      </c>
      <c r="C469" s="12">
        <f>IFERROR(__xludf.DUMMYFUNCTION("""COMPUTED_VALUE"""),11.0)</f>
        <v>11</v>
      </c>
      <c r="D469" s="12">
        <f>IFERROR(__xludf.DUMMYFUNCTION("""COMPUTED_VALUE"""),1003903.0)</f>
        <v>1003903</v>
      </c>
      <c r="E469" s="12">
        <f>IFERROR(__xludf.DUMMYFUNCTION("""COMPUTED_VALUE"""),3.0)</f>
        <v>3</v>
      </c>
      <c r="F469" s="12">
        <f>IFERROR(__xludf.DUMMYFUNCTION("""COMPUTED_VALUE"""),0.0)</f>
        <v>0</v>
      </c>
      <c r="G469" s="12">
        <f>IFERROR(__xludf.DUMMYFUNCTION("""COMPUTED_VALUE"""),0.0)</f>
        <v>0</v>
      </c>
      <c r="H469" s="12" t="str">
        <f>IFERROR(__xludf.DUMMYFUNCTION("""COMPUTED_VALUE"""),"Return")</f>
        <v>Return</v>
      </c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>
      <c r="A470" s="12">
        <f>IFERROR(__xludf.DUMMYFUNCTION("""COMPUTED_VALUE"""),2021.0)</f>
        <v>2021</v>
      </c>
      <c r="B470" s="12">
        <f>IFERROR(__xludf.DUMMYFUNCTION("""COMPUTED_VALUE"""),10.0)</f>
        <v>10</v>
      </c>
      <c r="C470" s="12">
        <f>IFERROR(__xludf.DUMMYFUNCTION("""COMPUTED_VALUE"""),11.0)</f>
        <v>11</v>
      </c>
      <c r="D470" s="12">
        <f>IFERROR(__xludf.DUMMYFUNCTION("""COMPUTED_VALUE"""),1003814.0)</f>
        <v>1003814</v>
      </c>
      <c r="E470" s="12">
        <f>IFERROR(__xludf.DUMMYFUNCTION("""COMPUTED_VALUE"""),6.0)</f>
        <v>6</v>
      </c>
      <c r="F470" s="12">
        <f>IFERROR(__xludf.DUMMYFUNCTION("""COMPUTED_VALUE"""),0.88)</f>
        <v>0.88</v>
      </c>
      <c r="G470" s="12">
        <f>IFERROR(__xludf.DUMMYFUNCTION("""COMPUTED_VALUE"""),0.0)</f>
        <v>0</v>
      </c>
      <c r="H470" s="12" t="str">
        <f>IFERROR(__xludf.DUMMYFUNCTION("""COMPUTED_VALUE"""),"Return")</f>
        <v>Return</v>
      </c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>
      <c r="A471" s="12">
        <f>IFERROR(__xludf.DUMMYFUNCTION("""COMPUTED_VALUE"""),2021.0)</f>
        <v>2021</v>
      </c>
      <c r="B471" s="12">
        <f>IFERROR(__xludf.DUMMYFUNCTION("""COMPUTED_VALUE"""),10.0)</f>
        <v>10</v>
      </c>
      <c r="C471" s="12">
        <f>IFERROR(__xludf.DUMMYFUNCTION("""COMPUTED_VALUE"""),11.0)</f>
        <v>11</v>
      </c>
      <c r="D471" s="12">
        <f>IFERROR(__xludf.DUMMYFUNCTION("""COMPUTED_VALUE"""),1003441.0)</f>
        <v>1003441</v>
      </c>
      <c r="E471" s="12">
        <f>IFERROR(__xludf.DUMMYFUNCTION("""COMPUTED_VALUE"""),1.0)</f>
        <v>1</v>
      </c>
      <c r="F471" s="12">
        <f>IFERROR(__xludf.DUMMYFUNCTION("""COMPUTED_VALUE"""),0.0)</f>
        <v>0</v>
      </c>
      <c r="G471" s="12">
        <f>IFERROR(__xludf.DUMMYFUNCTION("""COMPUTED_VALUE"""),0.0)</f>
        <v>0</v>
      </c>
      <c r="H471" s="12" t="str">
        <f>IFERROR(__xludf.DUMMYFUNCTION("""COMPUTED_VALUE"""),"Damage")</f>
        <v>Damage</v>
      </c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>
      <c r="A472" s="12">
        <f>IFERROR(__xludf.DUMMYFUNCTION("""COMPUTED_VALUE"""),2021.0)</f>
        <v>2021</v>
      </c>
      <c r="B472" s="12">
        <f>IFERROR(__xludf.DUMMYFUNCTION("""COMPUTED_VALUE"""),10.0)</f>
        <v>10</v>
      </c>
      <c r="C472" s="12">
        <f>IFERROR(__xludf.DUMMYFUNCTION("""COMPUTED_VALUE"""),11.0)</f>
        <v>11</v>
      </c>
      <c r="D472" s="12">
        <f>IFERROR(__xludf.DUMMYFUNCTION("""COMPUTED_VALUE"""),1003354.0)</f>
        <v>1003354</v>
      </c>
      <c r="E472" s="12">
        <f>IFERROR(__xludf.DUMMYFUNCTION("""COMPUTED_VALUE"""),1.0)</f>
        <v>1</v>
      </c>
      <c r="F472" s="12">
        <f>IFERROR(__xludf.DUMMYFUNCTION("""COMPUTED_VALUE"""),0.0)</f>
        <v>0</v>
      </c>
      <c r="G472" s="12">
        <f>IFERROR(__xludf.DUMMYFUNCTION("""COMPUTED_VALUE"""),0.0)</f>
        <v>0</v>
      </c>
      <c r="H472" s="12" t="str">
        <f>IFERROR(__xludf.DUMMYFUNCTION("""COMPUTED_VALUE"""),"Return")</f>
        <v>Return</v>
      </c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>
      <c r="A473" s="12">
        <f>IFERROR(__xludf.DUMMYFUNCTION("""COMPUTED_VALUE"""),2021.0)</f>
        <v>2021</v>
      </c>
      <c r="B473" s="12">
        <f>IFERROR(__xludf.DUMMYFUNCTION("""COMPUTED_VALUE"""),10.0)</f>
        <v>10</v>
      </c>
      <c r="C473" s="12">
        <f>IFERROR(__xludf.DUMMYFUNCTION("""COMPUTED_VALUE"""),11.0)</f>
        <v>11</v>
      </c>
      <c r="D473" s="12">
        <f>IFERROR(__xludf.DUMMYFUNCTION("""COMPUTED_VALUE"""),1003734.0)</f>
        <v>1003734</v>
      </c>
      <c r="E473" s="12">
        <f>IFERROR(__xludf.DUMMYFUNCTION("""COMPUTED_VALUE"""),9.0)</f>
        <v>9</v>
      </c>
      <c r="F473" s="12">
        <f>IFERROR(__xludf.DUMMYFUNCTION("""COMPUTED_VALUE"""),0.91)</f>
        <v>0.91</v>
      </c>
      <c r="G473" s="12">
        <f>IFERROR(__xludf.DUMMYFUNCTION("""COMPUTED_VALUE"""),0.0)</f>
        <v>0</v>
      </c>
      <c r="H473" s="12" t="str">
        <f>IFERROR(__xludf.DUMMYFUNCTION("""COMPUTED_VALUE"""),"Damage")</f>
        <v>Damage</v>
      </c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>
      <c r="A474" s="12">
        <f>IFERROR(__xludf.DUMMYFUNCTION("""COMPUTED_VALUE"""),2021.0)</f>
        <v>2021</v>
      </c>
      <c r="B474" s="12">
        <f>IFERROR(__xludf.DUMMYFUNCTION("""COMPUTED_VALUE"""),10.0)</f>
        <v>10</v>
      </c>
      <c r="C474" s="12">
        <f>IFERROR(__xludf.DUMMYFUNCTION("""COMPUTED_VALUE"""),11.0)</f>
        <v>11</v>
      </c>
      <c r="D474" s="12">
        <f>IFERROR(__xludf.DUMMYFUNCTION("""COMPUTED_VALUE"""),1003924.0)</f>
        <v>1003924</v>
      </c>
      <c r="E474" s="12">
        <f>IFERROR(__xludf.DUMMYFUNCTION("""COMPUTED_VALUE"""),6.0)</f>
        <v>6</v>
      </c>
      <c r="F474" s="12">
        <f>IFERROR(__xludf.DUMMYFUNCTION("""COMPUTED_VALUE"""),0.0)</f>
        <v>0</v>
      </c>
      <c r="G474" s="12">
        <f>IFERROR(__xludf.DUMMYFUNCTION("""COMPUTED_VALUE"""),0.0)</f>
        <v>0</v>
      </c>
      <c r="H474" s="12" t="str">
        <f>IFERROR(__xludf.DUMMYFUNCTION("""COMPUTED_VALUE"""),"Damage")</f>
        <v>Damage</v>
      </c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>
      <c r="A475" s="12">
        <f>IFERROR(__xludf.DUMMYFUNCTION("""COMPUTED_VALUE"""),2021.0)</f>
        <v>2021</v>
      </c>
      <c r="B475" s="12">
        <f>IFERROR(__xludf.DUMMYFUNCTION("""COMPUTED_VALUE"""),10.0)</f>
        <v>10</v>
      </c>
      <c r="C475" s="12">
        <f>IFERROR(__xludf.DUMMYFUNCTION("""COMPUTED_VALUE"""),11.0)</f>
        <v>11</v>
      </c>
      <c r="D475" s="12">
        <f>IFERROR(__xludf.DUMMYFUNCTION("""COMPUTED_VALUE"""),1003979.0)</f>
        <v>1003979</v>
      </c>
      <c r="E475" s="12">
        <f>IFERROR(__xludf.DUMMYFUNCTION("""COMPUTED_VALUE"""),3.0)</f>
        <v>3</v>
      </c>
      <c r="F475" s="12">
        <f>IFERROR(__xludf.DUMMYFUNCTION("""COMPUTED_VALUE"""),0.0)</f>
        <v>0</v>
      </c>
      <c r="G475" s="12">
        <f>IFERROR(__xludf.DUMMYFUNCTION("""COMPUTED_VALUE"""),0.0)</f>
        <v>0</v>
      </c>
      <c r="H475" s="12" t="str">
        <f>IFERROR(__xludf.DUMMYFUNCTION("""COMPUTED_VALUE"""),"Return")</f>
        <v>Return</v>
      </c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>
      <c r="A476" s="12">
        <f>IFERROR(__xludf.DUMMYFUNCTION("""COMPUTED_VALUE"""),2021.0)</f>
        <v>2021</v>
      </c>
      <c r="B476" s="12">
        <f>IFERROR(__xludf.DUMMYFUNCTION("""COMPUTED_VALUE"""),10.0)</f>
        <v>10</v>
      </c>
      <c r="C476" s="12">
        <f>IFERROR(__xludf.DUMMYFUNCTION("""COMPUTED_VALUE"""),11.0)</f>
        <v>11</v>
      </c>
      <c r="D476" s="12">
        <f>IFERROR(__xludf.DUMMYFUNCTION("""COMPUTED_VALUE"""),1003456.0)</f>
        <v>1003456</v>
      </c>
      <c r="E476" s="13">
        <f>IFERROR(__xludf.DUMMYFUNCTION("""COMPUTED_VALUE"""),0.18740103382951157)</f>
        <v>0.1874010338</v>
      </c>
      <c r="F476" s="12">
        <f>IFERROR(__xludf.DUMMYFUNCTION("""COMPUTED_VALUE"""),0.0)</f>
        <v>0</v>
      </c>
      <c r="G476" s="12">
        <f>IFERROR(__xludf.DUMMYFUNCTION("""COMPUTED_VALUE"""),0.0)</f>
        <v>0</v>
      </c>
      <c r="H476" s="12" t="str">
        <f>IFERROR(__xludf.DUMMYFUNCTION("""COMPUTED_VALUE"""),"Wrong product")</f>
        <v>Wrong product</v>
      </c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>
      <c r="A477" s="12">
        <f>IFERROR(__xludf.DUMMYFUNCTION("""COMPUTED_VALUE"""),2021.0)</f>
        <v>2021</v>
      </c>
      <c r="B477" s="12">
        <f>IFERROR(__xludf.DUMMYFUNCTION("""COMPUTED_VALUE"""),10.0)</f>
        <v>10</v>
      </c>
      <c r="C477" s="12">
        <f>IFERROR(__xludf.DUMMYFUNCTION("""COMPUTED_VALUE"""),11.0)</f>
        <v>11</v>
      </c>
      <c r="D477" s="12">
        <f>IFERROR(__xludf.DUMMYFUNCTION("""COMPUTED_VALUE"""),1003945.0)</f>
        <v>1003945</v>
      </c>
      <c r="E477" s="12">
        <f>IFERROR(__xludf.DUMMYFUNCTION("""COMPUTED_VALUE"""),1.0)</f>
        <v>1</v>
      </c>
      <c r="F477" s="12">
        <f>IFERROR(__xludf.DUMMYFUNCTION("""COMPUTED_VALUE"""),0.0)</f>
        <v>0</v>
      </c>
      <c r="G477" s="12">
        <f>IFERROR(__xludf.DUMMYFUNCTION("""COMPUTED_VALUE"""),0.0)</f>
        <v>0</v>
      </c>
      <c r="H477" s="12" t="str">
        <f>IFERROR(__xludf.DUMMYFUNCTION("""COMPUTED_VALUE"""),"Damage")</f>
        <v>Damage</v>
      </c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>
      <c r="A478" s="12">
        <f>IFERROR(__xludf.DUMMYFUNCTION("""COMPUTED_VALUE"""),2021.0)</f>
        <v>2021</v>
      </c>
      <c r="B478" s="12">
        <f>IFERROR(__xludf.DUMMYFUNCTION("""COMPUTED_VALUE"""),10.0)</f>
        <v>10</v>
      </c>
      <c r="C478" s="12">
        <f>IFERROR(__xludf.DUMMYFUNCTION("""COMPUTED_VALUE"""),11.0)</f>
        <v>11</v>
      </c>
      <c r="D478" s="12">
        <f>IFERROR(__xludf.DUMMYFUNCTION("""COMPUTED_VALUE"""),1003797.0)</f>
        <v>1003797</v>
      </c>
      <c r="E478" s="12">
        <f>IFERROR(__xludf.DUMMYFUNCTION("""COMPUTED_VALUE"""),10.0)</f>
        <v>10</v>
      </c>
      <c r="F478" s="12">
        <f>IFERROR(__xludf.DUMMYFUNCTION("""COMPUTED_VALUE"""),0.0)</f>
        <v>0</v>
      </c>
      <c r="G478" s="12">
        <f>IFERROR(__xludf.DUMMYFUNCTION("""COMPUTED_VALUE"""),5.0)</f>
        <v>5</v>
      </c>
      <c r="H478" s="12" t="str">
        <f>IFERROR(__xludf.DUMMYFUNCTION("""COMPUTED_VALUE"""),"Return")</f>
        <v>Return</v>
      </c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>
      <c r="A479" s="12">
        <f>IFERROR(__xludf.DUMMYFUNCTION("""COMPUTED_VALUE"""),2021.0)</f>
        <v>2021</v>
      </c>
      <c r="B479" s="12">
        <f>IFERROR(__xludf.DUMMYFUNCTION("""COMPUTED_VALUE"""),10.0)</f>
        <v>10</v>
      </c>
      <c r="C479" s="12">
        <f>IFERROR(__xludf.DUMMYFUNCTION("""COMPUTED_VALUE"""),11.0)</f>
        <v>11</v>
      </c>
      <c r="D479" s="12">
        <f>IFERROR(__xludf.DUMMYFUNCTION("""COMPUTED_VALUE"""),1003392.0)</f>
        <v>1003392</v>
      </c>
      <c r="E479" s="12">
        <f>IFERROR(__xludf.DUMMYFUNCTION("""COMPUTED_VALUE"""),2.0)</f>
        <v>2</v>
      </c>
      <c r="F479" s="12">
        <f>IFERROR(__xludf.DUMMYFUNCTION("""COMPUTED_VALUE"""),0.0)</f>
        <v>0</v>
      </c>
      <c r="G479" s="12">
        <f>IFERROR(__xludf.DUMMYFUNCTION("""COMPUTED_VALUE"""),0.0)</f>
        <v>0</v>
      </c>
      <c r="H479" s="12" t="str">
        <f>IFERROR(__xludf.DUMMYFUNCTION("""COMPUTED_VALUE"""),"Return")</f>
        <v>Return</v>
      </c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>
      <c r="A480" s="12">
        <f>IFERROR(__xludf.DUMMYFUNCTION("""COMPUTED_VALUE"""),2021.0)</f>
        <v>2021</v>
      </c>
      <c r="B480" s="12">
        <f>IFERROR(__xludf.DUMMYFUNCTION("""COMPUTED_VALUE"""),10.0)</f>
        <v>10</v>
      </c>
      <c r="C480" s="12">
        <f>IFERROR(__xludf.DUMMYFUNCTION("""COMPUTED_VALUE"""),11.0)</f>
        <v>11</v>
      </c>
      <c r="D480" s="12">
        <f>IFERROR(__xludf.DUMMYFUNCTION("""COMPUTED_VALUE"""),1003633.0)</f>
        <v>1003633</v>
      </c>
      <c r="E480" s="12">
        <f>IFERROR(__xludf.DUMMYFUNCTION("""COMPUTED_VALUE"""),3.0)</f>
        <v>3</v>
      </c>
      <c r="F480" s="12">
        <f>IFERROR(__xludf.DUMMYFUNCTION("""COMPUTED_VALUE"""),0.0)</f>
        <v>0</v>
      </c>
      <c r="G480" s="12">
        <f>IFERROR(__xludf.DUMMYFUNCTION("""COMPUTED_VALUE"""),0.0)</f>
        <v>0</v>
      </c>
      <c r="H480" s="12" t="str">
        <f>IFERROR(__xludf.DUMMYFUNCTION("""COMPUTED_VALUE"""),"Wrong product")</f>
        <v>Wrong product</v>
      </c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>
      <c r="A481" s="12">
        <f>IFERROR(__xludf.DUMMYFUNCTION("""COMPUTED_VALUE"""),2021.0)</f>
        <v>2021</v>
      </c>
      <c r="B481" s="12">
        <f>IFERROR(__xludf.DUMMYFUNCTION("""COMPUTED_VALUE"""),10.0)</f>
        <v>10</v>
      </c>
      <c r="C481" s="12">
        <f>IFERROR(__xludf.DUMMYFUNCTION("""COMPUTED_VALUE"""),11.0)</f>
        <v>11</v>
      </c>
      <c r="D481" s="12">
        <f>IFERROR(__xludf.DUMMYFUNCTION("""COMPUTED_VALUE"""),1003452.0)</f>
        <v>1003452</v>
      </c>
      <c r="E481" s="12">
        <f>IFERROR(__xludf.DUMMYFUNCTION("""COMPUTED_VALUE"""),5.0)</f>
        <v>5</v>
      </c>
      <c r="F481" s="12">
        <f>IFERROR(__xludf.DUMMYFUNCTION("""COMPUTED_VALUE"""),0.0)</f>
        <v>0</v>
      </c>
      <c r="G481" s="12">
        <f>IFERROR(__xludf.DUMMYFUNCTION("""COMPUTED_VALUE"""),0.0)</f>
        <v>0</v>
      </c>
      <c r="H481" s="12" t="str">
        <f>IFERROR(__xludf.DUMMYFUNCTION("""COMPUTED_VALUE"""),"Damage")</f>
        <v>Damage</v>
      </c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>
      <c r="A482" s="12">
        <f>IFERROR(__xludf.DUMMYFUNCTION("""COMPUTED_VALUE"""),2021.0)</f>
        <v>2021</v>
      </c>
      <c r="B482" s="12">
        <f>IFERROR(__xludf.DUMMYFUNCTION("""COMPUTED_VALUE"""),10.0)</f>
        <v>10</v>
      </c>
      <c r="C482" s="12">
        <f>IFERROR(__xludf.DUMMYFUNCTION("""COMPUTED_VALUE"""),11.0)</f>
        <v>11</v>
      </c>
      <c r="D482" s="12">
        <f>IFERROR(__xludf.DUMMYFUNCTION("""COMPUTED_VALUE"""),1003695.0)</f>
        <v>1003695</v>
      </c>
      <c r="E482" s="13">
        <f>IFERROR(__xludf.DUMMYFUNCTION("""COMPUTED_VALUE"""),0.39806592876747837)</f>
        <v>0.3980659288</v>
      </c>
      <c r="F482" s="12">
        <f>IFERROR(__xludf.DUMMYFUNCTION("""COMPUTED_VALUE"""),0.0)</f>
        <v>0</v>
      </c>
      <c r="G482" s="12">
        <f>IFERROR(__xludf.DUMMYFUNCTION("""COMPUTED_VALUE"""),5.0)</f>
        <v>5</v>
      </c>
      <c r="H482" s="12" t="str">
        <f>IFERROR(__xludf.DUMMYFUNCTION("""COMPUTED_VALUE"""),"Return")</f>
        <v>Return</v>
      </c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>
      <c r="A483" s="12">
        <f>IFERROR(__xludf.DUMMYFUNCTION("""COMPUTED_VALUE"""),2021.0)</f>
        <v>2021</v>
      </c>
      <c r="B483" s="12">
        <f>IFERROR(__xludf.DUMMYFUNCTION("""COMPUTED_VALUE"""),10.0)</f>
        <v>10</v>
      </c>
      <c r="C483" s="12">
        <f>IFERROR(__xludf.DUMMYFUNCTION("""COMPUTED_VALUE"""),11.0)</f>
        <v>11</v>
      </c>
      <c r="D483" s="12">
        <f>IFERROR(__xludf.DUMMYFUNCTION("""COMPUTED_VALUE"""),1003539.0)</f>
        <v>1003539</v>
      </c>
      <c r="E483" s="12">
        <f>IFERROR(__xludf.DUMMYFUNCTION("""COMPUTED_VALUE"""),3.0)</f>
        <v>3</v>
      </c>
      <c r="F483" s="12">
        <f>IFERROR(__xludf.DUMMYFUNCTION("""COMPUTED_VALUE"""),0.91)</f>
        <v>0.91</v>
      </c>
      <c r="G483" s="12">
        <f>IFERROR(__xludf.DUMMYFUNCTION("""COMPUTED_VALUE"""),0.0)</f>
        <v>0</v>
      </c>
      <c r="H483" s="12" t="str">
        <f>IFERROR(__xludf.DUMMYFUNCTION("""COMPUTED_VALUE"""),"Return")</f>
        <v>Return</v>
      </c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>
      <c r="A484" s="12">
        <f>IFERROR(__xludf.DUMMYFUNCTION("""COMPUTED_VALUE"""),2021.0)</f>
        <v>2021</v>
      </c>
      <c r="B484" s="12">
        <f>IFERROR(__xludf.DUMMYFUNCTION("""COMPUTED_VALUE"""),10.0)</f>
        <v>10</v>
      </c>
      <c r="C484" s="12">
        <f>IFERROR(__xludf.DUMMYFUNCTION("""COMPUTED_VALUE"""),11.0)</f>
        <v>11</v>
      </c>
      <c r="D484" s="12">
        <f>IFERROR(__xludf.DUMMYFUNCTION("""COMPUTED_VALUE"""),1003889.0)</f>
        <v>1003889</v>
      </c>
      <c r="E484" s="12">
        <f>IFERROR(__xludf.DUMMYFUNCTION("""COMPUTED_VALUE"""),2.0)</f>
        <v>2</v>
      </c>
      <c r="F484" s="12">
        <f>IFERROR(__xludf.DUMMYFUNCTION("""COMPUTED_VALUE"""),0.0)</f>
        <v>0</v>
      </c>
      <c r="G484" s="12">
        <f>IFERROR(__xludf.DUMMYFUNCTION("""COMPUTED_VALUE"""),0.0)</f>
        <v>0</v>
      </c>
      <c r="H484" s="12" t="str">
        <f>IFERROR(__xludf.DUMMYFUNCTION("""COMPUTED_VALUE"""),"Wrong product")</f>
        <v>Wrong product</v>
      </c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>
      <c r="A485" s="12">
        <f>IFERROR(__xludf.DUMMYFUNCTION("""COMPUTED_VALUE"""),2021.0)</f>
        <v>2021</v>
      </c>
      <c r="B485" s="12">
        <f>IFERROR(__xludf.DUMMYFUNCTION("""COMPUTED_VALUE"""),10.0)</f>
        <v>10</v>
      </c>
      <c r="C485" s="12">
        <f>IFERROR(__xludf.DUMMYFUNCTION("""COMPUTED_VALUE"""),11.0)</f>
        <v>11</v>
      </c>
      <c r="D485" s="12">
        <f>IFERROR(__xludf.DUMMYFUNCTION("""COMPUTED_VALUE"""),1003317.0)</f>
        <v>1003317</v>
      </c>
      <c r="E485" s="12">
        <f>IFERROR(__xludf.DUMMYFUNCTION("""COMPUTED_VALUE"""),2.0)</f>
        <v>2</v>
      </c>
      <c r="F485" s="12">
        <f>IFERROR(__xludf.DUMMYFUNCTION("""COMPUTED_VALUE"""),0.0)</f>
        <v>0</v>
      </c>
      <c r="G485" s="12">
        <f>IFERROR(__xludf.DUMMYFUNCTION("""COMPUTED_VALUE"""),0.0)</f>
        <v>0</v>
      </c>
      <c r="H485" s="12" t="str">
        <f>IFERROR(__xludf.DUMMYFUNCTION("""COMPUTED_VALUE"""),"Wrong product")</f>
        <v>Wrong product</v>
      </c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>
      <c r="A486" s="12">
        <f>IFERROR(__xludf.DUMMYFUNCTION("""COMPUTED_VALUE"""),2021.0)</f>
        <v>2021</v>
      </c>
      <c r="B486" s="12">
        <f>IFERROR(__xludf.DUMMYFUNCTION("""COMPUTED_VALUE"""),10.0)</f>
        <v>10</v>
      </c>
      <c r="C486" s="12">
        <f>IFERROR(__xludf.DUMMYFUNCTION("""COMPUTED_VALUE"""),11.0)</f>
        <v>11</v>
      </c>
      <c r="D486" s="12">
        <f>IFERROR(__xludf.DUMMYFUNCTION("""COMPUTED_VALUE"""),1004014.0)</f>
        <v>1004014</v>
      </c>
      <c r="E486" s="12">
        <f>IFERROR(__xludf.DUMMYFUNCTION("""COMPUTED_VALUE"""),2.0)</f>
        <v>2</v>
      </c>
      <c r="F486" s="12">
        <f>IFERROR(__xludf.DUMMYFUNCTION("""COMPUTED_VALUE"""),0.0)</f>
        <v>0</v>
      </c>
      <c r="G486" s="12">
        <f>IFERROR(__xludf.DUMMYFUNCTION("""COMPUTED_VALUE"""),0.0)</f>
        <v>0</v>
      </c>
      <c r="H486" s="12" t="str">
        <f>IFERROR(__xludf.DUMMYFUNCTION("""COMPUTED_VALUE"""),"Return")</f>
        <v>Return</v>
      </c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>
      <c r="A487" s="12">
        <f>IFERROR(__xludf.DUMMYFUNCTION("""COMPUTED_VALUE"""),2021.0)</f>
        <v>2021</v>
      </c>
      <c r="B487" s="12">
        <f>IFERROR(__xludf.DUMMYFUNCTION("""COMPUTED_VALUE"""),10.0)</f>
        <v>10</v>
      </c>
      <c r="C487" s="12">
        <f>IFERROR(__xludf.DUMMYFUNCTION("""COMPUTED_VALUE"""),11.0)</f>
        <v>11</v>
      </c>
      <c r="D487" s="12">
        <f>IFERROR(__xludf.DUMMYFUNCTION("""COMPUTED_VALUE"""),1003892.0)</f>
        <v>1003892</v>
      </c>
      <c r="E487" s="12">
        <f>IFERROR(__xludf.DUMMYFUNCTION("""COMPUTED_VALUE"""),3.0)</f>
        <v>3</v>
      </c>
      <c r="F487" s="12">
        <f>IFERROR(__xludf.DUMMYFUNCTION("""COMPUTED_VALUE"""),0.0)</f>
        <v>0</v>
      </c>
      <c r="G487" s="12">
        <f>IFERROR(__xludf.DUMMYFUNCTION("""COMPUTED_VALUE"""),0.0)</f>
        <v>0</v>
      </c>
      <c r="H487" s="12" t="str">
        <f>IFERROR(__xludf.DUMMYFUNCTION("""COMPUTED_VALUE"""),"Wrong product")</f>
        <v>Wrong product</v>
      </c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>
      <c r="A488" s="12">
        <f>IFERROR(__xludf.DUMMYFUNCTION("""COMPUTED_VALUE"""),2021.0)</f>
        <v>2021</v>
      </c>
      <c r="B488" s="12">
        <f>IFERROR(__xludf.DUMMYFUNCTION("""COMPUTED_VALUE"""),10.0)</f>
        <v>10</v>
      </c>
      <c r="C488" s="12">
        <f>IFERROR(__xludf.DUMMYFUNCTION("""COMPUTED_VALUE"""),11.0)</f>
        <v>11</v>
      </c>
      <c r="D488" s="12">
        <f>IFERROR(__xludf.DUMMYFUNCTION("""COMPUTED_VALUE"""),1003887.0)</f>
        <v>1003887</v>
      </c>
      <c r="E488" s="12">
        <f>IFERROR(__xludf.DUMMYFUNCTION("""COMPUTED_VALUE"""),20.0)</f>
        <v>20</v>
      </c>
      <c r="F488" s="12">
        <f>IFERROR(__xludf.DUMMYFUNCTION("""COMPUTED_VALUE"""),0.0)</f>
        <v>0</v>
      </c>
      <c r="G488" s="12">
        <f>IFERROR(__xludf.DUMMYFUNCTION("""COMPUTED_VALUE"""),0.0)</f>
        <v>0</v>
      </c>
      <c r="H488" s="12" t="str">
        <f>IFERROR(__xludf.DUMMYFUNCTION("""COMPUTED_VALUE"""),"Return")</f>
        <v>Return</v>
      </c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>
      <c r="A489" s="12">
        <f>IFERROR(__xludf.DUMMYFUNCTION("""COMPUTED_VALUE"""),2021.0)</f>
        <v>2021</v>
      </c>
      <c r="B489" s="12">
        <f>IFERROR(__xludf.DUMMYFUNCTION("""COMPUTED_VALUE"""),10.0)</f>
        <v>10</v>
      </c>
      <c r="C489" s="12">
        <f>IFERROR(__xludf.DUMMYFUNCTION("""COMPUTED_VALUE"""),11.0)</f>
        <v>11</v>
      </c>
      <c r="D489" s="12">
        <f>IFERROR(__xludf.DUMMYFUNCTION("""COMPUTED_VALUE"""),1003367.0)</f>
        <v>1003367</v>
      </c>
      <c r="E489" s="13">
        <f>IFERROR(__xludf.DUMMYFUNCTION("""COMPUTED_VALUE"""),0.21354014762757223)</f>
        <v>0.2135401476</v>
      </c>
      <c r="F489" s="12">
        <f>IFERROR(__xludf.DUMMYFUNCTION("""COMPUTED_VALUE"""),0.0)</f>
        <v>0</v>
      </c>
      <c r="G489" s="12">
        <f>IFERROR(__xludf.DUMMYFUNCTION("""COMPUTED_VALUE"""),0.0)</f>
        <v>0</v>
      </c>
      <c r="H489" s="12" t="str">
        <f>IFERROR(__xludf.DUMMYFUNCTION("""COMPUTED_VALUE"""),"Wrong product")</f>
        <v>Wrong product</v>
      </c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>
      <c r="A490" s="12">
        <f>IFERROR(__xludf.DUMMYFUNCTION("""COMPUTED_VALUE"""),2021.0)</f>
        <v>2021</v>
      </c>
      <c r="B490" s="12">
        <f>IFERROR(__xludf.DUMMYFUNCTION("""COMPUTED_VALUE"""),10.0)</f>
        <v>10</v>
      </c>
      <c r="C490" s="12">
        <f>IFERROR(__xludf.DUMMYFUNCTION("""COMPUTED_VALUE"""),11.0)</f>
        <v>11</v>
      </c>
      <c r="D490" s="12">
        <f>IFERROR(__xludf.DUMMYFUNCTION("""COMPUTED_VALUE"""),1003378.0)</f>
        <v>1003378</v>
      </c>
      <c r="E490" s="12">
        <f>IFERROR(__xludf.DUMMYFUNCTION("""COMPUTED_VALUE"""),4.0)</f>
        <v>4</v>
      </c>
      <c r="F490" s="12">
        <f>IFERROR(__xludf.DUMMYFUNCTION("""COMPUTED_VALUE"""),0.0)</f>
        <v>0</v>
      </c>
      <c r="G490" s="12">
        <f>IFERROR(__xludf.DUMMYFUNCTION("""COMPUTED_VALUE"""),0.0)</f>
        <v>0</v>
      </c>
      <c r="H490" s="12" t="str">
        <f>IFERROR(__xludf.DUMMYFUNCTION("""COMPUTED_VALUE"""),"Damage")</f>
        <v>Damage</v>
      </c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>
      <c r="A491" s="12">
        <f>IFERROR(__xludf.DUMMYFUNCTION("""COMPUTED_VALUE"""),2021.0)</f>
        <v>2021</v>
      </c>
      <c r="B491" s="12">
        <f>IFERROR(__xludf.DUMMYFUNCTION("""COMPUTED_VALUE"""),10.0)</f>
        <v>10</v>
      </c>
      <c r="C491" s="12">
        <f>IFERROR(__xludf.DUMMYFUNCTION("""COMPUTED_VALUE"""),11.0)</f>
        <v>11</v>
      </c>
      <c r="D491" s="12">
        <f>IFERROR(__xludf.DUMMYFUNCTION("""COMPUTED_VALUE"""),1003647.0)</f>
        <v>1003647</v>
      </c>
      <c r="E491" s="12">
        <f>IFERROR(__xludf.DUMMYFUNCTION("""COMPUTED_VALUE"""),18.0)</f>
        <v>18</v>
      </c>
      <c r="F491" s="12">
        <f>IFERROR(__xludf.DUMMYFUNCTION("""COMPUTED_VALUE"""),0.0)</f>
        <v>0</v>
      </c>
      <c r="G491" s="12">
        <f>IFERROR(__xludf.DUMMYFUNCTION("""COMPUTED_VALUE"""),5.0)</f>
        <v>5</v>
      </c>
      <c r="H491" s="12" t="str">
        <f>IFERROR(__xludf.DUMMYFUNCTION("""COMPUTED_VALUE"""),"Return")</f>
        <v>Return</v>
      </c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>
      <c r="A492" s="12">
        <f>IFERROR(__xludf.DUMMYFUNCTION("""COMPUTED_VALUE"""),2021.0)</f>
        <v>2021</v>
      </c>
      <c r="B492" s="12">
        <f>IFERROR(__xludf.DUMMYFUNCTION("""COMPUTED_VALUE"""),10.0)</f>
        <v>10</v>
      </c>
      <c r="C492" s="12">
        <f>IFERROR(__xludf.DUMMYFUNCTION("""COMPUTED_VALUE"""),11.0)</f>
        <v>11</v>
      </c>
      <c r="D492" s="12">
        <f>IFERROR(__xludf.DUMMYFUNCTION("""COMPUTED_VALUE"""),1003387.0)</f>
        <v>1003387</v>
      </c>
      <c r="E492" s="12">
        <f>IFERROR(__xludf.DUMMYFUNCTION("""COMPUTED_VALUE"""),5.0)</f>
        <v>5</v>
      </c>
      <c r="F492" s="12">
        <f>IFERROR(__xludf.DUMMYFUNCTION("""COMPUTED_VALUE"""),0.94)</f>
        <v>0.94</v>
      </c>
      <c r="G492" s="12">
        <f>IFERROR(__xludf.DUMMYFUNCTION("""COMPUTED_VALUE"""),10.0)</f>
        <v>10</v>
      </c>
      <c r="H492" s="12" t="str">
        <f>IFERROR(__xludf.DUMMYFUNCTION("""COMPUTED_VALUE"""),"Damage")</f>
        <v>Damage</v>
      </c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>
      <c r="A493" s="12">
        <f>IFERROR(__xludf.DUMMYFUNCTION("""COMPUTED_VALUE"""),2021.0)</f>
        <v>2021</v>
      </c>
      <c r="B493" s="12">
        <f>IFERROR(__xludf.DUMMYFUNCTION("""COMPUTED_VALUE"""),10.0)</f>
        <v>10</v>
      </c>
      <c r="C493" s="12">
        <f>IFERROR(__xludf.DUMMYFUNCTION("""COMPUTED_VALUE"""),11.0)</f>
        <v>11</v>
      </c>
      <c r="D493" s="12">
        <f>IFERROR(__xludf.DUMMYFUNCTION("""COMPUTED_VALUE"""),1003555.0)</f>
        <v>1003555</v>
      </c>
      <c r="E493" s="12">
        <f>IFERROR(__xludf.DUMMYFUNCTION("""COMPUTED_VALUE"""),4.0)</f>
        <v>4</v>
      </c>
      <c r="F493" s="12">
        <f>IFERROR(__xludf.DUMMYFUNCTION("""COMPUTED_VALUE"""),0.0)</f>
        <v>0</v>
      </c>
      <c r="G493" s="12">
        <f>IFERROR(__xludf.DUMMYFUNCTION("""COMPUTED_VALUE"""),0.0)</f>
        <v>0</v>
      </c>
      <c r="H493" s="12" t="str">
        <f>IFERROR(__xludf.DUMMYFUNCTION("""COMPUTED_VALUE"""),"Damage")</f>
        <v>Damage</v>
      </c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>
      <c r="A494" s="12">
        <f>IFERROR(__xludf.DUMMYFUNCTION("""COMPUTED_VALUE"""),2021.0)</f>
        <v>2021</v>
      </c>
      <c r="B494" s="12">
        <f>IFERROR(__xludf.DUMMYFUNCTION("""COMPUTED_VALUE"""),10.0)</f>
        <v>10</v>
      </c>
      <c r="C494" s="12">
        <f>IFERROR(__xludf.DUMMYFUNCTION("""COMPUTED_VALUE"""),11.0)</f>
        <v>11</v>
      </c>
      <c r="D494" s="12">
        <f>IFERROR(__xludf.DUMMYFUNCTION("""COMPUTED_VALUE"""),1003526.0)</f>
        <v>1003526</v>
      </c>
      <c r="E494" s="12">
        <f>IFERROR(__xludf.DUMMYFUNCTION("""COMPUTED_VALUE"""),2.0)</f>
        <v>2</v>
      </c>
      <c r="F494" s="12">
        <f>IFERROR(__xludf.DUMMYFUNCTION("""COMPUTED_VALUE"""),0.0)</f>
        <v>0</v>
      </c>
      <c r="G494" s="12">
        <f>IFERROR(__xludf.DUMMYFUNCTION("""COMPUTED_VALUE"""),0.0)</f>
        <v>0</v>
      </c>
      <c r="H494" s="12" t="str">
        <f>IFERROR(__xludf.DUMMYFUNCTION("""COMPUTED_VALUE"""),"Wrong product")</f>
        <v>Wrong product</v>
      </c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>
      <c r="A495" s="12">
        <f>IFERROR(__xludf.DUMMYFUNCTION("""COMPUTED_VALUE"""),2021.0)</f>
        <v>2021</v>
      </c>
      <c r="B495" s="12">
        <f>IFERROR(__xludf.DUMMYFUNCTION("""COMPUTED_VALUE"""),10.0)</f>
        <v>10</v>
      </c>
      <c r="C495" s="12">
        <f>IFERROR(__xludf.DUMMYFUNCTION("""COMPUTED_VALUE"""),11.0)</f>
        <v>11</v>
      </c>
      <c r="D495" s="12">
        <f>IFERROR(__xludf.DUMMYFUNCTION("""COMPUTED_VALUE"""),1003663.0)</f>
        <v>1003663</v>
      </c>
      <c r="E495" s="12">
        <f>IFERROR(__xludf.DUMMYFUNCTION("""COMPUTED_VALUE"""),11.0)</f>
        <v>11</v>
      </c>
      <c r="F495" s="12">
        <f>IFERROR(__xludf.DUMMYFUNCTION("""COMPUTED_VALUE"""),0.0)</f>
        <v>0</v>
      </c>
      <c r="G495" s="12">
        <f>IFERROR(__xludf.DUMMYFUNCTION("""COMPUTED_VALUE"""),0.0)</f>
        <v>0</v>
      </c>
      <c r="H495" s="12" t="str">
        <f>IFERROR(__xludf.DUMMYFUNCTION("""COMPUTED_VALUE"""),"Wrong product")</f>
        <v>Wrong product</v>
      </c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>
      <c r="A496" s="12">
        <f>IFERROR(__xludf.DUMMYFUNCTION("""COMPUTED_VALUE"""),2021.0)</f>
        <v>2021</v>
      </c>
      <c r="B496" s="12">
        <f>IFERROR(__xludf.DUMMYFUNCTION("""COMPUTED_VALUE"""),10.0)</f>
        <v>10</v>
      </c>
      <c r="C496" s="12">
        <f>IFERROR(__xludf.DUMMYFUNCTION("""COMPUTED_VALUE"""),11.0)</f>
        <v>11</v>
      </c>
      <c r="D496" s="12">
        <f>IFERROR(__xludf.DUMMYFUNCTION("""COMPUTED_VALUE"""),1003953.0)</f>
        <v>1003953</v>
      </c>
      <c r="E496" s="12">
        <f>IFERROR(__xludf.DUMMYFUNCTION("""COMPUTED_VALUE"""),16.0)</f>
        <v>16</v>
      </c>
      <c r="F496" s="12">
        <f>IFERROR(__xludf.DUMMYFUNCTION("""COMPUTED_VALUE"""),0.0)</f>
        <v>0</v>
      </c>
      <c r="G496" s="12">
        <f>IFERROR(__xludf.DUMMYFUNCTION("""COMPUTED_VALUE"""),7.0)</f>
        <v>7</v>
      </c>
      <c r="H496" s="12" t="str">
        <f>IFERROR(__xludf.DUMMYFUNCTION("""COMPUTED_VALUE"""),"Return")</f>
        <v>Return</v>
      </c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>
      <c r="A497" s="12">
        <f>IFERROR(__xludf.DUMMYFUNCTION("""COMPUTED_VALUE"""),2021.0)</f>
        <v>2021</v>
      </c>
      <c r="B497" s="12">
        <f>IFERROR(__xludf.DUMMYFUNCTION("""COMPUTED_VALUE"""),10.0)</f>
        <v>10</v>
      </c>
      <c r="C497" s="12">
        <f>IFERROR(__xludf.DUMMYFUNCTION("""COMPUTED_VALUE"""),11.0)</f>
        <v>11</v>
      </c>
      <c r="D497" s="12">
        <f>IFERROR(__xludf.DUMMYFUNCTION("""COMPUTED_VALUE"""),1003383.0)</f>
        <v>1003383</v>
      </c>
      <c r="E497" s="12">
        <f>IFERROR(__xludf.DUMMYFUNCTION("""COMPUTED_VALUE"""),1.0)</f>
        <v>1</v>
      </c>
      <c r="F497" s="12">
        <f>IFERROR(__xludf.DUMMYFUNCTION("""COMPUTED_VALUE"""),0.0)</f>
        <v>0</v>
      </c>
      <c r="G497" s="12">
        <f>IFERROR(__xludf.DUMMYFUNCTION("""COMPUTED_VALUE"""),0.0)</f>
        <v>0</v>
      </c>
      <c r="H497" s="12" t="str">
        <f>IFERROR(__xludf.DUMMYFUNCTION("""COMPUTED_VALUE"""),"Wrong product")</f>
        <v>Wrong product</v>
      </c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>
      <c r="A498" s="12">
        <f>IFERROR(__xludf.DUMMYFUNCTION("""COMPUTED_VALUE"""),2021.0)</f>
        <v>2021</v>
      </c>
      <c r="B498" s="12">
        <f>IFERROR(__xludf.DUMMYFUNCTION("""COMPUTED_VALUE"""),10.0)</f>
        <v>10</v>
      </c>
      <c r="C498" s="12">
        <f>IFERROR(__xludf.DUMMYFUNCTION("""COMPUTED_VALUE"""),11.0)</f>
        <v>11</v>
      </c>
      <c r="D498" s="12">
        <f>IFERROR(__xludf.DUMMYFUNCTION("""COMPUTED_VALUE"""),1003566.0)</f>
        <v>1003566</v>
      </c>
      <c r="E498" s="12">
        <f>IFERROR(__xludf.DUMMYFUNCTION("""COMPUTED_VALUE"""),6.0)</f>
        <v>6</v>
      </c>
      <c r="F498" s="12">
        <f>IFERROR(__xludf.DUMMYFUNCTION("""COMPUTED_VALUE"""),0.0)</f>
        <v>0</v>
      </c>
      <c r="G498" s="12">
        <f>IFERROR(__xludf.DUMMYFUNCTION("""COMPUTED_VALUE"""),0.0)</f>
        <v>0</v>
      </c>
      <c r="H498" s="12" t="str">
        <f>IFERROR(__xludf.DUMMYFUNCTION("""COMPUTED_VALUE"""),"Wrong product")</f>
        <v>Wrong product</v>
      </c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>
      <c r="A499" s="12">
        <f>IFERROR(__xludf.DUMMYFUNCTION("""COMPUTED_VALUE"""),2021.0)</f>
        <v>2021</v>
      </c>
      <c r="B499" s="12">
        <f>IFERROR(__xludf.DUMMYFUNCTION("""COMPUTED_VALUE"""),10.0)</f>
        <v>10</v>
      </c>
      <c r="C499" s="12">
        <f>IFERROR(__xludf.DUMMYFUNCTION("""COMPUTED_VALUE"""),11.0)</f>
        <v>11</v>
      </c>
      <c r="D499" s="12">
        <f>IFERROR(__xludf.DUMMYFUNCTION("""COMPUTED_VALUE"""),1003599.0)</f>
        <v>1003599</v>
      </c>
      <c r="E499" s="12">
        <f>IFERROR(__xludf.DUMMYFUNCTION("""COMPUTED_VALUE"""),10.0)</f>
        <v>10</v>
      </c>
      <c r="F499" s="12">
        <f>IFERROR(__xludf.DUMMYFUNCTION("""COMPUTED_VALUE"""),0.0)</f>
        <v>0</v>
      </c>
      <c r="G499" s="12">
        <f>IFERROR(__xludf.DUMMYFUNCTION("""COMPUTED_VALUE"""),0.0)</f>
        <v>0</v>
      </c>
      <c r="H499" s="12" t="str">
        <f>IFERROR(__xludf.DUMMYFUNCTION("""COMPUTED_VALUE"""),"Wrong product")</f>
        <v>Wrong product</v>
      </c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>
      <c r="A500" s="12">
        <f>IFERROR(__xludf.DUMMYFUNCTION("""COMPUTED_VALUE"""),2021.0)</f>
        <v>2021</v>
      </c>
      <c r="B500" s="12">
        <f>IFERROR(__xludf.DUMMYFUNCTION("""COMPUTED_VALUE"""),10.0)</f>
        <v>10</v>
      </c>
      <c r="C500" s="12">
        <f>IFERROR(__xludf.DUMMYFUNCTION("""COMPUTED_VALUE"""),11.0)</f>
        <v>11</v>
      </c>
      <c r="D500" s="12">
        <f>IFERROR(__xludf.DUMMYFUNCTION("""COMPUTED_VALUE"""),1003543.0)</f>
        <v>1003543</v>
      </c>
      <c r="E500" s="12">
        <f>IFERROR(__xludf.DUMMYFUNCTION("""COMPUTED_VALUE"""),16.0)</f>
        <v>16</v>
      </c>
      <c r="F500" s="12">
        <f>IFERROR(__xludf.DUMMYFUNCTION("""COMPUTED_VALUE"""),9.38)</f>
        <v>9.38</v>
      </c>
      <c r="G500" s="12">
        <f>IFERROR(__xludf.DUMMYFUNCTION("""COMPUTED_VALUE"""),0.0)</f>
        <v>0</v>
      </c>
      <c r="H500" s="12" t="str">
        <f>IFERROR(__xludf.DUMMYFUNCTION("""COMPUTED_VALUE"""),"Return")</f>
        <v>Return</v>
      </c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>
      <c r="A501" s="12">
        <f>IFERROR(__xludf.DUMMYFUNCTION("""COMPUTED_VALUE"""),2021.0)</f>
        <v>2021</v>
      </c>
      <c r="B501" s="12">
        <f>IFERROR(__xludf.DUMMYFUNCTION("""COMPUTED_VALUE"""),10.0)</f>
        <v>10</v>
      </c>
      <c r="C501" s="12">
        <f>IFERROR(__xludf.DUMMYFUNCTION("""COMPUTED_VALUE"""),11.0)</f>
        <v>11</v>
      </c>
      <c r="D501" s="12">
        <f>IFERROR(__xludf.DUMMYFUNCTION("""COMPUTED_VALUE"""),1003336.0)</f>
        <v>1003336</v>
      </c>
      <c r="E501" s="12">
        <f>IFERROR(__xludf.DUMMYFUNCTION("""COMPUTED_VALUE"""),3.0)</f>
        <v>3</v>
      </c>
      <c r="F501" s="12">
        <f>IFERROR(__xludf.DUMMYFUNCTION("""COMPUTED_VALUE"""),0.0)</f>
        <v>0</v>
      </c>
      <c r="G501" s="12">
        <f>IFERROR(__xludf.DUMMYFUNCTION("""COMPUTED_VALUE"""),0.0)</f>
        <v>0</v>
      </c>
      <c r="H501" s="12" t="str">
        <f>IFERROR(__xludf.DUMMYFUNCTION("""COMPUTED_VALUE"""),"Return")</f>
        <v>Return</v>
      </c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>
      <c r="A502" s="12">
        <f>IFERROR(__xludf.DUMMYFUNCTION("""COMPUTED_VALUE"""),2021.0)</f>
        <v>2021</v>
      </c>
      <c r="B502" s="12">
        <f>IFERROR(__xludf.DUMMYFUNCTION("""COMPUTED_VALUE"""),10.0)</f>
        <v>10</v>
      </c>
      <c r="C502" s="12">
        <f>IFERROR(__xludf.DUMMYFUNCTION("""COMPUTED_VALUE"""),11.0)</f>
        <v>11</v>
      </c>
      <c r="D502" s="12">
        <f>IFERROR(__xludf.DUMMYFUNCTION("""COMPUTED_VALUE"""),1003799.0)</f>
        <v>1003799</v>
      </c>
      <c r="E502" s="12">
        <f>IFERROR(__xludf.DUMMYFUNCTION("""COMPUTED_VALUE"""),18.0)</f>
        <v>18</v>
      </c>
      <c r="F502" s="12">
        <f>IFERROR(__xludf.DUMMYFUNCTION("""COMPUTED_VALUE"""),0.0)</f>
        <v>0</v>
      </c>
      <c r="G502" s="12">
        <f>IFERROR(__xludf.DUMMYFUNCTION("""COMPUTED_VALUE"""),0.0)</f>
        <v>0</v>
      </c>
      <c r="H502" s="12" t="str">
        <f>IFERROR(__xludf.DUMMYFUNCTION("""COMPUTED_VALUE"""),"Return")</f>
        <v>Return</v>
      </c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>
      <c r="A503" s="12">
        <f>IFERROR(__xludf.DUMMYFUNCTION("""COMPUTED_VALUE"""),2021.0)</f>
        <v>2021</v>
      </c>
      <c r="B503" s="12">
        <f>IFERROR(__xludf.DUMMYFUNCTION("""COMPUTED_VALUE"""),10.0)</f>
        <v>10</v>
      </c>
      <c r="C503" s="12">
        <f>IFERROR(__xludf.DUMMYFUNCTION("""COMPUTED_VALUE"""),11.0)</f>
        <v>11</v>
      </c>
      <c r="D503" s="12">
        <f>IFERROR(__xludf.DUMMYFUNCTION("""COMPUTED_VALUE"""),1003829.0)</f>
        <v>1003829</v>
      </c>
      <c r="E503" s="12">
        <f>IFERROR(__xludf.DUMMYFUNCTION("""COMPUTED_VALUE"""),16.0)</f>
        <v>16</v>
      </c>
      <c r="F503" s="12">
        <f>IFERROR(__xludf.DUMMYFUNCTION("""COMPUTED_VALUE"""),0.0)</f>
        <v>0</v>
      </c>
      <c r="G503" s="12">
        <f>IFERROR(__xludf.DUMMYFUNCTION("""COMPUTED_VALUE"""),5.0)</f>
        <v>5</v>
      </c>
      <c r="H503" s="12" t="str">
        <f>IFERROR(__xludf.DUMMYFUNCTION("""COMPUTED_VALUE"""),"Damage")</f>
        <v>Damage</v>
      </c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>
      <c r="A504" s="12">
        <f>IFERROR(__xludf.DUMMYFUNCTION("""COMPUTED_VALUE"""),2021.0)</f>
        <v>2021</v>
      </c>
      <c r="B504" s="12">
        <f>IFERROR(__xludf.DUMMYFUNCTION("""COMPUTED_VALUE"""),10.0)</f>
        <v>10</v>
      </c>
      <c r="C504" s="12">
        <f>IFERROR(__xludf.DUMMYFUNCTION("""COMPUTED_VALUE"""),11.0)</f>
        <v>11</v>
      </c>
      <c r="D504" s="12">
        <f>IFERROR(__xludf.DUMMYFUNCTION("""COMPUTED_VALUE"""),1003801.0)</f>
        <v>1003801</v>
      </c>
      <c r="E504" s="12">
        <f>IFERROR(__xludf.DUMMYFUNCTION("""COMPUTED_VALUE"""),3.0)</f>
        <v>3</v>
      </c>
      <c r="F504" s="12">
        <f>IFERROR(__xludf.DUMMYFUNCTION("""COMPUTED_VALUE"""),0.0)</f>
        <v>0</v>
      </c>
      <c r="G504" s="12">
        <f>IFERROR(__xludf.DUMMYFUNCTION("""COMPUTED_VALUE"""),0.0)</f>
        <v>0</v>
      </c>
      <c r="H504" s="12" t="str">
        <f>IFERROR(__xludf.DUMMYFUNCTION("""COMPUTED_VALUE"""),"Wrong product")</f>
        <v>Wrong product</v>
      </c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>
      <c r="A505" s="12">
        <f>IFERROR(__xludf.DUMMYFUNCTION("""COMPUTED_VALUE"""),2021.0)</f>
        <v>2021</v>
      </c>
      <c r="B505" s="12">
        <f>IFERROR(__xludf.DUMMYFUNCTION("""COMPUTED_VALUE"""),10.0)</f>
        <v>10</v>
      </c>
      <c r="C505" s="12">
        <f>IFERROR(__xludf.DUMMYFUNCTION("""COMPUTED_VALUE"""),11.0)</f>
        <v>11</v>
      </c>
      <c r="D505" s="12">
        <f>IFERROR(__xludf.DUMMYFUNCTION("""COMPUTED_VALUE"""),1003332.0)</f>
        <v>1003332</v>
      </c>
      <c r="E505" s="12">
        <f>IFERROR(__xludf.DUMMYFUNCTION("""COMPUTED_VALUE"""),7.0)</f>
        <v>7</v>
      </c>
      <c r="F505" s="12">
        <f>IFERROR(__xludf.DUMMYFUNCTION("""COMPUTED_VALUE"""),0.0)</f>
        <v>0</v>
      </c>
      <c r="G505" s="12">
        <f>IFERROR(__xludf.DUMMYFUNCTION("""COMPUTED_VALUE"""),0.0)</f>
        <v>0</v>
      </c>
      <c r="H505" s="12" t="str">
        <f>IFERROR(__xludf.DUMMYFUNCTION("""COMPUTED_VALUE"""),"Wrong product")</f>
        <v>Wrong product</v>
      </c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>
      <c r="A506" s="12">
        <f>IFERROR(__xludf.DUMMYFUNCTION("""COMPUTED_VALUE"""),2021.0)</f>
        <v>2021</v>
      </c>
      <c r="B506" s="12">
        <f>IFERROR(__xludf.DUMMYFUNCTION("""COMPUTED_VALUE"""),10.0)</f>
        <v>10</v>
      </c>
      <c r="C506" s="12">
        <f>IFERROR(__xludf.DUMMYFUNCTION("""COMPUTED_VALUE"""),11.0)</f>
        <v>11</v>
      </c>
      <c r="D506" s="12">
        <f>IFERROR(__xludf.DUMMYFUNCTION("""COMPUTED_VALUE"""),1003854.0)</f>
        <v>1003854</v>
      </c>
      <c r="E506" s="12">
        <f>IFERROR(__xludf.DUMMYFUNCTION("""COMPUTED_VALUE"""),12.0)</f>
        <v>12</v>
      </c>
      <c r="F506" s="12">
        <f>IFERROR(__xludf.DUMMYFUNCTION("""COMPUTED_VALUE"""),0.0)</f>
        <v>0</v>
      </c>
      <c r="G506" s="12">
        <f>IFERROR(__xludf.DUMMYFUNCTION("""COMPUTED_VALUE"""),5.0)</f>
        <v>5</v>
      </c>
      <c r="H506" s="12" t="str">
        <f>IFERROR(__xludf.DUMMYFUNCTION("""COMPUTED_VALUE"""),"Return")</f>
        <v>Return</v>
      </c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>
      <c r="A507" s="12">
        <f>IFERROR(__xludf.DUMMYFUNCTION("""COMPUTED_VALUE"""),2021.0)</f>
        <v>2021</v>
      </c>
      <c r="B507" s="12">
        <f>IFERROR(__xludf.DUMMYFUNCTION("""COMPUTED_VALUE"""),10.0)</f>
        <v>10</v>
      </c>
      <c r="C507" s="12">
        <f>IFERROR(__xludf.DUMMYFUNCTION("""COMPUTED_VALUE"""),11.0)</f>
        <v>11</v>
      </c>
      <c r="D507" s="12">
        <f>IFERROR(__xludf.DUMMYFUNCTION("""COMPUTED_VALUE"""),1003299.0)</f>
        <v>1003299</v>
      </c>
      <c r="E507" s="12">
        <f>IFERROR(__xludf.DUMMYFUNCTION("""COMPUTED_VALUE"""),3.0)</f>
        <v>3</v>
      </c>
      <c r="F507" s="12">
        <f>IFERROR(__xludf.DUMMYFUNCTION("""COMPUTED_VALUE"""),0.0)</f>
        <v>0</v>
      </c>
      <c r="G507" s="12">
        <f>IFERROR(__xludf.DUMMYFUNCTION("""COMPUTED_VALUE"""),0.0)</f>
        <v>0</v>
      </c>
      <c r="H507" s="12" t="str">
        <f>IFERROR(__xludf.DUMMYFUNCTION("""COMPUTED_VALUE"""),"Return")</f>
        <v>Return</v>
      </c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>
      <c r="A508" s="12">
        <f>IFERROR(__xludf.DUMMYFUNCTION("""COMPUTED_VALUE"""),2021.0)</f>
        <v>2021</v>
      </c>
      <c r="B508" s="12">
        <f>IFERROR(__xludf.DUMMYFUNCTION("""COMPUTED_VALUE"""),10.0)</f>
        <v>10</v>
      </c>
      <c r="C508" s="12">
        <f>IFERROR(__xludf.DUMMYFUNCTION("""COMPUTED_VALUE"""),11.0)</f>
        <v>11</v>
      </c>
      <c r="D508" s="12">
        <f>IFERROR(__xludf.DUMMYFUNCTION("""COMPUTED_VALUE"""),1003503.0)</f>
        <v>1003503</v>
      </c>
      <c r="E508" s="12">
        <f>IFERROR(__xludf.DUMMYFUNCTION("""COMPUTED_VALUE"""),2.0)</f>
        <v>2</v>
      </c>
      <c r="F508" s="12">
        <f>IFERROR(__xludf.DUMMYFUNCTION("""COMPUTED_VALUE"""),0.0)</f>
        <v>0</v>
      </c>
      <c r="G508" s="12">
        <f>IFERROR(__xludf.DUMMYFUNCTION("""COMPUTED_VALUE"""),0.0)</f>
        <v>0</v>
      </c>
      <c r="H508" s="12" t="str">
        <f>IFERROR(__xludf.DUMMYFUNCTION("""COMPUTED_VALUE"""),"Damage")</f>
        <v>Damage</v>
      </c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>
      <c r="A509" s="12">
        <f>IFERROR(__xludf.DUMMYFUNCTION("""COMPUTED_VALUE"""),2021.0)</f>
        <v>2021</v>
      </c>
      <c r="B509" s="12">
        <f>IFERROR(__xludf.DUMMYFUNCTION("""COMPUTED_VALUE"""),10.0)</f>
        <v>10</v>
      </c>
      <c r="C509" s="12">
        <f>IFERROR(__xludf.DUMMYFUNCTION("""COMPUTED_VALUE"""),11.0)</f>
        <v>11</v>
      </c>
      <c r="D509" s="12">
        <f>IFERROR(__xludf.DUMMYFUNCTION("""COMPUTED_VALUE"""),1003964.0)</f>
        <v>1003964</v>
      </c>
      <c r="E509" s="12">
        <f>IFERROR(__xludf.DUMMYFUNCTION("""COMPUTED_VALUE"""),3.0)</f>
        <v>3</v>
      </c>
      <c r="F509" s="12">
        <f>IFERROR(__xludf.DUMMYFUNCTION("""COMPUTED_VALUE"""),0.0)</f>
        <v>0</v>
      </c>
      <c r="G509" s="12">
        <f>IFERROR(__xludf.DUMMYFUNCTION("""COMPUTED_VALUE"""),0.0)</f>
        <v>0</v>
      </c>
      <c r="H509" s="12" t="str">
        <f>IFERROR(__xludf.DUMMYFUNCTION("""COMPUTED_VALUE"""),"Return")</f>
        <v>Return</v>
      </c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>
      <c r="A510" s="12">
        <f>IFERROR(__xludf.DUMMYFUNCTION("""COMPUTED_VALUE"""),2021.0)</f>
        <v>2021</v>
      </c>
      <c r="B510" s="12">
        <f>IFERROR(__xludf.DUMMYFUNCTION("""COMPUTED_VALUE"""),10.0)</f>
        <v>10</v>
      </c>
      <c r="C510" s="12">
        <f>IFERROR(__xludf.DUMMYFUNCTION("""COMPUTED_VALUE"""),11.0)</f>
        <v>11</v>
      </c>
      <c r="D510" s="12">
        <f>IFERROR(__xludf.DUMMYFUNCTION("""COMPUTED_VALUE"""),1003881.0)</f>
        <v>1003881</v>
      </c>
      <c r="E510" s="12">
        <f>IFERROR(__xludf.DUMMYFUNCTION("""COMPUTED_VALUE"""),1.0)</f>
        <v>1</v>
      </c>
      <c r="F510" s="12">
        <f>IFERROR(__xludf.DUMMYFUNCTION("""COMPUTED_VALUE"""),0.0)</f>
        <v>0</v>
      </c>
      <c r="G510" s="12">
        <f>IFERROR(__xludf.DUMMYFUNCTION("""COMPUTED_VALUE"""),0.0)</f>
        <v>0</v>
      </c>
      <c r="H510" s="12" t="str">
        <f>IFERROR(__xludf.DUMMYFUNCTION("""COMPUTED_VALUE"""),"Wrong product")</f>
        <v>Wrong product</v>
      </c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>
      <c r="A511" s="12">
        <f>IFERROR(__xludf.DUMMYFUNCTION("""COMPUTED_VALUE"""),2021.0)</f>
        <v>2021</v>
      </c>
      <c r="B511" s="12">
        <f>IFERROR(__xludf.DUMMYFUNCTION("""COMPUTED_VALUE"""),10.0)</f>
        <v>10</v>
      </c>
      <c r="C511" s="12">
        <f>IFERROR(__xludf.DUMMYFUNCTION("""COMPUTED_VALUE"""),11.0)</f>
        <v>11</v>
      </c>
      <c r="D511" s="12">
        <f>IFERROR(__xludf.DUMMYFUNCTION("""COMPUTED_VALUE"""),1003514.0)</f>
        <v>1003514</v>
      </c>
      <c r="E511" s="12">
        <f>IFERROR(__xludf.DUMMYFUNCTION("""COMPUTED_VALUE"""),8.0)</f>
        <v>8</v>
      </c>
      <c r="F511" s="12">
        <f>IFERROR(__xludf.DUMMYFUNCTION("""COMPUTED_VALUE"""),0.0)</f>
        <v>0</v>
      </c>
      <c r="G511" s="12">
        <f>IFERROR(__xludf.DUMMYFUNCTION("""COMPUTED_VALUE"""),0.0)</f>
        <v>0</v>
      </c>
      <c r="H511" s="12" t="str">
        <f>IFERROR(__xludf.DUMMYFUNCTION("""COMPUTED_VALUE"""),"Damage")</f>
        <v>Damage</v>
      </c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>
      <c r="A512" s="12">
        <f>IFERROR(__xludf.DUMMYFUNCTION("""COMPUTED_VALUE"""),2021.0)</f>
        <v>2021</v>
      </c>
      <c r="B512" s="12">
        <f>IFERROR(__xludf.DUMMYFUNCTION("""COMPUTED_VALUE"""),10.0)</f>
        <v>10</v>
      </c>
      <c r="C512" s="12">
        <f>IFERROR(__xludf.DUMMYFUNCTION("""COMPUTED_VALUE"""),11.0)</f>
        <v>11</v>
      </c>
      <c r="D512" s="12">
        <f>IFERROR(__xludf.DUMMYFUNCTION("""COMPUTED_VALUE"""),1003609.0)</f>
        <v>1003609</v>
      </c>
      <c r="E512" s="12">
        <f>IFERROR(__xludf.DUMMYFUNCTION("""COMPUTED_VALUE"""),1.0)</f>
        <v>1</v>
      </c>
      <c r="F512" s="12">
        <f>IFERROR(__xludf.DUMMYFUNCTION("""COMPUTED_VALUE"""),0.0)</f>
        <v>0</v>
      </c>
      <c r="G512" s="12">
        <f>IFERROR(__xludf.DUMMYFUNCTION("""COMPUTED_VALUE"""),0.0)</f>
        <v>0</v>
      </c>
      <c r="H512" s="12" t="str">
        <f>IFERROR(__xludf.DUMMYFUNCTION("""COMPUTED_VALUE"""),"Wrong product")</f>
        <v>Wrong product</v>
      </c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>
      <c r="A513" s="12">
        <f>IFERROR(__xludf.DUMMYFUNCTION("""COMPUTED_VALUE"""),2021.0)</f>
        <v>2021</v>
      </c>
      <c r="B513" s="12">
        <f>IFERROR(__xludf.DUMMYFUNCTION("""COMPUTED_VALUE"""),10.0)</f>
        <v>10</v>
      </c>
      <c r="C513" s="12">
        <f>IFERROR(__xludf.DUMMYFUNCTION("""COMPUTED_VALUE"""),11.0)</f>
        <v>11</v>
      </c>
      <c r="D513" s="12">
        <f>IFERROR(__xludf.DUMMYFUNCTION("""COMPUTED_VALUE"""),1003473.0)</f>
        <v>1003473</v>
      </c>
      <c r="E513" s="12">
        <f>IFERROR(__xludf.DUMMYFUNCTION("""COMPUTED_VALUE"""),2.0)</f>
        <v>2</v>
      </c>
      <c r="F513" s="12">
        <f>IFERROR(__xludf.DUMMYFUNCTION("""COMPUTED_VALUE"""),0.0)</f>
        <v>0</v>
      </c>
      <c r="G513" s="12">
        <f>IFERROR(__xludf.DUMMYFUNCTION("""COMPUTED_VALUE"""),0.0)</f>
        <v>0</v>
      </c>
      <c r="H513" s="12" t="str">
        <f>IFERROR(__xludf.DUMMYFUNCTION("""COMPUTED_VALUE"""),"Wrong product")</f>
        <v>Wrong product</v>
      </c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>
      <c r="A514" s="12">
        <f>IFERROR(__xludf.DUMMYFUNCTION("""COMPUTED_VALUE"""),2021.0)</f>
        <v>2021</v>
      </c>
      <c r="B514" s="12">
        <f>IFERROR(__xludf.DUMMYFUNCTION("""COMPUTED_VALUE"""),10.0)</f>
        <v>10</v>
      </c>
      <c r="C514" s="12">
        <f>IFERROR(__xludf.DUMMYFUNCTION("""COMPUTED_VALUE"""),11.0)</f>
        <v>11</v>
      </c>
      <c r="D514" s="12">
        <f>IFERROR(__xludf.DUMMYFUNCTION("""COMPUTED_VALUE"""),1003532.0)</f>
        <v>1003532</v>
      </c>
      <c r="E514" s="12">
        <f>IFERROR(__xludf.DUMMYFUNCTION("""COMPUTED_VALUE"""),20.0)</f>
        <v>20</v>
      </c>
      <c r="F514" s="12">
        <f>IFERROR(__xludf.DUMMYFUNCTION("""COMPUTED_VALUE"""),0.0)</f>
        <v>0</v>
      </c>
      <c r="G514" s="12">
        <f>IFERROR(__xludf.DUMMYFUNCTION("""COMPUTED_VALUE"""),0.0)</f>
        <v>0</v>
      </c>
      <c r="H514" s="12" t="str">
        <f>IFERROR(__xludf.DUMMYFUNCTION("""COMPUTED_VALUE"""),"Damage")</f>
        <v>Damage</v>
      </c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>
      <c r="A515" s="12">
        <f>IFERROR(__xludf.DUMMYFUNCTION("""COMPUTED_VALUE"""),2021.0)</f>
        <v>2021</v>
      </c>
      <c r="B515" s="12">
        <f>IFERROR(__xludf.DUMMYFUNCTION("""COMPUTED_VALUE"""),10.0)</f>
        <v>10</v>
      </c>
      <c r="C515" s="12">
        <f>IFERROR(__xludf.DUMMYFUNCTION("""COMPUTED_VALUE"""),11.0)</f>
        <v>11</v>
      </c>
      <c r="D515" s="12">
        <f>IFERROR(__xludf.DUMMYFUNCTION("""COMPUTED_VALUE"""),1003346.0)</f>
        <v>1003346</v>
      </c>
      <c r="E515" s="12">
        <f>IFERROR(__xludf.DUMMYFUNCTION("""COMPUTED_VALUE"""),6.0)</f>
        <v>6</v>
      </c>
      <c r="F515" s="12">
        <f>IFERROR(__xludf.DUMMYFUNCTION("""COMPUTED_VALUE"""),9.15)</f>
        <v>9.15</v>
      </c>
      <c r="G515" s="12">
        <f>IFERROR(__xludf.DUMMYFUNCTION("""COMPUTED_VALUE"""),0.0)</f>
        <v>0</v>
      </c>
      <c r="H515" s="12" t="str">
        <f>IFERROR(__xludf.DUMMYFUNCTION("""COMPUTED_VALUE"""),"Return")</f>
        <v>Return</v>
      </c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>
      <c r="A516" s="12">
        <f>IFERROR(__xludf.DUMMYFUNCTION("""COMPUTED_VALUE"""),2021.0)</f>
        <v>2021</v>
      </c>
      <c r="B516" s="12">
        <f>IFERROR(__xludf.DUMMYFUNCTION("""COMPUTED_VALUE"""),10.0)</f>
        <v>10</v>
      </c>
      <c r="C516" s="12">
        <f>IFERROR(__xludf.DUMMYFUNCTION("""COMPUTED_VALUE"""),11.0)</f>
        <v>11</v>
      </c>
      <c r="D516" s="12">
        <f>IFERROR(__xludf.DUMMYFUNCTION("""COMPUTED_VALUE"""),1003420.0)</f>
        <v>1003420</v>
      </c>
      <c r="E516" s="12">
        <f>IFERROR(__xludf.DUMMYFUNCTION("""COMPUTED_VALUE"""),1.0)</f>
        <v>1</v>
      </c>
      <c r="F516" s="12">
        <f>IFERROR(__xludf.DUMMYFUNCTION("""COMPUTED_VALUE"""),0.0)</f>
        <v>0</v>
      </c>
      <c r="G516" s="12">
        <f>IFERROR(__xludf.DUMMYFUNCTION("""COMPUTED_VALUE"""),0.0)</f>
        <v>0</v>
      </c>
      <c r="H516" s="12" t="str">
        <f>IFERROR(__xludf.DUMMYFUNCTION("""COMPUTED_VALUE"""),"Damage")</f>
        <v>Damage</v>
      </c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>
      <c r="A517" s="12">
        <f>IFERROR(__xludf.DUMMYFUNCTION("""COMPUTED_VALUE"""),2021.0)</f>
        <v>2021</v>
      </c>
      <c r="B517" s="12">
        <f>IFERROR(__xludf.DUMMYFUNCTION("""COMPUTED_VALUE"""),10.0)</f>
        <v>10</v>
      </c>
      <c r="C517" s="12">
        <f>IFERROR(__xludf.DUMMYFUNCTION("""COMPUTED_VALUE"""),11.0)</f>
        <v>11</v>
      </c>
      <c r="D517" s="12">
        <f>IFERROR(__xludf.DUMMYFUNCTION("""COMPUTED_VALUE"""),1003717.0)</f>
        <v>1003717</v>
      </c>
      <c r="E517" s="13">
        <f>IFERROR(__xludf.DUMMYFUNCTION("""COMPUTED_VALUE"""),0.4705142440133121)</f>
        <v>0.470514244</v>
      </c>
      <c r="F517" s="12">
        <f>IFERROR(__xludf.DUMMYFUNCTION("""COMPUTED_VALUE"""),0.0)</f>
        <v>0</v>
      </c>
      <c r="G517" s="12">
        <f>IFERROR(__xludf.DUMMYFUNCTION("""COMPUTED_VALUE"""),0.0)</f>
        <v>0</v>
      </c>
      <c r="H517" s="12" t="str">
        <f>IFERROR(__xludf.DUMMYFUNCTION("""COMPUTED_VALUE"""),"Return")</f>
        <v>Return</v>
      </c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>
      <c r="A518" s="12">
        <f>IFERROR(__xludf.DUMMYFUNCTION("""COMPUTED_VALUE"""),2021.0)</f>
        <v>2021</v>
      </c>
      <c r="B518" s="12">
        <f>IFERROR(__xludf.DUMMYFUNCTION("""COMPUTED_VALUE"""),10.0)</f>
        <v>10</v>
      </c>
      <c r="C518" s="12">
        <f>IFERROR(__xludf.DUMMYFUNCTION("""COMPUTED_VALUE"""),12.0)</f>
        <v>12</v>
      </c>
      <c r="D518" s="12">
        <f>IFERROR(__xludf.DUMMYFUNCTION("""COMPUTED_VALUE"""),1003428.0)</f>
        <v>1003428</v>
      </c>
      <c r="E518" s="12">
        <f>IFERROR(__xludf.DUMMYFUNCTION("""COMPUTED_VALUE"""),12.0)</f>
        <v>12</v>
      </c>
      <c r="F518" s="12">
        <f>IFERROR(__xludf.DUMMYFUNCTION("""COMPUTED_VALUE"""),0.0)</f>
        <v>0</v>
      </c>
      <c r="G518" s="12">
        <f>IFERROR(__xludf.DUMMYFUNCTION("""COMPUTED_VALUE"""),0.0)</f>
        <v>0</v>
      </c>
      <c r="H518" s="12" t="str">
        <f>IFERROR(__xludf.DUMMYFUNCTION("""COMPUTED_VALUE"""),"Wrong product")</f>
        <v>Wrong product</v>
      </c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>
      <c r="A519" s="12">
        <f>IFERROR(__xludf.DUMMYFUNCTION("""COMPUTED_VALUE"""),2021.0)</f>
        <v>2021</v>
      </c>
      <c r="B519" s="12">
        <f>IFERROR(__xludf.DUMMYFUNCTION("""COMPUTED_VALUE"""),10.0)</f>
        <v>10</v>
      </c>
      <c r="C519" s="12">
        <f>IFERROR(__xludf.DUMMYFUNCTION("""COMPUTED_VALUE"""),12.0)</f>
        <v>12</v>
      </c>
      <c r="D519" s="12">
        <f>IFERROR(__xludf.DUMMYFUNCTION("""COMPUTED_VALUE"""),1003649.0)</f>
        <v>1003649</v>
      </c>
      <c r="E519" s="12">
        <f>IFERROR(__xludf.DUMMYFUNCTION("""COMPUTED_VALUE"""),9.0)</f>
        <v>9</v>
      </c>
      <c r="F519" s="12">
        <f>IFERROR(__xludf.DUMMYFUNCTION("""COMPUTED_VALUE"""),0.0)</f>
        <v>0</v>
      </c>
      <c r="G519" s="12">
        <f>IFERROR(__xludf.DUMMYFUNCTION("""COMPUTED_VALUE"""),0.0)</f>
        <v>0</v>
      </c>
      <c r="H519" s="12" t="str">
        <f>IFERROR(__xludf.DUMMYFUNCTION("""COMPUTED_VALUE"""),"Return")</f>
        <v>Return</v>
      </c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>
      <c r="A520" s="12">
        <f>IFERROR(__xludf.DUMMYFUNCTION("""COMPUTED_VALUE"""),2021.0)</f>
        <v>2021</v>
      </c>
      <c r="B520" s="12">
        <f>IFERROR(__xludf.DUMMYFUNCTION("""COMPUTED_VALUE"""),10.0)</f>
        <v>10</v>
      </c>
      <c r="C520" s="12">
        <f>IFERROR(__xludf.DUMMYFUNCTION("""COMPUTED_VALUE"""),12.0)</f>
        <v>12</v>
      </c>
      <c r="D520" s="12">
        <f>IFERROR(__xludf.DUMMYFUNCTION("""COMPUTED_VALUE"""),1003319.0)</f>
        <v>1003319</v>
      </c>
      <c r="E520" s="12">
        <f>IFERROR(__xludf.DUMMYFUNCTION("""COMPUTED_VALUE"""),7.0)</f>
        <v>7</v>
      </c>
      <c r="F520" s="12">
        <f>IFERROR(__xludf.DUMMYFUNCTION("""COMPUTED_VALUE"""),0.0)</f>
        <v>0</v>
      </c>
      <c r="G520" s="12">
        <f>IFERROR(__xludf.DUMMYFUNCTION("""COMPUTED_VALUE"""),10.0)</f>
        <v>10</v>
      </c>
      <c r="H520" s="12" t="str">
        <f>IFERROR(__xludf.DUMMYFUNCTION("""COMPUTED_VALUE"""),"Return")</f>
        <v>Return</v>
      </c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>
      <c r="A521" s="12">
        <f>IFERROR(__xludf.DUMMYFUNCTION("""COMPUTED_VALUE"""),2021.0)</f>
        <v>2021</v>
      </c>
      <c r="B521" s="12">
        <f>IFERROR(__xludf.DUMMYFUNCTION("""COMPUTED_VALUE"""),10.0)</f>
        <v>10</v>
      </c>
      <c r="C521" s="12">
        <f>IFERROR(__xludf.DUMMYFUNCTION("""COMPUTED_VALUE"""),12.0)</f>
        <v>12</v>
      </c>
      <c r="D521" s="12">
        <f>IFERROR(__xludf.DUMMYFUNCTION("""COMPUTED_VALUE"""),1003313.0)</f>
        <v>1003313</v>
      </c>
      <c r="E521" s="12">
        <f>IFERROR(__xludf.DUMMYFUNCTION("""COMPUTED_VALUE"""),13.0)</f>
        <v>13</v>
      </c>
      <c r="F521" s="12">
        <f>IFERROR(__xludf.DUMMYFUNCTION("""COMPUTED_VALUE"""),0.0)</f>
        <v>0</v>
      </c>
      <c r="G521" s="12">
        <f>IFERROR(__xludf.DUMMYFUNCTION("""COMPUTED_VALUE"""),0.0)</f>
        <v>0</v>
      </c>
      <c r="H521" s="12" t="str">
        <f>IFERROR(__xludf.DUMMYFUNCTION("""COMPUTED_VALUE"""),"Return")</f>
        <v>Return</v>
      </c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>
      <c r="A522" s="12">
        <f>IFERROR(__xludf.DUMMYFUNCTION("""COMPUTED_VALUE"""),2021.0)</f>
        <v>2021</v>
      </c>
      <c r="B522" s="12">
        <f>IFERROR(__xludf.DUMMYFUNCTION("""COMPUTED_VALUE"""),10.0)</f>
        <v>10</v>
      </c>
      <c r="C522" s="12">
        <f>IFERROR(__xludf.DUMMYFUNCTION("""COMPUTED_VALUE"""),12.0)</f>
        <v>12</v>
      </c>
      <c r="D522" s="12">
        <f>IFERROR(__xludf.DUMMYFUNCTION("""COMPUTED_VALUE"""),1003314.0)</f>
        <v>1003314</v>
      </c>
      <c r="E522" s="12">
        <f>IFERROR(__xludf.DUMMYFUNCTION("""COMPUTED_VALUE"""),20.0)</f>
        <v>20</v>
      </c>
      <c r="F522" s="12">
        <f>IFERROR(__xludf.DUMMYFUNCTION("""COMPUTED_VALUE"""),0.0)</f>
        <v>0</v>
      </c>
      <c r="G522" s="12">
        <f>IFERROR(__xludf.DUMMYFUNCTION("""COMPUTED_VALUE"""),0.0)</f>
        <v>0</v>
      </c>
      <c r="H522" s="12" t="str">
        <f>IFERROR(__xludf.DUMMYFUNCTION("""COMPUTED_VALUE"""),"Damage")</f>
        <v>Damage</v>
      </c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>
      <c r="A523" s="12">
        <f>IFERROR(__xludf.DUMMYFUNCTION("""COMPUTED_VALUE"""),2021.0)</f>
        <v>2021</v>
      </c>
      <c r="B523" s="12">
        <f>IFERROR(__xludf.DUMMYFUNCTION("""COMPUTED_VALUE"""),10.0)</f>
        <v>10</v>
      </c>
      <c r="C523" s="12">
        <f>IFERROR(__xludf.DUMMYFUNCTION("""COMPUTED_VALUE"""),12.0)</f>
        <v>12</v>
      </c>
      <c r="D523" s="12">
        <f>IFERROR(__xludf.DUMMYFUNCTION("""COMPUTED_VALUE"""),1004016.0)</f>
        <v>1004016</v>
      </c>
      <c r="E523" s="12">
        <f>IFERROR(__xludf.DUMMYFUNCTION("""COMPUTED_VALUE"""),12.0)</f>
        <v>12</v>
      </c>
      <c r="F523" s="12">
        <f>IFERROR(__xludf.DUMMYFUNCTION("""COMPUTED_VALUE"""),0.0)</f>
        <v>0</v>
      </c>
      <c r="G523" s="12">
        <f>IFERROR(__xludf.DUMMYFUNCTION("""COMPUTED_VALUE"""),0.0)</f>
        <v>0</v>
      </c>
      <c r="H523" s="12" t="str">
        <f>IFERROR(__xludf.DUMMYFUNCTION("""COMPUTED_VALUE"""),"Return")</f>
        <v>Return</v>
      </c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>
      <c r="A524" s="12">
        <f>IFERROR(__xludf.DUMMYFUNCTION("""COMPUTED_VALUE"""),2021.0)</f>
        <v>2021</v>
      </c>
      <c r="B524" s="12">
        <f>IFERROR(__xludf.DUMMYFUNCTION("""COMPUTED_VALUE"""),10.0)</f>
        <v>10</v>
      </c>
      <c r="C524" s="12">
        <f>IFERROR(__xludf.DUMMYFUNCTION("""COMPUTED_VALUE"""),12.0)</f>
        <v>12</v>
      </c>
      <c r="D524" s="12">
        <f>IFERROR(__xludf.DUMMYFUNCTION("""COMPUTED_VALUE"""),1003622.0)</f>
        <v>1003622</v>
      </c>
      <c r="E524" s="12">
        <f>IFERROR(__xludf.DUMMYFUNCTION("""COMPUTED_VALUE"""),14.0)</f>
        <v>14</v>
      </c>
      <c r="F524" s="12">
        <f>IFERROR(__xludf.DUMMYFUNCTION("""COMPUTED_VALUE"""),0.0)</f>
        <v>0</v>
      </c>
      <c r="G524" s="12">
        <f>IFERROR(__xludf.DUMMYFUNCTION("""COMPUTED_VALUE"""),0.0)</f>
        <v>0</v>
      </c>
      <c r="H524" s="12" t="str">
        <f>IFERROR(__xludf.DUMMYFUNCTION("""COMPUTED_VALUE"""),"Damage")</f>
        <v>Damage</v>
      </c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>
      <c r="A525" s="12">
        <f>IFERROR(__xludf.DUMMYFUNCTION("""COMPUTED_VALUE"""),2021.0)</f>
        <v>2021</v>
      </c>
      <c r="B525" s="12">
        <f>IFERROR(__xludf.DUMMYFUNCTION("""COMPUTED_VALUE"""),10.0)</f>
        <v>10</v>
      </c>
      <c r="C525" s="12">
        <f>IFERROR(__xludf.DUMMYFUNCTION("""COMPUTED_VALUE"""),12.0)</f>
        <v>12</v>
      </c>
      <c r="D525" s="12">
        <f>IFERROR(__xludf.DUMMYFUNCTION("""COMPUTED_VALUE"""),1003958.0)</f>
        <v>1003958</v>
      </c>
      <c r="E525" s="12">
        <f>IFERROR(__xludf.DUMMYFUNCTION("""COMPUTED_VALUE"""),5.0)</f>
        <v>5</v>
      </c>
      <c r="F525" s="12">
        <f>IFERROR(__xludf.DUMMYFUNCTION("""COMPUTED_VALUE"""),0.0)</f>
        <v>0</v>
      </c>
      <c r="G525" s="12">
        <f>IFERROR(__xludf.DUMMYFUNCTION("""COMPUTED_VALUE"""),0.0)</f>
        <v>0</v>
      </c>
      <c r="H525" s="12" t="str">
        <f>IFERROR(__xludf.DUMMYFUNCTION("""COMPUTED_VALUE"""),"Wrong product")</f>
        <v>Wrong product</v>
      </c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>
      <c r="A526" s="12">
        <f>IFERROR(__xludf.DUMMYFUNCTION("""COMPUTED_VALUE"""),2021.0)</f>
        <v>2021</v>
      </c>
      <c r="B526" s="12">
        <f>IFERROR(__xludf.DUMMYFUNCTION("""COMPUTED_VALUE"""),10.0)</f>
        <v>10</v>
      </c>
      <c r="C526" s="12">
        <f>IFERROR(__xludf.DUMMYFUNCTION("""COMPUTED_VALUE"""),12.0)</f>
        <v>12</v>
      </c>
      <c r="D526" s="12">
        <f>IFERROR(__xludf.DUMMYFUNCTION("""COMPUTED_VALUE"""),1003517.0)</f>
        <v>1003517</v>
      </c>
      <c r="E526" s="12">
        <f>IFERROR(__xludf.DUMMYFUNCTION("""COMPUTED_VALUE"""),16.0)</f>
        <v>16</v>
      </c>
      <c r="F526" s="12">
        <f>IFERROR(__xludf.DUMMYFUNCTION("""COMPUTED_VALUE"""),3.7)</f>
        <v>3.7</v>
      </c>
      <c r="G526" s="12">
        <f>IFERROR(__xludf.DUMMYFUNCTION("""COMPUTED_VALUE"""),0.0)</f>
        <v>0</v>
      </c>
      <c r="H526" s="12" t="str">
        <f>IFERROR(__xludf.DUMMYFUNCTION("""COMPUTED_VALUE"""),"Wrong product")</f>
        <v>Wrong product</v>
      </c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>
      <c r="A527" s="12">
        <f>IFERROR(__xludf.DUMMYFUNCTION("""COMPUTED_VALUE"""),2021.0)</f>
        <v>2021</v>
      </c>
      <c r="B527" s="12">
        <f>IFERROR(__xludf.DUMMYFUNCTION("""COMPUTED_VALUE"""),10.0)</f>
        <v>10</v>
      </c>
      <c r="C527" s="12">
        <f>IFERROR(__xludf.DUMMYFUNCTION("""COMPUTED_VALUE"""),12.0)</f>
        <v>12</v>
      </c>
      <c r="D527" s="12">
        <f>IFERROR(__xludf.DUMMYFUNCTION("""COMPUTED_VALUE"""),1003524.0)</f>
        <v>1003524</v>
      </c>
      <c r="E527" s="12">
        <f>IFERROR(__xludf.DUMMYFUNCTION("""COMPUTED_VALUE"""),1.0)</f>
        <v>1</v>
      </c>
      <c r="F527" s="12">
        <f>IFERROR(__xludf.DUMMYFUNCTION("""COMPUTED_VALUE"""),0.0)</f>
        <v>0</v>
      </c>
      <c r="G527" s="12">
        <f>IFERROR(__xludf.DUMMYFUNCTION("""COMPUTED_VALUE"""),3.68)</f>
        <v>3.68</v>
      </c>
      <c r="H527" s="12" t="str">
        <f>IFERROR(__xludf.DUMMYFUNCTION("""COMPUTED_VALUE"""),"Return")</f>
        <v>Return</v>
      </c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>
      <c r="A528" s="12">
        <f>IFERROR(__xludf.DUMMYFUNCTION("""COMPUTED_VALUE"""),2021.0)</f>
        <v>2021</v>
      </c>
      <c r="B528" s="12">
        <f>IFERROR(__xludf.DUMMYFUNCTION("""COMPUTED_VALUE"""),10.0)</f>
        <v>10</v>
      </c>
      <c r="C528" s="12">
        <f>IFERROR(__xludf.DUMMYFUNCTION("""COMPUTED_VALUE"""),12.0)</f>
        <v>12</v>
      </c>
      <c r="D528" s="12">
        <f>IFERROR(__xludf.DUMMYFUNCTION("""COMPUTED_VALUE"""),1003505.0)</f>
        <v>1003505</v>
      </c>
      <c r="E528" s="12">
        <f>IFERROR(__xludf.DUMMYFUNCTION("""COMPUTED_VALUE"""),1.0)</f>
        <v>1</v>
      </c>
      <c r="F528" s="12">
        <f>IFERROR(__xludf.DUMMYFUNCTION("""COMPUTED_VALUE"""),3.7)</f>
        <v>3.7</v>
      </c>
      <c r="G528" s="12">
        <f>IFERROR(__xludf.DUMMYFUNCTION("""COMPUTED_VALUE"""),8.0)</f>
        <v>8</v>
      </c>
      <c r="H528" s="12" t="str">
        <f>IFERROR(__xludf.DUMMYFUNCTION("""COMPUTED_VALUE"""),"Wrong product")</f>
        <v>Wrong product</v>
      </c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>
      <c r="A529" s="12">
        <f>IFERROR(__xludf.DUMMYFUNCTION("""COMPUTED_VALUE"""),2021.0)</f>
        <v>2021</v>
      </c>
      <c r="B529" s="12">
        <f>IFERROR(__xludf.DUMMYFUNCTION("""COMPUTED_VALUE"""),10.0)</f>
        <v>10</v>
      </c>
      <c r="C529" s="12">
        <f>IFERROR(__xludf.DUMMYFUNCTION("""COMPUTED_VALUE"""),12.0)</f>
        <v>12</v>
      </c>
      <c r="D529" s="12">
        <f>IFERROR(__xludf.DUMMYFUNCTION("""COMPUTED_VALUE"""),1003388.0)</f>
        <v>1003388</v>
      </c>
      <c r="E529" s="12">
        <f>IFERROR(__xludf.DUMMYFUNCTION("""COMPUTED_VALUE"""),17.0)</f>
        <v>17</v>
      </c>
      <c r="F529" s="12">
        <f>IFERROR(__xludf.DUMMYFUNCTION("""COMPUTED_VALUE"""),0.0)</f>
        <v>0</v>
      </c>
      <c r="G529" s="12">
        <f>IFERROR(__xludf.DUMMYFUNCTION("""COMPUTED_VALUE"""),5.0)</f>
        <v>5</v>
      </c>
      <c r="H529" s="12" t="str">
        <f>IFERROR(__xludf.DUMMYFUNCTION("""COMPUTED_VALUE"""),"Return")</f>
        <v>Return</v>
      </c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>
      <c r="A530" s="12">
        <f>IFERROR(__xludf.DUMMYFUNCTION("""COMPUTED_VALUE"""),2021.0)</f>
        <v>2021</v>
      </c>
      <c r="B530" s="12">
        <f>IFERROR(__xludf.DUMMYFUNCTION("""COMPUTED_VALUE"""),10.0)</f>
        <v>10</v>
      </c>
      <c r="C530" s="12">
        <f>IFERROR(__xludf.DUMMYFUNCTION("""COMPUTED_VALUE"""),12.0)</f>
        <v>12</v>
      </c>
      <c r="D530" s="12">
        <f>IFERROR(__xludf.DUMMYFUNCTION("""COMPUTED_VALUE"""),1003732.0)</f>
        <v>1003732</v>
      </c>
      <c r="E530" s="12">
        <f>IFERROR(__xludf.DUMMYFUNCTION("""COMPUTED_VALUE"""),8.0)</f>
        <v>8</v>
      </c>
      <c r="F530" s="12">
        <f>IFERROR(__xludf.DUMMYFUNCTION("""COMPUTED_VALUE"""),0.0)</f>
        <v>0</v>
      </c>
      <c r="G530" s="12">
        <f>IFERROR(__xludf.DUMMYFUNCTION("""COMPUTED_VALUE"""),0.0)</f>
        <v>0</v>
      </c>
      <c r="H530" s="12" t="str">
        <f>IFERROR(__xludf.DUMMYFUNCTION("""COMPUTED_VALUE"""),"Damage")</f>
        <v>Damage</v>
      </c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>
      <c r="A531" s="12">
        <f>IFERROR(__xludf.DUMMYFUNCTION("""COMPUTED_VALUE"""),2021.0)</f>
        <v>2021</v>
      </c>
      <c r="B531" s="12">
        <f>IFERROR(__xludf.DUMMYFUNCTION("""COMPUTED_VALUE"""),10.0)</f>
        <v>10</v>
      </c>
      <c r="C531" s="12">
        <f>IFERROR(__xludf.DUMMYFUNCTION("""COMPUTED_VALUE"""),12.0)</f>
        <v>12</v>
      </c>
      <c r="D531" s="12">
        <f>IFERROR(__xludf.DUMMYFUNCTION("""COMPUTED_VALUE"""),1003545.0)</f>
        <v>1003545</v>
      </c>
      <c r="E531" s="13">
        <f>IFERROR(__xludf.DUMMYFUNCTION("""COMPUTED_VALUE"""),0.33776805225388906)</f>
        <v>0.3377680523</v>
      </c>
      <c r="F531" s="12">
        <f>IFERROR(__xludf.DUMMYFUNCTION("""COMPUTED_VALUE"""),0.0)</f>
        <v>0</v>
      </c>
      <c r="G531" s="12">
        <f>IFERROR(__xludf.DUMMYFUNCTION("""COMPUTED_VALUE"""),0.0)</f>
        <v>0</v>
      </c>
      <c r="H531" s="12" t="str">
        <f>IFERROR(__xludf.DUMMYFUNCTION("""COMPUTED_VALUE"""),"Wrong product")</f>
        <v>Wrong product</v>
      </c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>
      <c r="A532" s="12">
        <f>IFERROR(__xludf.DUMMYFUNCTION("""COMPUTED_VALUE"""),2021.0)</f>
        <v>2021</v>
      </c>
      <c r="B532" s="12">
        <f>IFERROR(__xludf.DUMMYFUNCTION("""COMPUTED_VALUE"""),10.0)</f>
        <v>10</v>
      </c>
      <c r="C532" s="12">
        <f>IFERROR(__xludf.DUMMYFUNCTION("""COMPUTED_VALUE"""),12.0)</f>
        <v>12</v>
      </c>
      <c r="D532" s="12">
        <f>IFERROR(__xludf.DUMMYFUNCTION("""COMPUTED_VALUE"""),1003364.0)</f>
        <v>1003364</v>
      </c>
      <c r="E532" s="12">
        <f>IFERROR(__xludf.DUMMYFUNCTION("""COMPUTED_VALUE"""),1.0)</f>
        <v>1</v>
      </c>
      <c r="F532" s="12">
        <f>IFERROR(__xludf.DUMMYFUNCTION("""COMPUTED_VALUE"""),0.0)</f>
        <v>0</v>
      </c>
      <c r="G532" s="12">
        <f>IFERROR(__xludf.DUMMYFUNCTION("""COMPUTED_VALUE"""),0.0)</f>
        <v>0</v>
      </c>
      <c r="H532" s="12" t="str">
        <f>IFERROR(__xludf.DUMMYFUNCTION("""COMPUTED_VALUE"""),"Damage")</f>
        <v>Damage</v>
      </c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>
      <c r="A533" s="12">
        <f>IFERROR(__xludf.DUMMYFUNCTION("""COMPUTED_VALUE"""),2021.0)</f>
        <v>2021</v>
      </c>
      <c r="B533" s="12">
        <f>IFERROR(__xludf.DUMMYFUNCTION("""COMPUTED_VALUE"""),10.0)</f>
        <v>10</v>
      </c>
      <c r="C533" s="12">
        <f>IFERROR(__xludf.DUMMYFUNCTION("""COMPUTED_VALUE"""),12.0)</f>
        <v>12</v>
      </c>
      <c r="D533" s="12">
        <f>IFERROR(__xludf.DUMMYFUNCTION("""COMPUTED_VALUE"""),1003576.0)</f>
        <v>1003576</v>
      </c>
      <c r="E533" s="12">
        <f>IFERROR(__xludf.DUMMYFUNCTION("""COMPUTED_VALUE"""),3.0)</f>
        <v>3</v>
      </c>
      <c r="F533" s="12">
        <f>IFERROR(__xludf.DUMMYFUNCTION("""COMPUTED_VALUE"""),0.0)</f>
        <v>0</v>
      </c>
      <c r="G533" s="12">
        <f>IFERROR(__xludf.DUMMYFUNCTION("""COMPUTED_VALUE"""),0.0)</f>
        <v>0</v>
      </c>
      <c r="H533" s="12" t="str">
        <f>IFERROR(__xludf.DUMMYFUNCTION("""COMPUTED_VALUE"""),"Return")</f>
        <v>Return</v>
      </c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>
      <c r="A534" s="12">
        <f>IFERROR(__xludf.DUMMYFUNCTION("""COMPUTED_VALUE"""),2021.0)</f>
        <v>2021</v>
      </c>
      <c r="B534" s="12">
        <f>IFERROR(__xludf.DUMMYFUNCTION("""COMPUTED_VALUE"""),10.0)</f>
        <v>10</v>
      </c>
      <c r="C534" s="12">
        <f>IFERROR(__xludf.DUMMYFUNCTION("""COMPUTED_VALUE"""),12.0)</f>
        <v>12</v>
      </c>
      <c r="D534" s="12">
        <f>IFERROR(__xludf.DUMMYFUNCTION("""COMPUTED_VALUE"""),1003323.0)</f>
        <v>1003323</v>
      </c>
      <c r="E534" s="12">
        <f>IFERROR(__xludf.DUMMYFUNCTION("""COMPUTED_VALUE"""),1.0)</f>
        <v>1</v>
      </c>
      <c r="F534" s="12">
        <f>IFERROR(__xludf.DUMMYFUNCTION("""COMPUTED_VALUE"""),0.0)</f>
        <v>0</v>
      </c>
      <c r="G534" s="12">
        <f>IFERROR(__xludf.DUMMYFUNCTION("""COMPUTED_VALUE"""),0.0)</f>
        <v>0</v>
      </c>
      <c r="H534" s="12" t="str">
        <f>IFERROR(__xludf.DUMMYFUNCTION("""COMPUTED_VALUE"""),"Return")</f>
        <v>Return</v>
      </c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>
      <c r="A535" s="12">
        <f>IFERROR(__xludf.DUMMYFUNCTION("""COMPUTED_VALUE"""),2021.0)</f>
        <v>2021</v>
      </c>
      <c r="B535" s="12">
        <f>IFERROR(__xludf.DUMMYFUNCTION("""COMPUTED_VALUE"""),10.0)</f>
        <v>10</v>
      </c>
      <c r="C535" s="12">
        <f>IFERROR(__xludf.DUMMYFUNCTION("""COMPUTED_VALUE"""),12.0)</f>
        <v>12</v>
      </c>
      <c r="D535" s="12">
        <f>IFERROR(__xludf.DUMMYFUNCTION("""COMPUTED_VALUE"""),1003537.0)</f>
        <v>1003537</v>
      </c>
      <c r="E535" s="12">
        <f>IFERROR(__xludf.DUMMYFUNCTION("""COMPUTED_VALUE"""),3.0)</f>
        <v>3</v>
      </c>
      <c r="F535" s="12">
        <f>IFERROR(__xludf.DUMMYFUNCTION("""COMPUTED_VALUE"""),0.0)</f>
        <v>0</v>
      </c>
      <c r="G535" s="12">
        <f>IFERROR(__xludf.DUMMYFUNCTION("""COMPUTED_VALUE"""),10.0)</f>
        <v>10</v>
      </c>
      <c r="H535" s="12" t="str">
        <f>IFERROR(__xludf.DUMMYFUNCTION("""COMPUTED_VALUE"""),"Wrong product")</f>
        <v>Wrong product</v>
      </c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>
      <c r="A536" s="12">
        <f>IFERROR(__xludf.DUMMYFUNCTION("""COMPUTED_VALUE"""),2021.0)</f>
        <v>2021</v>
      </c>
      <c r="B536" s="12">
        <f>IFERROR(__xludf.DUMMYFUNCTION("""COMPUTED_VALUE"""),10.0)</f>
        <v>10</v>
      </c>
      <c r="C536" s="12">
        <f>IFERROR(__xludf.DUMMYFUNCTION("""COMPUTED_VALUE"""),12.0)</f>
        <v>12</v>
      </c>
      <c r="D536" s="12">
        <f>IFERROR(__xludf.DUMMYFUNCTION("""COMPUTED_VALUE"""),1003624.0)</f>
        <v>1003624</v>
      </c>
      <c r="E536" s="12">
        <f>IFERROR(__xludf.DUMMYFUNCTION("""COMPUTED_VALUE"""),1.0)</f>
        <v>1</v>
      </c>
      <c r="F536" s="12">
        <f>IFERROR(__xludf.DUMMYFUNCTION("""COMPUTED_VALUE"""),0.0)</f>
        <v>0</v>
      </c>
      <c r="G536" s="12">
        <f>IFERROR(__xludf.DUMMYFUNCTION("""COMPUTED_VALUE"""),0.0)</f>
        <v>0</v>
      </c>
      <c r="H536" s="12" t="str">
        <f>IFERROR(__xludf.DUMMYFUNCTION("""COMPUTED_VALUE"""),"Return")</f>
        <v>Return</v>
      </c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>
      <c r="A537" s="12">
        <f>IFERROR(__xludf.DUMMYFUNCTION("""COMPUTED_VALUE"""),2021.0)</f>
        <v>2021</v>
      </c>
      <c r="B537" s="12">
        <f>IFERROR(__xludf.DUMMYFUNCTION("""COMPUTED_VALUE"""),10.0)</f>
        <v>10</v>
      </c>
      <c r="C537" s="12">
        <f>IFERROR(__xludf.DUMMYFUNCTION("""COMPUTED_VALUE"""),12.0)</f>
        <v>12</v>
      </c>
      <c r="D537" s="12">
        <f>IFERROR(__xludf.DUMMYFUNCTION("""COMPUTED_VALUE"""),1003544.0)</f>
        <v>1003544</v>
      </c>
      <c r="E537" s="12">
        <f>IFERROR(__xludf.DUMMYFUNCTION("""COMPUTED_VALUE"""),2.0)</f>
        <v>2</v>
      </c>
      <c r="F537" s="12">
        <f>IFERROR(__xludf.DUMMYFUNCTION("""COMPUTED_VALUE"""),0.0)</f>
        <v>0</v>
      </c>
      <c r="G537" s="12">
        <f>IFERROR(__xludf.DUMMYFUNCTION("""COMPUTED_VALUE"""),6.0)</f>
        <v>6</v>
      </c>
      <c r="H537" s="12" t="str">
        <f>IFERROR(__xludf.DUMMYFUNCTION("""COMPUTED_VALUE"""),"Wrong product")</f>
        <v>Wrong product</v>
      </c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>
      <c r="A538" s="12">
        <f>IFERROR(__xludf.DUMMYFUNCTION("""COMPUTED_VALUE"""),2021.0)</f>
        <v>2021</v>
      </c>
      <c r="B538" s="12">
        <f>IFERROR(__xludf.DUMMYFUNCTION("""COMPUTED_VALUE"""),10.0)</f>
        <v>10</v>
      </c>
      <c r="C538" s="12">
        <f>IFERROR(__xludf.DUMMYFUNCTION("""COMPUTED_VALUE"""),12.0)</f>
        <v>12</v>
      </c>
      <c r="D538" s="12">
        <f>IFERROR(__xludf.DUMMYFUNCTION("""COMPUTED_VALUE"""),1003350.0)</f>
        <v>1003350</v>
      </c>
      <c r="E538" s="12">
        <f>IFERROR(__xludf.DUMMYFUNCTION("""COMPUTED_VALUE"""),19.0)</f>
        <v>19</v>
      </c>
      <c r="F538" s="12">
        <f>IFERROR(__xludf.DUMMYFUNCTION("""COMPUTED_VALUE"""),0.0)</f>
        <v>0</v>
      </c>
      <c r="G538" s="12">
        <f>IFERROR(__xludf.DUMMYFUNCTION("""COMPUTED_VALUE"""),0.0)</f>
        <v>0</v>
      </c>
      <c r="H538" s="12" t="str">
        <f>IFERROR(__xludf.DUMMYFUNCTION("""COMPUTED_VALUE"""),"Damage")</f>
        <v>Damage</v>
      </c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>
      <c r="A539" s="12">
        <f>IFERROR(__xludf.DUMMYFUNCTION("""COMPUTED_VALUE"""),2021.0)</f>
        <v>2021</v>
      </c>
      <c r="B539" s="12">
        <f>IFERROR(__xludf.DUMMYFUNCTION("""COMPUTED_VALUE"""),10.0)</f>
        <v>10</v>
      </c>
      <c r="C539" s="12">
        <f>IFERROR(__xludf.DUMMYFUNCTION("""COMPUTED_VALUE"""),12.0)</f>
        <v>12</v>
      </c>
      <c r="D539" s="12">
        <f>IFERROR(__xludf.DUMMYFUNCTION("""COMPUTED_VALUE"""),1003616.0)</f>
        <v>1003616</v>
      </c>
      <c r="E539" s="12">
        <f>IFERROR(__xludf.DUMMYFUNCTION("""COMPUTED_VALUE"""),4.0)</f>
        <v>4</v>
      </c>
      <c r="F539" s="12">
        <f>IFERROR(__xludf.DUMMYFUNCTION("""COMPUTED_VALUE"""),0.0)</f>
        <v>0</v>
      </c>
      <c r="G539" s="12">
        <f>IFERROR(__xludf.DUMMYFUNCTION("""COMPUTED_VALUE"""),10.0)</f>
        <v>10</v>
      </c>
      <c r="H539" s="12" t="str">
        <f>IFERROR(__xludf.DUMMYFUNCTION("""COMPUTED_VALUE"""),"Return")</f>
        <v>Return</v>
      </c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>
      <c r="A540" s="12">
        <f>IFERROR(__xludf.DUMMYFUNCTION("""COMPUTED_VALUE"""),2021.0)</f>
        <v>2021</v>
      </c>
      <c r="B540" s="12">
        <f>IFERROR(__xludf.DUMMYFUNCTION("""COMPUTED_VALUE"""),10.0)</f>
        <v>10</v>
      </c>
      <c r="C540" s="12">
        <f>IFERROR(__xludf.DUMMYFUNCTION("""COMPUTED_VALUE"""),12.0)</f>
        <v>12</v>
      </c>
      <c r="D540" s="12">
        <f>IFERROR(__xludf.DUMMYFUNCTION("""COMPUTED_VALUE"""),1003977.0)</f>
        <v>1003977</v>
      </c>
      <c r="E540" s="12">
        <f>IFERROR(__xludf.DUMMYFUNCTION("""COMPUTED_VALUE"""),3.0)</f>
        <v>3</v>
      </c>
      <c r="F540" s="12">
        <f>IFERROR(__xludf.DUMMYFUNCTION("""COMPUTED_VALUE"""),3.25)</f>
        <v>3.25</v>
      </c>
      <c r="G540" s="12">
        <f>IFERROR(__xludf.DUMMYFUNCTION("""COMPUTED_VALUE"""),0.0)</f>
        <v>0</v>
      </c>
      <c r="H540" s="12" t="str">
        <f>IFERROR(__xludf.DUMMYFUNCTION("""COMPUTED_VALUE"""),"Return")</f>
        <v>Return</v>
      </c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>
      <c r="A541" s="12">
        <f>IFERROR(__xludf.DUMMYFUNCTION("""COMPUTED_VALUE"""),2021.0)</f>
        <v>2021</v>
      </c>
      <c r="B541" s="12">
        <f>IFERROR(__xludf.DUMMYFUNCTION("""COMPUTED_VALUE"""),10.0)</f>
        <v>10</v>
      </c>
      <c r="C541" s="12">
        <f>IFERROR(__xludf.DUMMYFUNCTION("""COMPUTED_VALUE"""),12.0)</f>
        <v>12</v>
      </c>
      <c r="D541" s="12">
        <f>IFERROR(__xludf.DUMMYFUNCTION("""COMPUTED_VALUE"""),1003468.0)</f>
        <v>1003468</v>
      </c>
      <c r="E541" s="12">
        <f>IFERROR(__xludf.DUMMYFUNCTION("""COMPUTED_VALUE"""),13.0)</f>
        <v>13</v>
      </c>
      <c r="F541" s="12">
        <f>IFERROR(__xludf.DUMMYFUNCTION("""COMPUTED_VALUE"""),0.0)</f>
        <v>0</v>
      </c>
      <c r="G541" s="12">
        <f>IFERROR(__xludf.DUMMYFUNCTION("""COMPUTED_VALUE"""),0.0)</f>
        <v>0</v>
      </c>
      <c r="H541" s="12" t="str">
        <f>IFERROR(__xludf.DUMMYFUNCTION("""COMPUTED_VALUE"""),"Return")</f>
        <v>Return</v>
      </c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>
      <c r="A542" s="12">
        <f>IFERROR(__xludf.DUMMYFUNCTION("""COMPUTED_VALUE"""),2021.0)</f>
        <v>2021</v>
      </c>
      <c r="B542" s="12">
        <f>IFERROR(__xludf.DUMMYFUNCTION("""COMPUTED_VALUE"""),10.0)</f>
        <v>10</v>
      </c>
      <c r="C542" s="12">
        <f>IFERROR(__xludf.DUMMYFUNCTION("""COMPUTED_VALUE"""),12.0)</f>
        <v>12</v>
      </c>
      <c r="D542" s="12">
        <f>IFERROR(__xludf.DUMMYFUNCTION("""COMPUTED_VALUE"""),1003748.0)</f>
        <v>1003748</v>
      </c>
      <c r="E542" s="12">
        <f>IFERROR(__xludf.DUMMYFUNCTION("""COMPUTED_VALUE"""),3.0)</f>
        <v>3</v>
      </c>
      <c r="F542" s="12">
        <f>IFERROR(__xludf.DUMMYFUNCTION("""COMPUTED_VALUE"""),0.0)</f>
        <v>0</v>
      </c>
      <c r="G542" s="12">
        <f>IFERROR(__xludf.DUMMYFUNCTION("""COMPUTED_VALUE"""),5.0)</f>
        <v>5</v>
      </c>
      <c r="H542" s="12" t="str">
        <f>IFERROR(__xludf.DUMMYFUNCTION("""COMPUTED_VALUE"""),"Return")</f>
        <v>Return</v>
      </c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>
      <c r="A543" s="12">
        <f>IFERROR(__xludf.DUMMYFUNCTION("""COMPUTED_VALUE"""),2021.0)</f>
        <v>2021</v>
      </c>
      <c r="B543" s="12">
        <f>IFERROR(__xludf.DUMMYFUNCTION("""COMPUTED_VALUE"""),10.0)</f>
        <v>10</v>
      </c>
      <c r="C543" s="12">
        <f>IFERROR(__xludf.DUMMYFUNCTION("""COMPUTED_VALUE"""),12.0)</f>
        <v>12</v>
      </c>
      <c r="D543" s="12">
        <f>IFERROR(__xludf.DUMMYFUNCTION("""COMPUTED_VALUE"""),1003411.0)</f>
        <v>1003411</v>
      </c>
      <c r="E543" s="12">
        <f>IFERROR(__xludf.DUMMYFUNCTION("""COMPUTED_VALUE"""),4.0)</f>
        <v>4</v>
      </c>
      <c r="F543" s="12">
        <f>IFERROR(__xludf.DUMMYFUNCTION("""COMPUTED_VALUE"""),0.0)</f>
        <v>0</v>
      </c>
      <c r="G543" s="12">
        <f>IFERROR(__xludf.DUMMYFUNCTION("""COMPUTED_VALUE"""),0.0)</f>
        <v>0</v>
      </c>
      <c r="H543" s="12" t="str">
        <f>IFERROR(__xludf.DUMMYFUNCTION("""COMPUTED_VALUE"""),"Wrong product")</f>
        <v>Wrong product</v>
      </c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>
      <c r="A544" s="12">
        <f>IFERROR(__xludf.DUMMYFUNCTION("""COMPUTED_VALUE"""),2021.0)</f>
        <v>2021</v>
      </c>
      <c r="B544" s="12">
        <f>IFERROR(__xludf.DUMMYFUNCTION("""COMPUTED_VALUE"""),10.0)</f>
        <v>10</v>
      </c>
      <c r="C544" s="12">
        <f>IFERROR(__xludf.DUMMYFUNCTION("""COMPUTED_VALUE"""),12.0)</f>
        <v>12</v>
      </c>
      <c r="D544" s="12">
        <f>IFERROR(__xludf.DUMMYFUNCTION("""COMPUTED_VALUE"""),1003790.0)</f>
        <v>1003790</v>
      </c>
      <c r="E544" s="12">
        <f>IFERROR(__xludf.DUMMYFUNCTION("""COMPUTED_VALUE"""),12.0)</f>
        <v>12</v>
      </c>
      <c r="F544" s="12">
        <f>IFERROR(__xludf.DUMMYFUNCTION("""COMPUTED_VALUE"""),0.0)</f>
        <v>0</v>
      </c>
      <c r="G544" s="12">
        <f>IFERROR(__xludf.DUMMYFUNCTION("""COMPUTED_VALUE"""),0.0)</f>
        <v>0</v>
      </c>
      <c r="H544" s="12" t="str">
        <f>IFERROR(__xludf.DUMMYFUNCTION("""COMPUTED_VALUE"""),"Return")</f>
        <v>Return</v>
      </c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>
      <c r="A545" s="12">
        <f>IFERROR(__xludf.DUMMYFUNCTION("""COMPUTED_VALUE"""),2021.0)</f>
        <v>2021</v>
      </c>
      <c r="B545" s="12">
        <f>IFERROR(__xludf.DUMMYFUNCTION("""COMPUTED_VALUE"""),10.0)</f>
        <v>10</v>
      </c>
      <c r="C545" s="12">
        <f>IFERROR(__xludf.DUMMYFUNCTION("""COMPUTED_VALUE"""),12.0)</f>
        <v>12</v>
      </c>
      <c r="D545" s="12">
        <f>IFERROR(__xludf.DUMMYFUNCTION("""COMPUTED_VALUE"""),1003283.0)</f>
        <v>1003283</v>
      </c>
      <c r="E545" s="12">
        <f>IFERROR(__xludf.DUMMYFUNCTION("""COMPUTED_VALUE"""),3.0)</f>
        <v>3</v>
      </c>
      <c r="F545" s="12">
        <f>IFERROR(__xludf.DUMMYFUNCTION("""COMPUTED_VALUE"""),0.0)</f>
        <v>0</v>
      </c>
      <c r="G545" s="12">
        <f>IFERROR(__xludf.DUMMYFUNCTION("""COMPUTED_VALUE"""),0.0)</f>
        <v>0</v>
      </c>
      <c r="H545" s="12" t="str">
        <f>IFERROR(__xludf.DUMMYFUNCTION("""COMPUTED_VALUE"""),"Damage")</f>
        <v>Damage</v>
      </c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>
      <c r="A546" s="12">
        <f>IFERROR(__xludf.DUMMYFUNCTION("""COMPUTED_VALUE"""),2021.0)</f>
        <v>2021</v>
      </c>
      <c r="B546" s="12">
        <f>IFERROR(__xludf.DUMMYFUNCTION("""COMPUTED_VALUE"""),10.0)</f>
        <v>10</v>
      </c>
      <c r="C546" s="12">
        <f>IFERROR(__xludf.DUMMYFUNCTION("""COMPUTED_VALUE"""),12.0)</f>
        <v>12</v>
      </c>
      <c r="D546" s="12">
        <f>IFERROR(__xludf.DUMMYFUNCTION("""COMPUTED_VALUE"""),1003358.0)</f>
        <v>1003358</v>
      </c>
      <c r="E546" s="12">
        <f>IFERROR(__xludf.DUMMYFUNCTION("""COMPUTED_VALUE"""),3.0)</f>
        <v>3</v>
      </c>
      <c r="F546" s="12">
        <f>IFERROR(__xludf.DUMMYFUNCTION("""COMPUTED_VALUE"""),0.0)</f>
        <v>0</v>
      </c>
      <c r="G546" s="12">
        <f>IFERROR(__xludf.DUMMYFUNCTION("""COMPUTED_VALUE"""),0.0)</f>
        <v>0</v>
      </c>
      <c r="H546" s="12" t="str">
        <f>IFERROR(__xludf.DUMMYFUNCTION("""COMPUTED_VALUE"""),"Return")</f>
        <v>Return</v>
      </c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>
      <c r="A547" s="12">
        <f>IFERROR(__xludf.DUMMYFUNCTION("""COMPUTED_VALUE"""),2021.0)</f>
        <v>2021</v>
      </c>
      <c r="B547" s="12">
        <f>IFERROR(__xludf.DUMMYFUNCTION("""COMPUTED_VALUE"""),10.0)</f>
        <v>10</v>
      </c>
      <c r="C547" s="12">
        <f>IFERROR(__xludf.DUMMYFUNCTION("""COMPUTED_VALUE"""),12.0)</f>
        <v>12</v>
      </c>
      <c r="D547" s="12">
        <f>IFERROR(__xludf.DUMMYFUNCTION("""COMPUTED_VALUE"""),1003401.0)</f>
        <v>1003401</v>
      </c>
      <c r="E547" s="12">
        <f>IFERROR(__xludf.DUMMYFUNCTION("""COMPUTED_VALUE"""),13.0)</f>
        <v>13</v>
      </c>
      <c r="F547" s="12">
        <f>IFERROR(__xludf.DUMMYFUNCTION("""COMPUTED_VALUE"""),0.0)</f>
        <v>0</v>
      </c>
      <c r="G547" s="12">
        <f>IFERROR(__xludf.DUMMYFUNCTION("""COMPUTED_VALUE"""),0.0)</f>
        <v>0</v>
      </c>
      <c r="H547" s="12" t="str">
        <f>IFERROR(__xludf.DUMMYFUNCTION("""COMPUTED_VALUE"""),"Return")</f>
        <v>Return</v>
      </c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>
      <c r="A548" s="12">
        <f>IFERROR(__xludf.DUMMYFUNCTION("""COMPUTED_VALUE"""),2021.0)</f>
        <v>2021</v>
      </c>
      <c r="B548" s="12">
        <f>IFERROR(__xludf.DUMMYFUNCTION("""COMPUTED_VALUE"""),10.0)</f>
        <v>10</v>
      </c>
      <c r="C548" s="12">
        <f>IFERROR(__xludf.DUMMYFUNCTION("""COMPUTED_VALUE"""),12.0)</f>
        <v>12</v>
      </c>
      <c r="D548" s="12">
        <f>IFERROR(__xludf.DUMMYFUNCTION("""COMPUTED_VALUE"""),1003786.0)</f>
        <v>1003786</v>
      </c>
      <c r="E548" s="12">
        <f>IFERROR(__xludf.DUMMYFUNCTION("""COMPUTED_VALUE"""),1.0)</f>
        <v>1</v>
      </c>
      <c r="F548" s="12">
        <f>IFERROR(__xludf.DUMMYFUNCTION("""COMPUTED_VALUE"""),0.0)</f>
        <v>0</v>
      </c>
      <c r="G548" s="12">
        <f>IFERROR(__xludf.DUMMYFUNCTION("""COMPUTED_VALUE"""),5.0)</f>
        <v>5</v>
      </c>
      <c r="H548" s="12" t="str">
        <f>IFERROR(__xludf.DUMMYFUNCTION("""COMPUTED_VALUE"""),"Return")</f>
        <v>Return</v>
      </c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>
      <c r="A549" s="12">
        <f>IFERROR(__xludf.DUMMYFUNCTION("""COMPUTED_VALUE"""),2021.0)</f>
        <v>2021</v>
      </c>
      <c r="B549" s="12">
        <f>IFERROR(__xludf.DUMMYFUNCTION("""COMPUTED_VALUE"""),10.0)</f>
        <v>10</v>
      </c>
      <c r="C549" s="12">
        <f>IFERROR(__xludf.DUMMYFUNCTION("""COMPUTED_VALUE"""),12.0)</f>
        <v>12</v>
      </c>
      <c r="D549" s="12">
        <f>IFERROR(__xludf.DUMMYFUNCTION("""COMPUTED_VALUE"""),1003923.0)</f>
        <v>1003923</v>
      </c>
      <c r="E549" s="12">
        <f>IFERROR(__xludf.DUMMYFUNCTION("""COMPUTED_VALUE"""),1.0)</f>
        <v>1</v>
      </c>
      <c r="F549" s="12">
        <f>IFERROR(__xludf.DUMMYFUNCTION("""COMPUTED_VALUE"""),0.0)</f>
        <v>0</v>
      </c>
      <c r="G549" s="12">
        <f>IFERROR(__xludf.DUMMYFUNCTION("""COMPUTED_VALUE"""),5.0)</f>
        <v>5</v>
      </c>
      <c r="H549" s="12" t="str">
        <f>IFERROR(__xludf.DUMMYFUNCTION("""COMPUTED_VALUE"""),"Damage")</f>
        <v>Damage</v>
      </c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>
      <c r="A550" s="12">
        <f>IFERROR(__xludf.DUMMYFUNCTION("""COMPUTED_VALUE"""),2021.0)</f>
        <v>2021</v>
      </c>
      <c r="B550" s="12">
        <f>IFERROR(__xludf.DUMMYFUNCTION("""COMPUTED_VALUE"""),10.0)</f>
        <v>10</v>
      </c>
      <c r="C550" s="12">
        <f>IFERROR(__xludf.DUMMYFUNCTION("""COMPUTED_VALUE"""),12.0)</f>
        <v>12</v>
      </c>
      <c r="D550" s="12">
        <f>IFERROR(__xludf.DUMMYFUNCTION("""COMPUTED_VALUE"""),1003678.0)</f>
        <v>1003678</v>
      </c>
      <c r="E550" s="12">
        <f>IFERROR(__xludf.DUMMYFUNCTION("""COMPUTED_VALUE"""),4.0)</f>
        <v>4</v>
      </c>
      <c r="F550" s="12">
        <f>IFERROR(__xludf.DUMMYFUNCTION("""COMPUTED_VALUE"""),0.0)</f>
        <v>0</v>
      </c>
      <c r="G550" s="12">
        <f>IFERROR(__xludf.DUMMYFUNCTION("""COMPUTED_VALUE"""),0.0)</f>
        <v>0</v>
      </c>
      <c r="H550" s="12" t="str">
        <f>IFERROR(__xludf.DUMMYFUNCTION("""COMPUTED_VALUE"""),"Wrong product")</f>
        <v>Wrong product</v>
      </c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>
      <c r="A551" s="12">
        <f>IFERROR(__xludf.DUMMYFUNCTION("""COMPUTED_VALUE"""),2021.0)</f>
        <v>2021</v>
      </c>
      <c r="B551" s="12">
        <f>IFERROR(__xludf.DUMMYFUNCTION("""COMPUTED_VALUE"""),10.0)</f>
        <v>10</v>
      </c>
      <c r="C551" s="12">
        <f>IFERROR(__xludf.DUMMYFUNCTION("""COMPUTED_VALUE"""),12.0)</f>
        <v>12</v>
      </c>
      <c r="D551" s="12">
        <f>IFERROR(__xludf.DUMMYFUNCTION("""COMPUTED_VALUE"""),1003891.0)</f>
        <v>1003891</v>
      </c>
      <c r="E551" s="12">
        <f>IFERROR(__xludf.DUMMYFUNCTION("""COMPUTED_VALUE"""),5.0)</f>
        <v>5</v>
      </c>
      <c r="F551" s="12">
        <f>IFERROR(__xludf.DUMMYFUNCTION("""COMPUTED_VALUE"""),0.0)</f>
        <v>0</v>
      </c>
      <c r="G551" s="12">
        <f>IFERROR(__xludf.DUMMYFUNCTION("""COMPUTED_VALUE"""),0.0)</f>
        <v>0</v>
      </c>
      <c r="H551" s="12" t="str">
        <f>IFERROR(__xludf.DUMMYFUNCTION("""COMPUTED_VALUE"""),"Damage")</f>
        <v>Damage</v>
      </c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>
      <c r="A552" s="12">
        <f>IFERROR(__xludf.DUMMYFUNCTION("""COMPUTED_VALUE"""),2021.0)</f>
        <v>2021</v>
      </c>
      <c r="B552" s="12">
        <f>IFERROR(__xludf.DUMMYFUNCTION("""COMPUTED_VALUE"""),10.0)</f>
        <v>10</v>
      </c>
      <c r="C552" s="12">
        <f>IFERROR(__xludf.DUMMYFUNCTION("""COMPUTED_VALUE"""),12.0)</f>
        <v>12</v>
      </c>
      <c r="D552" s="12">
        <f>IFERROR(__xludf.DUMMYFUNCTION("""COMPUTED_VALUE"""),1003655.0)</f>
        <v>1003655</v>
      </c>
      <c r="E552" s="12">
        <f>IFERROR(__xludf.DUMMYFUNCTION("""COMPUTED_VALUE"""),4.0)</f>
        <v>4</v>
      </c>
      <c r="F552" s="12">
        <f>IFERROR(__xludf.DUMMYFUNCTION("""COMPUTED_VALUE"""),0.0)</f>
        <v>0</v>
      </c>
      <c r="G552" s="12">
        <f>IFERROR(__xludf.DUMMYFUNCTION("""COMPUTED_VALUE"""),10.0)</f>
        <v>10</v>
      </c>
      <c r="H552" s="12" t="str">
        <f>IFERROR(__xludf.DUMMYFUNCTION("""COMPUTED_VALUE"""),"Wrong product")</f>
        <v>Wrong product</v>
      </c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>
      <c r="A553" s="12">
        <f>IFERROR(__xludf.DUMMYFUNCTION("""COMPUTED_VALUE"""),2021.0)</f>
        <v>2021</v>
      </c>
      <c r="B553" s="12">
        <f>IFERROR(__xludf.DUMMYFUNCTION("""COMPUTED_VALUE"""),10.0)</f>
        <v>10</v>
      </c>
      <c r="C553" s="12">
        <f>IFERROR(__xludf.DUMMYFUNCTION("""COMPUTED_VALUE"""),12.0)</f>
        <v>12</v>
      </c>
      <c r="D553" s="12">
        <f>IFERROR(__xludf.DUMMYFUNCTION("""COMPUTED_VALUE"""),1003372.0)</f>
        <v>1003372</v>
      </c>
      <c r="E553" s="12">
        <f>IFERROR(__xludf.DUMMYFUNCTION("""COMPUTED_VALUE"""),8.0)</f>
        <v>8</v>
      </c>
      <c r="F553" s="12">
        <f>IFERROR(__xludf.DUMMYFUNCTION("""COMPUTED_VALUE"""),0.0)</f>
        <v>0</v>
      </c>
      <c r="G553" s="12">
        <f>IFERROR(__xludf.DUMMYFUNCTION("""COMPUTED_VALUE"""),5.0)</f>
        <v>5</v>
      </c>
      <c r="H553" s="12" t="str">
        <f>IFERROR(__xludf.DUMMYFUNCTION("""COMPUTED_VALUE"""),"Return")</f>
        <v>Return</v>
      </c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>
      <c r="A554" s="12">
        <f>IFERROR(__xludf.DUMMYFUNCTION("""COMPUTED_VALUE"""),2021.0)</f>
        <v>2021</v>
      </c>
      <c r="B554" s="12">
        <f>IFERROR(__xludf.DUMMYFUNCTION("""COMPUTED_VALUE"""),10.0)</f>
        <v>10</v>
      </c>
      <c r="C554" s="12">
        <f>IFERROR(__xludf.DUMMYFUNCTION("""COMPUTED_VALUE"""),12.0)</f>
        <v>12</v>
      </c>
      <c r="D554" s="12">
        <f>IFERROR(__xludf.DUMMYFUNCTION("""COMPUTED_VALUE"""),1003632.0)</f>
        <v>1003632</v>
      </c>
      <c r="E554" s="12">
        <f>IFERROR(__xludf.DUMMYFUNCTION("""COMPUTED_VALUE"""),5.0)</f>
        <v>5</v>
      </c>
      <c r="F554" s="12">
        <f>IFERROR(__xludf.DUMMYFUNCTION("""COMPUTED_VALUE"""),0.0)</f>
        <v>0</v>
      </c>
      <c r="G554" s="12">
        <f>IFERROR(__xludf.DUMMYFUNCTION("""COMPUTED_VALUE"""),0.0)</f>
        <v>0</v>
      </c>
      <c r="H554" s="12" t="str">
        <f>IFERROR(__xludf.DUMMYFUNCTION("""COMPUTED_VALUE"""),"Return")</f>
        <v>Return</v>
      </c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>
      <c r="A555" s="12">
        <f>IFERROR(__xludf.DUMMYFUNCTION("""COMPUTED_VALUE"""),2021.0)</f>
        <v>2021</v>
      </c>
      <c r="B555" s="12">
        <f>IFERROR(__xludf.DUMMYFUNCTION("""COMPUTED_VALUE"""),10.0)</f>
        <v>10</v>
      </c>
      <c r="C555" s="12">
        <f>IFERROR(__xludf.DUMMYFUNCTION("""COMPUTED_VALUE"""),12.0)</f>
        <v>12</v>
      </c>
      <c r="D555" s="12">
        <f>IFERROR(__xludf.DUMMYFUNCTION("""COMPUTED_VALUE"""),1003758.0)</f>
        <v>1003758</v>
      </c>
      <c r="E555" s="12">
        <f>IFERROR(__xludf.DUMMYFUNCTION("""COMPUTED_VALUE"""),2.0)</f>
        <v>2</v>
      </c>
      <c r="F555" s="12">
        <f>IFERROR(__xludf.DUMMYFUNCTION("""COMPUTED_VALUE"""),0.89)</f>
        <v>0.89</v>
      </c>
      <c r="G555" s="12">
        <f>IFERROR(__xludf.DUMMYFUNCTION("""COMPUTED_VALUE"""),5.0)</f>
        <v>5</v>
      </c>
      <c r="H555" s="12" t="str">
        <f>IFERROR(__xludf.DUMMYFUNCTION("""COMPUTED_VALUE"""),"Return")</f>
        <v>Return</v>
      </c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>
      <c r="A556" s="12">
        <f>IFERROR(__xludf.DUMMYFUNCTION("""COMPUTED_VALUE"""),2021.0)</f>
        <v>2021</v>
      </c>
      <c r="B556" s="12">
        <f>IFERROR(__xludf.DUMMYFUNCTION("""COMPUTED_VALUE"""),10.0)</f>
        <v>10</v>
      </c>
      <c r="C556" s="12">
        <f>IFERROR(__xludf.DUMMYFUNCTION("""COMPUTED_VALUE"""),12.0)</f>
        <v>12</v>
      </c>
      <c r="D556" s="12">
        <f>IFERROR(__xludf.DUMMYFUNCTION("""COMPUTED_VALUE"""),1003715.0)</f>
        <v>1003715</v>
      </c>
      <c r="E556" s="12">
        <f>IFERROR(__xludf.DUMMYFUNCTION("""COMPUTED_VALUE"""),8.0)</f>
        <v>8</v>
      </c>
      <c r="F556" s="12">
        <f>IFERROR(__xludf.DUMMYFUNCTION("""COMPUTED_VALUE"""),0.0)</f>
        <v>0</v>
      </c>
      <c r="G556" s="12">
        <f>IFERROR(__xludf.DUMMYFUNCTION("""COMPUTED_VALUE"""),0.0)</f>
        <v>0</v>
      </c>
      <c r="H556" s="12" t="str">
        <f>IFERROR(__xludf.DUMMYFUNCTION("""COMPUTED_VALUE"""),"Return")</f>
        <v>Return</v>
      </c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>
      <c r="A557" s="12">
        <f>IFERROR(__xludf.DUMMYFUNCTION("""COMPUTED_VALUE"""),2021.0)</f>
        <v>2021</v>
      </c>
      <c r="B557" s="12">
        <f>IFERROR(__xludf.DUMMYFUNCTION("""COMPUTED_VALUE"""),10.0)</f>
        <v>10</v>
      </c>
      <c r="C557" s="12">
        <f>IFERROR(__xludf.DUMMYFUNCTION("""COMPUTED_VALUE"""),12.0)</f>
        <v>12</v>
      </c>
      <c r="D557" s="12">
        <f>IFERROR(__xludf.DUMMYFUNCTION("""COMPUTED_VALUE"""),1003335.0)</f>
        <v>1003335</v>
      </c>
      <c r="E557" s="12">
        <f>IFERROR(__xludf.DUMMYFUNCTION("""COMPUTED_VALUE"""),6.0)</f>
        <v>6</v>
      </c>
      <c r="F557" s="12">
        <f>IFERROR(__xludf.DUMMYFUNCTION("""COMPUTED_VALUE"""),0.85)</f>
        <v>0.85</v>
      </c>
      <c r="G557" s="12">
        <f>IFERROR(__xludf.DUMMYFUNCTION("""COMPUTED_VALUE"""),5.0)</f>
        <v>5</v>
      </c>
      <c r="H557" s="12" t="str">
        <f>IFERROR(__xludf.DUMMYFUNCTION("""COMPUTED_VALUE"""),"Return")</f>
        <v>Return</v>
      </c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>
      <c r="A558" s="12">
        <f>IFERROR(__xludf.DUMMYFUNCTION("""COMPUTED_VALUE"""),2021.0)</f>
        <v>2021</v>
      </c>
      <c r="B558" s="12">
        <f>IFERROR(__xludf.DUMMYFUNCTION("""COMPUTED_VALUE"""),10.0)</f>
        <v>10</v>
      </c>
      <c r="C558" s="12">
        <f>IFERROR(__xludf.DUMMYFUNCTION("""COMPUTED_VALUE"""),12.0)</f>
        <v>12</v>
      </c>
      <c r="D558" s="12">
        <f>IFERROR(__xludf.DUMMYFUNCTION("""COMPUTED_VALUE"""),1003782.0)</f>
        <v>1003782</v>
      </c>
      <c r="E558" s="12">
        <f>IFERROR(__xludf.DUMMYFUNCTION("""COMPUTED_VALUE"""),3.0)</f>
        <v>3</v>
      </c>
      <c r="F558" s="12">
        <f>IFERROR(__xludf.DUMMYFUNCTION("""COMPUTED_VALUE"""),0.0)</f>
        <v>0</v>
      </c>
      <c r="G558" s="12">
        <f>IFERROR(__xludf.DUMMYFUNCTION("""COMPUTED_VALUE"""),0.0)</f>
        <v>0</v>
      </c>
      <c r="H558" s="12" t="str">
        <f>IFERROR(__xludf.DUMMYFUNCTION("""COMPUTED_VALUE"""),"Wrong product")</f>
        <v>Wrong product</v>
      </c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>
      <c r="A559" s="12">
        <f>IFERROR(__xludf.DUMMYFUNCTION("""COMPUTED_VALUE"""),2021.0)</f>
        <v>2021</v>
      </c>
      <c r="B559" s="12">
        <f>IFERROR(__xludf.DUMMYFUNCTION("""COMPUTED_VALUE"""),10.0)</f>
        <v>10</v>
      </c>
      <c r="C559" s="12">
        <f>IFERROR(__xludf.DUMMYFUNCTION("""COMPUTED_VALUE"""),12.0)</f>
        <v>12</v>
      </c>
      <c r="D559" s="12">
        <f>IFERROR(__xludf.DUMMYFUNCTION("""COMPUTED_VALUE"""),1003533.0)</f>
        <v>1003533</v>
      </c>
      <c r="E559" s="12">
        <f>IFERROR(__xludf.DUMMYFUNCTION("""COMPUTED_VALUE"""),3.0)</f>
        <v>3</v>
      </c>
      <c r="F559" s="12">
        <f>IFERROR(__xludf.DUMMYFUNCTION("""COMPUTED_VALUE"""),0.0)</f>
        <v>0</v>
      </c>
      <c r="G559" s="12">
        <f>IFERROR(__xludf.DUMMYFUNCTION("""COMPUTED_VALUE"""),0.0)</f>
        <v>0</v>
      </c>
      <c r="H559" s="12" t="str">
        <f>IFERROR(__xludf.DUMMYFUNCTION("""COMPUTED_VALUE"""),"Return")</f>
        <v>Return</v>
      </c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>
      <c r="A560" s="12">
        <f>IFERROR(__xludf.DUMMYFUNCTION("""COMPUTED_VALUE"""),2021.0)</f>
        <v>2021</v>
      </c>
      <c r="B560" s="12">
        <f>IFERROR(__xludf.DUMMYFUNCTION("""COMPUTED_VALUE"""),10.0)</f>
        <v>10</v>
      </c>
      <c r="C560" s="12">
        <f>IFERROR(__xludf.DUMMYFUNCTION("""COMPUTED_VALUE"""),12.0)</f>
        <v>12</v>
      </c>
      <c r="D560" s="12">
        <f>IFERROR(__xludf.DUMMYFUNCTION("""COMPUTED_VALUE"""),1003696.0)</f>
        <v>1003696</v>
      </c>
      <c r="E560" s="12">
        <f>IFERROR(__xludf.DUMMYFUNCTION("""COMPUTED_VALUE"""),4.0)</f>
        <v>4</v>
      </c>
      <c r="F560" s="12">
        <f>IFERROR(__xludf.DUMMYFUNCTION("""COMPUTED_VALUE"""),0.0)</f>
        <v>0</v>
      </c>
      <c r="G560" s="12">
        <f>IFERROR(__xludf.DUMMYFUNCTION("""COMPUTED_VALUE"""),0.0)</f>
        <v>0</v>
      </c>
      <c r="H560" s="12" t="str">
        <f>IFERROR(__xludf.DUMMYFUNCTION("""COMPUTED_VALUE"""),"Return")</f>
        <v>Return</v>
      </c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>
      <c r="A561" s="12">
        <f>IFERROR(__xludf.DUMMYFUNCTION("""COMPUTED_VALUE"""),2021.0)</f>
        <v>2021</v>
      </c>
      <c r="B561" s="12">
        <f>IFERROR(__xludf.DUMMYFUNCTION("""COMPUTED_VALUE"""),10.0)</f>
        <v>10</v>
      </c>
      <c r="C561" s="12">
        <f>IFERROR(__xludf.DUMMYFUNCTION("""COMPUTED_VALUE"""),12.0)</f>
        <v>12</v>
      </c>
      <c r="D561" s="12">
        <f>IFERROR(__xludf.DUMMYFUNCTION("""COMPUTED_VALUE"""),1003611.0)</f>
        <v>1003611</v>
      </c>
      <c r="E561" s="12">
        <f>IFERROR(__xludf.DUMMYFUNCTION("""COMPUTED_VALUE"""),4.0)</f>
        <v>4</v>
      </c>
      <c r="F561" s="12">
        <f>IFERROR(__xludf.DUMMYFUNCTION("""COMPUTED_VALUE"""),0.0)</f>
        <v>0</v>
      </c>
      <c r="G561" s="12">
        <f>IFERROR(__xludf.DUMMYFUNCTION("""COMPUTED_VALUE"""),0.0)</f>
        <v>0</v>
      </c>
      <c r="H561" s="12" t="str">
        <f>IFERROR(__xludf.DUMMYFUNCTION("""COMPUTED_VALUE"""),"Damage")</f>
        <v>Damage</v>
      </c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>
      <c r="A562" s="12">
        <f>IFERROR(__xludf.DUMMYFUNCTION("""COMPUTED_VALUE"""),2021.0)</f>
        <v>2021</v>
      </c>
      <c r="B562" s="12">
        <f>IFERROR(__xludf.DUMMYFUNCTION("""COMPUTED_VALUE"""),10.0)</f>
        <v>10</v>
      </c>
      <c r="C562" s="12">
        <f>IFERROR(__xludf.DUMMYFUNCTION("""COMPUTED_VALUE"""),12.0)</f>
        <v>12</v>
      </c>
      <c r="D562" s="12">
        <f>IFERROR(__xludf.DUMMYFUNCTION("""COMPUTED_VALUE"""),1003297.0)</f>
        <v>1003297</v>
      </c>
      <c r="E562" s="12">
        <f>IFERROR(__xludf.DUMMYFUNCTION("""COMPUTED_VALUE"""),7.0)</f>
        <v>7</v>
      </c>
      <c r="F562" s="12">
        <f>IFERROR(__xludf.DUMMYFUNCTION("""COMPUTED_VALUE"""),0.0)</f>
        <v>0</v>
      </c>
      <c r="G562" s="12">
        <f>IFERROR(__xludf.DUMMYFUNCTION("""COMPUTED_VALUE"""),5.0)</f>
        <v>5</v>
      </c>
      <c r="H562" s="12" t="str">
        <f>IFERROR(__xludf.DUMMYFUNCTION("""COMPUTED_VALUE"""),"Return")</f>
        <v>Return</v>
      </c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>
      <c r="A563" s="12">
        <f>IFERROR(__xludf.DUMMYFUNCTION("""COMPUTED_VALUE"""),2021.0)</f>
        <v>2021</v>
      </c>
      <c r="B563" s="12">
        <f>IFERROR(__xludf.DUMMYFUNCTION("""COMPUTED_VALUE"""),10.0)</f>
        <v>10</v>
      </c>
      <c r="C563" s="12">
        <f>IFERROR(__xludf.DUMMYFUNCTION("""COMPUTED_VALUE"""),12.0)</f>
        <v>12</v>
      </c>
      <c r="D563" s="12">
        <f>IFERROR(__xludf.DUMMYFUNCTION("""COMPUTED_VALUE"""),1003939.0)</f>
        <v>1003939</v>
      </c>
      <c r="E563" s="12">
        <f>IFERROR(__xludf.DUMMYFUNCTION("""COMPUTED_VALUE"""),3.0)</f>
        <v>3</v>
      </c>
      <c r="F563" s="12">
        <f>IFERROR(__xludf.DUMMYFUNCTION("""COMPUTED_VALUE"""),0.95)</f>
        <v>0.95</v>
      </c>
      <c r="G563" s="12">
        <f>IFERROR(__xludf.DUMMYFUNCTION("""COMPUTED_VALUE"""),5.0)</f>
        <v>5</v>
      </c>
      <c r="H563" s="12" t="str">
        <f>IFERROR(__xludf.DUMMYFUNCTION("""COMPUTED_VALUE"""),"Damage")</f>
        <v>Damage</v>
      </c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>
      <c r="A564" s="12">
        <f>IFERROR(__xludf.DUMMYFUNCTION("""COMPUTED_VALUE"""),2021.0)</f>
        <v>2021</v>
      </c>
      <c r="B564" s="12">
        <f>IFERROR(__xludf.DUMMYFUNCTION("""COMPUTED_VALUE"""),10.0)</f>
        <v>10</v>
      </c>
      <c r="C564" s="12">
        <f>IFERROR(__xludf.DUMMYFUNCTION("""COMPUTED_VALUE"""),12.0)</f>
        <v>12</v>
      </c>
      <c r="D564" s="12">
        <f>IFERROR(__xludf.DUMMYFUNCTION("""COMPUTED_VALUE"""),1003683.0)</f>
        <v>1003683</v>
      </c>
      <c r="E564" s="12">
        <f>IFERROR(__xludf.DUMMYFUNCTION("""COMPUTED_VALUE"""),5.0)</f>
        <v>5</v>
      </c>
      <c r="F564" s="12">
        <f>IFERROR(__xludf.DUMMYFUNCTION("""COMPUTED_VALUE"""),0.0)</f>
        <v>0</v>
      </c>
      <c r="G564" s="12">
        <f>IFERROR(__xludf.DUMMYFUNCTION("""COMPUTED_VALUE"""),0.0)</f>
        <v>0</v>
      </c>
      <c r="H564" s="12" t="str">
        <f>IFERROR(__xludf.DUMMYFUNCTION("""COMPUTED_VALUE"""),"Damage")</f>
        <v>Damage</v>
      </c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>
      <c r="A565" s="12">
        <f>IFERROR(__xludf.DUMMYFUNCTION("""COMPUTED_VALUE"""),2021.0)</f>
        <v>2021</v>
      </c>
      <c r="B565" s="12">
        <f>IFERROR(__xludf.DUMMYFUNCTION("""COMPUTED_VALUE"""),10.0)</f>
        <v>10</v>
      </c>
      <c r="C565" s="12">
        <f>IFERROR(__xludf.DUMMYFUNCTION("""COMPUTED_VALUE"""),12.0)</f>
        <v>12</v>
      </c>
      <c r="D565" s="12">
        <f>IFERROR(__xludf.DUMMYFUNCTION("""COMPUTED_VALUE"""),1003783.0)</f>
        <v>1003783</v>
      </c>
      <c r="E565" s="12">
        <f>IFERROR(__xludf.DUMMYFUNCTION("""COMPUTED_VALUE"""),1.0)</f>
        <v>1</v>
      </c>
      <c r="F565" s="12">
        <f>IFERROR(__xludf.DUMMYFUNCTION("""COMPUTED_VALUE"""),0.0)</f>
        <v>0</v>
      </c>
      <c r="G565" s="12">
        <f>IFERROR(__xludf.DUMMYFUNCTION("""COMPUTED_VALUE"""),0.0)</f>
        <v>0</v>
      </c>
      <c r="H565" s="12" t="str">
        <f>IFERROR(__xludf.DUMMYFUNCTION("""COMPUTED_VALUE"""),"Return")</f>
        <v>Return</v>
      </c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>
      <c r="A566" s="12">
        <f>IFERROR(__xludf.DUMMYFUNCTION("""COMPUTED_VALUE"""),2021.0)</f>
        <v>2021</v>
      </c>
      <c r="B566" s="12">
        <f>IFERROR(__xludf.DUMMYFUNCTION("""COMPUTED_VALUE"""),10.0)</f>
        <v>10</v>
      </c>
      <c r="C566" s="12">
        <f>IFERROR(__xludf.DUMMYFUNCTION("""COMPUTED_VALUE"""),12.0)</f>
        <v>12</v>
      </c>
      <c r="D566" s="12">
        <f>IFERROR(__xludf.DUMMYFUNCTION("""COMPUTED_VALUE"""),1003867.0)</f>
        <v>1003867</v>
      </c>
      <c r="E566" s="12">
        <f>IFERROR(__xludf.DUMMYFUNCTION("""COMPUTED_VALUE"""),2.0)</f>
        <v>2</v>
      </c>
      <c r="F566" s="12">
        <f>IFERROR(__xludf.DUMMYFUNCTION("""COMPUTED_VALUE"""),0.0)</f>
        <v>0</v>
      </c>
      <c r="G566" s="12">
        <f>IFERROR(__xludf.DUMMYFUNCTION("""COMPUTED_VALUE"""),0.0)</f>
        <v>0</v>
      </c>
      <c r="H566" s="12" t="str">
        <f>IFERROR(__xludf.DUMMYFUNCTION("""COMPUTED_VALUE"""),"Damage")</f>
        <v>Damage</v>
      </c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>
      <c r="A567" s="12">
        <f>IFERROR(__xludf.DUMMYFUNCTION("""COMPUTED_VALUE"""),2021.0)</f>
        <v>2021</v>
      </c>
      <c r="B567" s="12">
        <f>IFERROR(__xludf.DUMMYFUNCTION("""COMPUTED_VALUE"""),10.0)</f>
        <v>10</v>
      </c>
      <c r="C567" s="12">
        <f>IFERROR(__xludf.DUMMYFUNCTION("""COMPUTED_VALUE"""),12.0)</f>
        <v>12</v>
      </c>
      <c r="D567" s="12">
        <f>IFERROR(__xludf.DUMMYFUNCTION("""COMPUTED_VALUE"""),1003310.0)</f>
        <v>1003310</v>
      </c>
      <c r="E567" s="12">
        <f>IFERROR(__xludf.DUMMYFUNCTION("""COMPUTED_VALUE"""),6.0)</f>
        <v>6</v>
      </c>
      <c r="F567" s="12">
        <f>IFERROR(__xludf.DUMMYFUNCTION("""COMPUTED_VALUE"""),0.87)</f>
        <v>0.87</v>
      </c>
      <c r="G567" s="12">
        <f>IFERROR(__xludf.DUMMYFUNCTION("""COMPUTED_VALUE"""),0.0)</f>
        <v>0</v>
      </c>
      <c r="H567" s="12" t="str">
        <f>IFERROR(__xludf.DUMMYFUNCTION("""COMPUTED_VALUE"""),"Return")</f>
        <v>Return</v>
      </c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>
      <c r="A568" s="12">
        <f>IFERROR(__xludf.DUMMYFUNCTION("""COMPUTED_VALUE"""),2021.0)</f>
        <v>2021</v>
      </c>
      <c r="B568" s="12">
        <f>IFERROR(__xludf.DUMMYFUNCTION("""COMPUTED_VALUE"""),10.0)</f>
        <v>10</v>
      </c>
      <c r="C568" s="12">
        <f>IFERROR(__xludf.DUMMYFUNCTION("""COMPUTED_VALUE"""),13.0)</f>
        <v>13</v>
      </c>
      <c r="D568" s="12">
        <f>IFERROR(__xludf.DUMMYFUNCTION("""COMPUTED_VALUE"""),1003904.0)</f>
        <v>1003904</v>
      </c>
      <c r="E568" s="12">
        <f>IFERROR(__xludf.DUMMYFUNCTION("""COMPUTED_VALUE"""),2.0)</f>
        <v>2</v>
      </c>
      <c r="F568" s="12">
        <f>IFERROR(__xludf.DUMMYFUNCTION("""COMPUTED_VALUE"""),0.0)</f>
        <v>0</v>
      </c>
      <c r="G568" s="12">
        <f>IFERROR(__xludf.DUMMYFUNCTION("""COMPUTED_VALUE"""),0.0)</f>
        <v>0</v>
      </c>
      <c r="H568" s="12" t="str">
        <f>IFERROR(__xludf.DUMMYFUNCTION("""COMPUTED_VALUE"""),"Return")</f>
        <v>Return</v>
      </c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>
      <c r="A569" s="12">
        <f>IFERROR(__xludf.DUMMYFUNCTION("""COMPUTED_VALUE"""),2021.0)</f>
        <v>2021</v>
      </c>
      <c r="B569" s="12">
        <f>IFERROR(__xludf.DUMMYFUNCTION("""COMPUTED_VALUE"""),10.0)</f>
        <v>10</v>
      </c>
      <c r="C569" s="12">
        <f>IFERROR(__xludf.DUMMYFUNCTION("""COMPUTED_VALUE"""),13.0)</f>
        <v>13</v>
      </c>
      <c r="D569" s="12">
        <f>IFERROR(__xludf.DUMMYFUNCTION("""COMPUTED_VALUE"""),1003763.0)</f>
        <v>1003763</v>
      </c>
      <c r="E569" s="12">
        <f>IFERROR(__xludf.DUMMYFUNCTION("""COMPUTED_VALUE"""),4.0)</f>
        <v>4</v>
      </c>
      <c r="F569" s="12">
        <f>IFERROR(__xludf.DUMMYFUNCTION("""COMPUTED_VALUE"""),0.0)</f>
        <v>0</v>
      </c>
      <c r="G569" s="12">
        <f>IFERROR(__xludf.DUMMYFUNCTION("""COMPUTED_VALUE"""),0.0)</f>
        <v>0</v>
      </c>
      <c r="H569" s="12" t="str">
        <f>IFERROR(__xludf.DUMMYFUNCTION("""COMPUTED_VALUE"""),"Wrong product")</f>
        <v>Wrong product</v>
      </c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>
      <c r="A570" s="12">
        <f>IFERROR(__xludf.DUMMYFUNCTION("""COMPUTED_VALUE"""),2021.0)</f>
        <v>2021</v>
      </c>
      <c r="B570" s="12">
        <f>IFERROR(__xludf.DUMMYFUNCTION("""COMPUTED_VALUE"""),10.0)</f>
        <v>10</v>
      </c>
      <c r="C570" s="12">
        <f>IFERROR(__xludf.DUMMYFUNCTION("""COMPUTED_VALUE"""),13.0)</f>
        <v>13</v>
      </c>
      <c r="D570" s="12">
        <f>IFERROR(__xludf.DUMMYFUNCTION("""COMPUTED_VALUE"""),1003303.0)</f>
        <v>1003303</v>
      </c>
      <c r="E570" s="13">
        <f>IFERROR(__xludf.DUMMYFUNCTION("""COMPUTED_VALUE"""),0.7607697589508645)</f>
        <v>0.760769759</v>
      </c>
      <c r="F570" s="12">
        <f>IFERROR(__xludf.DUMMYFUNCTION("""COMPUTED_VALUE"""),0.0)</f>
        <v>0</v>
      </c>
      <c r="G570" s="12">
        <f>IFERROR(__xludf.DUMMYFUNCTION("""COMPUTED_VALUE"""),0.0)</f>
        <v>0</v>
      </c>
      <c r="H570" s="12" t="str">
        <f>IFERROR(__xludf.DUMMYFUNCTION("""COMPUTED_VALUE"""),"Damage")</f>
        <v>Damage</v>
      </c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>
      <c r="A571" s="12">
        <f>IFERROR(__xludf.DUMMYFUNCTION("""COMPUTED_VALUE"""),2021.0)</f>
        <v>2021</v>
      </c>
      <c r="B571" s="12">
        <f>IFERROR(__xludf.DUMMYFUNCTION("""COMPUTED_VALUE"""),10.0)</f>
        <v>10</v>
      </c>
      <c r="C571" s="12">
        <f>IFERROR(__xludf.DUMMYFUNCTION("""COMPUTED_VALUE"""),13.0)</f>
        <v>13</v>
      </c>
      <c r="D571" s="12">
        <f>IFERROR(__xludf.DUMMYFUNCTION("""COMPUTED_VALUE"""),1003487.0)</f>
        <v>1003487</v>
      </c>
      <c r="E571" s="12">
        <f>IFERROR(__xludf.DUMMYFUNCTION("""COMPUTED_VALUE"""),1.0)</f>
        <v>1</v>
      </c>
      <c r="F571" s="12">
        <f>IFERROR(__xludf.DUMMYFUNCTION("""COMPUTED_VALUE"""),0.0)</f>
        <v>0</v>
      </c>
      <c r="G571" s="12">
        <f>IFERROR(__xludf.DUMMYFUNCTION("""COMPUTED_VALUE"""),10.0)</f>
        <v>10</v>
      </c>
      <c r="H571" s="12" t="str">
        <f>IFERROR(__xludf.DUMMYFUNCTION("""COMPUTED_VALUE"""),"Return")</f>
        <v>Return</v>
      </c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>
      <c r="A572" s="12">
        <f>IFERROR(__xludf.DUMMYFUNCTION("""COMPUTED_VALUE"""),2021.0)</f>
        <v>2021</v>
      </c>
      <c r="B572" s="12">
        <f>IFERROR(__xludf.DUMMYFUNCTION("""COMPUTED_VALUE"""),10.0)</f>
        <v>10</v>
      </c>
      <c r="C572" s="12">
        <f>IFERROR(__xludf.DUMMYFUNCTION("""COMPUTED_VALUE"""),13.0)</f>
        <v>13</v>
      </c>
      <c r="D572" s="12">
        <f>IFERROR(__xludf.DUMMYFUNCTION("""COMPUTED_VALUE"""),1003824.0)</f>
        <v>1003824</v>
      </c>
      <c r="E572" s="12">
        <f>IFERROR(__xludf.DUMMYFUNCTION("""COMPUTED_VALUE"""),4.0)</f>
        <v>4</v>
      </c>
      <c r="F572" s="12">
        <f>IFERROR(__xludf.DUMMYFUNCTION("""COMPUTED_VALUE"""),0.0)</f>
        <v>0</v>
      </c>
      <c r="G572" s="12">
        <f>IFERROR(__xludf.DUMMYFUNCTION("""COMPUTED_VALUE"""),0.0)</f>
        <v>0</v>
      </c>
      <c r="H572" s="12" t="str">
        <f>IFERROR(__xludf.DUMMYFUNCTION("""COMPUTED_VALUE"""),"Return")</f>
        <v>Return</v>
      </c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>
      <c r="A573" s="12">
        <f>IFERROR(__xludf.DUMMYFUNCTION("""COMPUTED_VALUE"""),2021.0)</f>
        <v>2021</v>
      </c>
      <c r="B573" s="12">
        <f>IFERROR(__xludf.DUMMYFUNCTION("""COMPUTED_VALUE"""),10.0)</f>
        <v>10</v>
      </c>
      <c r="C573" s="12">
        <f>IFERROR(__xludf.DUMMYFUNCTION("""COMPUTED_VALUE"""),13.0)</f>
        <v>13</v>
      </c>
      <c r="D573" s="12">
        <f>IFERROR(__xludf.DUMMYFUNCTION("""COMPUTED_VALUE"""),1003788.0)</f>
        <v>1003788</v>
      </c>
      <c r="E573" s="12">
        <f>IFERROR(__xludf.DUMMYFUNCTION("""COMPUTED_VALUE"""),12.0)</f>
        <v>12</v>
      </c>
      <c r="F573" s="12">
        <f>IFERROR(__xludf.DUMMYFUNCTION("""COMPUTED_VALUE"""),0.0)</f>
        <v>0</v>
      </c>
      <c r="G573" s="12">
        <f>IFERROR(__xludf.DUMMYFUNCTION("""COMPUTED_VALUE"""),0.0)</f>
        <v>0</v>
      </c>
      <c r="H573" s="12" t="str">
        <f>IFERROR(__xludf.DUMMYFUNCTION("""COMPUTED_VALUE"""),"Return")</f>
        <v>Return</v>
      </c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>
      <c r="A574" s="12">
        <f>IFERROR(__xludf.DUMMYFUNCTION("""COMPUTED_VALUE"""),2021.0)</f>
        <v>2021</v>
      </c>
      <c r="B574" s="12">
        <f>IFERROR(__xludf.DUMMYFUNCTION("""COMPUTED_VALUE"""),10.0)</f>
        <v>10</v>
      </c>
      <c r="C574" s="12">
        <f>IFERROR(__xludf.DUMMYFUNCTION("""COMPUTED_VALUE"""),13.0)</f>
        <v>13</v>
      </c>
      <c r="D574" s="12">
        <f>IFERROR(__xludf.DUMMYFUNCTION("""COMPUTED_VALUE"""),1003901.0)</f>
        <v>1003901</v>
      </c>
      <c r="E574" s="12">
        <f>IFERROR(__xludf.DUMMYFUNCTION("""COMPUTED_VALUE"""),5.0)</f>
        <v>5</v>
      </c>
      <c r="F574" s="12">
        <f>IFERROR(__xludf.DUMMYFUNCTION("""COMPUTED_VALUE"""),0.0)</f>
        <v>0</v>
      </c>
      <c r="G574" s="12">
        <f>IFERROR(__xludf.DUMMYFUNCTION("""COMPUTED_VALUE"""),0.0)</f>
        <v>0</v>
      </c>
      <c r="H574" s="12" t="str">
        <f>IFERROR(__xludf.DUMMYFUNCTION("""COMPUTED_VALUE"""),"Wrong product")</f>
        <v>Wrong product</v>
      </c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>
      <c r="A575" s="12">
        <f>IFERROR(__xludf.DUMMYFUNCTION("""COMPUTED_VALUE"""),2021.0)</f>
        <v>2021</v>
      </c>
      <c r="B575" s="12">
        <f>IFERROR(__xludf.DUMMYFUNCTION("""COMPUTED_VALUE"""),10.0)</f>
        <v>10</v>
      </c>
      <c r="C575" s="12">
        <f>IFERROR(__xludf.DUMMYFUNCTION("""COMPUTED_VALUE"""),13.0)</f>
        <v>13</v>
      </c>
      <c r="D575" s="12">
        <f>IFERROR(__xludf.DUMMYFUNCTION("""COMPUTED_VALUE"""),1003900.0)</f>
        <v>1003900</v>
      </c>
      <c r="E575" s="12">
        <f>IFERROR(__xludf.DUMMYFUNCTION("""COMPUTED_VALUE"""),4.0)</f>
        <v>4</v>
      </c>
      <c r="F575" s="12">
        <f>IFERROR(__xludf.DUMMYFUNCTION("""COMPUTED_VALUE"""),6.54)</f>
        <v>6.54</v>
      </c>
      <c r="G575" s="12">
        <f>IFERROR(__xludf.DUMMYFUNCTION("""COMPUTED_VALUE"""),0.0)</f>
        <v>0</v>
      </c>
      <c r="H575" s="12" t="str">
        <f>IFERROR(__xludf.DUMMYFUNCTION("""COMPUTED_VALUE"""),"Wrong product")</f>
        <v>Wrong product</v>
      </c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>
      <c r="A576" s="12">
        <f>IFERROR(__xludf.DUMMYFUNCTION("""COMPUTED_VALUE"""),2021.0)</f>
        <v>2021</v>
      </c>
      <c r="B576" s="12">
        <f>IFERROR(__xludf.DUMMYFUNCTION("""COMPUTED_VALUE"""),10.0)</f>
        <v>10</v>
      </c>
      <c r="C576" s="12">
        <f>IFERROR(__xludf.DUMMYFUNCTION("""COMPUTED_VALUE"""),13.0)</f>
        <v>13</v>
      </c>
      <c r="D576" s="12">
        <f>IFERROR(__xludf.DUMMYFUNCTION("""COMPUTED_VALUE"""),1003494.0)</f>
        <v>1003494</v>
      </c>
      <c r="E576" s="12">
        <f>IFERROR(__xludf.DUMMYFUNCTION("""COMPUTED_VALUE"""),2.0)</f>
        <v>2</v>
      </c>
      <c r="F576" s="12">
        <f>IFERROR(__xludf.DUMMYFUNCTION("""COMPUTED_VALUE"""),0.0)</f>
        <v>0</v>
      </c>
      <c r="G576" s="12">
        <f>IFERROR(__xludf.DUMMYFUNCTION("""COMPUTED_VALUE"""),0.0)</f>
        <v>0</v>
      </c>
      <c r="H576" s="12" t="str">
        <f>IFERROR(__xludf.DUMMYFUNCTION("""COMPUTED_VALUE"""),"Wrong product")</f>
        <v>Wrong product</v>
      </c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>
      <c r="A577" s="12">
        <f>IFERROR(__xludf.DUMMYFUNCTION("""COMPUTED_VALUE"""),2021.0)</f>
        <v>2021</v>
      </c>
      <c r="B577" s="12">
        <f>IFERROR(__xludf.DUMMYFUNCTION("""COMPUTED_VALUE"""),10.0)</f>
        <v>10</v>
      </c>
      <c r="C577" s="12">
        <f>IFERROR(__xludf.DUMMYFUNCTION("""COMPUTED_VALUE"""),13.0)</f>
        <v>13</v>
      </c>
      <c r="D577" s="12">
        <f>IFERROR(__xludf.DUMMYFUNCTION("""COMPUTED_VALUE"""),1003686.0)</f>
        <v>1003686</v>
      </c>
      <c r="E577" s="12">
        <f>IFERROR(__xludf.DUMMYFUNCTION("""COMPUTED_VALUE"""),1.0)</f>
        <v>1</v>
      </c>
      <c r="F577" s="12">
        <f>IFERROR(__xludf.DUMMYFUNCTION("""COMPUTED_VALUE"""),0.0)</f>
        <v>0</v>
      </c>
      <c r="G577" s="12">
        <f>IFERROR(__xludf.DUMMYFUNCTION("""COMPUTED_VALUE"""),0.0)</f>
        <v>0</v>
      </c>
      <c r="H577" s="12" t="str">
        <f>IFERROR(__xludf.DUMMYFUNCTION("""COMPUTED_VALUE"""),"Damage")</f>
        <v>Damage</v>
      </c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>
      <c r="A578" s="12">
        <f>IFERROR(__xludf.DUMMYFUNCTION("""COMPUTED_VALUE"""),2021.0)</f>
        <v>2021</v>
      </c>
      <c r="B578" s="12">
        <f>IFERROR(__xludf.DUMMYFUNCTION("""COMPUTED_VALUE"""),10.0)</f>
        <v>10</v>
      </c>
      <c r="C578" s="12">
        <f>IFERROR(__xludf.DUMMYFUNCTION("""COMPUTED_VALUE"""),13.0)</f>
        <v>13</v>
      </c>
      <c r="D578" s="12">
        <f>IFERROR(__xludf.DUMMYFUNCTION("""COMPUTED_VALUE"""),1003636.0)</f>
        <v>1003636</v>
      </c>
      <c r="E578" s="12">
        <f>IFERROR(__xludf.DUMMYFUNCTION("""COMPUTED_VALUE"""),3.0)</f>
        <v>3</v>
      </c>
      <c r="F578" s="12">
        <f>IFERROR(__xludf.DUMMYFUNCTION("""COMPUTED_VALUE"""),0.0)</f>
        <v>0</v>
      </c>
      <c r="G578" s="12">
        <f>IFERROR(__xludf.DUMMYFUNCTION("""COMPUTED_VALUE"""),5.0)</f>
        <v>5</v>
      </c>
      <c r="H578" s="12" t="str">
        <f>IFERROR(__xludf.DUMMYFUNCTION("""COMPUTED_VALUE"""),"Return")</f>
        <v>Return</v>
      </c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>
      <c r="A579" s="12">
        <f>IFERROR(__xludf.DUMMYFUNCTION("""COMPUTED_VALUE"""),2021.0)</f>
        <v>2021</v>
      </c>
      <c r="B579" s="12">
        <f>IFERROR(__xludf.DUMMYFUNCTION("""COMPUTED_VALUE"""),10.0)</f>
        <v>10</v>
      </c>
      <c r="C579" s="12">
        <f>IFERROR(__xludf.DUMMYFUNCTION("""COMPUTED_VALUE"""),13.0)</f>
        <v>13</v>
      </c>
      <c r="D579" s="12">
        <f>IFERROR(__xludf.DUMMYFUNCTION("""COMPUTED_VALUE"""),1003749.0)</f>
        <v>1003749</v>
      </c>
      <c r="E579" s="12">
        <f>IFERROR(__xludf.DUMMYFUNCTION("""COMPUTED_VALUE"""),4.0)</f>
        <v>4</v>
      </c>
      <c r="F579" s="12">
        <f>IFERROR(__xludf.DUMMYFUNCTION("""COMPUTED_VALUE"""),0.0)</f>
        <v>0</v>
      </c>
      <c r="G579" s="12">
        <f>IFERROR(__xludf.DUMMYFUNCTION("""COMPUTED_VALUE"""),5.0)</f>
        <v>5</v>
      </c>
      <c r="H579" s="12" t="str">
        <f>IFERROR(__xludf.DUMMYFUNCTION("""COMPUTED_VALUE"""),"Return")</f>
        <v>Return</v>
      </c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>
      <c r="A580" s="12">
        <f>IFERROR(__xludf.DUMMYFUNCTION("""COMPUTED_VALUE"""),2021.0)</f>
        <v>2021</v>
      </c>
      <c r="B580" s="12">
        <f>IFERROR(__xludf.DUMMYFUNCTION("""COMPUTED_VALUE"""),10.0)</f>
        <v>10</v>
      </c>
      <c r="C580" s="12">
        <f>IFERROR(__xludf.DUMMYFUNCTION("""COMPUTED_VALUE"""),13.0)</f>
        <v>13</v>
      </c>
      <c r="D580" s="12">
        <f>IFERROR(__xludf.DUMMYFUNCTION("""COMPUTED_VALUE"""),1003720.0)</f>
        <v>1003720</v>
      </c>
      <c r="E580" s="12">
        <f>IFERROR(__xludf.DUMMYFUNCTION("""COMPUTED_VALUE"""),20.0)</f>
        <v>20</v>
      </c>
      <c r="F580" s="12">
        <f>IFERROR(__xludf.DUMMYFUNCTION("""COMPUTED_VALUE"""),0.0)</f>
        <v>0</v>
      </c>
      <c r="G580" s="12">
        <f>IFERROR(__xludf.DUMMYFUNCTION("""COMPUTED_VALUE"""),0.0)</f>
        <v>0</v>
      </c>
      <c r="H580" s="12" t="str">
        <f>IFERROR(__xludf.DUMMYFUNCTION("""COMPUTED_VALUE"""),"Return")</f>
        <v>Return</v>
      </c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>
      <c r="A581" s="12">
        <f>IFERROR(__xludf.DUMMYFUNCTION("""COMPUTED_VALUE"""),2021.0)</f>
        <v>2021</v>
      </c>
      <c r="B581" s="12">
        <f>IFERROR(__xludf.DUMMYFUNCTION("""COMPUTED_VALUE"""),10.0)</f>
        <v>10</v>
      </c>
      <c r="C581" s="12">
        <f>IFERROR(__xludf.DUMMYFUNCTION("""COMPUTED_VALUE"""),13.0)</f>
        <v>13</v>
      </c>
      <c r="D581" s="12">
        <f>IFERROR(__xludf.DUMMYFUNCTION("""COMPUTED_VALUE"""),1003785.0)</f>
        <v>1003785</v>
      </c>
      <c r="E581" s="12">
        <f>IFERROR(__xludf.DUMMYFUNCTION("""COMPUTED_VALUE"""),3.0)</f>
        <v>3</v>
      </c>
      <c r="F581" s="12">
        <f>IFERROR(__xludf.DUMMYFUNCTION("""COMPUTED_VALUE"""),0.0)</f>
        <v>0</v>
      </c>
      <c r="G581" s="12">
        <f>IFERROR(__xludf.DUMMYFUNCTION("""COMPUTED_VALUE"""),0.0)</f>
        <v>0</v>
      </c>
      <c r="H581" s="12" t="str">
        <f>IFERROR(__xludf.DUMMYFUNCTION("""COMPUTED_VALUE"""),"Wrong product")</f>
        <v>Wrong product</v>
      </c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>
      <c r="A582" s="12">
        <f>IFERROR(__xludf.DUMMYFUNCTION("""COMPUTED_VALUE"""),2021.0)</f>
        <v>2021</v>
      </c>
      <c r="B582" s="12">
        <f>IFERROR(__xludf.DUMMYFUNCTION("""COMPUTED_VALUE"""),10.0)</f>
        <v>10</v>
      </c>
      <c r="C582" s="12">
        <f>IFERROR(__xludf.DUMMYFUNCTION("""COMPUTED_VALUE"""),13.0)</f>
        <v>13</v>
      </c>
      <c r="D582" s="12">
        <f>IFERROR(__xludf.DUMMYFUNCTION("""COMPUTED_VALUE"""),1003677.0)</f>
        <v>1003677</v>
      </c>
      <c r="E582" s="12">
        <f>IFERROR(__xludf.DUMMYFUNCTION("""COMPUTED_VALUE"""),12.0)</f>
        <v>12</v>
      </c>
      <c r="F582" s="12">
        <f>IFERROR(__xludf.DUMMYFUNCTION("""COMPUTED_VALUE"""),0.0)</f>
        <v>0</v>
      </c>
      <c r="G582" s="12">
        <f>IFERROR(__xludf.DUMMYFUNCTION("""COMPUTED_VALUE"""),7.0)</f>
        <v>7</v>
      </c>
      <c r="H582" s="12" t="str">
        <f>IFERROR(__xludf.DUMMYFUNCTION("""COMPUTED_VALUE"""),"Return")</f>
        <v>Return</v>
      </c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>
      <c r="A583" s="12">
        <f>IFERROR(__xludf.DUMMYFUNCTION("""COMPUTED_VALUE"""),2021.0)</f>
        <v>2021</v>
      </c>
      <c r="B583" s="12">
        <f>IFERROR(__xludf.DUMMYFUNCTION("""COMPUTED_VALUE"""),10.0)</f>
        <v>10</v>
      </c>
      <c r="C583" s="12">
        <f>IFERROR(__xludf.DUMMYFUNCTION("""COMPUTED_VALUE"""),13.0)</f>
        <v>13</v>
      </c>
      <c r="D583" s="12">
        <f>IFERROR(__xludf.DUMMYFUNCTION("""COMPUTED_VALUE"""),1003340.0)</f>
        <v>1003340</v>
      </c>
      <c r="E583" s="12">
        <f>IFERROR(__xludf.DUMMYFUNCTION("""COMPUTED_VALUE"""),7.0)</f>
        <v>7</v>
      </c>
      <c r="F583" s="12">
        <f>IFERROR(__xludf.DUMMYFUNCTION("""COMPUTED_VALUE"""),0.0)</f>
        <v>0</v>
      </c>
      <c r="G583" s="12">
        <f>IFERROR(__xludf.DUMMYFUNCTION("""COMPUTED_VALUE"""),6.0)</f>
        <v>6</v>
      </c>
      <c r="H583" s="12" t="str">
        <f>IFERROR(__xludf.DUMMYFUNCTION("""COMPUTED_VALUE"""),"Return")</f>
        <v>Return</v>
      </c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>
      <c r="A584" s="12">
        <f>IFERROR(__xludf.DUMMYFUNCTION("""COMPUTED_VALUE"""),2021.0)</f>
        <v>2021</v>
      </c>
      <c r="B584" s="12">
        <f>IFERROR(__xludf.DUMMYFUNCTION("""COMPUTED_VALUE"""),10.0)</f>
        <v>10</v>
      </c>
      <c r="C584" s="12">
        <f>IFERROR(__xludf.DUMMYFUNCTION("""COMPUTED_VALUE"""),13.0)</f>
        <v>13</v>
      </c>
      <c r="D584" s="12">
        <f>IFERROR(__xludf.DUMMYFUNCTION("""COMPUTED_VALUE"""),1003701.0)</f>
        <v>1003701</v>
      </c>
      <c r="E584" s="12">
        <f>IFERROR(__xludf.DUMMYFUNCTION("""COMPUTED_VALUE"""),4.0)</f>
        <v>4</v>
      </c>
      <c r="F584" s="12">
        <f>IFERROR(__xludf.DUMMYFUNCTION("""COMPUTED_VALUE"""),0.0)</f>
        <v>0</v>
      </c>
      <c r="G584" s="12">
        <f>IFERROR(__xludf.DUMMYFUNCTION("""COMPUTED_VALUE"""),0.0)</f>
        <v>0</v>
      </c>
      <c r="H584" s="12" t="str">
        <f>IFERROR(__xludf.DUMMYFUNCTION("""COMPUTED_VALUE"""),"Return")</f>
        <v>Return</v>
      </c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>
      <c r="A585" s="12">
        <f>IFERROR(__xludf.DUMMYFUNCTION("""COMPUTED_VALUE"""),2021.0)</f>
        <v>2021</v>
      </c>
      <c r="B585" s="12">
        <f>IFERROR(__xludf.DUMMYFUNCTION("""COMPUTED_VALUE"""),10.0)</f>
        <v>10</v>
      </c>
      <c r="C585" s="12">
        <f>IFERROR(__xludf.DUMMYFUNCTION("""COMPUTED_VALUE"""),13.0)</f>
        <v>13</v>
      </c>
      <c r="D585" s="12">
        <f>IFERROR(__xludf.DUMMYFUNCTION("""COMPUTED_VALUE"""),1003511.0)</f>
        <v>1003511</v>
      </c>
      <c r="E585" s="12">
        <f>IFERROR(__xludf.DUMMYFUNCTION("""COMPUTED_VALUE"""),19.0)</f>
        <v>19</v>
      </c>
      <c r="F585" s="12">
        <f>IFERROR(__xludf.DUMMYFUNCTION("""COMPUTED_VALUE"""),5.75)</f>
        <v>5.75</v>
      </c>
      <c r="G585" s="12">
        <f>IFERROR(__xludf.DUMMYFUNCTION("""COMPUTED_VALUE"""),0.0)</f>
        <v>0</v>
      </c>
      <c r="H585" s="12" t="str">
        <f>IFERROR(__xludf.DUMMYFUNCTION("""COMPUTED_VALUE"""),"Wrong product")</f>
        <v>Wrong product</v>
      </c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>
      <c r="A586" s="12">
        <f>IFERROR(__xludf.DUMMYFUNCTION("""COMPUTED_VALUE"""),2021.0)</f>
        <v>2021</v>
      </c>
      <c r="B586" s="12">
        <f>IFERROR(__xludf.DUMMYFUNCTION("""COMPUTED_VALUE"""),10.0)</f>
        <v>10</v>
      </c>
      <c r="C586" s="12">
        <f>IFERROR(__xludf.DUMMYFUNCTION("""COMPUTED_VALUE"""),13.0)</f>
        <v>13</v>
      </c>
      <c r="D586" s="12">
        <f>IFERROR(__xludf.DUMMYFUNCTION("""COMPUTED_VALUE"""),1003573.0)</f>
        <v>1003573</v>
      </c>
      <c r="E586" s="12">
        <f>IFERROR(__xludf.DUMMYFUNCTION("""COMPUTED_VALUE"""),4.0)</f>
        <v>4</v>
      </c>
      <c r="F586" s="12">
        <f>IFERROR(__xludf.DUMMYFUNCTION("""COMPUTED_VALUE"""),0.0)</f>
        <v>0</v>
      </c>
      <c r="G586" s="12">
        <f>IFERROR(__xludf.DUMMYFUNCTION("""COMPUTED_VALUE"""),7.0)</f>
        <v>7</v>
      </c>
      <c r="H586" s="12" t="str">
        <f>IFERROR(__xludf.DUMMYFUNCTION("""COMPUTED_VALUE"""),"Return")</f>
        <v>Return</v>
      </c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>
      <c r="A587" s="12">
        <f>IFERROR(__xludf.DUMMYFUNCTION("""COMPUTED_VALUE"""),2021.0)</f>
        <v>2021</v>
      </c>
      <c r="B587" s="12">
        <f>IFERROR(__xludf.DUMMYFUNCTION("""COMPUTED_VALUE"""),10.0)</f>
        <v>10</v>
      </c>
      <c r="C587" s="12">
        <f>IFERROR(__xludf.DUMMYFUNCTION("""COMPUTED_VALUE"""),13.0)</f>
        <v>13</v>
      </c>
      <c r="D587" s="12">
        <f>IFERROR(__xludf.DUMMYFUNCTION("""COMPUTED_VALUE"""),1003831.0)</f>
        <v>1003831</v>
      </c>
      <c r="E587" s="12">
        <f>IFERROR(__xludf.DUMMYFUNCTION("""COMPUTED_VALUE"""),6.0)</f>
        <v>6</v>
      </c>
      <c r="F587" s="12">
        <f>IFERROR(__xludf.DUMMYFUNCTION("""COMPUTED_VALUE"""),0.0)</f>
        <v>0</v>
      </c>
      <c r="G587" s="12">
        <f>IFERROR(__xludf.DUMMYFUNCTION("""COMPUTED_VALUE"""),0.0)</f>
        <v>0</v>
      </c>
      <c r="H587" s="12" t="str">
        <f>IFERROR(__xludf.DUMMYFUNCTION("""COMPUTED_VALUE"""),"Wrong product")</f>
        <v>Wrong product</v>
      </c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>
      <c r="A588" s="12">
        <f>IFERROR(__xludf.DUMMYFUNCTION("""COMPUTED_VALUE"""),2021.0)</f>
        <v>2021</v>
      </c>
      <c r="B588" s="12">
        <f>IFERROR(__xludf.DUMMYFUNCTION("""COMPUTED_VALUE"""),10.0)</f>
        <v>10</v>
      </c>
      <c r="C588" s="12">
        <f>IFERROR(__xludf.DUMMYFUNCTION("""COMPUTED_VALUE"""),13.0)</f>
        <v>13</v>
      </c>
      <c r="D588" s="12">
        <f>IFERROR(__xludf.DUMMYFUNCTION("""COMPUTED_VALUE"""),1003959.0)</f>
        <v>1003959</v>
      </c>
      <c r="E588" s="12">
        <f>IFERROR(__xludf.DUMMYFUNCTION("""COMPUTED_VALUE"""),6.0)</f>
        <v>6</v>
      </c>
      <c r="F588" s="12">
        <f>IFERROR(__xludf.DUMMYFUNCTION("""COMPUTED_VALUE"""),0.0)</f>
        <v>0</v>
      </c>
      <c r="G588" s="12">
        <f>IFERROR(__xludf.DUMMYFUNCTION("""COMPUTED_VALUE"""),0.0)</f>
        <v>0</v>
      </c>
      <c r="H588" s="12" t="str">
        <f>IFERROR(__xludf.DUMMYFUNCTION("""COMPUTED_VALUE"""),"Wrong product")</f>
        <v>Wrong product</v>
      </c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>
      <c r="A589" s="12">
        <f>IFERROR(__xludf.DUMMYFUNCTION("""COMPUTED_VALUE"""),2021.0)</f>
        <v>2021</v>
      </c>
      <c r="B589" s="12">
        <f>IFERROR(__xludf.DUMMYFUNCTION("""COMPUTED_VALUE"""),10.0)</f>
        <v>10</v>
      </c>
      <c r="C589" s="12">
        <f>IFERROR(__xludf.DUMMYFUNCTION("""COMPUTED_VALUE"""),13.0)</f>
        <v>13</v>
      </c>
      <c r="D589" s="12">
        <f>IFERROR(__xludf.DUMMYFUNCTION("""COMPUTED_VALUE"""),1003674.0)</f>
        <v>1003674</v>
      </c>
      <c r="E589" s="12">
        <f>IFERROR(__xludf.DUMMYFUNCTION("""COMPUTED_VALUE"""),2.0)</f>
        <v>2</v>
      </c>
      <c r="F589" s="12">
        <f>IFERROR(__xludf.DUMMYFUNCTION("""COMPUTED_VALUE"""),3.34)</f>
        <v>3.34</v>
      </c>
      <c r="G589" s="12">
        <f>IFERROR(__xludf.DUMMYFUNCTION("""COMPUTED_VALUE"""),0.0)</f>
        <v>0</v>
      </c>
      <c r="H589" s="12" t="str">
        <f>IFERROR(__xludf.DUMMYFUNCTION("""COMPUTED_VALUE"""),"Return")</f>
        <v>Return</v>
      </c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>
      <c r="A590" s="12">
        <f>IFERROR(__xludf.DUMMYFUNCTION("""COMPUTED_VALUE"""),2021.0)</f>
        <v>2021</v>
      </c>
      <c r="B590" s="12">
        <f>IFERROR(__xludf.DUMMYFUNCTION("""COMPUTED_VALUE"""),10.0)</f>
        <v>10</v>
      </c>
      <c r="C590" s="12">
        <f>IFERROR(__xludf.DUMMYFUNCTION("""COMPUTED_VALUE"""),13.0)</f>
        <v>13</v>
      </c>
      <c r="D590" s="12">
        <f>IFERROR(__xludf.DUMMYFUNCTION("""COMPUTED_VALUE"""),1003947.0)</f>
        <v>1003947</v>
      </c>
      <c r="E590" s="12">
        <f>IFERROR(__xludf.DUMMYFUNCTION("""COMPUTED_VALUE"""),2.0)</f>
        <v>2</v>
      </c>
      <c r="F590" s="12">
        <f>IFERROR(__xludf.DUMMYFUNCTION("""COMPUTED_VALUE"""),3.25)</f>
        <v>3.25</v>
      </c>
      <c r="G590" s="12">
        <f>IFERROR(__xludf.DUMMYFUNCTION("""COMPUTED_VALUE"""),0.0)</f>
        <v>0</v>
      </c>
      <c r="H590" s="12" t="str">
        <f>IFERROR(__xludf.DUMMYFUNCTION("""COMPUTED_VALUE"""),"Return")</f>
        <v>Return</v>
      </c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>
      <c r="A591" s="12">
        <f>IFERROR(__xludf.DUMMYFUNCTION("""COMPUTED_VALUE"""),2021.0)</f>
        <v>2021</v>
      </c>
      <c r="B591" s="12">
        <f>IFERROR(__xludf.DUMMYFUNCTION("""COMPUTED_VALUE"""),10.0)</f>
        <v>10</v>
      </c>
      <c r="C591" s="12">
        <f>IFERROR(__xludf.DUMMYFUNCTION("""COMPUTED_VALUE"""),13.0)</f>
        <v>13</v>
      </c>
      <c r="D591" s="12">
        <f>IFERROR(__xludf.DUMMYFUNCTION("""COMPUTED_VALUE"""),1003562.0)</f>
        <v>1003562</v>
      </c>
      <c r="E591" s="13">
        <f>IFERROR(__xludf.DUMMYFUNCTION("""COMPUTED_VALUE"""),0.7119778754588065)</f>
        <v>0.7119778755</v>
      </c>
      <c r="F591" s="12">
        <f>IFERROR(__xludf.DUMMYFUNCTION("""COMPUTED_VALUE"""),3.58)</f>
        <v>3.58</v>
      </c>
      <c r="G591" s="12">
        <f>IFERROR(__xludf.DUMMYFUNCTION("""COMPUTED_VALUE"""),0.0)</f>
        <v>0</v>
      </c>
      <c r="H591" s="12" t="str">
        <f>IFERROR(__xludf.DUMMYFUNCTION("""COMPUTED_VALUE"""),"Return")</f>
        <v>Return</v>
      </c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>
      <c r="A592" s="12">
        <f>IFERROR(__xludf.DUMMYFUNCTION("""COMPUTED_VALUE"""),2021.0)</f>
        <v>2021</v>
      </c>
      <c r="B592" s="12">
        <f>IFERROR(__xludf.DUMMYFUNCTION("""COMPUTED_VALUE"""),10.0)</f>
        <v>10</v>
      </c>
      <c r="C592" s="12">
        <f>IFERROR(__xludf.DUMMYFUNCTION("""COMPUTED_VALUE"""),13.0)</f>
        <v>13</v>
      </c>
      <c r="D592" s="12">
        <f>IFERROR(__xludf.DUMMYFUNCTION("""COMPUTED_VALUE"""),1003513.0)</f>
        <v>1003513</v>
      </c>
      <c r="E592" s="12">
        <f>IFERROR(__xludf.DUMMYFUNCTION("""COMPUTED_VALUE"""),1.0)</f>
        <v>1</v>
      </c>
      <c r="F592" s="12">
        <f>IFERROR(__xludf.DUMMYFUNCTION("""COMPUTED_VALUE"""),0.0)</f>
        <v>0</v>
      </c>
      <c r="G592" s="12">
        <f>IFERROR(__xludf.DUMMYFUNCTION("""COMPUTED_VALUE"""),8.0)</f>
        <v>8</v>
      </c>
      <c r="H592" s="12" t="str">
        <f>IFERROR(__xludf.DUMMYFUNCTION("""COMPUTED_VALUE"""),"Return")</f>
        <v>Return</v>
      </c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>
      <c r="A593" s="12">
        <f>IFERROR(__xludf.DUMMYFUNCTION("""COMPUTED_VALUE"""),2021.0)</f>
        <v>2021</v>
      </c>
      <c r="B593" s="12">
        <f>IFERROR(__xludf.DUMMYFUNCTION("""COMPUTED_VALUE"""),10.0)</f>
        <v>10</v>
      </c>
      <c r="C593" s="12">
        <f>IFERROR(__xludf.DUMMYFUNCTION("""COMPUTED_VALUE"""),13.0)</f>
        <v>13</v>
      </c>
      <c r="D593" s="12">
        <f>IFERROR(__xludf.DUMMYFUNCTION("""COMPUTED_VALUE"""),1003605.0)</f>
        <v>1003605</v>
      </c>
      <c r="E593" s="12">
        <f>IFERROR(__xludf.DUMMYFUNCTION("""COMPUTED_VALUE"""),3.0)</f>
        <v>3</v>
      </c>
      <c r="F593" s="12">
        <f>IFERROR(__xludf.DUMMYFUNCTION("""COMPUTED_VALUE"""),0.0)</f>
        <v>0</v>
      </c>
      <c r="G593" s="12">
        <f>IFERROR(__xludf.DUMMYFUNCTION("""COMPUTED_VALUE"""),5.0)</f>
        <v>5</v>
      </c>
      <c r="H593" s="12" t="str">
        <f>IFERROR(__xludf.DUMMYFUNCTION("""COMPUTED_VALUE"""),"Return")</f>
        <v>Return</v>
      </c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>
      <c r="A594" s="12">
        <f>IFERROR(__xludf.DUMMYFUNCTION("""COMPUTED_VALUE"""),2021.0)</f>
        <v>2021</v>
      </c>
      <c r="B594" s="12">
        <f>IFERROR(__xludf.DUMMYFUNCTION("""COMPUTED_VALUE"""),10.0)</f>
        <v>10</v>
      </c>
      <c r="C594" s="12">
        <f>IFERROR(__xludf.DUMMYFUNCTION("""COMPUTED_VALUE"""),13.0)</f>
        <v>13</v>
      </c>
      <c r="D594" s="12">
        <f>IFERROR(__xludf.DUMMYFUNCTION("""COMPUTED_VALUE"""),1003917.0)</f>
        <v>1003917</v>
      </c>
      <c r="E594" s="12">
        <f>IFERROR(__xludf.DUMMYFUNCTION("""COMPUTED_VALUE"""),2.0)</f>
        <v>2</v>
      </c>
      <c r="F594" s="12">
        <f>IFERROR(__xludf.DUMMYFUNCTION("""COMPUTED_VALUE"""),0.0)</f>
        <v>0</v>
      </c>
      <c r="G594" s="12">
        <f>IFERROR(__xludf.DUMMYFUNCTION("""COMPUTED_VALUE"""),0.0)</f>
        <v>0</v>
      </c>
      <c r="H594" s="12" t="str">
        <f>IFERROR(__xludf.DUMMYFUNCTION("""COMPUTED_VALUE"""),"Damage")</f>
        <v>Damage</v>
      </c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>
      <c r="A595" s="12">
        <f>IFERROR(__xludf.DUMMYFUNCTION("""COMPUTED_VALUE"""),2021.0)</f>
        <v>2021</v>
      </c>
      <c r="B595" s="12">
        <f>IFERROR(__xludf.DUMMYFUNCTION("""COMPUTED_VALUE"""),10.0)</f>
        <v>10</v>
      </c>
      <c r="C595" s="12">
        <f>IFERROR(__xludf.DUMMYFUNCTION("""COMPUTED_VALUE"""),13.0)</f>
        <v>13</v>
      </c>
      <c r="D595" s="12">
        <f>IFERROR(__xludf.DUMMYFUNCTION("""COMPUTED_VALUE"""),1003853.0)</f>
        <v>1003853</v>
      </c>
      <c r="E595" s="12">
        <f>IFERROR(__xludf.DUMMYFUNCTION("""COMPUTED_VALUE"""),3.0)</f>
        <v>3</v>
      </c>
      <c r="F595" s="12">
        <f>IFERROR(__xludf.DUMMYFUNCTION("""COMPUTED_VALUE"""),0.0)</f>
        <v>0</v>
      </c>
      <c r="G595" s="12">
        <f>IFERROR(__xludf.DUMMYFUNCTION("""COMPUTED_VALUE"""),0.0)</f>
        <v>0</v>
      </c>
      <c r="H595" s="12" t="str">
        <f>IFERROR(__xludf.DUMMYFUNCTION("""COMPUTED_VALUE"""),"Return")</f>
        <v>Return</v>
      </c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>
      <c r="A596" s="12">
        <f>IFERROR(__xludf.DUMMYFUNCTION("""COMPUTED_VALUE"""),2021.0)</f>
        <v>2021</v>
      </c>
      <c r="B596" s="12">
        <f>IFERROR(__xludf.DUMMYFUNCTION("""COMPUTED_VALUE"""),10.0)</f>
        <v>10</v>
      </c>
      <c r="C596" s="12">
        <f>IFERROR(__xludf.DUMMYFUNCTION("""COMPUTED_VALUE"""),13.0)</f>
        <v>13</v>
      </c>
      <c r="D596" s="12">
        <f>IFERROR(__xludf.DUMMYFUNCTION("""COMPUTED_VALUE"""),1003796.0)</f>
        <v>1003796</v>
      </c>
      <c r="E596" s="12">
        <f>IFERROR(__xludf.DUMMYFUNCTION("""COMPUTED_VALUE"""),1.0)</f>
        <v>1</v>
      </c>
      <c r="F596" s="12">
        <f>IFERROR(__xludf.DUMMYFUNCTION("""COMPUTED_VALUE"""),0.0)</f>
        <v>0</v>
      </c>
      <c r="G596" s="12">
        <f>IFERROR(__xludf.DUMMYFUNCTION("""COMPUTED_VALUE"""),6.0)</f>
        <v>6</v>
      </c>
      <c r="H596" s="12" t="str">
        <f>IFERROR(__xludf.DUMMYFUNCTION("""COMPUTED_VALUE"""),"Return")</f>
        <v>Return</v>
      </c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>
      <c r="A597" s="12">
        <f>IFERROR(__xludf.DUMMYFUNCTION("""COMPUTED_VALUE"""),2021.0)</f>
        <v>2021</v>
      </c>
      <c r="B597" s="12">
        <f>IFERROR(__xludf.DUMMYFUNCTION("""COMPUTED_VALUE"""),10.0)</f>
        <v>10</v>
      </c>
      <c r="C597" s="12">
        <f>IFERROR(__xludf.DUMMYFUNCTION("""COMPUTED_VALUE"""),13.0)</f>
        <v>13</v>
      </c>
      <c r="D597" s="12">
        <f>IFERROR(__xludf.DUMMYFUNCTION("""COMPUTED_VALUE"""),1003575.0)</f>
        <v>1003575</v>
      </c>
      <c r="E597" s="12">
        <f>IFERROR(__xludf.DUMMYFUNCTION("""COMPUTED_VALUE"""),2.0)</f>
        <v>2</v>
      </c>
      <c r="F597" s="12">
        <f>IFERROR(__xludf.DUMMYFUNCTION("""COMPUTED_VALUE"""),0.94)</f>
        <v>0.94</v>
      </c>
      <c r="G597" s="12">
        <f>IFERROR(__xludf.DUMMYFUNCTION("""COMPUTED_VALUE"""),0.0)</f>
        <v>0</v>
      </c>
      <c r="H597" s="12" t="str">
        <f>IFERROR(__xludf.DUMMYFUNCTION("""COMPUTED_VALUE"""),"Return")</f>
        <v>Return</v>
      </c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>
      <c r="A598" s="12">
        <f>IFERROR(__xludf.DUMMYFUNCTION("""COMPUTED_VALUE"""),2021.0)</f>
        <v>2021</v>
      </c>
      <c r="B598" s="12">
        <f>IFERROR(__xludf.DUMMYFUNCTION("""COMPUTED_VALUE"""),10.0)</f>
        <v>10</v>
      </c>
      <c r="C598" s="12">
        <f>IFERROR(__xludf.DUMMYFUNCTION("""COMPUTED_VALUE"""),13.0)</f>
        <v>13</v>
      </c>
      <c r="D598" s="12">
        <f>IFERROR(__xludf.DUMMYFUNCTION("""COMPUTED_VALUE"""),1003498.0)</f>
        <v>1003498</v>
      </c>
      <c r="E598" s="12">
        <f>IFERROR(__xludf.DUMMYFUNCTION("""COMPUTED_VALUE"""),3.0)</f>
        <v>3</v>
      </c>
      <c r="F598" s="12">
        <f>IFERROR(__xludf.DUMMYFUNCTION("""COMPUTED_VALUE"""),0.0)</f>
        <v>0</v>
      </c>
      <c r="G598" s="12">
        <f>IFERROR(__xludf.DUMMYFUNCTION("""COMPUTED_VALUE"""),5.0)</f>
        <v>5</v>
      </c>
      <c r="H598" s="12" t="str">
        <f>IFERROR(__xludf.DUMMYFUNCTION("""COMPUTED_VALUE"""),"Return")</f>
        <v>Return</v>
      </c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>
      <c r="A599" s="12">
        <f>IFERROR(__xludf.DUMMYFUNCTION("""COMPUTED_VALUE"""),2021.0)</f>
        <v>2021</v>
      </c>
      <c r="B599" s="12">
        <f>IFERROR(__xludf.DUMMYFUNCTION("""COMPUTED_VALUE"""),10.0)</f>
        <v>10</v>
      </c>
      <c r="C599" s="12">
        <f>IFERROR(__xludf.DUMMYFUNCTION("""COMPUTED_VALUE"""),13.0)</f>
        <v>13</v>
      </c>
      <c r="D599" s="12">
        <f>IFERROR(__xludf.DUMMYFUNCTION("""COMPUTED_VALUE"""),1003936.0)</f>
        <v>1003936</v>
      </c>
      <c r="E599" s="13">
        <f>IFERROR(__xludf.DUMMYFUNCTION("""COMPUTED_VALUE"""),0.5567175513801594)</f>
        <v>0.5567175514</v>
      </c>
      <c r="F599" s="12">
        <f>IFERROR(__xludf.DUMMYFUNCTION("""COMPUTED_VALUE"""),0.0)</f>
        <v>0</v>
      </c>
      <c r="G599" s="12">
        <f>IFERROR(__xludf.DUMMYFUNCTION("""COMPUTED_VALUE"""),0.0)</f>
        <v>0</v>
      </c>
      <c r="H599" s="12" t="str">
        <f>IFERROR(__xludf.DUMMYFUNCTION("""COMPUTED_VALUE"""),"Wrong product")</f>
        <v>Wrong product</v>
      </c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>
      <c r="A600" s="12">
        <f>IFERROR(__xludf.DUMMYFUNCTION("""COMPUTED_VALUE"""),2021.0)</f>
        <v>2021</v>
      </c>
      <c r="B600" s="12">
        <f>IFERROR(__xludf.DUMMYFUNCTION("""COMPUTED_VALUE"""),10.0)</f>
        <v>10</v>
      </c>
      <c r="C600" s="12">
        <f>IFERROR(__xludf.DUMMYFUNCTION("""COMPUTED_VALUE"""),13.0)</f>
        <v>13</v>
      </c>
      <c r="D600" s="12">
        <f>IFERROR(__xludf.DUMMYFUNCTION("""COMPUTED_VALUE"""),1003569.0)</f>
        <v>1003569</v>
      </c>
      <c r="E600" s="12">
        <f>IFERROR(__xludf.DUMMYFUNCTION("""COMPUTED_VALUE"""),2.0)</f>
        <v>2</v>
      </c>
      <c r="F600" s="12">
        <f>IFERROR(__xludf.DUMMYFUNCTION("""COMPUTED_VALUE"""),0.0)</f>
        <v>0</v>
      </c>
      <c r="G600" s="12">
        <f>IFERROR(__xludf.DUMMYFUNCTION("""COMPUTED_VALUE"""),7.0)</f>
        <v>7</v>
      </c>
      <c r="H600" s="12" t="str">
        <f>IFERROR(__xludf.DUMMYFUNCTION("""COMPUTED_VALUE"""),"Return")</f>
        <v>Return</v>
      </c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>
      <c r="A601" s="12">
        <f>IFERROR(__xludf.DUMMYFUNCTION("""COMPUTED_VALUE"""),2021.0)</f>
        <v>2021</v>
      </c>
      <c r="B601" s="12">
        <f>IFERROR(__xludf.DUMMYFUNCTION("""COMPUTED_VALUE"""),10.0)</f>
        <v>10</v>
      </c>
      <c r="C601" s="12">
        <f>IFERROR(__xludf.DUMMYFUNCTION("""COMPUTED_VALUE"""),13.0)</f>
        <v>13</v>
      </c>
      <c r="D601" s="12">
        <f>IFERROR(__xludf.DUMMYFUNCTION("""COMPUTED_VALUE"""),1003442.0)</f>
        <v>1003442</v>
      </c>
      <c r="E601" s="12">
        <f>IFERROR(__xludf.DUMMYFUNCTION("""COMPUTED_VALUE"""),2.0)</f>
        <v>2</v>
      </c>
      <c r="F601" s="12">
        <f>IFERROR(__xludf.DUMMYFUNCTION("""COMPUTED_VALUE"""),0.0)</f>
        <v>0</v>
      </c>
      <c r="G601" s="12">
        <f>IFERROR(__xludf.DUMMYFUNCTION("""COMPUTED_VALUE"""),0.0)</f>
        <v>0</v>
      </c>
      <c r="H601" s="12" t="str">
        <f>IFERROR(__xludf.DUMMYFUNCTION("""COMPUTED_VALUE"""),"Return")</f>
        <v>Return</v>
      </c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>
      <c r="A602" s="12">
        <f>IFERROR(__xludf.DUMMYFUNCTION("""COMPUTED_VALUE"""),2021.0)</f>
        <v>2021</v>
      </c>
      <c r="B602" s="12">
        <f>IFERROR(__xludf.DUMMYFUNCTION("""COMPUTED_VALUE"""),10.0)</f>
        <v>10</v>
      </c>
      <c r="C602" s="12">
        <f>IFERROR(__xludf.DUMMYFUNCTION("""COMPUTED_VALUE"""),13.0)</f>
        <v>13</v>
      </c>
      <c r="D602" s="12">
        <f>IFERROR(__xludf.DUMMYFUNCTION("""COMPUTED_VALUE"""),1003594.0)</f>
        <v>1003594</v>
      </c>
      <c r="E602" s="12">
        <f>IFERROR(__xludf.DUMMYFUNCTION("""COMPUTED_VALUE"""),2.0)</f>
        <v>2</v>
      </c>
      <c r="F602" s="12">
        <f>IFERROR(__xludf.DUMMYFUNCTION("""COMPUTED_VALUE"""),0.0)</f>
        <v>0</v>
      </c>
      <c r="G602" s="12">
        <f>IFERROR(__xludf.DUMMYFUNCTION("""COMPUTED_VALUE"""),0.0)</f>
        <v>0</v>
      </c>
      <c r="H602" s="12" t="str">
        <f>IFERROR(__xludf.DUMMYFUNCTION("""COMPUTED_VALUE"""),"Wrong product")</f>
        <v>Wrong product</v>
      </c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>
      <c r="A603" s="12">
        <f>IFERROR(__xludf.DUMMYFUNCTION("""COMPUTED_VALUE"""),2021.0)</f>
        <v>2021</v>
      </c>
      <c r="B603" s="12">
        <f>IFERROR(__xludf.DUMMYFUNCTION("""COMPUTED_VALUE"""),10.0)</f>
        <v>10</v>
      </c>
      <c r="C603" s="12">
        <f>IFERROR(__xludf.DUMMYFUNCTION("""COMPUTED_VALUE"""),13.0)</f>
        <v>13</v>
      </c>
      <c r="D603" s="12">
        <f>IFERROR(__xludf.DUMMYFUNCTION("""COMPUTED_VALUE"""),1003966.0)</f>
        <v>1003966</v>
      </c>
      <c r="E603" s="12">
        <f>IFERROR(__xludf.DUMMYFUNCTION("""COMPUTED_VALUE"""),2.0)</f>
        <v>2</v>
      </c>
      <c r="F603" s="12">
        <f>IFERROR(__xludf.DUMMYFUNCTION("""COMPUTED_VALUE"""),0.0)</f>
        <v>0</v>
      </c>
      <c r="G603" s="12">
        <f>IFERROR(__xludf.DUMMYFUNCTION("""COMPUTED_VALUE"""),7.0)</f>
        <v>7</v>
      </c>
      <c r="H603" s="12" t="str">
        <f>IFERROR(__xludf.DUMMYFUNCTION("""COMPUTED_VALUE"""),"Return")</f>
        <v>Return</v>
      </c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>
      <c r="A604" s="12">
        <f>IFERROR(__xludf.DUMMYFUNCTION("""COMPUTED_VALUE"""),2021.0)</f>
        <v>2021</v>
      </c>
      <c r="B604" s="12">
        <f>IFERROR(__xludf.DUMMYFUNCTION("""COMPUTED_VALUE"""),10.0)</f>
        <v>10</v>
      </c>
      <c r="C604" s="12">
        <f>IFERROR(__xludf.DUMMYFUNCTION("""COMPUTED_VALUE"""),13.0)</f>
        <v>13</v>
      </c>
      <c r="D604" s="12">
        <f>IFERROR(__xludf.DUMMYFUNCTION("""COMPUTED_VALUE"""),1003719.0)</f>
        <v>1003719</v>
      </c>
      <c r="E604" s="12">
        <f>IFERROR(__xludf.DUMMYFUNCTION("""COMPUTED_VALUE"""),4.0)</f>
        <v>4</v>
      </c>
      <c r="F604" s="12">
        <f>IFERROR(__xludf.DUMMYFUNCTION("""COMPUTED_VALUE"""),6.49)</f>
        <v>6.49</v>
      </c>
      <c r="G604" s="12">
        <f>IFERROR(__xludf.DUMMYFUNCTION("""COMPUTED_VALUE"""),0.0)</f>
        <v>0</v>
      </c>
      <c r="H604" s="12" t="str">
        <f>IFERROR(__xludf.DUMMYFUNCTION("""COMPUTED_VALUE"""),"Return")</f>
        <v>Return</v>
      </c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>
      <c r="A605" s="12">
        <f>IFERROR(__xludf.DUMMYFUNCTION("""COMPUTED_VALUE"""),2021.0)</f>
        <v>2021</v>
      </c>
      <c r="B605" s="12">
        <f>IFERROR(__xludf.DUMMYFUNCTION("""COMPUTED_VALUE"""),10.0)</f>
        <v>10</v>
      </c>
      <c r="C605" s="12">
        <f>IFERROR(__xludf.DUMMYFUNCTION("""COMPUTED_VALUE"""),13.0)</f>
        <v>13</v>
      </c>
      <c r="D605" s="12">
        <f>IFERROR(__xludf.DUMMYFUNCTION("""COMPUTED_VALUE"""),1003725.0)</f>
        <v>1003725</v>
      </c>
      <c r="E605" s="12">
        <f>IFERROR(__xludf.DUMMYFUNCTION("""COMPUTED_VALUE"""),8.0)</f>
        <v>8</v>
      </c>
      <c r="F605" s="12">
        <f>IFERROR(__xludf.DUMMYFUNCTION("""COMPUTED_VALUE"""),0.0)</f>
        <v>0</v>
      </c>
      <c r="G605" s="12">
        <f>IFERROR(__xludf.DUMMYFUNCTION("""COMPUTED_VALUE"""),0.0)</f>
        <v>0</v>
      </c>
      <c r="H605" s="12" t="str">
        <f>IFERROR(__xludf.DUMMYFUNCTION("""COMPUTED_VALUE"""),"Return")</f>
        <v>Return</v>
      </c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>
      <c r="A606" s="12">
        <f>IFERROR(__xludf.DUMMYFUNCTION("""COMPUTED_VALUE"""),2021.0)</f>
        <v>2021</v>
      </c>
      <c r="B606" s="12">
        <f>IFERROR(__xludf.DUMMYFUNCTION("""COMPUTED_VALUE"""),10.0)</f>
        <v>10</v>
      </c>
      <c r="C606" s="12">
        <f>IFERROR(__xludf.DUMMYFUNCTION("""COMPUTED_VALUE"""),13.0)</f>
        <v>13</v>
      </c>
      <c r="D606" s="12">
        <f>IFERROR(__xludf.DUMMYFUNCTION("""COMPUTED_VALUE"""),1003519.0)</f>
        <v>1003519</v>
      </c>
      <c r="E606" s="12">
        <f>IFERROR(__xludf.DUMMYFUNCTION("""COMPUTED_VALUE"""),6.0)</f>
        <v>6</v>
      </c>
      <c r="F606" s="12">
        <f>IFERROR(__xludf.DUMMYFUNCTION("""COMPUTED_VALUE"""),0.0)</f>
        <v>0</v>
      </c>
      <c r="G606" s="12">
        <f>IFERROR(__xludf.DUMMYFUNCTION("""COMPUTED_VALUE"""),0.0)</f>
        <v>0</v>
      </c>
      <c r="H606" s="12" t="str">
        <f>IFERROR(__xludf.DUMMYFUNCTION("""COMPUTED_VALUE"""),"Return")</f>
        <v>Return</v>
      </c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>
      <c r="A607" s="12">
        <f>IFERROR(__xludf.DUMMYFUNCTION("""COMPUTED_VALUE"""),2021.0)</f>
        <v>2021</v>
      </c>
      <c r="B607" s="12">
        <f>IFERROR(__xludf.DUMMYFUNCTION("""COMPUTED_VALUE"""),10.0)</f>
        <v>10</v>
      </c>
      <c r="C607" s="12">
        <f>IFERROR(__xludf.DUMMYFUNCTION("""COMPUTED_VALUE"""),13.0)</f>
        <v>13</v>
      </c>
      <c r="D607" s="12">
        <f>IFERROR(__xludf.DUMMYFUNCTION("""COMPUTED_VALUE"""),1003415.0)</f>
        <v>1003415</v>
      </c>
      <c r="E607" s="12">
        <f>IFERROR(__xludf.DUMMYFUNCTION("""COMPUTED_VALUE"""),2.0)</f>
        <v>2</v>
      </c>
      <c r="F607" s="12">
        <f>IFERROR(__xludf.DUMMYFUNCTION("""COMPUTED_VALUE"""),0.0)</f>
        <v>0</v>
      </c>
      <c r="G607" s="12">
        <f>IFERROR(__xludf.DUMMYFUNCTION("""COMPUTED_VALUE"""),0.0)</f>
        <v>0</v>
      </c>
      <c r="H607" s="12" t="str">
        <f>IFERROR(__xludf.DUMMYFUNCTION("""COMPUTED_VALUE"""),"Damage")</f>
        <v>Damage</v>
      </c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>
      <c r="A608" s="12">
        <f>IFERROR(__xludf.DUMMYFUNCTION("""COMPUTED_VALUE"""),2021.0)</f>
        <v>2021</v>
      </c>
      <c r="B608" s="12">
        <f>IFERROR(__xludf.DUMMYFUNCTION("""COMPUTED_VALUE"""),10.0)</f>
        <v>10</v>
      </c>
      <c r="C608" s="12">
        <f>IFERROR(__xludf.DUMMYFUNCTION("""COMPUTED_VALUE"""),13.0)</f>
        <v>13</v>
      </c>
      <c r="D608" s="12">
        <f>IFERROR(__xludf.DUMMYFUNCTION("""COMPUTED_VALUE"""),1003437.0)</f>
        <v>1003437</v>
      </c>
      <c r="E608" s="12">
        <f>IFERROR(__xludf.DUMMYFUNCTION("""COMPUTED_VALUE"""),5.0)</f>
        <v>5</v>
      </c>
      <c r="F608" s="12">
        <f>IFERROR(__xludf.DUMMYFUNCTION("""COMPUTED_VALUE"""),0.0)</f>
        <v>0</v>
      </c>
      <c r="G608" s="12">
        <f>IFERROR(__xludf.DUMMYFUNCTION("""COMPUTED_VALUE"""),0.0)</f>
        <v>0</v>
      </c>
      <c r="H608" s="12" t="str">
        <f>IFERROR(__xludf.DUMMYFUNCTION("""COMPUTED_VALUE"""),"Wrong product")</f>
        <v>Wrong product</v>
      </c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>
      <c r="A609" s="12">
        <f>IFERROR(__xludf.DUMMYFUNCTION("""COMPUTED_VALUE"""),2021.0)</f>
        <v>2021</v>
      </c>
      <c r="B609" s="12">
        <f>IFERROR(__xludf.DUMMYFUNCTION("""COMPUTED_VALUE"""),10.0)</f>
        <v>10</v>
      </c>
      <c r="C609" s="12">
        <f>IFERROR(__xludf.DUMMYFUNCTION("""COMPUTED_VALUE"""),13.0)</f>
        <v>13</v>
      </c>
      <c r="D609" s="12">
        <f>IFERROR(__xludf.DUMMYFUNCTION("""COMPUTED_VALUE"""),1003390.0)</f>
        <v>1003390</v>
      </c>
      <c r="E609" s="12">
        <f>IFERROR(__xludf.DUMMYFUNCTION("""COMPUTED_VALUE"""),12.0)</f>
        <v>12</v>
      </c>
      <c r="F609" s="12">
        <f>IFERROR(__xludf.DUMMYFUNCTION("""COMPUTED_VALUE"""),0.0)</f>
        <v>0</v>
      </c>
      <c r="G609" s="12">
        <f>IFERROR(__xludf.DUMMYFUNCTION("""COMPUTED_VALUE"""),8.0)</f>
        <v>8</v>
      </c>
      <c r="H609" s="12" t="str">
        <f>IFERROR(__xludf.DUMMYFUNCTION("""COMPUTED_VALUE"""),"Return")</f>
        <v>Return</v>
      </c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>
      <c r="A610" s="12">
        <f>IFERROR(__xludf.DUMMYFUNCTION("""COMPUTED_VALUE"""),2021.0)</f>
        <v>2021</v>
      </c>
      <c r="B610" s="12">
        <f>IFERROR(__xludf.DUMMYFUNCTION("""COMPUTED_VALUE"""),10.0)</f>
        <v>10</v>
      </c>
      <c r="C610" s="12">
        <f>IFERROR(__xludf.DUMMYFUNCTION("""COMPUTED_VALUE"""),13.0)</f>
        <v>13</v>
      </c>
      <c r="D610" s="12">
        <f>IFERROR(__xludf.DUMMYFUNCTION("""COMPUTED_VALUE"""),1003918.0)</f>
        <v>1003918</v>
      </c>
      <c r="E610" s="13">
        <f>IFERROR(__xludf.DUMMYFUNCTION("""COMPUTED_VALUE"""),0.5104167275869016)</f>
        <v>0.5104167276</v>
      </c>
      <c r="F610" s="12">
        <f>IFERROR(__xludf.DUMMYFUNCTION("""COMPUTED_VALUE"""),0.0)</f>
        <v>0</v>
      </c>
      <c r="G610" s="12">
        <f>IFERROR(__xludf.DUMMYFUNCTION("""COMPUTED_VALUE"""),0.0)</f>
        <v>0</v>
      </c>
      <c r="H610" s="12" t="str">
        <f>IFERROR(__xludf.DUMMYFUNCTION("""COMPUTED_VALUE"""),"Wrong product")</f>
        <v>Wrong product</v>
      </c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>
      <c r="A611" s="12">
        <f>IFERROR(__xludf.DUMMYFUNCTION("""COMPUTED_VALUE"""),2021.0)</f>
        <v>2021</v>
      </c>
      <c r="B611" s="12">
        <f>IFERROR(__xludf.DUMMYFUNCTION("""COMPUTED_VALUE"""),10.0)</f>
        <v>10</v>
      </c>
      <c r="C611" s="12">
        <f>IFERROR(__xludf.DUMMYFUNCTION("""COMPUTED_VALUE"""),13.0)</f>
        <v>13</v>
      </c>
      <c r="D611" s="12">
        <f>IFERROR(__xludf.DUMMYFUNCTION("""COMPUTED_VALUE"""),1003292.0)</f>
        <v>1003292</v>
      </c>
      <c r="E611" s="12">
        <f>IFERROR(__xludf.DUMMYFUNCTION("""COMPUTED_VALUE"""),1.0)</f>
        <v>1</v>
      </c>
      <c r="F611" s="12">
        <f>IFERROR(__xludf.DUMMYFUNCTION("""COMPUTED_VALUE"""),0.0)</f>
        <v>0</v>
      </c>
      <c r="G611" s="12">
        <f>IFERROR(__xludf.DUMMYFUNCTION("""COMPUTED_VALUE"""),0.0)</f>
        <v>0</v>
      </c>
      <c r="H611" s="12" t="str">
        <f>IFERROR(__xludf.DUMMYFUNCTION("""COMPUTED_VALUE"""),"Damage")</f>
        <v>Damage</v>
      </c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>
      <c r="A612" s="12">
        <f>IFERROR(__xludf.DUMMYFUNCTION("""COMPUTED_VALUE"""),2021.0)</f>
        <v>2021</v>
      </c>
      <c r="B612" s="12">
        <f>IFERROR(__xludf.DUMMYFUNCTION("""COMPUTED_VALUE"""),10.0)</f>
        <v>10</v>
      </c>
      <c r="C612" s="12">
        <f>IFERROR(__xludf.DUMMYFUNCTION("""COMPUTED_VALUE"""),13.0)</f>
        <v>13</v>
      </c>
      <c r="D612" s="12">
        <f>IFERROR(__xludf.DUMMYFUNCTION("""COMPUTED_VALUE"""),1003743.0)</f>
        <v>1003743</v>
      </c>
      <c r="E612" s="12">
        <f>IFERROR(__xludf.DUMMYFUNCTION("""COMPUTED_VALUE"""),4.0)</f>
        <v>4</v>
      </c>
      <c r="F612" s="12">
        <f>IFERROR(__xludf.DUMMYFUNCTION("""COMPUTED_VALUE"""),0.0)</f>
        <v>0</v>
      </c>
      <c r="G612" s="12">
        <f>IFERROR(__xludf.DUMMYFUNCTION("""COMPUTED_VALUE"""),0.0)</f>
        <v>0</v>
      </c>
      <c r="H612" s="12" t="str">
        <f>IFERROR(__xludf.DUMMYFUNCTION("""COMPUTED_VALUE"""),"Return")</f>
        <v>Return</v>
      </c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>
      <c r="A613" s="12">
        <f>IFERROR(__xludf.DUMMYFUNCTION("""COMPUTED_VALUE"""),2021.0)</f>
        <v>2021</v>
      </c>
      <c r="B613" s="12">
        <f>IFERROR(__xludf.DUMMYFUNCTION("""COMPUTED_VALUE"""),10.0)</f>
        <v>10</v>
      </c>
      <c r="C613" s="12">
        <f>IFERROR(__xludf.DUMMYFUNCTION("""COMPUTED_VALUE"""),13.0)</f>
        <v>13</v>
      </c>
      <c r="D613" s="12">
        <f>IFERROR(__xludf.DUMMYFUNCTION("""COMPUTED_VALUE"""),1003913.0)</f>
        <v>1003913</v>
      </c>
      <c r="E613" s="12">
        <f>IFERROR(__xludf.DUMMYFUNCTION("""COMPUTED_VALUE"""),4.0)</f>
        <v>4</v>
      </c>
      <c r="F613" s="12">
        <f>IFERROR(__xludf.DUMMYFUNCTION("""COMPUTED_VALUE"""),0.0)</f>
        <v>0</v>
      </c>
      <c r="G613" s="12">
        <f>IFERROR(__xludf.DUMMYFUNCTION("""COMPUTED_VALUE"""),0.0)</f>
        <v>0</v>
      </c>
      <c r="H613" s="12" t="str">
        <f>IFERROR(__xludf.DUMMYFUNCTION("""COMPUTED_VALUE"""),"Wrong product")</f>
        <v>Wrong product</v>
      </c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>
      <c r="A614" s="12">
        <f>IFERROR(__xludf.DUMMYFUNCTION("""COMPUTED_VALUE"""),2021.0)</f>
        <v>2021</v>
      </c>
      <c r="B614" s="12">
        <f>IFERROR(__xludf.DUMMYFUNCTION("""COMPUTED_VALUE"""),10.0)</f>
        <v>10</v>
      </c>
      <c r="C614" s="12">
        <f>IFERROR(__xludf.DUMMYFUNCTION("""COMPUTED_VALUE"""),13.0)</f>
        <v>13</v>
      </c>
      <c r="D614" s="12">
        <f>IFERROR(__xludf.DUMMYFUNCTION("""COMPUTED_VALUE"""),1003385.0)</f>
        <v>1003385</v>
      </c>
      <c r="E614" s="12">
        <f>IFERROR(__xludf.DUMMYFUNCTION("""COMPUTED_VALUE"""),5.0)</f>
        <v>5</v>
      </c>
      <c r="F614" s="12">
        <f>IFERROR(__xludf.DUMMYFUNCTION("""COMPUTED_VALUE"""),0.0)</f>
        <v>0</v>
      </c>
      <c r="G614" s="12">
        <f>IFERROR(__xludf.DUMMYFUNCTION("""COMPUTED_VALUE"""),7.0)</f>
        <v>7</v>
      </c>
      <c r="H614" s="12" t="str">
        <f>IFERROR(__xludf.DUMMYFUNCTION("""COMPUTED_VALUE"""),"Damage")</f>
        <v>Damage</v>
      </c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>
      <c r="A615" s="12">
        <f>IFERROR(__xludf.DUMMYFUNCTION("""COMPUTED_VALUE"""),2021.0)</f>
        <v>2021</v>
      </c>
      <c r="B615" s="12">
        <f>IFERROR(__xludf.DUMMYFUNCTION("""COMPUTED_VALUE"""),10.0)</f>
        <v>10</v>
      </c>
      <c r="C615" s="12">
        <f>IFERROR(__xludf.DUMMYFUNCTION("""COMPUTED_VALUE"""),13.0)</f>
        <v>13</v>
      </c>
      <c r="D615" s="12">
        <f>IFERROR(__xludf.DUMMYFUNCTION("""COMPUTED_VALUE"""),1003447.0)</f>
        <v>1003447</v>
      </c>
      <c r="E615" s="12">
        <f>IFERROR(__xludf.DUMMYFUNCTION("""COMPUTED_VALUE"""),3.0)</f>
        <v>3</v>
      </c>
      <c r="F615" s="12">
        <f>IFERROR(__xludf.DUMMYFUNCTION("""COMPUTED_VALUE"""),0.0)</f>
        <v>0</v>
      </c>
      <c r="G615" s="12">
        <f>IFERROR(__xludf.DUMMYFUNCTION("""COMPUTED_VALUE"""),0.0)</f>
        <v>0</v>
      </c>
      <c r="H615" s="12" t="str">
        <f>IFERROR(__xludf.DUMMYFUNCTION("""COMPUTED_VALUE"""),"Wrong product")</f>
        <v>Wrong product</v>
      </c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>
      <c r="A616" s="12">
        <f>IFERROR(__xludf.DUMMYFUNCTION("""COMPUTED_VALUE"""),2021.0)</f>
        <v>2021</v>
      </c>
      <c r="B616" s="12">
        <f>IFERROR(__xludf.DUMMYFUNCTION("""COMPUTED_VALUE"""),10.0)</f>
        <v>10</v>
      </c>
      <c r="C616" s="12">
        <f>IFERROR(__xludf.DUMMYFUNCTION("""COMPUTED_VALUE"""),13.0)</f>
        <v>13</v>
      </c>
      <c r="D616" s="12">
        <f>IFERROR(__xludf.DUMMYFUNCTION("""COMPUTED_VALUE"""),1003773.0)</f>
        <v>1003773</v>
      </c>
      <c r="E616" s="12">
        <f>IFERROR(__xludf.DUMMYFUNCTION("""COMPUTED_VALUE"""),2.0)</f>
        <v>2</v>
      </c>
      <c r="F616" s="12">
        <f>IFERROR(__xludf.DUMMYFUNCTION("""COMPUTED_VALUE"""),0.0)</f>
        <v>0</v>
      </c>
      <c r="G616" s="12">
        <f>IFERROR(__xludf.DUMMYFUNCTION("""COMPUTED_VALUE"""),10.0)</f>
        <v>10</v>
      </c>
      <c r="H616" s="12" t="str">
        <f>IFERROR(__xludf.DUMMYFUNCTION("""COMPUTED_VALUE"""),"Return")</f>
        <v>Return</v>
      </c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>
      <c r="A617" s="12">
        <f>IFERROR(__xludf.DUMMYFUNCTION("""COMPUTED_VALUE"""),2021.0)</f>
        <v>2021</v>
      </c>
      <c r="B617" s="12">
        <f>IFERROR(__xludf.DUMMYFUNCTION("""COMPUTED_VALUE"""),10.0)</f>
        <v>10</v>
      </c>
      <c r="C617" s="12">
        <f>IFERROR(__xludf.DUMMYFUNCTION("""COMPUTED_VALUE"""),13.0)</f>
        <v>13</v>
      </c>
      <c r="D617" s="12">
        <f>IFERROR(__xludf.DUMMYFUNCTION("""COMPUTED_VALUE"""),1003601.0)</f>
        <v>1003601</v>
      </c>
      <c r="E617" s="12">
        <f>IFERROR(__xludf.DUMMYFUNCTION("""COMPUTED_VALUE"""),3.0)</f>
        <v>3</v>
      </c>
      <c r="F617" s="12">
        <f>IFERROR(__xludf.DUMMYFUNCTION("""COMPUTED_VALUE"""),0.0)</f>
        <v>0</v>
      </c>
      <c r="G617" s="12">
        <f>IFERROR(__xludf.DUMMYFUNCTION("""COMPUTED_VALUE"""),0.0)</f>
        <v>0</v>
      </c>
      <c r="H617" s="12" t="str">
        <f>IFERROR(__xludf.DUMMYFUNCTION("""COMPUTED_VALUE"""),"Wrong product")</f>
        <v>Wrong product</v>
      </c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>
      <c r="A618" s="12">
        <f>IFERROR(__xludf.DUMMYFUNCTION("""COMPUTED_VALUE"""),2021.0)</f>
        <v>2021</v>
      </c>
      <c r="B618" s="12">
        <f>IFERROR(__xludf.DUMMYFUNCTION("""COMPUTED_VALUE"""),10.0)</f>
        <v>10</v>
      </c>
      <c r="C618" s="12">
        <f>IFERROR(__xludf.DUMMYFUNCTION("""COMPUTED_VALUE"""),13.0)</f>
        <v>13</v>
      </c>
      <c r="D618" s="12">
        <f>IFERROR(__xludf.DUMMYFUNCTION("""COMPUTED_VALUE"""),1003588.0)</f>
        <v>1003588</v>
      </c>
      <c r="E618" s="12">
        <f>IFERROR(__xludf.DUMMYFUNCTION("""COMPUTED_VALUE"""),9.0)</f>
        <v>9</v>
      </c>
      <c r="F618" s="12">
        <f>IFERROR(__xludf.DUMMYFUNCTION("""COMPUTED_VALUE"""),0.0)</f>
        <v>0</v>
      </c>
      <c r="G618" s="12">
        <f>IFERROR(__xludf.DUMMYFUNCTION("""COMPUTED_VALUE"""),0.0)</f>
        <v>0</v>
      </c>
      <c r="H618" s="12" t="str">
        <f>IFERROR(__xludf.DUMMYFUNCTION("""COMPUTED_VALUE"""),"Damage")</f>
        <v>Damage</v>
      </c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>
      <c r="A619" s="12">
        <f>IFERROR(__xludf.DUMMYFUNCTION("""COMPUTED_VALUE"""),2021.0)</f>
        <v>2021</v>
      </c>
      <c r="B619" s="12">
        <f>IFERROR(__xludf.DUMMYFUNCTION("""COMPUTED_VALUE"""),10.0)</f>
        <v>10</v>
      </c>
      <c r="C619" s="12">
        <f>IFERROR(__xludf.DUMMYFUNCTION("""COMPUTED_VALUE"""),13.0)</f>
        <v>13</v>
      </c>
      <c r="D619" s="12">
        <f>IFERROR(__xludf.DUMMYFUNCTION("""COMPUTED_VALUE"""),1003521.0)</f>
        <v>1003521</v>
      </c>
      <c r="E619" s="12">
        <f>IFERROR(__xludf.DUMMYFUNCTION("""COMPUTED_VALUE"""),4.0)</f>
        <v>4</v>
      </c>
      <c r="F619" s="12">
        <f>IFERROR(__xludf.DUMMYFUNCTION("""COMPUTED_VALUE"""),0.0)</f>
        <v>0</v>
      </c>
      <c r="G619" s="12">
        <f>IFERROR(__xludf.DUMMYFUNCTION("""COMPUTED_VALUE"""),0.0)</f>
        <v>0</v>
      </c>
      <c r="H619" s="12" t="str">
        <f>IFERROR(__xludf.DUMMYFUNCTION("""COMPUTED_VALUE"""),"Damage")</f>
        <v>Damage</v>
      </c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>
      <c r="A620" s="12">
        <f>IFERROR(__xludf.DUMMYFUNCTION("""COMPUTED_VALUE"""),2021.0)</f>
        <v>2021</v>
      </c>
      <c r="B620" s="12">
        <f>IFERROR(__xludf.DUMMYFUNCTION("""COMPUTED_VALUE"""),10.0)</f>
        <v>10</v>
      </c>
      <c r="C620" s="12">
        <f>IFERROR(__xludf.DUMMYFUNCTION("""COMPUTED_VALUE"""),13.0)</f>
        <v>13</v>
      </c>
      <c r="D620" s="12">
        <f>IFERROR(__xludf.DUMMYFUNCTION("""COMPUTED_VALUE"""),1003836.0)</f>
        <v>1003836</v>
      </c>
      <c r="E620" s="12">
        <f>IFERROR(__xludf.DUMMYFUNCTION("""COMPUTED_VALUE"""),5.0)</f>
        <v>5</v>
      </c>
      <c r="F620" s="12">
        <f>IFERROR(__xludf.DUMMYFUNCTION("""COMPUTED_VALUE"""),3.25)</f>
        <v>3.25</v>
      </c>
      <c r="G620" s="12">
        <f>IFERROR(__xludf.DUMMYFUNCTION("""COMPUTED_VALUE"""),0.0)</f>
        <v>0</v>
      </c>
      <c r="H620" s="12" t="str">
        <f>IFERROR(__xludf.DUMMYFUNCTION("""COMPUTED_VALUE"""),"Damage")</f>
        <v>Damage</v>
      </c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>
      <c r="A621" s="12">
        <f>IFERROR(__xludf.DUMMYFUNCTION("""COMPUTED_VALUE"""),2021.0)</f>
        <v>2021</v>
      </c>
      <c r="B621" s="12">
        <f>IFERROR(__xludf.DUMMYFUNCTION("""COMPUTED_VALUE"""),10.0)</f>
        <v>10</v>
      </c>
      <c r="C621" s="12">
        <f>IFERROR(__xludf.DUMMYFUNCTION("""COMPUTED_VALUE"""),14.0)</f>
        <v>14</v>
      </c>
      <c r="D621" s="12">
        <f>IFERROR(__xludf.DUMMYFUNCTION("""COMPUTED_VALUE"""),1004020.0)</f>
        <v>1004020</v>
      </c>
      <c r="E621" s="12">
        <f>IFERROR(__xludf.DUMMYFUNCTION("""COMPUTED_VALUE"""),16.0)</f>
        <v>16</v>
      </c>
      <c r="F621" s="12">
        <f>IFERROR(__xludf.DUMMYFUNCTION("""COMPUTED_VALUE"""),0.0)</f>
        <v>0</v>
      </c>
      <c r="G621" s="12">
        <f>IFERROR(__xludf.DUMMYFUNCTION("""COMPUTED_VALUE"""),0.0)</f>
        <v>0</v>
      </c>
      <c r="H621" s="12" t="str">
        <f>IFERROR(__xludf.DUMMYFUNCTION("""COMPUTED_VALUE"""),"Return")</f>
        <v>Return</v>
      </c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>
      <c r="A622" s="12">
        <f>IFERROR(__xludf.DUMMYFUNCTION("""COMPUTED_VALUE"""),2021.0)</f>
        <v>2021</v>
      </c>
      <c r="B622" s="12">
        <f>IFERROR(__xludf.DUMMYFUNCTION("""COMPUTED_VALUE"""),10.0)</f>
        <v>10</v>
      </c>
      <c r="C622" s="12">
        <f>IFERROR(__xludf.DUMMYFUNCTION("""COMPUTED_VALUE"""),14.0)</f>
        <v>14</v>
      </c>
      <c r="D622" s="12">
        <f>IFERROR(__xludf.DUMMYFUNCTION("""COMPUTED_VALUE"""),1003407.0)</f>
        <v>1003407</v>
      </c>
      <c r="E622" s="12">
        <f>IFERROR(__xludf.DUMMYFUNCTION("""COMPUTED_VALUE"""),3.0)</f>
        <v>3</v>
      </c>
      <c r="F622" s="12">
        <f>IFERROR(__xludf.DUMMYFUNCTION("""COMPUTED_VALUE"""),0.0)</f>
        <v>0</v>
      </c>
      <c r="G622" s="12">
        <f>IFERROR(__xludf.DUMMYFUNCTION("""COMPUTED_VALUE"""),0.0)</f>
        <v>0</v>
      </c>
      <c r="H622" s="12" t="str">
        <f>IFERROR(__xludf.DUMMYFUNCTION("""COMPUTED_VALUE"""),"Damage")</f>
        <v>Damage</v>
      </c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>
      <c r="A623" s="12">
        <f>IFERROR(__xludf.DUMMYFUNCTION("""COMPUTED_VALUE"""),2021.0)</f>
        <v>2021</v>
      </c>
      <c r="B623" s="12">
        <f>IFERROR(__xludf.DUMMYFUNCTION("""COMPUTED_VALUE"""),10.0)</f>
        <v>10</v>
      </c>
      <c r="C623" s="12">
        <f>IFERROR(__xludf.DUMMYFUNCTION("""COMPUTED_VALUE"""),14.0)</f>
        <v>14</v>
      </c>
      <c r="D623" s="12">
        <f>IFERROR(__xludf.DUMMYFUNCTION("""COMPUTED_VALUE"""),1003416.0)</f>
        <v>1003416</v>
      </c>
      <c r="E623" s="12">
        <f>IFERROR(__xludf.DUMMYFUNCTION("""COMPUTED_VALUE"""),8.0)</f>
        <v>8</v>
      </c>
      <c r="F623" s="12">
        <f>IFERROR(__xludf.DUMMYFUNCTION("""COMPUTED_VALUE"""),0.83)</f>
        <v>0.83</v>
      </c>
      <c r="G623" s="12">
        <f>IFERROR(__xludf.DUMMYFUNCTION("""COMPUTED_VALUE"""),0.0)</f>
        <v>0</v>
      </c>
      <c r="H623" s="12" t="str">
        <f>IFERROR(__xludf.DUMMYFUNCTION("""COMPUTED_VALUE"""),"Return")</f>
        <v>Return</v>
      </c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>
      <c r="A624" s="12">
        <f>IFERROR(__xludf.DUMMYFUNCTION("""COMPUTED_VALUE"""),2021.0)</f>
        <v>2021</v>
      </c>
      <c r="B624" s="12">
        <f>IFERROR(__xludf.DUMMYFUNCTION("""COMPUTED_VALUE"""),10.0)</f>
        <v>10</v>
      </c>
      <c r="C624" s="12">
        <f>IFERROR(__xludf.DUMMYFUNCTION("""COMPUTED_VALUE"""),14.0)</f>
        <v>14</v>
      </c>
      <c r="D624" s="12">
        <f>IFERROR(__xludf.DUMMYFUNCTION("""COMPUTED_VALUE"""),1003424.0)</f>
        <v>1003424</v>
      </c>
      <c r="E624" s="12">
        <f>IFERROR(__xludf.DUMMYFUNCTION("""COMPUTED_VALUE"""),10.0)</f>
        <v>10</v>
      </c>
      <c r="F624" s="12">
        <f>IFERROR(__xludf.DUMMYFUNCTION("""COMPUTED_VALUE"""),18.48)</f>
        <v>18.48</v>
      </c>
      <c r="G624" s="12">
        <f>IFERROR(__xludf.DUMMYFUNCTION("""COMPUTED_VALUE"""),0.0)</f>
        <v>0</v>
      </c>
      <c r="H624" s="12" t="str">
        <f>IFERROR(__xludf.DUMMYFUNCTION("""COMPUTED_VALUE"""),"Return")</f>
        <v>Return</v>
      </c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>
      <c r="A625" s="12">
        <f>IFERROR(__xludf.DUMMYFUNCTION("""COMPUTED_VALUE"""),2021.0)</f>
        <v>2021</v>
      </c>
      <c r="B625" s="12">
        <f>IFERROR(__xludf.DUMMYFUNCTION("""COMPUTED_VALUE"""),10.0)</f>
        <v>10</v>
      </c>
      <c r="C625" s="12">
        <f>IFERROR(__xludf.DUMMYFUNCTION("""COMPUTED_VALUE"""),14.0)</f>
        <v>14</v>
      </c>
      <c r="D625" s="12">
        <f>IFERROR(__xludf.DUMMYFUNCTION("""COMPUTED_VALUE"""),1003432.0)</f>
        <v>1003432</v>
      </c>
      <c r="E625" s="12">
        <f>IFERROR(__xludf.DUMMYFUNCTION("""COMPUTED_VALUE"""),2.0)</f>
        <v>2</v>
      </c>
      <c r="F625" s="12">
        <f>IFERROR(__xludf.DUMMYFUNCTION("""COMPUTED_VALUE"""),0.0)</f>
        <v>0</v>
      </c>
      <c r="G625" s="12">
        <f>IFERROR(__xludf.DUMMYFUNCTION("""COMPUTED_VALUE"""),0.0)</f>
        <v>0</v>
      </c>
      <c r="H625" s="12" t="str">
        <f>IFERROR(__xludf.DUMMYFUNCTION("""COMPUTED_VALUE"""),"Damage")</f>
        <v>Damage</v>
      </c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>
      <c r="A626" s="12">
        <f>IFERROR(__xludf.DUMMYFUNCTION("""COMPUTED_VALUE"""),2021.0)</f>
        <v>2021</v>
      </c>
      <c r="B626" s="12">
        <f>IFERROR(__xludf.DUMMYFUNCTION("""COMPUTED_VALUE"""),10.0)</f>
        <v>10</v>
      </c>
      <c r="C626" s="12">
        <f>IFERROR(__xludf.DUMMYFUNCTION("""COMPUTED_VALUE"""),14.0)</f>
        <v>14</v>
      </c>
      <c r="D626" s="12">
        <f>IFERROR(__xludf.DUMMYFUNCTION("""COMPUTED_VALUE"""),1003480.0)</f>
        <v>1003480</v>
      </c>
      <c r="E626" s="12">
        <f>IFERROR(__xludf.DUMMYFUNCTION("""COMPUTED_VALUE"""),1.0)</f>
        <v>1</v>
      </c>
      <c r="F626" s="12">
        <f>IFERROR(__xludf.DUMMYFUNCTION("""COMPUTED_VALUE"""),5.92)</f>
        <v>5.92</v>
      </c>
      <c r="G626" s="12">
        <f>IFERROR(__xludf.DUMMYFUNCTION("""COMPUTED_VALUE"""),0.0)</f>
        <v>0</v>
      </c>
      <c r="H626" s="12" t="str">
        <f>IFERROR(__xludf.DUMMYFUNCTION("""COMPUTED_VALUE"""),"Wrong product")</f>
        <v>Wrong product</v>
      </c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>
      <c r="A627" s="12">
        <f>IFERROR(__xludf.DUMMYFUNCTION("""COMPUTED_VALUE"""),2021.0)</f>
        <v>2021</v>
      </c>
      <c r="B627" s="12">
        <f>IFERROR(__xludf.DUMMYFUNCTION("""COMPUTED_VALUE"""),10.0)</f>
        <v>10</v>
      </c>
      <c r="C627" s="12">
        <f>IFERROR(__xludf.DUMMYFUNCTION("""COMPUTED_VALUE"""),14.0)</f>
        <v>14</v>
      </c>
      <c r="D627" s="12">
        <f>IFERROR(__xludf.DUMMYFUNCTION("""COMPUTED_VALUE"""),1003490.0)</f>
        <v>1003490</v>
      </c>
      <c r="E627" s="12">
        <f>IFERROR(__xludf.DUMMYFUNCTION("""COMPUTED_VALUE"""),1.0)</f>
        <v>1</v>
      </c>
      <c r="F627" s="12">
        <f>IFERROR(__xludf.DUMMYFUNCTION("""COMPUTED_VALUE"""),0.0)</f>
        <v>0</v>
      </c>
      <c r="G627" s="12">
        <f>IFERROR(__xludf.DUMMYFUNCTION("""COMPUTED_VALUE"""),0.0)</f>
        <v>0</v>
      </c>
      <c r="H627" s="12" t="str">
        <f>IFERROR(__xludf.DUMMYFUNCTION("""COMPUTED_VALUE"""),"Damage")</f>
        <v>Damage</v>
      </c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>
      <c r="A628" s="12">
        <f>IFERROR(__xludf.DUMMYFUNCTION("""COMPUTED_VALUE"""),2021.0)</f>
        <v>2021</v>
      </c>
      <c r="B628" s="12">
        <f>IFERROR(__xludf.DUMMYFUNCTION("""COMPUTED_VALUE"""),10.0)</f>
        <v>10</v>
      </c>
      <c r="C628" s="12">
        <f>IFERROR(__xludf.DUMMYFUNCTION("""COMPUTED_VALUE"""),14.0)</f>
        <v>14</v>
      </c>
      <c r="D628" s="12">
        <f>IFERROR(__xludf.DUMMYFUNCTION("""COMPUTED_VALUE"""),1003492.0)</f>
        <v>1003492</v>
      </c>
      <c r="E628" s="12">
        <f>IFERROR(__xludf.DUMMYFUNCTION("""COMPUTED_VALUE"""),14.0)</f>
        <v>14</v>
      </c>
      <c r="F628" s="12">
        <f>IFERROR(__xludf.DUMMYFUNCTION("""COMPUTED_VALUE"""),0.0)</f>
        <v>0</v>
      </c>
      <c r="G628" s="12">
        <f>IFERROR(__xludf.DUMMYFUNCTION("""COMPUTED_VALUE"""),10.0)</f>
        <v>10</v>
      </c>
      <c r="H628" s="12" t="str">
        <f>IFERROR(__xludf.DUMMYFUNCTION("""COMPUTED_VALUE"""),"Return")</f>
        <v>Return</v>
      </c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>
      <c r="A629" s="12">
        <f>IFERROR(__xludf.DUMMYFUNCTION("""COMPUTED_VALUE"""),2021.0)</f>
        <v>2021</v>
      </c>
      <c r="B629" s="12">
        <f>IFERROR(__xludf.DUMMYFUNCTION("""COMPUTED_VALUE"""),10.0)</f>
        <v>10</v>
      </c>
      <c r="C629" s="12">
        <f>IFERROR(__xludf.DUMMYFUNCTION("""COMPUTED_VALUE"""),14.0)</f>
        <v>14</v>
      </c>
      <c r="D629" s="12">
        <f>IFERROR(__xludf.DUMMYFUNCTION("""COMPUTED_VALUE"""),1003507.0)</f>
        <v>1003507</v>
      </c>
      <c r="E629" s="12">
        <f>IFERROR(__xludf.DUMMYFUNCTION("""COMPUTED_VALUE"""),2.0)</f>
        <v>2</v>
      </c>
      <c r="F629" s="12">
        <f>IFERROR(__xludf.DUMMYFUNCTION("""COMPUTED_VALUE"""),6.08)</f>
        <v>6.08</v>
      </c>
      <c r="G629" s="12">
        <f>IFERROR(__xludf.DUMMYFUNCTION("""COMPUTED_VALUE"""),0.0)</f>
        <v>0</v>
      </c>
      <c r="H629" s="12" t="str">
        <f>IFERROR(__xludf.DUMMYFUNCTION("""COMPUTED_VALUE"""),"Wrong product")</f>
        <v>Wrong product</v>
      </c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>
      <c r="A630" s="12">
        <f>IFERROR(__xludf.DUMMYFUNCTION("""COMPUTED_VALUE"""),2021.0)</f>
        <v>2021</v>
      </c>
      <c r="B630" s="12">
        <f>IFERROR(__xludf.DUMMYFUNCTION("""COMPUTED_VALUE"""),10.0)</f>
        <v>10</v>
      </c>
      <c r="C630" s="12">
        <f>IFERROR(__xludf.DUMMYFUNCTION("""COMPUTED_VALUE"""),14.0)</f>
        <v>14</v>
      </c>
      <c r="D630" s="12">
        <f>IFERROR(__xludf.DUMMYFUNCTION("""COMPUTED_VALUE"""),1003510.0)</f>
        <v>1003510</v>
      </c>
      <c r="E630" s="12">
        <f>IFERROR(__xludf.DUMMYFUNCTION("""COMPUTED_VALUE"""),6.0)</f>
        <v>6</v>
      </c>
      <c r="F630" s="12">
        <f>IFERROR(__xludf.DUMMYFUNCTION("""COMPUTED_VALUE"""),0.0)</f>
        <v>0</v>
      </c>
      <c r="G630" s="12">
        <f>IFERROR(__xludf.DUMMYFUNCTION("""COMPUTED_VALUE"""),5.0)</f>
        <v>5</v>
      </c>
      <c r="H630" s="12" t="str">
        <f>IFERROR(__xludf.DUMMYFUNCTION("""COMPUTED_VALUE"""),"Return")</f>
        <v>Return</v>
      </c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>
      <c r="A631" s="12">
        <f>IFERROR(__xludf.DUMMYFUNCTION("""COMPUTED_VALUE"""),2021.0)</f>
        <v>2021</v>
      </c>
      <c r="B631" s="12">
        <f>IFERROR(__xludf.DUMMYFUNCTION("""COMPUTED_VALUE"""),10.0)</f>
        <v>10</v>
      </c>
      <c r="C631" s="12">
        <f>IFERROR(__xludf.DUMMYFUNCTION("""COMPUTED_VALUE"""),14.0)</f>
        <v>14</v>
      </c>
      <c r="D631" s="12">
        <f>IFERROR(__xludf.DUMMYFUNCTION("""COMPUTED_VALUE"""),1003528.0)</f>
        <v>1003528</v>
      </c>
      <c r="E631" s="12">
        <f>IFERROR(__xludf.DUMMYFUNCTION("""COMPUTED_VALUE"""),20.0)</f>
        <v>20</v>
      </c>
      <c r="F631" s="12">
        <f>IFERROR(__xludf.DUMMYFUNCTION("""COMPUTED_VALUE"""),0.86)</f>
        <v>0.86</v>
      </c>
      <c r="G631" s="12">
        <f>IFERROR(__xludf.DUMMYFUNCTION("""COMPUTED_VALUE"""),0.0)</f>
        <v>0</v>
      </c>
      <c r="H631" s="12" t="str">
        <f>IFERROR(__xludf.DUMMYFUNCTION("""COMPUTED_VALUE"""),"Wrong product")</f>
        <v>Wrong product</v>
      </c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>
      <c r="A632" s="12">
        <f>IFERROR(__xludf.DUMMYFUNCTION("""COMPUTED_VALUE"""),2021.0)</f>
        <v>2021</v>
      </c>
      <c r="B632" s="12">
        <f>IFERROR(__xludf.DUMMYFUNCTION("""COMPUTED_VALUE"""),10.0)</f>
        <v>10</v>
      </c>
      <c r="C632" s="12">
        <f>IFERROR(__xludf.DUMMYFUNCTION("""COMPUTED_VALUE"""),14.0)</f>
        <v>14</v>
      </c>
      <c r="D632" s="12">
        <f>IFERROR(__xludf.DUMMYFUNCTION("""COMPUTED_VALUE"""),1003546.0)</f>
        <v>1003546</v>
      </c>
      <c r="E632" s="12">
        <f>IFERROR(__xludf.DUMMYFUNCTION("""COMPUTED_VALUE"""),6.0)</f>
        <v>6</v>
      </c>
      <c r="F632" s="12">
        <f>IFERROR(__xludf.DUMMYFUNCTION("""COMPUTED_VALUE"""),0.0)</f>
        <v>0</v>
      </c>
      <c r="G632" s="12">
        <f>IFERROR(__xludf.DUMMYFUNCTION("""COMPUTED_VALUE"""),0.0)</f>
        <v>0</v>
      </c>
      <c r="H632" s="12" t="str">
        <f>IFERROR(__xludf.DUMMYFUNCTION("""COMPUTED_VALUE"""),"Return")</f>
        <v>Return</v>
      </c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>
      <c r="A633" s="12">
        <f>IFERROR(__xludf.DUMMYFUNCTION("""COMPUTED_VALUE"""),2021.0)</f>
        <v>2021</v>
      </c>
      <c r="B633" s="12">
        <f>IFERROR(__xludf.DUMMYFUNCTION("""COMPUTED_VALUE"""),10.0)</f>
        <v>10</v>
      </c>
      <c r="C633" s="12">
        <f>IFERROR(__xludf.DUMMYFUNCTION("""COMPUTED_VALUE"""),14.0)</f>
        <v>14</v>
      </c>
      <c r="D633" s="12">
        <f>IFERROR(__xludf.DUMMYFUNCTION("""COMPUTED_VALUE"""),1003561.0)</f>
        <v>1003561</v>
      </c>
      <c r="E633" s="12">
        <f>IFERROR(__xludf.DUMMYFUNCTION("""COMPUTED_VALUE"""),8.0)</f>
        <v>8</v>
      </c>
      <c r="F633" s="12">
        <f>IFERROR(__xludf.DUMMYFUNCTION("""COMPUTED_VALUE"""),9.38)</f>
        <v>9.38</v>
      </c>
      <c r="G633" s="12">
        <f>IFERROR(__xludf.DUMMYFUNCTION("""COMPUTED_VALUE"""),0.0)</f>
        <v>0</v>
      </c>
      <c r="H633" s="12" t="str">
        <f>IFERROR(__xludf.DUMMYFUNCTION("""COMPUTED_VALUE"""),"Return")</f>
        <v>Return</v>
      </c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>
      <c r="A634" s="12">
        <f>IFERROR(__xludf.DUMMYFUNCTION("""COMPUTED_VALUE"""),2021.0)</f>
        <v>2021</v>
      </c>
      <c r="B634" s="12">
        <f>IFERROR(__xludf.DUMMYFUNCTION("""COMPUTED_VALUE"""),10.0)</f>
        <v>10</v>
      </c>
      <c r="C634" s="12">
        <f>IFERROR(__xludf.DUMMYFUNCTION("""COMPUTED_VALUE"""),14.0)</f>
        <v>14</v>
      </c>
      <c r="D634" s="12">
        <f>IFERROR(__xludf.DUMMYFUNCTION("""COMPUTED_VALUE"""),1003583.0)</f>
        <v>1003583</v>
      </c>
      <c r="E634" s="12">
        <f>IFERROR(__xludf.DUMMYFUNCTION("""COMPUTED_VALUE"""),7.0)</f>
        <v>7</v>
      </c>
      <c r="F634" s="12">
        <f>IFERROR(__xludf.DUMMYFUNCTION("""COMPUTED_VALUE"""),7.36)</f>
        <v>7.36</v>
      </c>
      <c r="G634" s="12">
        <f>IFERROR(__xludf.DUMMYFUNCTION("""COMPUTED_VALUE"""),0.0)</f>
        <v>0</v>
      </c>
      <c r="H634" s="12" t="str">
        <f>IFERROR(__xludf.DUMMYFUNCTION("""COMPUTED_VALUE"""),"Return")</f>
        <v>Return</v>
      </c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>
      <c r="A635" s="12">
        <f>IFERROR(__xludf.DUMMYFUNCTION("""COMPUTED_VALUE"""),2021.0)</f>
        <v>2021</v>
      </c>
      <c r="B635" s="12">
        <f>IFERROR(__xludf.DUMMYFUNCTION("""COMPUTED_VALUE"""),10.0)</f>
        <v>10</v>
      </c>
      <c r="C635" s="12">
        <f>IFERROR(__xludf.DUMMYFUNCTION("""COMPUTED_VALUE"""),14.0)</f>
        <v>14</v>
      </c>
      <c r="D635" s="12">
        <f>IFERROR(__xludf.DUMMYFUNCTION("""COMPUTED_VALUE"""),1003615.0)</f>
        <v>1003615</v>
      </c>
      <c r="E635" s="12">
        <f>IFERROR(__xludf.DUMMYFUNCTION("""COMPUTED_VALUE"""),2.0)</f>
        <v>2</v>
      </c>
      <c r="F635" s="12">
        <f>IFERROR(__xludf.DUMMYFUNCTION("""COMPUTED_VALUE"""),0.83)</f>
        <v>0.83</v>
      </c>
      <c r="G635" s="12">
        <f>IFERROR(__xludf.DUMMYFUNCTION("""COMPUTED_VALUE"""),0.0)</f>
        <v>0</v>
      </c>
      <c r="H635" s="12" t="str">
        <f>IFERROR(__xludf.DUMMYFUNCTION("""COMPUTED_VALUE"""),"Return")</f>
        <v>Return</v>
      </c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>
      <c r="A636" s="12">
        <f>IFERROR(__xludf.DUMMYFUNCTION("""COMPUTED_VALUE"""),2021.0)</f>
        <v>2021</v>
      </c>
      <c r="B636" s="12">
        <f>IFERROR(__xludf.DUMMYFUNCTION("""COMPUTED_VALUE"""),10.0)</f>
        <v>10</v>
      </c>
      <c r="C636" s="12">
        <f>IFERROR(__xludf.DUMMYFUNCTION("""COMPUTED_VALUE"""),14.0)</f>
        <v>14</v>
      </c>
      <c r="D636" s="12">
        <f>IFERROR(__xludf.DUMMYFUNCTION("""COMPUTED_VALUE"""),1003620.0)</f>
        <v>1003620</v>
      </c>
      <c r="E636" s="12">
        <f>IFERROR(__xludf.DUMMYFUNCTION("""COMPUTED_VALUE"""),16.0)</f>
        <v>16</v>
      </c>
      <c r="F636" s="12">
        <f>IFERROR(__xludf.DUMMYFUNCTION("""COMPUTED_VALUE"""),0.0)</f>
        <v>0</v>
      </c>
      <c r="G636" s="12">
        <f>IFERROR(__xludf.DUMMYFUNCTION("""COMPUTED_VALUE"""),0.0)</f>
        <v>0</v>
      </c>
      <c r="H636" s="12" t="str">
        <f>IFERROR(__xludf.DUMMYFUNCTION("""COMPUTED_VALUE"""),"Damage")</f>
        <v>Damage</v>
      </c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>
      <c r="A637" s="12">
        <f>IFERROR(__xludf.DUMMYFUNCTION("""COMPUTED_VALUE"""),2021.0)</f>
        <v>2021</v>
      </c>
      <c r="B637" s="12">
        <f>IFERROR(__xludf.DUMMYFUNCTION("""COMPUTED_VALUE"""),10.0)</f>
        <v>10</v>
      </c>
      <c r="C637" s="12">
        <f>IFERROR(__xludf.DUMMYFUNCTION("""COMPUTED_VALUE"""),14.0)</f>
        <v>14</v>
      </c>
      <c r="D637" s="12">
        <f>IFERROR(__xludf.DUMMYFUNCTION("""COMPUTED_VALUE"""),1003623.0)</f>
        <v>1003623</v>
      </c>
      <c r="E637" s="12">
        <f>IFERROR(__xludf.DUMMYFUNCTION("""COMPUTED_VALUE"""),8.0)</f>
        <v>8</v>
      </c>
      <c r="F637" s="12">
        <f>IFERROR(__xludf.DUMMYFUNCTION("""COMPUTED_VALUE"""),0.0)</f>
        <v>0</v>
      </c>
      <c r="G637" s="12">
        <f>IFERROR(__xludf.DUMMYFUNCTION("""COMPUTED_VALUE"""),10.0)</f>
        <v>10</v>
      </c>
      <c r="H637" s="12" t="str">
        <f>IFERROR(__xludf.DUMMYFUNCTION("""COMPUTED_VALUE"""),"Return")</f>
        <v>Return</v>
      </c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>
      <c r="A638" s="12">
        <f>IFERROR(__xludf.DUMMYFUNCTION("""COMPUTED_VALUE"""),2021.0)</f>
        <v>2021</v>
      </c>
      <c r="B638" s="12">
        <f>IFERROR(__xludf.DUMMYFUNCTION("""COMPUTED_VALUE"""),10.0)</f>
        <v>10</v>
      </c>
      <c r="C638" s="12">
        <f>IFERROR(__xludf.DUMMYFUNCTION("""COMPUTED_VALUE"""),14.0)</f>
        <v>14</v>
      </c>
      <c r="D638" s="12">
        <f>IFERROR(__xludf.DUMMYFUNCTION("""COMPUTED_VALUE"""),1003648.0)</f>
        <v>1003648</v>
      </c>
      <c r="E638" s="12">
        <f>IFERROR(__xludf.DUMMYFUNCTION("""COMPUTED_VALUE"""),18.0)</f>
        <v>18</v>
      </c>
      <c r="F638" s="12">
        <f>IFERROR(__xludf.DUMMYFUNCTION("""COMPUTED_VALUE"""),0.0)</f>
        <v>0</v>
      </c>
      <c r="G638" s="12">
        <f>IFERROR(__xludf.DUMMYFUNCTION("""COMPUTED_VALUE"""),5.0)</f>
        <v>5</v>
      </c>
      <c r="H638" s="12" t="str">
        <f>IFERROR(__xludf.DUMMYFUNCTION("""COMPUTED_VALUE"""),"Return")</f>
        <v>Return</v>
      </c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>
      <c r="A639" s="12">
        <f>IFERROR(__xludf.DUMMYFUNCTION("""COMPUTED_VALUE"""),2021.0)</f>
        <v>2021</v>
      </c>
      <c r="B639" s="12">
        <f>IFERROR(__xludf.DUMMYFUNCTION("""COMPUTED_VALUE"""),10.0)</f>
        <v>10</v>
      </c>
      <c r="C639" s="12">
        <f>IFERROR(__xludf.DUMMYFUNCTION("""COMPUTED_VALUE"""),14.0)</f>
        <v>14</v>
      </c>
      <c r="D639" s="12">
        <f>IFERROR(__xludf.DUMMYFUNCTION("""COMPUTED_VALUE"""),1003662.0)</f>
        <v>1003662</v>
      </c>
      <c r="E639" s="12">
        <f>IFERROR(__xludf.DUMMYFUNCTION("""COMPUTED_VALUE"""),3.0)</f>
        <v>3</v>
      </c>
      <c r="F639" s="12">
        <f>IFERROR(__xludf.DUMMYFUNCTION("""COMPUTED_VALUE"""),0.0)</f>
        <v>0</v>
      </c>
      <c r="G639" s="12">
        <f>IFERROR(__xludf.DUMMYFUNCTION("""COMPUTED_VALUE"""),10.0)</f>
        <v>10</v>
      </c>
      <c r="H639" s="12" t="str">
        <f>IFERROR(__xludf.DUMMYFUNCTION("""COMPUTED_VALUE"""),"Return")</f>
        <v>Return</v>
      </c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>
      <c r="A640" s="12">
        <f>IFERROR(__xludf.DUMMYFUNCTION("""COMPUTED_VALUE"""),2021.0)</f>
        <v>2021</v>
      </c>
      <c r="B640" s="12">
        <f>IFERROR(__xludf.DUMMYFUNCTION("""COMPUTED_VALUE"""),10.0)</f>
        <v>10</v>
      </c>
      <c r="C640" s="12">
        <f>IFERROR(__xludf.DUMMYFUNCTION("""COMPUTED_VALUE"""),14.0)</f>
        <v>14</v>
      </c>
      <c r="D640" s="12">
        <f>IFERROR(__xludf.DUMMYFUNCTION("""COMPUTED_VALUE"""),1003664.0)</f>
        <v>1003664</v>
      </c>
      <c r="E640" s="12">
        <f>IFERROR(__xludf.DUMMYFUNCTION("""COMPUTED_VALUE"""),1.0)</f>
        <v>1</v>
      </c>
      <c r="F640" s="12">
        <f>IFERROR(__xludf.DUMMYFUNCTION("""COMPUTED_VALUE"""),0.0)</f>
        <v>0</v>
      </c>
      <c r="G640" s="12">
        <f>IFERROR(__xludf.DUMMYFUNCTION("""COMPUTED_VALUE"""),0.0)</f>
        <v>0</v>
      </c>
      <c r="H640" s="12" t="str">
        <f>IFERROR(__xludf.DUMMYFUNCTION("""COMPUTED_VALUE"""),"Damage")</f>
        <v>Damage</v>
      </c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>
      <c r="A641" s="12">
        <f>IFERROR(__xludf.DUMMYFUNCTION("""COMPUTED_VALUE"""),2021.0)</f>
        <v>2021</v>
      </c>
      <c r="B641" s="12">
        <f>IFERROR(__xludf.DUMMYFUNCTION("""COMPUTED_VALUE"""),10.0)</f>
        <v>10</v>
      </c>
      <c r="C641" s="12">
        <f>IFERROR(__xludf.DUMMYFUNCTION("""COMPUTED_VALUE"""),14.0)</f>
        <v>14</v>
      </c>
      <c r="D641" s="12">
        <f>IFERROR(__xludf.DUMMYFUNCTION("""COMPUTED_VALUE"""),1003669.0)</f>
        <v>1003669</v>
      </c>
      <c r="E641" s="12">
        <f>IFERROR(__xludf.DUMMYFUNCTION("""COMPUTED_VALUE"""),9.0)</f>
        <v>9</v>
      </c>
      <c r="F641" s="12">
        <f>IFERROR(__xludf.DUMMYFUNCTION("""COMPUTED_VALUE"""),0.0)</f>
        <v>0</v>
      </c>
      <c r="G641" s="12">
        <f>IFERROR(__xludf.DUMMYFUNCTION("""COMPUTED_VALUE"""),0.0)</f>
        <v>0</v>
      </c>
      <c r="H641" s="12" t="str">
        <f>IFERROR(__xludf.DUMMYFUNCTION("""COMPUTED_VALUE"""),"Wrong product")</f>
        <v>Wrong product</v>
      </c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>
      <c r="A642" s="12">
        <f>IFERROR(__xludf.DUMMYFUNCTION("""COMPUTED_VALUE"""),2021.0)</f>
        <v>2021</v>
      </c>
      <c r="B642" s="12">
        <f>IFERROR(__xludf.DUMMYFUNCTION("""COMPUTED_VALUE"""),10.0)</f>
        <v>10</v>
      </c>
      <c r="C642" s="12">
        <f>IFERROR(__xludf.DUMMYFUNCTION("""COMPUTED_VALUE"""),14.0)</f>
        <v>14</v>
      </c>
      <c r="D642" s="12">
        <f>IFERROR(__xludf.DUMMYFUNCTION("""COMPUTED_VALUE"""),1003673.0)</f>
        <v>1003673</v>
      </c>
      <c r="E642" s="12">
        <f>IFERROR(__xludf.DUMMYFUNCTION("""COMPUTED_VALUE"""),7.0)</f>
        <v>7</v>
      </c>
      <c r="F642" s="12">
        <f>IFERROR(__xludf.DUMMYFUNCTION("""COMPUTED_VALUE"""),0.0)</f>
        <v>0</v>
      </c>
      <c r="G642" s="12">
        <f>IFERROR(__xludf.DUMMYFUNCTION("""COMPUTED_VALUE"""),0.0)</f>
        <v>0</v>
      </c>
      <c r="H642" s="12" t="str">
        <f>IFERROR(__xludf.DUMMYFUNCTION("""COMPUTED_VALUE"""),"Return")</f>
        <v>Return</v>
      </c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>
      <c r="A643" s="12">
        <f>IFERROR(__xludf.DUMMYFUNCTION("""COMPUTED_VALUE"""),2021.0)</f>
        <v>2021</v>
      </c>
      <c r="B643" s="12">
        <f>IFERROR(__xludf.DUMMYFUNCTION("""COMPUTED_VALUE"""),10.0)</f>
        <v>10</v>
      </c>
      <c r="C643" s="12">
        <f>IFERROR(__xludf.DUMMYFUNCTION("""COMPUTED_VALUE"""),14.0)</f>
        <v>14</v>
      </c>
      <c r="D643" s="12">
        <f>IFERROR(__xludf.DUMMYFUNCTION("""COMPUTED_VALUE"""),1003679.0)</f>
        <v>1003679</v>
      </c>
      <c r="E643" s="12">
        <f>IFERROR(__xludf.DUMMYFUNCTION("""COMPUTED_VALUE"""),8.0)</f>
        <v>8</v>
      </c>
      <c r="F643" s="12">
        <f>IFERROR(__xludf.DUMMYFUNCTION("""COMPUTED_VALUE"""),3.7)</f>
        <v>3.7</v>
      </c>
      <c r="G643" s="12">
        <f>IFERROR(__xludf.DUMMYFUNCTION("""COMPUTED_VALUE"""),0.0)</f>
        <v>0</v>
      </c>
      <c r="H643" s="12" t="str">
        <f>IFERROR(__xludf.DUMMYFUNCTION("""COMPUTED_VALUE"""),"Wrong product")</f>
        <v>Wrong product</v>
      </c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>
      <c r="A644" s="12">
        <f>IFERROR(__xludf.DUMMYFUNCTION("""COMPUTED_VALUE"""),2021.0)</f>
        <v>2021</v>
      </c>
      <c r="B644" s="12">
        <f>IFERROR(__xludf.DUMMYFUNCTION("""COMPUTED_VALUE"""),10.0)</f>
        <v>10</v>
      </c>
      <c r="C644" s="12">
        <f>IFERROR(__xludf.DUMMYFUNCTION("""COMPUTED_VALUE"""),14.0)</f>
        <v>14</v>
      </c>
      <c r="D644" s="12">
        <f>IFERROR(__xludf.DUMMYFUNCTION("""COMPUTED_VALUE"""),1003681.0)</f>
        <v>1003681</v>
      </c>
      <c r="E644" s="12">
        <f>IFERROR(__xludf.DUMMYFUNCTION("""COMPUTED_VALUE"""),9.0)</f>
        <v>9</v>
      </c>
      <c r="F644" s="12">
        <f>IFERROR(__xludf.DUMMYFUNCTION("""COMPUTED_VALUE"""),0.0)</f>
        <v>0</v>
      </c>
      <c r="G644" s="12">
        <f>IFERROR(__xludf.DUMMYFUNCTION("""COMPUTED_VALUE"""),10.0)</f>
        <v>10</v>
      </c>
      <c r="H644" s="12" t="str">
        <f>IFERROR(__xludf.DUMMYFUNCTION("""COMPUTED_VALUE"""),"Return")</f>
        <v>Return</v>
      </c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>
      <c r="A645" s="12">
        <f>IFERROR(__xludf.DUMMYFUNCTION("""COMPUTED_VALUE"""),2021.0)</f>
        <v>2021</v>
      </c>
      <c r="B645" s="12">
        <f>IFERROR(__xludf.DUMMYFUNCTION("""COMPUTED_VALUE"""),10.0)</f>
        <v>10</v>
      </c>
      <c r="C645" s="12">
        <f>IFERROR(__xludf.DUMMYFUNCTION("""COMPUTED_VALUE"""),14.0)</f>
        <v>14</v>
      </c>
      <c r="D645" s="12">
        <f>IFERROR(__xludf.DUMMYFUNCTION("""COMPUTED_VALUE"""),1003694.0)</f>
        <v>1003694</v>
      </c>
      <c r="E645" s="12">
        <f>IFERROR(__xludf.DUMMYFUNCTION("""COMPUTED_VALUE"""),2.0)</f>
        <v>2</v>
      </c>
      <c r="F645" s="12">
        <f>IFERROR(__xludf.DUMMYFUNCTION("""COMPUTED_VALUE"""),0.0)</f>
        <v>0</v>
      </c>
      <c r="G645" s="12">
        <f>IFERROR(__xludf.DUMMYFUNCTION("""COMPUTED_VALUE"""),0.0)</f>
        <v>0</v>
      </c>
      <c r="H645" s="12" t="str">
        <f>IFERROR(__xludf.DUMMYFUNCTION("""COMPUTED_VALUE"""),"Return")</f>
        <v>Return</v>
      </c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>
      <c r="A646" s="12">
        <f>IFERROR(__xludf.DUMMYFUNCTION("""COMPUTED_VALUE"""),2021.0)</f>
        <v>2021</v>
      </c>
      <c r="B646" s="12">
        <f>IFERROR(__xludf.DUMMYFUNCTION("""COMPUTED_VALUE"""),10.0)</f>
        <v>10</v>
      </c>
      <c r="C646" s="12">
        <f>IFERROR(__xludf.DUMMYFUNCTION("""COMPUTED_VALUE"""),14.0)</f>
        <v>14</v>
      </c>
      <c r="D646" s="12">
        <f>IFERROR(__xludf.DUMMYFUNCTION("""COMPUTED_VALUE"""),1003710.0)</f>
        <v>1003710</v>
      </c>
      <c r="E646" s="12">
        <f>IFERROR(__xludf.DUMMYFUNCTION("""COMPUTED_VALUE"""),19.0)</f>
        <v>19</v>
      </c>
      <c r="F646" s="12">
        <f>IFERROR(__xludf.DUMMYFUNCTION("""COMPUTED_VALUE"""),0.94)</f>
        <v>0.94</v>
      </c>
      <c r="G646" s="12">
        <f>IFERROR(__xludf.DUMMYFUNCTION("""COMPUTED_VALUE"""),5.0)</f>
        <v>5</v>
      </c>
      <c r="H646" s="12" t="str">
        <f>IFERROR(__xludf.DUMMYFUNCTION("""COMPUTED_VALUE"""),"Wrong product")</f>
        <v>Wrong product</v>
      </c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>
      <c r="A647" s="12">
        <f>IFERROR(__xludf.DUMMYFUNCTION("""COMPUTED_VALUE"""),2021.0)</f>
        <v>2021</v>
      </c>
      <c r="B647" s="12">
        <f>IFERROR(__xludf.DUMMYFUNCTION("""COMPUTED_VALUE"""),10.0)</f>
        <v>10</v>
      </c>
      <c r="C647" s="12">
        <f>IFERROR(__xludf.DUMMYFUNCTION("""COMPUTED_VALUE"""),14.0)</f>
        <v>14</v>
      </c>
      <c r="D647" s="12">
        <f>IFERROR(__xludf.DUMMYFUNCTION("""COMPUTED_VALUE"""),1003714.0)</f>
        <v>1003714</v>
      </c>
      <c r="E647" s="12">
        <f>IFERROR(__xludf.DUMMYFUNCTION("""COMPUTED_VALUE"""),5.0)</f>
        <v>5</v>
      </c>
      <c r="F647" s="12">
        <f>IFERROR(__xludf.DUMMYFUNCTION("""COMPUTED_VALUE"""),9.38)</f>
        <v>9.38</v>
      </c>
      <c r="G647" s="12">
        <f>IFERROR(__xludf.DUMMYFUNCTION("""COMPUTED_VALUE"""),0.0)</f>
        <v>0</v>
      </c>
      <c r="H647" s="12" t="str">
        <f>IFERROR(__xludf.DUMMYFUNCTION("""COMPUTED_VALUE"""),"Return")</f>
        <v>Return</v>
      </c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>
      <c r="A648" s="12">
        <f>IFERROR(__xludf.DUMMYFUNCTION("""COMPUTED_VALUE"""),2021.0)</f>
        <v>2021</v>
      </c>
      <c r="B648" s="12">
        <f>IFERROR(__xludf.DUMMYFUNCTION("""COMPUTED_VALUE"""),10.0)</f>
        <v>10</v>
      </c>
      <c r="C648" s="12">
        <f>IFERROR(__xludf.DUMMYFUNCTION("""COMPUTED_VALUE"""),14.0)</f>
        <v>14</v>
      </c>
      <c r="D648" s="12">
        <f>IFERROR(__xludf.DUMMYFUNCTION("""COMPUTED_VALUE"""),1003722.0)</f>
        <v>1003722</v>
      </c>
      <c r="E648" s="12">
        <f>IFERROR(__xludf.DUMMYFUNCTION("""COMPUTED_VALUE"""),5.0)</f>
        <v>5</v>
      </c>
      <c r="F648" s="12">
        <f>IFERROR(__xludf.DUMMYFUNCTION("""COMPUTED_VALUE"""),0.0)</f>
        <v>0</v>
      </c>
      <c r="G648" s="12">
        <f>IFERROR(__xludf.DUMMYFUNCTION("""COMPUTED_VALUE"""),0.0)</f>
        <v>0</v>
      </c>
      <c r="H648" s="12" t="str">
        <f>IFERROR(__xludf.DUMMYFUNCTION("""COMPUTED_VALUE"""),"Return")</f>
        <v>Return</v>
      </c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>
      <c r="A649" s="12">
        <f>IFERROR(__xludf.DUMMYFUNCTION("""COMPUTED_VALUE"""),2021.0)</f>
        <v>2021</v>
      </c>
      <c r="B649" s="12">
        <f>IFERROR(__xludf.DUMMYFUNCTION("""COMPUTED_VALUE"""),10.0)</f>
        <v>10</v>
      </c>
      <c r="C649" s="12">
        <f>IFERROR(__xludf.DUMMYFUNCTION("""COMPUTED_VALUE"""),14.0)</f>
        <v>14</v>
      </c>
      <c r="D649" s="12">
        <f>IFERROR(__xludf.DUMMYFUNCTION("""COMPUTED_VALUE"""),1003733.0)</f>
        <v>1003733</v>
      </c>
      <c r="E649" s="12">
        <f>IFERROR(__xludf.DUMMYFUNCTION("""COMPUTED_VALUE"""),2.0)</f>
        <v>2</v>
      </c>
      <c r="F649" s="12">
        <f>IFERROR(__xludf.DUMMYFUNCTION("""COMPUTED_VALUE"""),0.0)</f>
        <v>0</v>
      </c>
      <c r="G649" s="12">
        <f>IFERROR(__xludf.DUMMYFUNCTION("""COMPUTED_VALUE"""),0.0)</f>
        <v>0</v>
      </c>
      <c r="H649" s="12" t="str">
        <f>IFERROR(__xludf.DUMMYFUNCTION("""COMPUTED_VALUE"""),"Return")</f>
        <v>Return</v>
      </c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>
      <c r="A650" s="12">
        <f>IFERROR(__xludf.DUMMYFUNCTION("""COMPUTED_VALUE"""),2021.0)</f>
        <v>2021</v>
      </c>
      <c r="B650" s="12">
        <f>IFERROR(__xludf.DUMMYFUNCTION("""COMPUTED_VALUE"""),10.0)</f>
        <v>10</v>
      </c>
      <c r="C650" s="12">
        <f>IFERROR(__xludf.DUMMYFUNCTION("""COMPUTED_VALUE"""),14.0)</f>
        <v>14</v>
      </c>
      <c r="D650" s="12">
        <f>IFERROR(__xludf.DUMMYFUNCTION("""COMPUTED_VALUE"""),1003737.0)</f>
        <v>1003737</v>
      </c>
      <c r="E650" s="13">
        <f>IFERROR(__xludf.DUMMYFUNCTION("""COMPUTED_VALUE"""),0.291631331305816)</f>
        <v>0.2916313313</v>
      </c>
      <c r="F650" s="12">
        <f>IFERROR(__xludf.DUMMYFUNCTION("""COMPUTED_VALUE"""),0.0)</f>
        <v>0</v>
      </c>
      <c r="G650" s="12">
        <f>IFERROR(__xludf.DUMMYFUNCTION("""COMPUTED_VALUE"""),5.0)</f>
        <v>5</v>
      </c>
      <c r="H650" s="12" t="str">
        <f>IFERROR(__xludf.DUMMYFUNCTION("""COMPUTED_VALUE"""),"Return")</f>
        <v>Return</v>
      </c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>
      <c r="A651" s="12">
        <f>IFERROR(__xludf.DUMMYFUNCTION("""COMPUTED_VALUE"""),2021.0)</f>
        <v>2021</v>
      </c>
      <c r="B651" s="12">
        <f>IFERROR(__xludf.DUMMYFUNCTION("""COMPUTED_VALUE"""),10.0)</f>
        <v>10</v>
      </c>
      <c r="C651" s="12">
        <f>IFERROR(__xludf.DUMMYFUNCTION("""COMPUTED_VALUE"""),14.0)</f>
        <v>14</v>
      </c>
      <c r="D651" s="12">
        <f>IFERROR(__xludf.DUMMYFUNCTION("""COMPUTED_VALUE"""),1003739.0)</f>
        <v>1003739</v>
      </c>
      <c r="E651" s="12">
        <f>IFERROR(__xludf.DUMMYFUNCTION("""COMPUTED_VALUE"""),18.0)</f>
        <v>18</v>
      </c>
      <c r="F651" s="12">
        <f>IFERROR(__xludf.DUMMYFUNCTION("""COMPUTED_VALUE"""),0.0)</f>
        <v>0</v>
      </c>
      <c r="G651" s="12">
        <f>IFERROR(__xludf.DUMMYFUNCTION("""COMPUTED_VALUE"""),0.0)</f>
        <v>0</v>
      </c>
      <c r="H651" s="12" t="str">
        <f>IFERROR(__xludf.DUMMYFUNCTION("""COMPUTED_VALUE"""),"Return")</f>
        <v>Return</v>
      </c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>
      <c r="A652" s="12">
        <f>IFERROR(__xludf.DUMMYFUNCTION("""COMPUTED_VALUE"""),2021.0)</f>
        <v>2021</v>
      </c>
      <c r="B652" s="12">
        <f>IFERROR(__xludf.DUMMYFUNCTION("""COMPUTED_VALUE"""),10.0)</f>
        <v>10</v>
      </c>
      <c r="C652" s="12">
        <f>IFERROR(__xludf.DUMMYFUNCTION("""COMPUTED_VALUE"""),14.0)</f>
        <v>14</v>
      </c>
      <c r="D652" s="12">
        <f>IFERROR(__xludf.DUMMYFUNCTION("""COMPUTED_VALUE"""),1003740.0)</f>
        <v>1003740</v>
      </c>
      <c r="E652" s="12">
        <f>IFERROR(__xludf.DUMMYFUNCTION("""COMPUTED_VALUE"""),11.0)</f>
        <v>11</v>
      </c>
      <c r="F652" s="12">
        <f>IFERROR(__xludf.DUMMYFUNCTION("""COMPUTED_VALUE"""),0.0)</f>
        <v>0</v>
      </c>
      <c r="G652" s="12">
        <f>IFERROR(__xludf.DUMMYFUNCTION("""COMPUTED_VALUE"""),5.0)</f>
        <v>5</v>
      </c>
      <c r="H652" s="12" t="str">
        <f>IFERROR(__xludf.DUMMYFUNCTION("""COMPUTED_VALUE"""),"Return")</f>
        <v>Return</v>
      </c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>
      <c r="A653" s="12">
        <f>IFERROR(__xludf.DUMMYFUNCTION("""COMPUTED_VALUE"""),2021.0)</f>
        <v>2021</v>
      </c>
      <c r="B653" s="12">
        <f>IFERROR(__xludf.DUMMYFUNCTION("""COMPUTED_VALUE"""),10.0)</f>
        <v>10</v>
      </c>
      <c r="C653" s="12">
        <f>IFERROR(__xludf.DUMMYFUNCTION("""COMPUTED_VALUE"""),14.0)</f>
        <v>14</v>
      </c>
      <c r="D653" s="12">
        <f>IFERROR(__xludf.DUMMYFUNCTION("""COMPUTED_VALUE"""),1003747.0)</f>
        <v>1003747</v>
      </c>
      <c r="E653" s="12">
        <f>IFERROR(__xludf.DUMMYFUNCTION("""COMPUTED_VALUE"""),7.0)</f>
        <v>7</v>
      </c>
      <c r="F653" s="12">
        <f>IFERROR(__xludf.DUMMYFUNCTION("""COMPUTED_VALUE"""),0.0)</f>
        <v>0</v>
      </c>
      <c r="G653" s="12">
        <f>IFERROR(__xludf.DUMMYFUNCTION("""COMPUTED_VALUE"""),0.0)</f>
        <v>0</v>
      </c>
      <c r="H653" s="12" t="str">
        <f>IFERROR(__xludf.DUMMYFUNCTION("""COMPUTED_VALUE"""),"Wrong product")</f>
        <v>Wrong product</v>
      </c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>
      <c r="A654" s="12">
        <f>IFERROR(__xludf.DUMMYFUNCTION("""COMPUTED_VALUE"""),2021.0)</f>
        <v>2021</v>
      </c>
      <c r="B654" s="12">
        <f>IFERROR(__xludf.DUMMYFUNCTION("""COMPUTED_VALUE"""),10.0)</f>
        <v>10</v>
      </c>
      <c r="C654" s="12">
        <f>IFERROR(__xludf.DUMMYFUNCTION("""COMPUTED_VALUE"""),14.0)</f>
        <v>14</v>
      </c>
      <c r="D654" s="12">
        <f>IFERROR(__xludf.DUMMYFUNCTION("""COMPUTED_VALUE"""),1003754.0)</f>
        <v>1003754</v>
      </c>
      <c r="E654" s="12">
        <f>IFERROR(__xludf.DUMMYFUNCTION("""COMPUTED_VALUE"""),6.0)</f>
        <v>6</v>
      </c>
      <c r="F654" s="12">
        <f>IFERROR(__xludf.DUMMYFUNCTION("""COMPUTED_VALUE"""),0.0)</f>
        <v>0</v>
      </c>
      <c r="G654" s="12">
        <f>IFERROR(__xludf.DUMMYFUNCTION("""COMPUTED_VALUE"""),0.0)</f>
        <v>0</v>
      </c>
      <c r="H654" s="12" t="str">
        <f>IFERROR(__xludf.DUMMYFUNCTION("""COMPUTED_VALUE"""),"Damage")</f>
        <v>Damage</v>
      </c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>
      <c r="A655" s="12">
        <f>IFERROR(__xludf.DUMMYFUNCTION("""COMPUTED_VALUE"""),2021.0)</f>
        <v>2021</v>
      </c>
      <c r="B655" s="12">
        <f>IFERROR(__xludf.DUMMYFUNCTION("""COMPUTED_VALUE"""),10.0)</f>
        <v>10</v>
      </c>
      <c r="C655" s="12">
        <f>IFERROR(__xludf.DUMMYFUNCTION("""COMPUTED_VALUE"""),14.0)</f>
        <v>14</v>
      </c>
      <c r="D655" s="12">
        <f>IFERROR(__xludf.DUMMYFUNCTION("""COMPUTED_VALUE"""),1003777.0)</f>
        <v>1003777</v>
      </c>
      <c r="E655" s="12">
        <f>IFERROR(__xludf.DUMMYFUNCTION("""COMPUTED_VALUE"""),3.0)</f>
        <v>3</v>
      </c>
      <c r="F655" s="12">
        <f>IFERROR(__xludf.DUMMYFUNCTION("""COMPUTED_VALUE"""),0.0)</f>
        <v>0</v>
      </c>
      <c r="G655" s="12">
        <f>IFERROR(__xludf.DUMMYFUNCTION("""COMPUTED_VALUE"""),8.0)</f>
        <v>8</v>
      </c>
      <c r="H655" s="12" t="str">
        <f>IFERROR(__xludf.DUMMYFUNCTION("""COMPUTED_VALUE"""),"Return")</f>
        <v>Return</v>
      </c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>
      <c r="A656" s="12">
        <f>IFERROR(__xludf.DUMMYFUNCTION("""COMPUTED_VALUE"""),2021.0)</f>
        <v>2021</v>
      </c>
      <c r="B656" s="12">
        <f>IFERROR(__xludf.DUMMYFUNCTION("""COMPUTED_VALUE"""),10.0)</f>
        <v>10</v>
      </c>
      <c r="C656" s="12">
        <f>IFERROR(__xludf.DUMMYFUNCTION("""COMPUTED_VALUE"""),14.0)</f>
        <v>14</v>
      </c>
      <c r="D656" s="12">
        <f>IFERROR(__xludf.DUMMYFUNCTION("""COMPUTED_VALUE"""),1003781.0)</f>
        <v>1003781</v>
      </c>
      <c r="E656" s="12">
        <f>IFERROR(__xludf.DUMMYFUNCTION("""COMPUTED_VALUE"""),17.0)</f>
        <v>17</v>
      </c>
      <c r="F656" s="12">
        <f>IFERROR(__xludf.DUMMYFUNCTION("""COMPUTED_VALUE"""),0.0)</f>
        <v>0</v>
      </c>
      <c r="G656" s="12">
        <f>IFERROR(__xludf.DUMMYFUNCTION("""COMPUTED_VALUE"""),0.0)</f>
        <v>0</v>
      </c>
      <c r="H656" s="12" t="str">
        <f>IFERROR(__xludf.DUMMYFUNCTION("""COMPUTED_VALUE"""),"Damage")</f>
        <v>Damage</v>
      </c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>
      <c r="A657" s="12">
        <f>IFERROR(__xludf.DUMMYFUNCTION("""COMPUTED_VALUE"""),2021.0)</f>
        <v>2021</v>
      </c>
      <c r="B657" s="12">
        <f>IFERROR(__xludf.DUMMYFUNCTION("""COMPUTED_VALUE"""),10.0)</f>
        <v>10</v>
      </c>
      <c r="C657" s="12">
        <f>IFERROR(__xludf.DUMMYFUNCTION("""COMPUTED_VALUE"""),14.0)</f>
        <v>14</v>
      </c>
      <c r="D657" s="12">
        <f>IFERROR(__xludf.DUMMYFUNCTION("""COMPUTED_VALUE"""),1003805.0)</f>
        <v>1003805</v>
      </c>
      <c r="E657" s="12">
        <f>IFERROR(__xludf.DUMMYFUNCTION("""COMPUTED_VALUE"""),18.0)</f>
        <v>18</v>
      </c>
      <c r="F657" s="12">
        <f>IFERROR(__xludf.DUMMYFUNCTION("""COMPUTED_VALUE"""),0.0)</f>
        <v>0</v>
      </c>
      <c r="G657" s="12">
        <f>IFERROR(__xludf.DUMMYFUNCTION("""COMPUTED_VALUE"""),0.0)</f>
        <v>0</v>
      </c>
      <c r="H657" s="12" t="str">
        <f>IFERROR(__xludf.DUMMYFUNCTION("""COMPUTED_VALUE"""),"Wrong product")</f>
        <v>Wrong product</v>
      </c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>
      <c r="A658" s="12">
        <f>IFERROR(__xludf.DUMMYFUNCTION("""COMPUTED_VALUE"""),2021.0)</f>
        <v>2021</v>
      </c>
      <c r="B658" s="12">
        <f>IFERROR(__xludf.DUMMYFUNCTION("""COMPUTED_VALUE"""),10.0)</f>
        <v>10</v>
      </c>
      <c r="C658" s="12">
        <f>IFERROR(__xludf.DUMMYFUNCTION("""COMPUTED_VALUE"""),14.0)</f>
        <v>14</v>
      </c>
      <c r="D658" s="12">
        <f>IFERROR(__xludf.DUMMYFUNCTION("""COMPUTED_VALUE"""),1003807.0)</f>
        <v>1003807</v>
      </c>
      <c r="E658" s="12">
        <f>IFERROR(__xludf.DUMMYFUNCTION("""COMPUTED_VALUE"""),5.0)</f>
        <v>5</v>
      </c>
      <c r="F658" s="12">
        <f>IFERROR(__xludf.DUMMYFUNCTION("""COMPUTED_VALUE"""),0.0)</f>
        <v>0</v>
      </c>
      <c r="G658" s="12">
        <f>IFERROR(__xludf.DUMMYFUNCTION("""COMPUTED_VALUE"""),0.0)</f>
        <v>0</v>
      </c>
      <c r="H658" s="12" t="str">
        <f>IFERROR(__xludf.DUMMYFUNCTION("""COMPUTED_VALUE"""),"Damage")</f>
        <v>Damage</v>
      </c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>
      <c r="A659" s="12">
        <f>IFERROR(__xludf.DUMMYFUNCTION("""COMPUTED_VALUE"""),2021.0)</f>
        <v>2021</v>
      </c>
      <c r="B659" s="12">
        <f>IFERROR(__xludf.DUMMYFUNCTION("""COMPUTED_VALUE"""),10.0)</f>
        <v>10</v>
      </c>
      <c r="C659" s="12">
        <f>IFERROR(__xludf.DUMMYFUNCTION("""COMPUTED_VALUE"""),14.0)</f>
        <v>14</v>
      </c>
      <c r="D659" s="12">
        <f>IFERROR(__xludf.DUMMYFUNCTION("""COMPUTED_VALUE"""),1003810.0)</f>
        <v>1003810</v>
      </c>
      <c r="E659" s="12">
        <f>IFERROR(__xludf.DUMMYFUNCTION("""COMPUTED_VALUE"""),8.0)</f>
        <v>8</v>
      </c>
      <c r="F659" s="12">
        <f>IFERROR(__xludf.DUMMYFUNCTION("""COMPUTED_VALUE"""),3.32)</f>
        <v>3.32</v>
      </c>
      <c r="G659" s="12">
        <f>IFERROR(__xludf.DUMMYFUNCTION("""COMPUTED_VALUE"""),0.0)</f>
        <v>0</v>
      </c>
      <c r="H659" s="12" t="str">
        <f>IFERROR(__xludf.DUMMYFUNCTION("""COMPUTED_VALUE"""),"Return")</f>
        <v>Return</v>
      </c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>
      <c r="A660" s="12">
        <f>IFERROR(__xludf.DUMMYFUNCTION("""COMPUTED_VALUE"""),2021.0)</f>
        <v>2021</v>
      </c>
      <c r="B660" s="12">
        <f>IFERROR(__xludf.DUMMYFUNCTION("""COMPUTED_VALUE"""),10.0)</f>
        <v>10</v>
      </c>
      <c r="C660" s="12">
        <f>IFERROR(__xludf.DUMMYFUNCTION("""COMPUTED_VALUE"""),14.0)</f>
        <v>14</v>
      </c>
      <c r="D660" s="12">
        <f>IFERROR(__xludf.DUMMYFUNCTION("""COMPUTED_VALUE"""),1003811.0)</f>
        <v>1003811</v>
      </c>
      <c r="E660" s="12">
        <f>IFERROR(__xludf.DUMMYFUNCTION("""COMPUTED_VALUE"""),12.0)</f>
        <v>12</v>
      </c>
      <c r="F660" s="12">
        <f>IFERROR(__xludf.DUMMYFUNCTION("""COMPUTED_VALUE"""),0.0)</f>
        <v>0</v>
      </c>
      <c r="G660" s="12">
        <f>IFERROR(__xludf.DUMMYFUNCTION("""COMPUTED_VALUE"""),0.0)</f>
        <v>0</v>
      </c>
      <c r="H660" s="12" t="str">
        <f>IFERROR(__xludf.DUMMYFUNCTION("""COMPUTED_VALUE"""),"Return")</f>
        <v>Return</v>
      </c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>
      <c r="A661" s="12">
        <f>IFERROR(__xludf.DUMMYFUNCTION("""COMPUTED_VALUE"""),2021.0)</f>
        <v>2021</v>
      </c>
      <c r="B661" s="12">
        <f>IFERROR(__xludf.DUMMYFUNCTION("""COMPUTED_VALUE"""),10.0)</f>
        <v>10</v>
      </c>
      <c r="C661" s="12">
        <f>IFERROR(__xludf.DUMMYFUNCTION("""COMPUTED_VALUE"""),14.0)</f>
        <v>14</v>
      </c>
      <c r="D661" s="12">
        <f>IFERROR(__xludf.DUMMYFUNCTION("""COMPUTED_VALUE"""),1003821.0)</f>
        <v>1003821</v>
      </c>
      <c r="E661" s="12">
        <f>IFERROR(__xludf.DUMMYFUNCTION("""COMPUTED_VALUE"""),15.0)</f>
        <v>15</v>
      </c>
      <c r="F661" s="12">
        <f>IFERROR(__xludf.DUMMYFUNCTION("""COMPUTED_VALUE"""),0.0)</f>
        <v>0</v>
      </c>
      <c r="G661" s="12">
        <f>IFERROR(__xludf.DUMMYFUNCTION("""COMPUTED_VALUE"""),15.0)</f>
        <v>15</v>
      </c>
      <c r="H661" s="12" t="str">
        <f>IFERROR(__xludf.DUMMYFUNCTION("""COMPUTED_VALUE"""),"Return")</f>
        <v>Return</v>
      </c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>
      <c r="A662" s="12">
        <f>IFERROR(__xludf.DUMMYFUNCTION("""COMPUTED_VALUE"""),2021.0)</f>
        <v>2021</v>
      </c>
      <c r="B662" s="12">
        <f>IFERROR(__xludf.DUMMYFUNCTION("""COMPUTED_VALUE"""),10.0)</f>
        <v>10</v>
      </c>
      <c r="C662" s="12">
        <f>IFERROR(__xludf.DUMMYFUNCTION("""COMPUTED_VALUE"""),14.0)</f>
        <v>14</v>
      </c>
      <c r="D662" s="12">
        <f>IFERROR(__xludf.DUMMYFUNCTION("""COMPUTED_VALUE"""),1003827.0)</f>
        <v>1003827</v>
      </c>
      <c r="E662" s="12">
        <f>IFERROR(__xludf.DUMMYFUNCTION("""COMPUTED_VALUE"""),9.0)</f>
        <v>9</v>
      </c>
      <c r="F662" s="12">
        <f>IFERROR(__xludf.DUMMYFUNCTION("""COMPUTED_VALUE"""),0.0)</f>
        <v>0</v>
      </c>
      <c r="G662" s="12">
        <f>IFERROR(__xludf.DUMMYFUNCTION("""COMPUTED_VALUE"""),0.0)</f>
        <v>0</v>
      </c>
      <c r="H662" s="12" t="str">
        <f>IFERROR(__xludf.DUMMYFUNCTION("""COMPUTED_VALUE"""),"Return")</f>
        <v>Return</v>
      </c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>
      <c r="A663" s="12">
        <f>IFERROR(__xludf.DUMMYFUNCTION("""COMPUTED_VALUE"""),2021.0)</f>
        <v>2021</v>
      </c>
      <c r="B663" s="12">
        <f>IFERROR(__xludf.DUMMYFUNCTION("""COMPUTED_VALUE"""),10.0)</f>
        <v>10</v>
      </c>
      <c r="C663" s="12">
        <f>IFERROR(__xludf.DUMMYFUNCTION("""COMPUTED_VALUE"""),14.0)</f>
        <v>14</v>
      </c>
      <c r="D663" s="12">
        <f>IFERROR(__xludf.DUMMYFUNCTION("""COMPUTED_VALUE"""),1003833.0)</f>
        <v>1003833</v>
      </c>
      <c r="E663" s="12">
        <f>IFERROR(__xludf.DUMMYFUNCTION("""COMPUTED_VALUE"""),5.0)</f>
        <v>5</v>
      </c>
      <c r="F663" s="12">
        <f>IFERROR(__xludf.DUMMYFUNCTION("""COMPUTED_VALUE"""),0.0)</f>
        <v>0</v>
      </c>
      <c r="G663" s="12">
        <f>IFERROR(__xludf.DUMMYFUNCTION("""COMPUTED_VALUE"""),0.0)</f>
        <v>0</v>
      </c>
      <c r="H663" s="12" t="str">
        <f>IFERROR(__xludf.DUMMYFUNCTION("""COMPUTED_VALUE"""),"Return")</f>
        <v>Return</v>
      </c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>
      <c r="A664" s="12">
        <f>IFERROR(__xludf.DUMMYFUNCTION("""COMPUTED_VALUE"""),2021.0)</f>
        <v>2021</v>
      </c>
      <c r="B664" s="12">
        <f>IFERROR(__xludf.DUMMYFUNCTION("""COMPUTED_VALUE"""),10.0)</f>
        <v>10</v>
      </c>
      <c r="C664" s="12">
        <f>IFERROR(__xludf.DUMMYFUNCTION("""COMPUTED_VALUE"""),14.0)</f>
        <v>14</v>
      </c>
      <c r="D664" s="12">
        <f>IFERROR(__xludf.DUMMYFUNCTION("""COMPUTED_VALUE"""),1003841.0)</f>
        <v>1003841</v>
      </c>
      <c r="E664" s="12">
        <f>IFERROR(__xludf.DUMMYFUNCTION("""COMPUTED_VALUE"""),2.0)</f>
        <v>2</v>
      </c>
      <c r="F664" s="12">
        <f>IFERROR(__xludf.DUMMYFUNCTION("""COMPUTED_VALUE"""),0.0)</f>
        <v>0</v>
      </c>
      <c r="G664" s="12">
        <f>IFERROR(__xludf.DUMMYFUNCTION("""COMPUTED_VALUE"""),0.0)</f>
        <v>0</v>
      </c>
      <c r="H664" s="12" t="str">
        <f>IFERROR(__xludf.DUMMYFUNCTION("""COMPUTED_VALUE"""),"Damage")</f>
        <v>Damage</v>
      </c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>
      <c r="A665" s="12">
        <f>IFERROR(__xludf.DUMMYFUNCTION("""COMPUTED_VALUE"""),2021.0)</f>
        <v>2021</v>
      </c>
      <c r="B665" s="12">
        <f>IFERROR(__xludf.DUMMYFUNCTION("""COMPUTED_VALUE"""),10.0)</f>
        <v>10</v>
      </c>
      <c r="C665" s="12">
        <f>IFERROR(__xludf.DUMMYFUNCTION("""COMPUTED_VALUE"""),14.0)</f>
        <v>14</v>
      </c>
      <c r="D665" s="12">
        <f>IFERROR(__xludf.DUMMYFUNCTION("""COMPUTED_VALUE"""),1003847.0)</f>
        <v>1003847</v>
      </c>
      <c r="E665" s="12">
        <f>IFERROR(__xludf.DUMMYFUNCTION("""COMPUTED_VALUE"""),6.0)</f>
        <v>6</v>
      </c>
      <c r="F665" s="12">
        <f>IFERROR(__xludf.DUMMYFUNCTION("""COMPUTED_VALUE"""),0.0)</f>
        <v>0</v>
      </c>
      <c r="G665" s="12">
        <f>IFERROR(__xludf.DUMMYFUNCTION("""COMPUTED_VALUE"""),0.0)</f>
        <v>0</v>
      </c>
      <c r="H665" s="12" t="str">
        <f>IFERROR(__xludf.DUMMYFUNCTION("""COMPUTED_VALUE"""),"Wrong product")</f>
        <v>Wrong product</v>
      </c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>
      <c r="A666" s="12">
        <f>IFERROR(__xludf.DUMMYFUNCTION("""COMPUTED_VALUE"""),2021.0)</f>
        <v>2021</v>
      </c>
      <c r="B666" s="12">
        <f>IFERROR(__xludf.DUMMYFUNCTION("""COMPUTED_VALUE"""),10.0)</f>
        <v>10</v>
      </c>
      <c r="C666" s="12">
        <f>IFERROR(__xludf.DUMMYFUNCTION("""COMPUTED_VALUE"""),14.0)</f>
        <v>14</v>
      </c>
      <c r="D666" s="12">
        <f>IFERROR(__xludf.DUMMYFUNCTION("""COMPUTED_VALUE"""),1003855.0)</f>
        <v>1003855</v>
      </c>
      <c r="E666" s="12">
        <f>IFERROR(__xludf.DUMMYFUNCTION("""COMPUTED_VALUE"""),3.0)</f>
        <v>3</v>
      </c>
      <c r="F666" s="12">
        <f>IFERROR(__xludf.DUMMYFUNCTION("""COMPUTED_VALUE"""),0.0)</f>
        <v>0</v>
      </c>
      <c r="G666" s="12">
        <f>IFERROR(__xludf.DUMMYFUNCTION("""COMPUTED_VALUE"""),0.0)</f>
        <v>0</v>
      </c>
      <c r="H666" s="12" t="str">
        <f>IFERROR(__xludf.DUMMYFUNCTION("""COMPUTED_VALUE"""),"Wrong product")</f>
        <v>Wrong product</v>
      </c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>
      <c r="A667" s="12">
        <f>IFERROR(__xludf.DUMMYFUNCTION("""COMPUTED_VALUE"""),2021.0)</f>
        <v>2021</v>
      </c>
      <c r="B667" s="12">
        <f>IFERROR(__xludf.DUMMYFUNCTION("""COMPUTED_VALUE"""),10.0)</f>
        <v>10</v>
      </c>
      <c r="C667" s="12">
        <f>IFERROR(__xludf.DUMMYFUNCTION("""COMPUTED_VALUE"""),14.0)</f>
        <v>14</v>
      </c>
      <c r="D667" s="12">
        <f>IFERROR(__xludf.DUMMYFUNCTION("""COMPUTED_VALUE"""),1003870.0)</f>
        <v>1003870</v>
      </c>
      <c r="E667" s="12">
        <f>IFERROR(__xludf.DUMMYFUNCTION("""COMPUTED_VALUE"""),5.0)</f>
        <v>5</v>
      </c>
      <c r="F667" s="12">
        <f>IFERROR(__xludf.DUMMYFUNCTION("""COMPUTED_VALUE"""),0.0)</f>
        <v>0</v>
      </c>
      <c r="G667" s="12">
        <f>IFERROR(__xludf.DUMMYFUNCTION("""COMPUTED_VALUE"""),0.0)</f>
        <v>0</v>
      </c>
      <c r="H667" s="12" t="str">
        <f>IFERROR(__xludf.DUMMYFUNCTION("""COMPUTED_VALUE"""),"Return")</f>
        <v>Return</v>
      </c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>
      <c r="A668" s="12">
        <f>IFERROR(__xludf.DUMMYFUNCTION("""COMPUTED_VALUE"""),2021.0)</f>
        <v>2021</v>
      </c>
      <c r="B668" s="12">
        <f>IFERROR(__xludf.DUMMYFUNCTION("""COMPUTED_VALUE"""),10.0)</f>
        <v>10</v>
      </c>
      <c r="C668" s="12">
        <f>IFERROR(__xludf.DUMMYFUNCTION("""COMPUTED_VALUE"""),14.0)</f>
        <v>14</v>
      </c>
      <c r="D668" s="12">
        <f>IFERROR(__xludf.DUMMYFUNCTION("""COMPUTED_VALUE"""),1003871.0)</f>
        <v>1003871</v>
      </c>
      <c r="E668" s="12">
        <f>IFERROR(__xludf.DUMMYFUNCTION("""COMPUTED_VALUE"""),13.0)</f>
        <v>13</v>
      </c>
      <c r="F668" s="12">
        <f>IFERROR(__xludf.DUMMYFUNCTION("""COMPUTED_VALUE"""),0.0)</f>
        <v>0</v>
      </c>
      <c r="G668" s="12">
        <f>IFERROR(__xludf.DUMMYFUNCTION("""COMPUTED_VALUE"""),10.0)</f>
        <v>10</v>
      </c>
      <c r="H668" s="12" t="str">
        <f>IFERROR(__xludf.DUMMYFUNCTION("""COMPUTED_VALUE"""),"Wrong product")</f>
        <v>Wrong product</v>
      </c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>
      <c r="A669" s="12">
        <f>IFERROR(__xludf.DUMMYFUNCTION("""COMPUTED_VALUE"""),2021.0)</f>
        <v>2021</v>
      </c>
      <c r="B669" s="12">
        <f>IFERROR(__xludf.DUMMYFUNCTION("""COMPUTED_VALUE"""),10.0)</f>
        <v>10</v>
      </c>
      <c r="C669" s="12">
        <f>IFERROR(__xludf.DUMMYFUNCTION("""COMPUTED_VALUE"""),14.0)</f>
        <v>14</v>
      </c>
      <c r="D669" s="12">
        <f>IFERROR(__xludf.DUMMYFUNCTION("""COMPUTED_VALUE"""),1003893.0)</f>
        <v>1003893</v>
      </c>
      <c r="E669" s="12">
        <f>IFERROR(__xludf.DUMMYFUNCTION("""COMPUTED_VALUE"""),4.0)</f>
        <v>4</v>
      </c>
      <c r="F669" s="12">
        <f>IFERROR(__xludf.DUMMYFUNCTION("""COMPUTED_VALUE"""),4.64)</f>
        <v>4.64</v>
      </c>
      <c r="G669" s="12">
        <f>IFERROR(__xludf.DUMMYFUNCTION("""COMPUTED_VALUE"""),0.0)</f>
        <v>0</v>
      </c>
      <c r="H669" s="12" t="str">
        <f>IFERROR(__xludf.DUMMYFUNCTION("""COMPUTED_VALUE"""),"Return")</f>
        <v>Return</v>
      </c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>
      <c r="A670" s="12">
        <f>IFERROR(__xludf.DUMMYFUNCTION("""COMPUTED_VALUE"""),2021.0)</f>
        <v>2021</v>
      </c>
      <c r="B670" s="12">
        <f>IFERROR(__xludf.DUMMYFUNCTION("""COMPUTED_VALUE"""),10.0)</f>
        <v>10</v>
      </c>
      <c r="C670" s="12">
        <f>IFERROR(__xludf.DUMMYFUNCTION("""COMPUTED_VALUE"""),14.0)</f>
        <v>14</v>
      </c>
      <c r="D670" s="12">
        <f>IFERROR(__xludf.DUMMYFUNCTION("""COMPUTED_VALUE"""),1003894.0)</f>
        <v>1003894</v>
      </c>
      <c r="E670" s="12">
        <f>IFERROR(__xludf.DUMMYFUNCTION("""COMPUTED_VALUE"""),5.0)</f>
        <v>5</v>
      </c>
      <c r="F670" s="12">
        <f>IFERROR(__xludf.DUMMYFUNCTION("""COMPUTED_VALUE"""),0.0)</f>
        <v>0</v>
      </c>
      <c r="G670" s="12">
        <f>IFERROR(__xludf.DUMMYFUNCTION("""COMPUTED_VALUE"""),0.0)</f>
        <v>0</v>
      </c>
      <c r="H670" s="12" t="str">
        <f>IFERROR(__xludf.DUMMYFUNCTION("""COMPUTED_VALUE"""),"Damage")</f>
        <v>Damage</v>
      </c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>
      <c r="A671" s="12">
        <f>IFERROR(__xludf.DUMMYFUNCTION("""COMPUTED_VALUE"""),2021.0)</f>
        <v>2021</v>
      </c>
      <c r="B671" s="12">
        <f>IFERROR(__xludf.DUMMYFUNCTION("""COMPUTED_VALUE"""),10.0)</f>
        <v>10</v>
      </c>
      <c r="C671" s="12">
        <f>IFERROR(__xludf.DUMMYFUNCTION("""COMPUTED_VALUE"""),14.0)</f>
        <v>14</v>
      </c>
      <c r="D671" s="12">
        <f>IFERROR(__xludf.DUMMYFUNCTION("""COMPUTED_VALUE"""),1003898.0)</f>
        <v>1003898</v>
      </c>
      <c r="E671" s="12">
        <f>IFERROR(__xludf.DUMMYFUNCTION("""COMPUTED_VALUE"""),1.0)</f>
        <v>1</v>
      </c>
      <c r="F671" s="12">
        <f>IFERROR(__xludf.DUMMYFUNCTION("""COMPUTED_VALUE"""),0.0)</f>
        <v>0</v>
      </c>
      <c r="G671" s="12">
        <f>IFERROR(__xludf.DUMMYFUNCTION("""COMPUTED_VALUE"""),0.0)</f>
        <v>0</v>
      </c>
      <c r="H671" s="12" t="str">
        <f>IFERROR(__xludf.DUMMYFUNCTION("""COMPUTED_VALUE"""),"Wrong product")</f>
        <v>Wrong product</v>
      </c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>
      <c r="A672" s="12">
        <f>IFERROR(__xludf.DUMMYFUNCTION("""COMPUTED_VALUE"""),2021.0)</f>
        <v>2021</v>
      </c>
      <c r="B672" s="12">
        <f>IFERROR(__xludf.DUMMYFUNCTION("""COMPUTED_VALUE"""),10.0)</f>
        <v>10</v>
      </c>
      <c r="C672" s="12">
        <f>IFERROR(__xludf.DUMMYFUNCTION("""COMPUTED_VALUE"""),14.0)</f>
        <v>14</v>
      </c>
      <c r="D672" s="12">
        <f>IFERROR(__xludf.DUMMYFUNCTION("""COMPUTED_VALUE"""),1003912.0)</f>
        <v>1003912</v>
      </c>
      <c r="E672" s="12">
        <f>IFERROR(__xludf.DUMMYFUNCTION("""COMPUTED_VALUE"""),7.0)</f>
        <v>7</v>
      </c>
      <c r="F672" s="12">
        <f>IFERROR(__xludf.DUMMYFUNCTION("""COMPUTED_VALUE"""),0.0)</f>
        <v>0</v>
      </c>
      <c r="G672" s="12">
        <f>IFERROR(__xludf.DUMMYFUNCTION("""COMPUTED_VALUE"""),0.0)</f>
        <v>0</v>
      </c>
      <c r="H672" s="12" t="str">
        <f>IFERROR(__xludf.DUMMYFUNCTION("""COMPUTED_VALUE"""),"Wrong product")</f>
        <v>Wrong product</v>
      </c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>
      <c r="A673" s="12">
        <f>IFERROR(__xludf.DUMMYFUNCTION("""COMPUTED_VALUE"""),2021.0)</f>
        <v>2021</v>
      </c>
      <c r="B673" s="12">
        <f>IFERROR(__xludf.DUMMYFUNCTION("""COMPUTED_VALUE"""),10.0)</f>
        <v>10</v>
      </c>
      <c r="C673" s="12">
        <f>IFERROR(__xludf.DUMMYFUNCTION("""COMPUTED_VALUE"""),14.0)</f>
        <v>14</v>
      </c>
      <c r="D673" s="12">
        <f>IFERROR(__xludf.DUMMYFUNCTION("""COMPUTED_VALUE"""),1003935.0)</f>
        <v>1003935</v>
      </c>
      <c r="E673" s="12">
        <f>IFERROR(__xludf.DUMMYFUNCTION("""COMPUTED_VALUE"""),6.0)</f>
        <v>6</v>
      </c>
      <c r="F673" s="12">
        <f>IFERROR(__xludf.DUMMYFUNCTION("""COMPUTED_VALUE"""),0.0)</f>
        <v>0</v>
      </c>
      <c r="G673" s="12">
        <f>IFERROR(__xludf.DUMMYFUNCTION("""COMPUTED_VALUE"""),0.0)</f>
        <v>0</v>
      </c>
      <c r="H673" s="12" t="str">
        <f>IFERROR(__xludf.DUMMYFUNCTION("""COMPUTED_VALUE"""),"Return")</f>
        <v>Return</v>
      </c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>
      <c r="A674" s="12">
        <f>IFERROR(__xludf.DUMMYFUNCTION("""COMPUTED_VALUE"""),2021.0)</f>
        <v>2021</v>
      </c>
      <c r="B674" s="12">
        <f>IFERROR(__xludf.DUMMYFUNCTION("""COMPUTED_VALUE"""),10.0)</f>
        <v>10</v>
      </c>
      <c r="C674" s="12">
        <f>IFERROR(__xludf.DUMMYFUNCTION("""COMPUTED_VALUE"""),14.0)</f>
        <v>14</v>
      </c>
      <c r="D674" s="12">
        <f>IFERROR(__xludf.DUMMYFUNCTION("""COMPUTED_VALUE"""),1003949.0)</f>
        <v>1003949</v>
      </c>
      <c r="E674" s="12">
        <f>IFERROR(__xludf.DUMMYFUNCTION("""COMPUTED_VALUE"""),1.0)</f>
        <v>1</v>
      </c>
      <c r="F674" s="12">
        <f>IFERROR(__xludf.DUMMYFUNCTION("""COMPUTED_VALUE"""),0.0)</f>
        <v>0</v>
      </c>
      <c r="G674" s="12">
        <f>IFERROR(__xludf.DUMMYFUNCTION("""COMPUTED_VALUE"""),0.0)</f>
        <v>0</v>
      </c>
      <c r="H674" s="12" t="str">
        <f>IFERROR(__xludf.DUMMYFUNCTION("""COMPUTED_VALUE"""),"Return")</f>
        <v>Return</v>
      </c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>
      <c r="A675" s="12">
        <f>IFERROR(__xludf.DUMMYFUNCTION("""COMPUTED_VALUE"""),2021.0)</f>
        <v>2021</v>
      </c>
      <c r="B675" s="12">
        <f>IFERROR(__xludf.DUMMYFUNCTION("""COMPUTED_VALUE"""),10.0)</f>
        <v>10</v>
      </c>
      <c r="C675" s="12">
        <f>IFERROR(__xludf.DUMMYFUNCTION("""COMPUTED_VALUE"""),14.0)</f>
        <v>14</v>
      </c>
      <c r="D675" s="12">
        <f>IFERROR(__xludf.DUMMYFUNCTION("""COMPUTED_VALUE"""),1003951.0)</f>
        <v>1003951</v>
      </c>
      <c r="E675" s="12">
        <f>IFERROR(__xludf.DUMMYFUNCTION("""COMPUTED_VALUE"""),2.0)</f>
        <v>2</v>
      </c>
      <c r="F675" s="12">
        <f>IFERROR(__xludf.DUMMYFUNCTION("""COMPUTED_VALUE"""),0.0)</f>
        <v>0</v>
      </c>
      <c r="G675" s="12">
        <f>IFERROR(__xludf.DUMMYFUNCTION("""COMPUTED_VALUE"""),5.0)</f>
        <v>5</v>
      </c>
      <c r="H675" s="12" t="str">
        <f>IFERROR(__xludf.DUMMYFUNCTION("""COMPUTED_VALUE"""),"Return")</f>
        <v>Return</v>
      </c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>
      <c r="A676" s="12">
        <f>IFERROR(__xludf.DUMMYFUNCTION("""COMPUTED_VALUE"""),2021.0)</f>
        <v>2021</v>
      </c>
      <c r="B676" s="12">
        <f>IFERROR(__xludf.DUMMYFUNCTION("""COMPUTED_VALUE"""),10.0)</f>
        <v>10</v>
      </c>
      <c r="C676" s="12">
        <f>IFERROR(__xludf.DUMMYFUNCTION("""COMPUTED_VALUE"""),14.0)</f>
        <v>14</v>
      </c>
      <c r="D676" s="12">
        <f>IFERROR(__xludf.DUMMYFUNCTION("""COMPUTED_VALUE"""),1003952.0)</f>
        <v>1003952</v>
      </c>
      <c r="E676" s="12">
        <f>IFERROR(__xludf.DUMMYFUNCTION("""COMPUTED_VALUE"""),4.0)</f>
        <v>4</v>
      </c>
      <c r="F676" s="12">
        <f>IFERROR(__xludf.DUMMYFUNCTION("""COMPUTED_VALUE"""),0.0)</f>
        <v>0</v>
      </c>
      <c r="G676" s="12">
        <f>IFERROR(__xludf.DUMMYFUNCTION("""COMPUTED_VALUE"""),0.0)</f>
        <v>0</v>
      </c>
      <c r="H676" s="12" t="str">
        <f>IFERROR(__xludf.DUMMYFUNCTION("""COMPUTED_VALUE"""),"Wrong product")</f>
        <v>Wrong product</v>
      </c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>
      <c r="A677" s="12">
        <f>IFERROR(__xludf.DUMMYFUNCTION("""COMPUTED_VALUE"""),2021.0)</f>
        <v>2021</v>
      </c>
      <c r="B677" s="12">
        <f>IFERROR(__xludf.DUMMYFUNCTION("""COMPUTED_VALUE"""),10.0)</f>
        <v>10</v>
      </c>
      <c r="C677" s="12">
        <f>IFERROR(__xludf.DUMMYFUNCTION("""COMPUTED_VALUE"""),14.0)</f>
        <v>14</v>
      </c>
      <c r="D677" s="12">
        <f>IFERROR(__xludf.DUMMYFUNCTION("""COMPUTED_VALUE"""),1003968.0)</f>
        <v>1003968</v>
      </c>
      <c r="E677" s="12">
        <f>IFERROR(__xludf.DUMMYFUNCTION("""COMPUTED_VALUE"""),3.0)</f>
        <v>3</v>
      </c>
      <c r="F677" s="12">
        <f>IFERROR(__xludf.DUMMYFUNCTION("""COMPUTED_VALUE"""),0.0)</f>
        <v>0</v>
      </c>
      <c r="G677" s="12">
        <f>IFERROR(__xludf.DUMMYFUNCTION("""COMPUTED_VALUE"""),0.0)</f>
        <v>0</v>
      </c>
      <c r="H677" s="12" t="str">
        <f>IFERROR(__xludf.DUMMYFUNCTION("""COMPUTED_VALUE"""),"Wrong product")</f>
        <v>Wrong product</v>
      </c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>
      <c r="A678" s="12">
        <f>IFERROR(__xludf.DUMMYFUNCTION("""COMPUTED_VALUE"""),2021.0)</f>
        <v>2021</v>
      </c>
      <c r="B678" s="12">
        <f>IFERROR(__xludf.DUMMYFUNCTION("""COMPUTED_VALUE"""),10.0)</f>
        <v>10</v>
      </c>
      <c r="C678" s="12">
        <f>IFERROR(__xludf.DUMMYFUNCTION("""COMPUTED_VALUE"""),15.0)</f>
        <v>15</v>
      </c>
      <c r="D678" s="12">
        <f>IFERROR(__xludf.DUMMYFUNCTION("""COMPUTED_VALUE"""),1003982.0)</f>
        <v>1003982</v>
      </c>
      <c r="E678" s="12">
        <f>IFERROR(__xludf.DUMMYFUNCTION("""COMPUTED_VALUE"""),1.0)</f>
        <v>1</v>
      </c>
      <c r="F678" s="12">
        <f>IFERROR(__xludf.DUMMYFUNCTION("""COMPUTED_VALUE"""),0.0)</f>
        <v>0</v>
      </c>
      <c r="G678" s="12">
        <f>IFERROR(__xludf.DUMMYFUNCTION("""COMPUTED_VALUE"""),0.0)</f>
        <v>0</v>
      </c>
      <c r="H678" s="12" t="str">
        <f>IFERROR(__xludf.DUMMYFUNCTION("""COMPUTED_VALUE"""),"Wrong product")</f>
        <v>Wrong product</v>
      </c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>
      <c r="A679" s="12">
        <f>IFERROR(__xludf.DUMMYFUNCTION("""COMPUTED_VALUE"""),2021.0)</f>
        <v>2021</v>
      </c>
      <c r="B679" s="12">
        <f>IFERROR(__xludf.DUMMYFUNCTION("""COMPUTED_VALUE"""),10.0)</f>
        <v>10</v>
      </c>
      <c r="C679" s="12">
        <f>IFERROR(__xludf.DUMMYFUNCTION("""COMPUTED_VALUE"""),15.0)</f>
        <v>15</v>
      </c>
      <c r="D679" s="12">
        <f>IFERROR(__xludf.DUMMYFUNCTION("""COMPUTED_VALUE"""),1003991.0)</f>
        <v>1003991</v>
      </c>
      <c r="E679" s="12">
        <f>IFERROR(__xludf.DUMMYFUNCTION("""COMPUTED_VALUE"""),20.0)</f>
        <v>20</v>
      </c>
      <c r="F679" s="12">
        <f>IFERROR(__xludf.DUMMYFUNCTION("""COMPUTED_VALUE"""),0.0)</f>
        <v>0</v>
      </c>
      <c r="G679" s="12">
        <f>IFERROR(__xludf.DUMMYFUNCTION("""COMPUTED_VALUE"""),5.0)</f>
        <v>5</v>
      </c>
      <c r="H679" s="12" t="str">
        <f>IFERROR(__xludf.DUMMYFUNCTION("""COMPUTED_VALUE"""),"Return")</f>
        <v>Return</v>
      </c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>
      <c r="A680" s="12">
        <f>IFERROR(__xludf.DUMMYFUNCTION("""COMPUTED_VALUE"""),2021.0)</f>
        <v>2021</v>
      </c>
      <c r="B680" s="12">
        <f>IFERROR(__xludf.DUMMYFUNCTION("""COMPUTED_VALUE"""),10.0)</f>
        <v>10</v>
      </c>
      <c r="C680" s="12">
        <f>IFERROR(__xludf.DUMMYFUNCTION("""COMPUTED_VALUE"""),15.0)</f>
        <v>15</v>
      </c>
      <c r="D680" s="12">
        <f>IFERROR(__xludf.DUMMYFUNCTION("""COMPUTED_VALUE"""),1003996.0)</f>
        <v>1003996</v>
      </c>
      <c r="E680" s="12">
        <f>IFERROR(__xludf.DUMMYFUNCTION("""COMPUTED_VALUE"""),11.0)</f>
        <v>11</v>
      </c>
      <c r="F680" s="12">
        <f>IFERROR(__xludf.DUMMYFUNCTION("""COMPUTED_VALUE"""),0.0)</f>
        <v>0</v>
      </c>
      <c r="G680" s="12">
        <f>IFERROR(__xludf.DUMMYFUNCTION("""COMPUTED_VALUE"""),5.0)</f>
        <v>5</v>
      </c>
      <c r="H680" s="12" t="str">
        <f>IFERROR(__xludf.DUMMYFUNCTION("""COMPUTED_VALUE"""),"Return")</f>
        <v>Return</v>
      </c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>
      <c r="A681" s="12">
        <f>IFERROR(__xludf.DUMMYFUNCTION("""COMPUTED_VALUE"""),2021.0)</f>
        <v>2021</v>
      </c>
      <c r="B681" s="12">
        <f>IFERROR(__xludf.DUMMYFUNCTION("""COMPUTED_VALUE"""),10.0)</f>
        <v>10</v>
      </c>
      <c r="C681" s="12">
        <f>IFERROR(__xludf.DUMMYFUNCTION("""COMPUTED_VALUE"""),15.0)</f>
        <v>15</v>
      </c>
      <c r="D681" s="12">
        <f>IFERROR(__xludf.DUMMYFUNCTION("""COMPUTED_VALUE"""),1004001.0)</f>
        <v>1004001</v>
      </c>
      <c r="E681" s="12">
        <f>IFERROR(__xludf.DUMMYFUNCTION("""COMPUTED_VALUE"""),16.0)</f>
        <v>16</v>
      </c>
      <c r="F681" s="12">
        <f>IFERROR(__xludf.DUMMYFUNCTION("""COMPUTED_VALUE"""),0.0)</f>
        <v>0</v>
      </c>
      <c r="G681" s="12">
        <f>IFERROR(__xludf.DUMMYFUNCTION("""COMPUTED_VALUE"""),0.0)</f>
        <v>0</v>
      </c>
      <c r="H681" s="12" t="str">
        <f>IFERROR(__xludf.DUMMYFUNCTION("""COMPUTED_VALUE"""),"Return")</f>
        <v>Return</v>
      </c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>
      <c r="A682" s="12">
        <f>IFERROR(__xludf.DUMMYFUNCTION("""COMPUTED_VALUE"""),2021.0)</f>
        <v>2021</v>
      </c>
      <c r="B682" s="12">
        <f>IFERROR(__xludf.DUMMYFUNCTION("""COMPUTED_VALUE"""),10.0)</f>
        <v>10</v>
      </c>
      <c r="C682" s="12">
        <f>IFERROR(__xludf.DUMMYFUNCTION("""COMPUTED_VALUE"""),15.0)</f>
        <v>15</v>
      </c>
      <c r="D682" s="12">
        <f>IFERROR(__xludf.DUMMYFUNCTION("""COMPUTED_VALUE"""),1004005.0)</f>
        <v>1004005</v>
      </c>
      <c r="E682" s="12">
        <f>IFERROR(__xludf.DUMMYFUNCTION("""COMPUTED_VALUE"""),19.0)</f>
        <v>19</v>
      </c>
      <c r="F682" s="12">
        <f>IFERROR(__xludf.DUMMYFUNCTION("""COMPUTED_VALUE"""),0.0)</f>
        <v>0</v>
      </c>
      <c r="G682" s="12">
        <f>IFERROR(__xludf.DUMMYFUNCTION("""COMPUTED_VALUE"""),0.0)</f>
        <v>0</v>
      </c>
      <c r="H682" s="12" t="str">
        <f>IFERROR(__xludf.DUMMYFUNCTION("""COMPUTED_VALUE"""),"Return")</f>
        <v>Return</v>
      </c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>
      <c r="A683" s="12">
        <f>IFERROR(__xludf.DUMMYFUNCTION("""COMPUTED_VALUE"""),2021.0)</f>
        <v>2021</v>
      </c>
      <c r="B683" s="12">
        <f>IFERROR(__xludf.DUMMYFUNCTION("""COMPUTED_VALUE"""),10.0)</f>
        <v>10</v>
      </c>
      <c r="C683" s="12">
        <f>IFERROR(__xludf.DUMMYFUNCTION("""COMPUTED_VALUE"""),15.0)</f>
        <v>15</v>
      </c>
      <c r="D683" s="12">
        <f>IFERROR(__xludf.DUMMYFUNCTION("""COMPUTED_VALUE"""),1004009.0)</f>
        <v>1004009</v>
      </c>
      <c r="E683" s="12">
        <f>IFERROR(__xludf.DUMMYFUNCTION("""COMPUTED_VALUE"""),9.0)</f>
        <v>9</v>
      </c>
      <c r="F683" s="12">
        <f>IFERROR(__xludf.DUMMYFUNCTION("""COMPUTED_VALUE"""),0.0)</f>
        <v>0</v>
      </c>
      <c r="G683" s="12">
        <f>IFERROR(__xludf.DUMMYFUNCTION("""COMPUTED_VALUE"""),0.0)</f>
        <v>0</v>
      </c>
      <c r="H683" s="12" t="str">
        <f>IFERROR(__xludf.DUMMYFUNCTION("""COMPUTED_VALUE"""),"Wrong product")</f>
        <v>Wrong product</v>
      </c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>
      <c r="A684" s="12">
        <f>IFERROR(__xludf.DUMMYFUNCTION("""COMPUTED_VALUE"""),2021.0)</f>
        <v>2021</v>
      </c>
      <c r="B684" s="12">
        <f>IFERROR(__xludf.DUMMYFUNCTION("""COMPUTED_VALUE"""),10.0)</f>
        <v>10</v>
      </c>
      <c r="C684" s="12">
        <f>IFERROR(__xludf.DUMMYFUNCTION("""COMPUTED_VALUE"""),15.0)</f>
        <v>15</v>
      </c>
      <c r="D684" s="12">
        <f>IFERROR(__xludf.DUMMYFUNCTION("""COMPUTED_VALUE"""),1004015.0)</f>
        <v>1004015</v>
      </c>
      <c r="E684" s="12">
        <f>IFERROR(__xludf.DUMMYFUNCTION("""COMPUTED_VALUE"""),8.0)</f>
        <v>8</v>
      </c>
      <c r="F684" s="12">
        <f>IFERROR(__xludf.DUMMYFUNCTION("""COMPUTED_VALUE"""),0.0)</f>
        <v>0</v>
      </c>
      <c r="G684" s="12">
        <f>IFERROR(__xludf.DUMMYFUNCTION("""COMPUTED_VALUE"""),4.0)</f>
        <v>4</v>
      </c>
      <c r="H684" s="12" t="str">
        <f>IFERROR(__xludf.DUMMYFUNCTION("""COMPUTED_VALUE"""),"Return")</f>
        <v>Return</v>
      </c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>
      <c r="A685" s="12">
        <f>IFERROR(__xludf.DUMMYFUNCTION("""COMPUTED_VALUE"""),2021.0)</f>
        <v>2021</v>
      </c>
      <c r="B685" s="12">
        <f>IFERROR(__xludf.DUMMYFUNCTION("""COMPUTED_VALUE"""),10.0)</f>
        <v>10</v>
      </c>
      <c r="C685" s="12">
        <f>IFERROR(__xludf.DUMMYFUNCTION("""COMPUTED_VALUE"""),15.0)</f>
        <v>15</v>
      </c>
      <c r="D685" s="12">
        <f>IFERROR(__xludf.DUMMYFUNCTION("""COMPUTED_VALUE"""),1004017.0)</f>
        <v>1004017</v>
      </c>
      <c r="E685" s="12">
        <f>IFERROR(__xludf.DUMMYFUNCTION("""COMPUTED_VALUE"""),16.0)</f>
        <v>16</v>
      </c>
      <c r="F685" s="12">
        <f>IFERROR(__xludf.DUMMYFUNCTION("""COMPUTED_VALUE"""),0.0)</f>
        <v>0</v>
      </c>
      <c r="G685" s="12">
        <f>IFERROR(__xludf.DUMMYFUNCTION("""COMPUTED_VALUE"""),0.0)</f>
        <v>0</v>
      </c>
      <c r="H685" s="12" t="str">
        <f>IFERROR(__xludf.DUMMYFUNCTION("""COMPUTED_VALUE"""),"Return")</f>
        <v>Return</v>
      </c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>
      <c r="A686" s="12">
        <f>IFERROR(__xludf.DUMMYFUNCTION("""COMPUTED_VALUE"""),2021.0)</f>
        <v>2021</v>
      </c>
      <c r="B686" s="12">
        <f>IFERROR(__xludf.DUMMYFUNCTION("""COMPUTED_VALUE"""),10.0)</f>
        <v>10</v>
      </c>
      <c r="C686" s="12">
        <f>IFERROR(__xludf.DUMMYFUNCTION("""COMPUTED_VALUE"""),15.0)</f>
        <v>15</v>
      </c>
      <c r="D686" s="12">
        <f>IFERROR(__xludf.DUMMYFUNCTION("""COMPUTED_VALUE"""),1004021.0)</f>
        <v>1004021</v>
      </c>
      <c r="E686" s="12">
        <f>IFERROR(__xludf.DUMMYFUNCTION("""COMPUTED_VALUE"""),3.0)</f>
        <v>3</v>
      </c>
      <c r="F686" s="12">
        <f>IFERROR(__xludf.DUMMYFUNCTION("""COMPUTED_VALUE"""),0.0)</f>
        <v>0</v>
      </c>
      <c r="G686" s="12">
        <f>IFERROR(__xludf.DUMMYFUNCTION("""COMPUTED_VALUE"""),0.0)</f>
        <v>0</v>
      </c>
      <c r="H686" s="12" t="str">
        <f>IFERROR(__xludf.DUMMYFUNCTION("""COMPUTED_VALUE"""),"Damage")</f>
        <v>Damage</v>
      </c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>
      <c r="A687" s="12">
        <f>IFERROR(__xludf.DUMMYFUNCTION("""COMPUTED_VALUE"""),2021.0)</f>
        <v>2021</v>
      </c>
      <c r="B687" s="12">
        <f>IFERROR(__xludf.DUMMYFUNCTION("""COMPUTED_VALUE"""),10.0)</f>
        <v>10</v>
      </c>
      <c r="C687" s="12">
        <f>IFERROR(__xludf.DUMMYFUNCTION("""COMPUTED_VALUE"""),15.0)</f>
        <v>15</v>
      </c>
      <c r="D687" s="12">
        <f>IFERROR(__xludf.DUMMYFUNCTION("""COMPUTED_VALUE"""),1004022.0)</f>
        <v>1004022</v>
      </c>
      <c r="E687" s="12">
        <f>IFERROR(__xludf.DUMMYFUNCTION("""COMPUTED_VALUE"""),13.0)</f>
        <v>13</v>
      </c>
      <c r="F687" s="12">
        <f>IFERROR(__xludf.DUMMYFUNCTION("""COMPUTED_VALUE"""),0.0)</f>
        <v>0</v>
      </c>
      <c r="G687" s="12">
        <f>IFERROR(__xludf.DUMMYFUNCTION("""COMPUTED_VALUE"""),0.0)</f>
        <v>0</v>
      </c>
      <c r="H687" s="12" t="str">
        <f>IFERROR(__xludf.DUMMYFUNCTION("""COMPUTED_VALUE"""),"Damage")</f>
        <v>Damage</v>
      </c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9" max="9" width="15.25"/>
  </cols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4" t="s">
        <v>8</v>
      </c>
      <c r="J1" s="12" t="s">
        <v>9</v>
      </c>
      <c r="K1" s="12" t="s">
        <v>9</v>
      </c>
      <c r="L1" s="12" t="s">
        <v>9</v>
      </c>
      <c r="M1" s="12" t="s">
        <v>9</v>
      </c>
      <c r="N1" s="12" t="s">
        <v>9</v>
      </c>
      <c r="O1" s="12" t="s">
        <v>9</v>
      </c>
      <c r="P1" s="12" t="s">
        <v>9</v>
      </c>
      <c r="Q1" s="12" t="s">
        <v>9</v>
      </c>
      <c r="R1" s="12" t="s">
        <v>9</v>
      </c>
      <c r="S1" s="12" t="s">
        <v>9</v>
      </c>
      <c r="T1" s="12" t="s">
        <v>9</v>
      </c>
      <c r="U1" s="12" t="s">
        <v>9</v>
      </c>
      <c r="V1" s="12" t="s">
        <v>9</v>
      </c>
      <c r="W1" s="12" t="s">
        <v>9</v>
      </c>
      <c r="X1" s="12" t="s">
        <v>9</v>
      </c>
      <c r="Y1" s="12" t="s">
        <v>9</v>
      </c>
      <c r="Z1" s="12" t="s">
        <v>9</v>
      </c>
    </row>
    <row r="2">
      <c r="A2" s="12">
        <v>2021.0</v>
      </c>
      <c r="B2" s="12">
        <v>10.0</v>
      </c>
      <c r="C2" s="12">
        <v>1.0</v>
      </c>
      <c r="D2" s="12">
        <v>1003644.0</v>
      </c>
      <c r="E2" s="12">
        <v>6.0</v>
      </c>
      <c r="F2" s="12">
        <v>0.0</v>
      </c>
      <c r="G2" s="12">
        <v>0.0</v>
      </c>
      <c r="H2" s="12" t="s">
        <v>10</v>
      </c>
      <c r="I2" s="12">
        <f>sumıf(Sales!B:B,D2,Sales!G:G)</f>
        <v>53.54</v>
      </c>
    </row>
    <row r="3">
      <c r="A3" s="12">
        <v>2021.0</v>
      </c>
      <c r="B3" s="12">
        <v>10.0</v>
      </c>
      <c r="C3" s="12">
        <v>1.0</v>
      </c>
      <c r="D3" s="12">
        <v>1003989.0</v>
      </c>
      <c r="E3" s="12">
        <v>3.0</v>
      </c>
      <c r="F3" s="12">
        <v>0.0</v>
      </c>
      <c r="G3" s="12">
        <v>0.0</v>
      </c>
      <c r="H3" s="12" t="s">
        <v>11</v>
      </c>
      <c r="I3" s="12">
        <f>sumıf(Sales!B:B,D3,Sales!G:G)</f>
        <v>247.63</v>
      </c>
    </row>
    <row r="4">
      <c r="A4" s="12">
        <v>2021.0</v>
      </c>
      <c r="B4" s="12">
        <v>10.0</v>
      </c>
      <c r="C4" s="12">
        <v>1.0</v>
      </c>
      <c r="D4" s="12">
        <v>1003585.0</v>
      </c>
      <c r="E4" s="12">
        <v>1.0</v>
      </c>
      <c r="F4" s="12">
        <v>0.0</v>
      </c>
      <c r="G4" s="12">
        <v>0.0</v>
      </c>
      <c r="H4" s="12" t="s">
        <v>11</v>
      </c>
      <c r="I4" s="12">
        <f>sumıf(Sales!B:B,D4,Sales!G:G)</f>
        <v>41.48</v>
      </c>
    </row>
    <row r="5">
      <c r="A5" s="12">
        <v>2021.0</v>
      </c>
      <c r="B5" s="12">
        <v>10.0</v>
      </c>
      <c r="C5" s="12">
        <v>1.0</v>
      </c>
      <c r="D5" s="12">
        <v>1003362.0</v>
      </c>
      <c r="E5" s="12">
        <v>3.0</v>
      </c>
      <c r="F5" s="12">
        <v>0.0</v>
      </c>
      <c r="G5" s="12">
        <v>0.0</v>
      </c>
      <c r="H5" s="12" t="s">
        <v>11</v>
      </c>
      <c r="I5" s="12">
        <f>sumıf(Sales!B:B,D5,Sales!G:G)</f>
        <v>183.53</v>
      </c>
    </row>
    <row r="6">
      <c r="A6" s="12">
        <v>2021.0</v>
      </c>
      <c r="B6" s="12">
        <v>10.0</v>
      </c>
      <c r="C6" s="12">
        <v>1.0</v>
      </c>
      <c r="D6" s="12">
        <v>1003322.0</v>
      </c>
      <c r="E6" s="12">
        <v>1.0</v>
      </c>
      <c r="F6" s="12">
        <v>0.0</v>
      </c>
      <c r="G6" s="12">
        <v>10.0</v>
      </c>
      <c r="H6" s="12" t="s">
        <v>12</v>
      </c>
      <c r="I6" s="12">
        <f>sumıf(Sales!B:B,D6,Sales!G:G)</f>
        <v>200.76</v>
      </c>
    </row>
    <row r="7">
      <c r="A7" s="12">
        <v>2021.0</v>
      </c>
      <c r="B7" s="12">
        <v>10.0</v>
      </c>
      <c r="C7" s="12">
        <v>1.0</v>
      </c>
      <c r="D7" s="12">
        <v>1003992.0</v>
      </c>
      <c r="E7" s="12">
        <v>13.0</v>
      </c>
      <c r="F7" s="12">
        <v>0.0</v>
      </c>
      <c r="G7" s="12">
        <v>0.0</v>
      </c>
      <c r="H7" s="12" t="s">
        <v>12</v>
      </c>
      <c r="I7" s="12">
        <f>sumıf(Sales!B:B,D7,Sales!G:G)</f>
        <v>16.41</v>
      </c>
    </row>
    <row r="8">
      <c r="A8" s="12">
        <v>2021.0</v>
      </c>
      <c r="B8" s="12">
        <v>10.0</v>
      </c>
      <c r="C8" s="12">
        <v>1.0</v>
      </c>
      <c r="D8" s="12">
        <v>1003540.0</v>
      </c>
      <c r="E8" s="12">
        <v>2.0</v>
      </c>
      <c r="F8" s="12">
        <v>0.0</v>
      </c>
      <c r="G8" s="12">
        <v>0.0</v>
      </c>
      <c r="H8" s="12" t="s">
        <v>12</v>
      </c>
      <c r="I8" s="12">
        <f>sumıf(Sales!B:B,D8,Sales!G:G)</f>
        <v>55.63</v>
      </c>
    </row>
    <row r="9">
      <c r="A9" s="12">
        <v>2021.0</v>
      </c>
      <c r="B9" s="12">
        <v>10.0</v>
      </c>
      <c r="C9" s="12">
        <v>1.0</v>
      </c>
      <c r="D9" s="12">
        <v>1003712.0</v>
      </c>
      <c r="E9" s="13">
        <v>0.7595799120798356</v>
      </c>
      <c r="F9" s="12">
        <v>0.0</v>
      </c>
      <c r="G9" s="12">
        <v>10.0</v>
      </c>
      <c r="H9" s="12" t="s">
        <v>12</v>
      </c>
      <c r="I9" s="12">
        <f>sumıf(Sales!B:B,D9,Sales!G:G)</f>
        <v>111.66</v>
      </c>
    </row>
    <row r="10">
      <c r="A10" s="12">
        <v>2021.0</v>
      </c>
      <c r="B10" s="12">
        <v>10.0</v>
      </c>
      <c r="C10" s="12">
        <v>1.0</v>
      </c>
      <c r="D10" s="12">
        <v>1003802.0</v>
      </c>
      <c r="E10" s="12">
        <v>2.0</v>
      </c>
      <c r="F10" s="12">
        <v>0.0</v>
      </c>
      <c r="G10" s="12">
        <v>0.0</v>
      </c>
      <c r="H10" s="12" t="s">
        <v>10</v>
      </c>
      <c r="I10" s="12">
        <f>sumıf(Sales!B:B,D10,Sales!G:G)</f>
        <v>140.18</v>
      </c>
    </row>
    <row r="11">
      <c r="A11" s="12">
        <v>2021.0</v>
      </c>
      <c r="B11" s="12">
        <v>10.0</v>
      </c>
      <c r="C11" s="12">
        <v>1.0</v>
      </c>
      <c r="D11" s="12">
        <v>1003568.0</v>
      </c>
      <c r="E11" s="12">
        <v>3.0</v>
      </c>
      <c r="F11" s="12">
        <v>5.75</v>
      </c>
      <c r="G11" s="12">
        <v>0.0</v>
      </c>
      <c r="H11" s="12" t="s">
        <v>12</v>
      </c>
      <c r="I11" s="12">
        <f>sumıf(Sales!B:B,D11,Sales!G:G)</f>
        <v>107.54</v>
      </c>
    </row>
    <row r="12">
      <c r="A12" s="12">
        <v>2021.0</v>
      </c>
      <c r="B12" s="12">
        <v>10.0</v>
      </c>
      <c r="C12" s="12">
        <v>1.0</v>
      </c>
      <c r="D12" s="12">
        <v>1003822.0</v>
      </c>
      <c r="E12" s="12">
        <v>2.0</v>
      </c>
      <c r="F12" s="12">
        <v>0.0</v>
      </c>
      <c r="G12" s="12">
        <v>0.0</v>
      </c>
      <c r="H12" s="12" t="s">
        <v>12</v>
      </c>
      <c r="I12" s="12">
        <f>sumıf(Sales!B:B,D12,Sales!G:G)</f>
        <v>58.64</v>
      </c>
    </row>
    <row r="13">
      <c r="A13" s="12">
        <v>2021.0</v>
      </c>
      <c r="B13" s="12">
        <v>10.0</v>
      </c>
      <c r="C13" s="12">
        <v>1.0</v>
      </c>
      <c r="D13" s="12">
        <v>1003395.0</v>
      </c>
      <c r="E13" s="12">
        <v>1.0</v>
      </c>
      <c r="F13" s="12">
        <v>0.0</v>
      </c>
      <c r="G13" s="12">
        <v>10.0</v>
      </c>
      <c r="H13" s="12" t="s">
        <v>12</v>
      </c>
      <c r="I13" s="12">
        <f>sumıf(Sales!B:B,D13,Sales!G:G)</f>
        <v>111.61</v>
      </c>
    </row>
    <row r="14">
      <c r="A14" s="12">
        <v>2021.0</v>
      </c>
      <c r="B14" s="12">
        <v>10.0</v>
      </c>
      <c r="C14" s="12">
        <v>1.0</v>
      </c>
      <c r="D14" s="12">
        <v>1003641.0</v>
      </c>
      <c r="E14" s="12">
        <v>9.0</v>
      </c>
      <c r="F14" s="12">
        <v>0.0</v>
      </c>
      <c r="G14" s="12">
        <v>0.0</v>
      </c>
      <c r="H14" s="12" t="s">
        <v>12</v>
      </c>
      <c r="I14" s="12">
        <f>sumıf(Sales!B:B,D14,Sales!G:G)</f>
        <v>132.75</v>
      </c>
    </row>
    <row r="15">
      <c r="A15" s="12">
        <v>2021.0</v>
      </c>
      <c r="B15" s="12">
        <v>10.0</v>
      </c>
      <c r="C15" s="12">
        <v>1.0</v>
      </c>
      <c r="D15" s="12">
        <v>1003698.0</v>
      </c>
      <c r="E15" s="12">
        <v>1.0</v>
      </c>
      <c r="F15" s="12">
        <v>6.64</v>
      </c>
      <c r="G15" s="12">
        <v>0.0</v>
      </c>
      <c r="H15" s="12" t="s">
        <v>12</v>
      </c>
      <c r="I15" s="12">
        <f>sumıf(Sales!B:B,D15,Sales!G:G)</f>
        <v>72.6</v>
      </c>
    </row>
    <row r="16">
      <c r="A16" s="12">
        <v>2021.0</v>
      </c>
      <c r="B16" s="12">
        <v>10.0</v>
      </c>
      <c r="C16" s="12">
        <v>1.0</v>
      </c>
      <c r="D16" s="12">
        <v>1003880.0</v>
      </c>
      <c r="E16" s="12">
        <v>2.0</v>
      </c>
      <c r="F16" s="12">
        <v>4.63</v>
      </c>
      <c r="G16" s="12">
        <v>0.0</v>
      </c>
      <c r="H16" s="12" t="s">
        <v>12</v>
      </c>
      <c r="I16" s="12">
        <f>sumıf(Sales!B:B,D16,Sales!G:G)</f>
        <v>45.4</v>
      </c>
    </row>
    <row r="17">
      <c r="A17" s="12">
        <v>2021.0</v>
      </c>
      <c r="B17" s="12">
        <v>10.0</v>
      </c>
      <c r="C17" s="12">
        <v>1.0</v>
      </c>
      <c r="D17" s="12">
        <v>1003851.0</v>
      </c>
      <c r="E17" s="12">
        <v>2.0</v>
      </c>
      <c r="F17" s="12">
        <v>0.0</v>
      </c>
      <c r="G17" s="12">
        <v>0.0</v>
      </c>
      <c r="H17" s="12" t="s">
        <v>10</v>
      </c>
      <c r="I17" s="12">
        <f>sumıf(Sales!B:B,D17,Sales!G:G)</f>
        <v>47.56</v>
      </c>
    </row>
    <row r="18">
      <c r="A18" s="12">
        <v>2021.0</v>
      </c>
      <c r="B18" s="12">
        <v>10.0</v>
      </c>
      <c r="C18" s="12">
        <v>1.0</v>
      </c>
      <c r="D18" s="12">
        <v>1003501.0</v>
      </c>
      <c r="E18" s="12">
        <v>1.0</v>
      </c>
      <c r="F18" s="12">
        <v>0.0</v>
      </c>
      <c r="G18" s="12">
        <v>5.0</v>
      </c>
      <c r="H18" s="12" t="s">
        <v>12</v>
      </c>
      <c r="I18" s="12">
        <f>sumıf(Sales!B:B,D18,Sales!G:G)</f>
        <v>118.6</v>
      </c>
    </row>
    <row r="19">
      <c r="A19" s="12">
        <v>2021.0</v>
      </c>
      <c r="B19" s="12">
        <v>10.0</v>
      </c>
      <c r="C19" s="12">
        <v>1.0</v>
      </c>
      <c r="D19" s="12">
        <v>1004010.0</v>
      </c>
      <c r="E19" s="12">
        <v>1.0</v>
      </c>
      <c r="F19" s="12">
        <v>0.0</v>
      </c>
      <c r="G19" s="12">
        <v>0.0</v>
      </c>
      <c r="H19" s="12" t="s">
        <v>11</v>
      </c>
      <c r="I19" s="12">
        <f>sumıf(Sales!B:B,D19,Sales!G:G)</f>
        <v>295.25</v>
      </c>
    </row>
    <row r="20">
      <c r="A20" s="12">
        <v>2021.0</v>
      </c>
      <c r="B20" s="12">
        <v>10.0</v>
      </c>
      <c r="C20" s="12">
        <v>1.0</v>
      </c>
      <c r="D20" s="12">
        <v>1003808.0</v>
      </c>
      <c r="E20" s="13">
        <v>0.43335126759828724</v>
      </c>
      <c r="F20" s="12">
        <v>0.0</v>
      </c>
      <c r="G20" s="12">
        <v>0.0</v>
      </c>
      <c r="H20" s="12" t="s">
        <v>11</v>
      </c>
      <c r="I20" s="12">
        <f>sumıf(Sales!B:B,D20,Sales!G:G)</f>
        <v>118.62</v>
      </c>
    </row>
    <row r="21">
      <c r="A21" s="12">
        <v>2021.0</v>
      </c>
      <c r="B21" s="12">
        <v>10.0</v>
      </c>
      <c r="C21" s="12">
        <v>1.0</v>
      </c>
      <c r="D21" s="12">
        <v>1003454.0</v>
      </c>
      <c r="E21" s="12">
        <v>4.0</v>
      </c>
      <c r="F21" s="12">
        <v>0.0</v>
      </c>
      <c r="G21" s="12">
        <v>0.0</v>
      </c>
      <c r="H21" s="12" t="s">
        <v>11</v>
      </c>
      <c r="I21" s="12">
        <f>sumıf(Sales!B:B,D21,Sales!G:G)</f>
        <v>36.58</v>
      </c>
    </row>
    <row r="22">
      <c r="A22" s="12">
        <v>2021.0</v>
      </c>
      <c r="B22" s="12">
        <v>10.0</v>
      </c>
      <c r="C22" s="12">
        <v>1.0</v>
      </c>
      <c r="D22" s="12">
        <v>1003446.0</v>
      </c>
      <c r="E22" s="12">
        <v>3.0</v>
      </c>
      <c r="F22" s="12">
        <v>0.0</v>
      </c>
      <c r="G22" s="12">
        <v>0.0</v>
      </c>
      <c r="H22" s="12" t="s">
        <v>11</v>
      </c>
      <c r="I22" s="12">
        <f>sumıf(Sales!B:B,D22,Sales!G:G)</f>
        <v>7.32</v>
      </c>
    </row>
    <row r="23">
      <c r="A23" s="12">
        <v>2021.0</v>
      </c>
      <c r="B23" s="12">
        <v>10.0</v>
      </c>
      <c r="C23" s="12">
        <v>1.0</v>
      </c>
      <c r="D23" s="12">
        <v>1003723.0</v>
      </c>
      <c r="E23" s="12">
        <v>1.0</v>
      </c>
      <c r="F23" s="12">
        <v>0.0</v>
      </c>
      <c r="G23" s="12">
        <v>0.0</v>
      </c>
      <c r="H23" s="12" t="s">
        <v>10</v>
      </c>
      <c r="I23" s="12">
        <f>sumıf(Sales!B:B,D23,Sales!G:G)</f>
        <v>81.56</v>
      </c>
    </row>
    <row r="24">
      <c r="A24" s="12">
        <v>2021.0</v>
      </c>
      <c r="B24" s="12">
        <v>10.0</v>
      </c>
      <c r="C24" s="12">
        <v>1.0</v>
      </c>
      <c r="D24" s="12">
        <v>1003634.0</v>
      </c>
      <c r="E24" s="12">
        <v>3.0</v>
      </c>
      <c r="F24" s="12">
        <v>0.0</v>
      </c>
      <c r="G24" s="12">
        <v>0.0</v>
      </c>
      <c r="H24" s="12" t="s">
        <v>10</v>
      </c>
      <c r="I24" s="12">
        <f>sumıf(Sales!B:B,D24,Sales!G:G)</f>
        <v>71.35</v>
      </c>
    </row>
    <row r="25">
      <c r="A25" s="12">
        <v>2021.0</v>
      </c>
      <c r="B25" s="12">
        <v>10.0</v>
      </c>
      <c r="C25" s="12">
        <v>1.0</v>
      </c>
      <c r="D25" s="12">
        <v>1003584.0</v>
      </c>
      <c r="E25" s="12">
        <v>1.0</v>
      </c>
      <c r="F25" s="12">
        <v>0.0</v>
      </c>
      <c r="G25" s="12">
        <v>0.0</v>
      </c>
      <c r="H25" s="12" t="s">
        <v>11</v>
      </c>
      <c r="I25" s="12">
        <f>sumıf(Sales!B:B,D25,Sales!G:G)</f>
        <v>100.41</v>
      </c>
    </row>
    <row r="26">
      <c r="A26" s="12">
        <v>2021.0</v>
      </c>
      <c r="B26" s="12">
        <v>10.0</v>
      </c>
      <c r="C26" s="12">
        <v>1.0</v>
      </c>
      <c r="D26" s="12">
        <v>1003298.0</v>
      </c>
      <c r="E26" s="12">
        <v>18.0</v>
      </c>
      <c r="F26" s="12">
        <v>0.0</v>
      </c>
      <c r="G26" s="12">
        <v>8.0</v>
      </c>
      <c r="H26" s="12" t="s">
        <v>12</v>
      </c>
      <c r="I26" s="12">
        <f>sumıf(Sales!B:B,D26,Sales!G:G)</f>
        <v>57.68</v>
      </c>
    </row>
    <row r="27">
      <c r="A27" s="12">
        <v>2021.0</v>
      </c>
      <c r="B27" s="12">
        <v>10.0</v>
      </c>
      <c r="C27" s="12">
        <v>1.0</v>
      </c>
      <c r="D27" s="12">
        <v>1003500.0</v>
      </c>
      <c r="E27" s="12">
        <v>3.0</v>
      </c>
      <c r="F27" s="12">
        <v>0.0</v>
      </c>
      <c r="G27" s="12">
        <v>0.0</v>
      </c>
      <c r="H27" s="12" t="s">
        <v>10</v>
      </c>
      <c r="I27" s="12">
        <f>sumıf(Sales!B:B,D27,Sales!G:G)</f>
        <v>57.31</v>
      </c>
    </row>
    <row r="28">
      <c r="A28" s="12">
        <v>2021.0</v>
      </c>
      <c r="B28" s="12">
        <v>10.0</v>
      </c>
      <c r="C28" s="12">
        <v>1.0</v>
      </c>
      <c r="D28" s="12">
        <v>1003730.0</v>
      </c>
      <c r="E28" s="12">
        <v>3.0</v>
      </c>
      <c r="F28" s="12">
        <v>0.0</v>
      </c>
      <c r="G28" s="12">
        <v>0.0</v>
      </c>
      <c r="H28" s="12" t="s">
        <v>10</v>
      </c>
      <c r="I28" s="12">
        <f>sumıf(Sales!B:B,D28,Sales!G:G)</f>
        <v>92.66</v>
      </c>
    </row>
    <row r="29">
      <c r="A29" s="12">
        <v>2021.0</v>
      </c>
      <c r="B29" s="12">
        <v>10.0</v>
      </c>
      <c r="C29" s="12">
        <v>1.0</v>
      </c>
      <c r="D29" s="12">
        <v>1003312.0</v>
      </c>
      <c r="E29" s="12">
        <v>6.0</v>
      </c>
      <c r="F29" s="12">
        <v>0.0</v>
      </c>
      <c r="G29" s="12">
        <v>0.0</v>
      </c>
      <c r="H29" s="12" t="s">
        <v>10</v>
      </c>
      <c r="I29" s="12">
        <f>sumıf(Sales!B:B,D29,Sales!G:G)</f>
        <v>97.5</v>
      </c>
    </row>
    <row r="30">
      <c r="A30" s="12">
        <v>2021.0</v>
      </c>
      <c r="B30" s="12">
        <v>10.0</v>
      </c>
      <c r="C30" s="12">
        <v>1.0</v>
      </c>
      <c r="D30" s="12">
        <v>1004011.0</v>
      </c>
      <c r="E30" s="12">
        <v>1.0</v>
      </c>
      <c r="F30" s="12">
        <v>0.0</v>
      </c>
      <c r="G30" s="12">
        <v>5.0</v>
      </c>
      <c r="H30" s="12" t="s">
        <v>12</v>
      </c>
      <c r="I30" s="12">
        <f>sumıf(Sales!B:B,D30,Sales!G:G)</f>
        <v>365.77</v>
      </c>
    </row>
    <row r="31">
      <c r="A31" s="12">
        <v>2021.0</v>
      </c>
      <c r="B31" s="12">
        <v>10.0</v>
      </c>
      <c r="C31" s="12">
        <v>1.0</v>
      </c>
      <c r="D31" s="12">
        <v>1003598.0</v>
      </c>
      <c r="E31" s="12">
        <v>1.0</v>
      </c>
      <c r="F31" s="12">
        <v>0.0</v>
      </c>
      <c r="G31" s="12">
        <v>10.0</v>
      </c>
      <c r="H31" s="12" t="s">
        <v>12</v>
      </c>
      <c r="I31" s="12">
        <f>sumıf(Sales!B:B,D31,Sales!G:G)</f>
        <v>41.82</v>
      </c>
    </row>
    <row r="32">
      <c r="A32" s="12">
        <v>2021.0</v>
      </c>
      <c r="B32" s="12">
        <v>10.0</v>
      </c>
      <c r="C32" s="12">
        <v>1.0</v>
      </c>
      <c r="D32" s="12">
        <v>1003593.0</v>
      </c>
      <c r="E32" s="12">
        <v>2.0</v>
      </c>
      <c r="F32" s="12">
        <v>0.0</v>
      </c>
      <c r="G32" s="12">
        <v>0.0</v>
      </c>
      <c r="H32" s="12" t="s">
        <v>12</v>
      </c>
      <c r="I32" s="12">
        <f>sumıf(Sales!B:B,D32,Sales!G:G)</f>
        <v>95.99</v>
      </c>
    </row>
    <row r="33">
      <c r="A33" s="12">
        <v>2021.0</v>
      </c>
      <c r="B33" s="12">
        <v>10.0</v>
      </c>
      <c r="C33" s="12">
        <v>1.0</v>
      </c>
      <c r="D33" s="12">
        <v>1003406.0</v>
      </c>
      <c r="E33" s="12">
        <v>1.0</v>
      </c>
      <c r="F33" s="12">
        <v>0.0</v>
      </c>
      <c r="G33" s="12">
        <v>0.0</v>
      </c>
      <c r="H33" s="12" t="s">
        <v>11</v>
      </c>
      <c r="I33" s="12">
        <f>sumıf(Sales!B:B,D33,Sales!G:G)</f>
        <v>84.71</v>
      </c>
    </row>
    <row r="34">
      <c r="A34" s="12">
        <v>2021.0</v>
      </c>
      <c r="B34" s="12">
        <v>10.0</v>
      </c>
      <c r="C34" s="12">
        <v>1.0</v>
      </c>
      <c r="D34" s="12">
        <v>1003629.0</v>
      </c>
      <c r="E34" s="12">
        <v>5.0</v>
      </c>
      <c r="F34" s="12">
        <v>0.0</v>
      </c>
      <c r="G34" s="12">
        <v>8.09</v>
      </c>
      <c r="H34" s="12" t="s">
        <v>12</v>
      </c>
      <c r="I34" s="12">
        <f>sumıf(Sales!B:B,D34,Sales!G:G)</f>
        <v>48.89</v>
      </c>
    </row>
    <row r="35">
      <c r="A35" s="12">
        <v>2021.0</v>
      </c>
      <c r="B35" s="12">
        <v>10.0</v>
      </c>
      <c r="C35" s="12">
        <v>1.0</v>
      </c>
      <c r="D35" s="12">
        <v>1003326.0</v>
      </c>
      <c r="E35" s="12">
        <v>5.0</v>
      </c>
      <c r="F35" s="12">
        <v>0.0</v>
      </c>
      <c r="G35" s="12">
        <v>0.0</v>
      </c>
      <c r="H35" s="12" t="s">
        <v>10</v>
      </c>
      <c r="I35" s="12">
        <f>sumıf(Sales!B:B,D35,Sales!G:G)</f>
        <v>107.56</v>
      </c>
    </row>
    <row r="36">
      <c r="A36" s="12">
        <v>2021.0</v>
      </c>
      <c r="B36" s="12">
        <v>10.0</v>
      </c>
      <c r="C36" s="12">
        <v>1.0</v>
      </c>
      <c r="D36" s="12">
        <v>1003967.0</v>
      </c>
      <c r="E36" s="12">
        <v>6.0</v>
      </c>
      <c r="F36" s="12">
        <v>0.0</v>
      </c>
      <c r="G36" s="12">
        <v>0.0</v>
      </c>
      <c r="H36" s="12" t="s">
        <v>12</v>
      </c>
      <c r="I36" s="12">
        <f>sumıf(Sales!B:B,D36,Sales!G:G)</f>
        <v>35.69</v>
      </c>
    </row>
    <row r="37">
      <c r="A37" s="12">
        <v>2021.0</v>
      </c>
      <c r="B37" s="12">
        <v>10.0</v>
      </c>
      <c r="C37" s="12">
        <v>1.0</v>
      </c>
      <c r="D37" s="12">
        <v>1003650.0</v>
      </c>
      <c r="E37" s="12">
        <v>1.0</v>
      </c>
      <c r="F37" s="12">
        <v>0.0</v>
      </c>
      <c r="G37" s="12">
        <v>0.0</v>
      </c>
      <c r="H37" s="12" t="s">
        <v>10</v>
      </c>
      <c r="I37" s="12">
        <f>sumıf(Sales!B:B,D37,Sales!G:G)</f>
        <v>147.73</v>
      </c>
    </row>
    <row r="38">
      <c r="A38" s="12">
        <v>2021.0</v>
      </c>
      <c r="B38" s="12">
        <v>10.0</v>
      </c>
      <c r="C38" s="12">
        <v>1.0</v>
      </c>
      <c r="D38" s="12">
        <v>1003389.0</v>
      </c>
      <c r="E38" s="12">
        <v>4.0</v>
      </c>
      <c r="F38" s="12">
        <v>0.0</v>
      </c>
      <c r="G38" s="12">
        <v>0.0</v>
      </c>
      <c r="H38" s="12" t="s">
        <v>11</v>
      </c>
      <c r="I38" s="12">
        <f>sumıf(Sales!B:B,D38,Sales!G:G)</f>
        <v>259.24</v>
      </c>
    </row>
    <row r="39">
      <c r="A39" s="12">
        <v>2021.0</v>
      </c>
      <c r="B39" s="12">
        <v>10.0</v>
      </c>
      <c r="C39" s="12">
        <v>1.0</v>
      </c>
      <c r="D39" s="12">
        <v>1003330.0</v>
      </c>
      <c r="E39" s="12">
        <v>3.0</v>
      </c>
      <c r="F39" s="12">
        <v>0.0</v>
      </c>
      <c r="G39" s="12">
        <v>0.0</v>
      </c>
      <c r="H39" s="12" t="s">
        <v>12</v>
      </c>
      <c r="I39" s="12">
        <f>sumıf(Sales!B:B,D39,Sales!G:G)</f>
        <v>67.97</v>
      </c>
    </row>
    <row r="40">
      <c r="A40" s="12">
        <v>2021.0</v>
      </c>
      <c r="B40" s="12">
        <v>10.0</v>
      </c>
      <c r="C40" s="12">
        <v>1.0</v>
      </c>
      <c r="D40" s="12">
        <v>1003780.0</v>
      </c>
      <c r="E40" s="12">
        <v>2.0</v>
      </c>
      <c r="F40" s="12">
        <v>0.0</v>
      </c>
      <c r="G40" s="12">
        <v>0.0</v>
      </c>
      <c r="H40" s="12" t="s">
        <v>12</v>
      </c>
      <c r="I40" s="12">
        <f>sumıf(Sales!B:B,D40,Sales!G:G)</f>
        <v>50.5</v>
      </c>
    </row>
    <row r="41">
      <c r="A41" s="12">
        <v>2021.0</v>
      </c>
      <c r="B41" s="12">
        <v>10.0</v>
      </c>
      <c r="C41" s="12">
        <v>1.0</v>
      </c>
      <c r="D41" s="12">
        <v>1003787.0</v>
      </c>
      <c r="E41" s="12">
        <v>1.0</v>
      </c>
      <c r="F41" s="12">
        <v>0.0</v>
      </c>
      <c r="G41" s="12">
        <v>0.0</v>
      </c>
      <c r="H41" s="12" t="s">
        <v>12</v>
      </c>
      <c r="I41" s="12">
        <f>sumıf(Sales!B:B,D41,Sales!G:G)</f>
        <v>31.12</v>
      </c>
    </row>
    <row r="42">
      <c r="A42" s="12">
        <v>2021.0</v>
      </c>
      <c r="B42" s="12">
        <v>10.0</v>
      </c>
      <c r="C42" s="12">
        <v>1.0</v>
      </c>
      <c r="D42" s="12">
        <v>1003803.0</v>
      </c>
      <c r="E42" s="12">
        <v>2.0</v>
      </c>
      <c r="F42" s="12">
        <v>0.0</v>
      </c>
      <c r="G42" s="12">
        <v>0.0</v>
      </c>
      <c r="H42" s="12" t="s">
        <v>12</v>
      </c>
      <c r="I42" s="12">
        <f>sumıf(Sales!B:B,D42,Sales!G:G)</f>
        <v>61.31</v>
      </c>
    </row>
    <row r="43">
      <c r="A43" s="12">
        <v>2021.0</v>
      </c>
      <c r="B43" s="12">
        <v>10.0</v>
      </c>
      <c r="C43" s="12">
        <v>1.0</v>
      </c>
      <c r="D43" s="12">
        <v>1003761.0</v>
      </c>
      <c r="E43" s="12">
        <v>1.0</v>
      </c>
      <c r="F43" s="12">
        <v>0.0</v>
      </c>
      <c r="G43" s="12">
        <v>0.0</v>
      </c>
      <c r="H43" s="12" t="s">
        <v>12</v>
      </c>
      <c r="I43" s="12">
        <f>sumıf(Sales!B:B,D43,Sales!G:G)</f>
        <v>55.8</v>
      </c>
    </row>
    <row r="44">
      <c r="A44" s="12">
        <v>2021.0</v>
      </c>
      <c r="B44" s="12">
        <v>10.0</v>
      </c>
      <c r="C44" s="12">
        <v>1.0</v>
      </c>
      <c r="D44" s="12">
        <v>1003981.0</v>
      </c>
      <c r="E44" s="12">
        <v>2.0</v>
      </c>
      <c r="F44" s="12">
        <v>0.0</v>
      </c>
      <c r="G44" s="12">
        <v>5.0</v>
      </c>
      <c r="H44" s="12" t="s">
        <v>10</v>
      </c>
      <c r="I44" s="12">
        <f>sumıf(Sales!B:B,D44,Sales!G:G)</f>
        <v>198.36</v>
      </c>
    </row>
    <row r="45">
      <c r="A45" s="12">
        <v>2021.0</v>
      </c>
      <c r="B45" s="12">
        <v>10.0</v>
      </c>
      <c r="C45" s="12">
        <v>1.0</v>
      </c>
      <c r="D45" s="12">
        <v>1003997.0</v>
      </c>
      <c r="E45" s="12">
        <v>12.0</v>
      </c>
      <c r="F45" s="12">
        <v>0.0</v>
      </c>
      <c r="G45" s="12">
        <v>10.0</v>
      </c>
      <c r="H45" s="12" t="s">
        <v>11</v>
      </c>
      <c r="I45" s="12">
        <f>sumıf(Sales!B:B,D45,Sales!G:G)</f>
        <v>25.01</v>
      </c>
    </row>
    <row r="46">
      <c r="A46" s="12">
        <v>2021.0</v>
      </c>
      <c r="B46" s="12">
        <v>10.0</v>
      </c>
      <c r="C46" s="12">
        <v>1.0</v>
      </c>
      <c r="D46" s="12">
        <v>1003484.0</v>
      </c>
      <c r="E46" s="13">
        <v>0.7571081116299295</v>
      </c>
      <c r="F46" s="12">
        <v>0.0</v>
      </c>
      <c r="G46" s="12">
        <v>0.0</v>
      </c>
      <c r="H46" s="12" t="s">
        <v>10</v>
      </c>
      <c r="I46" s="12">
        <f>sumıf(Sales!B:B,D46,Sales!G:G)</f>
        <v>89.71</v>
      </c>
    </row>
    <row r="47">
      <c r="A47" s="12">
        <v>2021.0</v>
      </c>
      <c r="B47" s="12">
        <v>10.0</v>
      </c>
      <c r="C47" s="12">
        <v>1.0</v>
      </c>
      <c r="D47" s="12">
        <v>1003645.0</v>
      </c>
      <c r="E47" s="12">
        <v>1.0</v>
      </c>
      <c r="F47" s="12">
        <v>0.0</v>
      </c>
      <c r="G47" s="12">
        <v>0.0</v>
      </c>
      <c r="H47" s="12" t="s">
        <v>10</v>
      </c>
      <c r="I47" s="12">
        <f>sumıf(Sales!B:B,D47,Sales!G:G)</f>
        <v>52.49</v>
      </c>
    </row>
    <row r="48">
      <c r="A48" s="12">
        <v>2021.0</v>
      </c>
      <c r="B48" s="12">
        <v>10.0</v>
      </c>
      <c r="C48" s="12">
        <v>1.0</v>
      </c>
      <c r="D48" s="12">
        <v>1003642.0</v>
      </c>
      <c r="E48" s="12">
        <v>1.0</v>
      </c>
      <c r="F48" s="12">
        <v>0.0</v>
      </c>
      <c r="G48" s="12">
        <v>5.0</v>
      </c>
      <c r="H48" s="12" t="s">
        <v>12</v>
      </c>
      <c r="I48" s="12">
        <f>sumıf(Sales!B:B,D48,Sales!G:G)</f>
        <v>192.61</v>
      </c>
    </row>
    <row r="49">
      <c r="A49" s="12">
        <v>2021.0</v>
      </c>
      <c r="B49" s="12">
        <v>10.0</v>
      </c>
      <c r="C49" s="12">
        <v>1.0</v>
      </c>
      <c r="D49" s="12">
        <v>1003718.0</v>
      </c>
      <c r="E49" s="12">
        <v>12.0</v>
      </c>
      <c r="F49" s="12">
        <v>0.0</v>
      </c>
      <c r="G49" s="12">
        <v>0.0</v>
      </c>
      <c r="H49" s="12" t="s">
        <v>10</v>
      </c>
      <c r="I49" s="12">
        <f>sumıf(Sales!B:B,D49,Sales!G:G)</f>
        <v>122.71</v>
      </c>
    </row>
    <row r="50">
      <c r="A50" s="12">
        <v>2021.0</v>
      </c>
      <c r="B50" s="12">
        <v>10.0</v>
      </c>
      <c r="C50" s="12">
        <v>1.0</v>
      </c>
      <c r="D50" s="12">
        <v>1003685.0</v>
      </c>
      <c r="E50" s="12">
        <v>12.0</v>
      </c>
      <c r="F50" s="12">
        <v>0.0</v>
      </c>
      <c r="G50" s="12">
        <v>0.0</v>
      </c>
      <c r="H50" s="12" t="s">
        <v>11</v>
      </c>
      <c r="I50" s="12">
        <f>sumıf(Sales!B:B,D50,Sales!G:G)</f>
        <v>25.71</v>
      </c>
    </row>
    <row r="51">
      <c r="A51" s="12">
        <v>2021.0</v>
      </c>
      <c r="B51" s="12">
        <v>10.0</v>
      </c>
      <c r="C51" s="12">
        <v>1.0</v>
      </c>
      <c r="D51" s="12">
        <v>1003753.0</v>
      </c>
      <c r="E51" s="12">
        <v>6.0</v>
      </c>
      <c r="F51" s="12">
        <v>8.09</v>
      </c>
      <c r="G51" s="12">
        <v>0.0</v>
      </c>
      <c r="H51" s="12" t="s">
        <v>12</v>
      </c>
      <c r="I51" s="12">
        <f>sumıf(Sales!B:B,D51,Sales!G:G)</f>
        <v>35.88</v>
      </c>
    </row>
    <row r="52">
      <c r="A52" s="12">
        <v>2021.0</v>
      </c>
      <c r="B52" s="12">
        <v>10.0</v>
      </c>
      <c r="C52" s="12">
        <v>1.0</v>
      </c>
      <c r="D52" s="12">
        <v>1003684.0</v>
      </c>
      <c r="E52" s="12">
        <v>11.0</v>
      </c>
      <c r="F52" s="12">
        <v>0.0</v>
      </c>
      <c r="G52" s="12">
        <v>0.0</v>
      </c>
      <c r="H52" s="12" t="s">
        <v>10</v>
      </c>
      <c r="I52" s="12">
        <f>sumıf(Sales!B:B,D52,Sales!G:G)</f>
        <v>102.37</v>
      </c>
    </row>
    <row r="53">
      <c r="A53" s="12">
        <v>2021.0</v>
      </c>
      <c r="B53" s="12">
        <v>10.0</v>
      </c>
      <c r="C53" s="12">
        <v>1.0</v>
      </c>
      <c r="D53" s="12">
        <v>1003627.0</v>
      </c>
      <c r="E53" s="12">
        <v>1.0</v>
      </c>
      <c r="F53" s="12">
        <v>3.25</v>
      </c>
      <c r="G53" s="12">
        <v>0.0</v>
      </c>
      <c r="H53" s="12" t="s">
        <v>11</v>
      </c>
      <c r="I53" s="12">
        <f>sumıf(Sales!B:B,D53,Sales!G:G)</f>
        <v>52.56</v>
      </c>
    </row>
    <row r="54">
      <c r="A54" s="12">
        <v>2021.0</v>
      </c>
      <c r="B54" s="12">
        <v>10.0</v>
      </c>
      <c r="C54" s="12">
        <v>2.0</v>
      </c>
      <c r="D54" s="12">
        <v>1003375.0</v>
      </c>
      <c r="E54" s="12">
        <v>13.0</v>
      </c>
      <c r="F54" s="12">
        <v>0.0</v>
      </c>
      <c r="G54" s="12">
        <v>10.0</v>
      </c>
      <c r="H54" s="12" t="s">
        <v>12</v>
      </c>
      <c r="I54" s="12">
        <f>sumıf(Sales!B:B,D54,Sales!G:G)</f>
        <v>17.35</v>
      </c>
    </row>
    <row r="55">
      <c r="A55" s="12">
        <v>2021.0</v>
      </c>
      <c r="B55" s="12">
        <v>10.0</v>
      </c>
      <c r="C55" s="12">
        <v>2.0</v>
      </c>
      <c r="D55" s="12">
        <v>1003764.0</v>
      </c>
      <c r="E55" s="12">
        <v>10.0</v>
      </c>
      <c r="F55" s="12">
        <v>0.0</v>
      </c>
      <c r="G55" s="12">
        <v>6.0</v>
      </c>
      <c r="H55" s="12" t="s">
        <v>12</v>
      </c>
      <c r="I55" s="12">
        <f>sumıf(Sales!B:B,D55,Sales!G:G)</f>
        <v>55.76</v>
      </c>
    </row>
    <row r="56">
      <c r="A56" s="12">
        <v>2021.0</v>
      </c>
      <c r="B56" s="12">
        <v>10.0</v>
      </c>
      <c r="C56" s="12">
        <v>2.0</v>
      </c>
      <c r="D56" s="12">
        <v>1003689.0</v>
      </c>
      <c r="E56" s="12">
        <v>3.0</v>
      </c>
      <c r="F56" s="12">
        <v>0.0</v>
      </c>
      <c r="G56" s="12">
        <v>0.0</v>
      </c>
      <c r="H56" s="12" t="s">
        <v>12</v>
      </c>
      <c r="I56" s="12">
        <f>sumıf(Sales!B:B,D56,Sales!G:G)</f>
        <v>63.3</v>
      </c>
    </row>
    <row r="57">
      <c r="A57" s="12">
        <v>2021.0</v>
      </c>
      <c r="B57" s="12">
        <v>10.0</v>
      </c>
      <c r="C57" s="12">
        <v>2.0</v>
      </c>
      <c r="D57" s="12">
        <v>1003518.0</v>
      </c>
      <c r="E57" s="12">
        <v>7.0</v>
      </c>
      <c r="F57" s="12">
        <v>0.0</v>
      </c>
      <c r="G57" s="12">
        <v>0.0</v>
      </c>
      <c r="H57" s="12" t="s">
        <v>11</v>
      </c>
      <c r="I57" s="12">
        <f>sumıf(Sales!B:B,D57,Sales!G:G)</f>
        <v>22.35</v>
      </c>
    </row>
    <row r="58">
      <c r="A58" s="12">
        <v>2021.0</v>
      </c>
      <c r="B58" s="12">
        <v>10.0</v>
      </c>
      <c r="C58" s="12">
        <v>2.0</v>
      </c>
      <c r="D58" s="12">
        <v>1003944.0</v>
      </c>
      <c r="E58" s="12">
        <v>4.0</v>
      </c>
      <c r="F58" s="12">
        <v>0.0</v>
      </c>
      <c r="G58" s="12">
        <v>0.0</v>
      </c>
      <c r="H58" s="12" t="s">
        <v>10</v>
      </c>
      <c r="I58" s="12">
        <f>sumıf(Sales!B:B,D58,Sales!G:G)</f>
        <v>92.83</v>
      </c>
    </row>
    <row r="59">
      <c r="A59" s="12">
        <v>2021.0</v>
      </c>
      <c r="B59" s="12">
        <v>10.0</v>
      </c>
      <c r="C59" s="12">
        <v>2.0</v>
      </c>
      <c r="D59" s="12">
        <v>1003826.0</v>
      </c>
      <c r="E59" s="12">
        <v>2.0</v>
      </c>
      <c r="F59" s="12">
        <v>0.0</v>
      </c>
      <c r="G59" s="12">
        <v>0.0</v>
      </c>
      <c r="H59" s="12" t="s">
        <v>12</v>
      </c>
      <c r="I59" s="12">
        <f>sumıf(Sales!B:B,D59,Sales!G:G)</f>
        <v>47.03</v>
      </c>
    </row>
    <row r="60">
      <c r="A60" s="12">
        <v>2021.0</v>
      </c>
      <c r="B60" s="12">
        <v>10.0</v>
      </c>
      <c r="C60" s="12">
        <v>2.0</v>
      </c>
      <c r="D60" s="12">
        <v>1003660.0</v>
      </c>
      <c r="E60" s="12">
        <v>6.0</v>
      </c>
      <c r="F60" s="12">
        <v>0.0</v>
      </c>
      <c r="G60" s="12">
        <v>0.0</v>
      </c>
      <c r="H60" s="12" t="s">
        <v>11</v>
      </c>
      <c r="I60" s="12">
        <f>sumıf(Sales!B:B,D60,Sales!G:G)</f>
        <v>67.12</v>
      </c>
    </row>
    <row r="61">
      <c r="A61" s="12">
        <v>2021.0</v>
      </c>
      <c r="B61" s="12">
        <v>10.0</v>
      </c>
      <c r="C61" s="12">
        <v>2.0</v>
      </c>
      <c r="D61" s="12">
        <v>1003818.0</v>
      </c>
      <c r="E61" s="12">
        <v>1.0</v>
      </c>
      <c r="F61" s="12">
        <v>0.0</v>
      </c>
      <c r="G61" s="12">
        <v>0.0</v>
      </c>
      <c r="H61" s="12" t="s">
        <v>10</v>
      </c>
      <c r="I61" s="12">
        <f>sumıf(Sales!B:B,D61,Sales!G:G)</f>
        <v>77.61</v>
      </c>
    </row>
    <row r="62">
      <c r="A62" s="12">
        <v>2021.0</v>
      </c>
      <c r="B62" s="12">
        <v>10.0</v>
      </c>
      <c r="C62" s="12">
        <v>2.0</v>
      </c>
      <c r="D62" s="12">
        <v>1003925.0</v>
      </c>
      <c r="E62" s="12">
        <v>3.0</v>
      </c>
      <c r="F62" s="12">
        <v>0.0</v>
      </c>
      <c r="G62" s="12">
        <v>0.0</v>
      </c>
      <c r="H62" s="12" t="s">
        <v>10</v>
      </c>
      <c r="I62" s="12">
        <f>sumıf(Sales!B:B,D62,Sales!G:G)</f>
        <v>104.85</v>
      </c>
    </row>
    <row r="63">
      <c r="A63" s="12">
        <v>2021.0</v>
      </c>
      <c r="B63" s="12">
        <v>10.0</v>
      </c>
      <c r="C63" s="12">
        <v>2.0</v>
      </c>
      <c r="D63" s="12">
        <v>1003861.0</v>
      </c>
      <c r="E63" s="12">
        <v>3.0</v>
      </c>
      <c r="F63" s="12">
        <v>0.0</v>
      </c>
      <c r="G63" s="12">
        <v>5.0</v>
      </c>
      <c r="H63" s="12" t="s">
        <v>12</v>
      </c>
      <c r="I63" s="12">
        <f>sumıf(Sales!B:B,D63,Sales!G:G)</f>
        <v>105.17</v>
      </c>
    </row>
    <row r="64">
      <c r="A64" s="12">
        <v>2021.0</v>
      </c>
      <c r="B64" s="12">
        <v>10.0</v>
      </c>
      <c r="C64" s="12">
        <v>2.0</v>
      </c>
      <c r="D64" s="12">
        <v>1003288.0</v>
      </c>
      <c r="E64" s="12">
        <v>3.0</v>
      </c>
      <c r="F64" s="12">
        <v>0.0</v>
      </c>
      <c r="G64" s="12">
        <v>0.0</v>
      </c>
      <c r="H64" s="12" t="s">
        <v>11</v>
      </c>
      <c r="I64" s="12">
        <f>sumıf(Sales!B:B,D64,Sales!G:G)</f>
        <v>90.6</v>
      </c>
    </row>
    <row r="65">
      <c r="A65" s="12">
        <v>2021.0</v>
      </c>
      <c r="B65" s="12">
        <v>10.0</v>
      </c>
      <c r="C65" s="12">
        <v>2.0</v>
      </c>
      <c r="D65" s="12">
        <v>1003948.0</v>
      </c>
      <c r="E65" s="12">
        <v>8.0</v>
      </c>
      <c r="F65" s="12">
        <v>0.0</v>
      </c>
      <c r="G65" s="12">
        <v>0.0</v>
      </c>
      <c r="H65" s="12" t="s">
        <v>12</v>
      </c>
      <c r="I65" s="12">
        <f>sumıf(Sales!B:B,D65,Sales!G:G)</f>
        <v>55.17</v>
      </c>
    </row>
    <row r="66">
      <c r="A66" s="12">
        <v>2021.0</v>
      </c>
      <c r="B66" s="12">
        <v>10.0</v>
      </c>
      <c r="C66" s="12">
        <v>2.0</v>
      </c>
      <c r="D66" s="12">
        <v>1003443.0</v>
      </c>
      <c r="E66" s="12">
        <v>1.0</v>
      </c>
      <c r="F66" s="12">
        <v>0.0</v>
      </c>
      <c r="G66" s="12">
        <v>8.0</v>
      </c>
      <c r="H66" s="12" t="s">
        <v>12</v>
      </c>
      <c r="I66" s="12">
        <f>sumıf(Sales!B:B,D66,Sales!G:G)</f>
        <v>72.66</v>
      </c>
    </row>
    <row r="67">
      <c r="A67" s="12">
        <v>2021.0</v>
      </c>
      <c r="B67" s="12">
        <v>10.0</v>
      </c>
      <c r="C67" s="12">
        <v>2.0</v>
      </c>
      <c r="D67" s="12">
        <v>1003654.0</v>
      </c>
      <c r="E67" s="12">
        <v>7.0</v>
      </c>
      <c r="F67" s="12">
        <v>0.0</v>
      </c>
      <c r="G67" s="12">
        <v>0.0</v>
      </c>
      <c r="H67" s="12" t="s">
        <v>10</v>
      </c>
      <c r="I67" s="12">
        <f>sumıf(Sales!B:B,D67,Sales!G:G)</f>
        <v>409.12</v>
      </c>
    </row>
    <row r="68">
      <c r="A68" s="12">
        <v>2021.0</v>
      </c>
      <c r="B68" s="12">
        <v>10.0</v>
      </c>
      <c r="C68" s="12">
        <v>2.0</v>
      </c>
      <c r="D68" s="12">
        <v>1003702.0</v>
      </c>
      <c r="E68" s="12">
        <v>4.0</v>
      </c>
      <c r="F68" s="12">
        <v>0.0</v>
      </c>
      <c r="G68" s="12">
        <v>0.0</v>
      </c>
      <c r="H68" s="12" t="s">
        <v>12</v>
      </c>
      <c r="I68" s="12">
        <f>sumıf(Sales!B:B,D68,Sales!G:G)</f>
        <v>59.44</v>
      </c>
    </row>
    <row r="69">
      <c r="A69" s="12">
        <v>2021.0</v>
      </c>
      <c r="B69" s="12">
        <v>10.0</v>
      </c>
      <c r="C69" s="12">
        <v>2.0</v>
      </c>
      <c r="D69" s="12">
        <v>1003287.0</v>
      </c>
      <c r="E69" s="12">
        <v>3.0</v>
      </c>
      <c r="F69" s="12">
        <v>0.0</v>
      </c>
      <c r="G69" s="12">
        <v>6.0</v>
      </c>
      <c r="H69" s="12" t="s">
        <v>11</v>
      </c>
      <c r="I69" s="12">
        <f>sumıf(Sales!B:B,D69,Sales!G:G)</f>
        <v>115.49</v>
      </c>
    </row>
    <row r="70">
      <c r="A70" s="12">
        <v>2021.0</v>
      </c>
      <c r="B70" s="12">
        <v>10.0</v>
      </c>
      <c r="C70" s="12">
        <v>2.0</v>
      </c>
      <c r="D70" s="12">
        <v>1003384.0</v>
      </c>
      <c r="E70" s="12">
        <v>1.0</v>
      </c>
      <c r="F70" s="12">
        <v>0.0</v>
      </c>
      <c r="G70" s="12">
        <v>0.0</v>
      </c>
      <c r="H70" s="12" t="s">
        <v>11</v>
      </c>
      <c r="I70" s="12">
        <f>sumıf(Sales!B:B,D70,Sales!G:G)</f>
        <v>139.93</v>
      </c>
    </row>
    <row r="71">
      <c r="A71" s="12">
        <v>2021.0</v>
      </c>
      <c r="B71" s="12">
        <v>10.0</v>
      </c>
      <c r="C71" s="12">
        <v>2.0</v>
      </c>
      <c r="D71" s="12">
        <v>1003603.0</v>
      </c>
      <c r="E71" s="12">
        <v>3.0</v>
      </c>
      <c r="F71" s="12">
        <v>0.0</v>
      </c>
      <c r="G71" s="12">
        <v>0.0</v>
      </c>
      <c r="H71" s="12" t="s">
        <v>11</v>
      </c>
      <c r="I71" s="12">
        <f>sumıf(Sales!B:B,D71,Sales!G:G)</f>
        <v>55.09</v>
      </c>
    </row>
    <row r="72">
      <c r="A72" s="12">
        <v>2021.0</v>
      </c>
      <c r="B72" s="12">
        <v>10.0</v>
      </c>
      <c r="C72" s="12">
        <v>2.0</v>
      </c>
      <c r="D72" s="12">
        <v>1003296.0</v>
      </c>
      <c r="E72" s="12">
        <v>1.0</v>
      </c>
      <c r="F72" s="12">
        <v>0.0</v>
      </c>
      <c r="G72" s="12">
        <v>0.0</v>
      </c>
      <c r="H72" s="12" t="s">
        <v>10</v>
      </c>
      <c r="I72" s="12">
        <f>sumıf(Sales!B:B,D72,Sales!G:G)</f>
        <v>103.45</v>
      </c>
    </row>
    <row r="73">
      <c r="A73" s="12">
        <v>2021.0</v>
      </c>
      <c r="B73" s="12">
        <v>10.0</v>
      </c>
      <c r="C73" s="12">
        <v>2.0</v>
      </c>
      <c r="D73" s="12">
        <v>1003360.0</v>
      </c>
      <c r="E73" s="12">
        <v>2.0</v>
      </c>
      <c r="F73" s="12">
        <v>0.0</v>
      </c>
      <c r="G73" s="12">
        <v>5.0</v>
      </c>
      <c r="H73" s="12" t="s">
        <v>10</v>
      </c>
      <c r="I73" s="12">
        <f>sumıf(Sales!B:B,D73,Sales!G:G)</f>
        <v>79.88</v>
      </c>
    </row>
    <row r="74">
      <c r="A74" s="12">
        <v>2021.0</v>
      </c>
      <c r="B74" s="12">
        <v>10.0</v>
      </c>
      <c r="C74" s="12">
        <v>2.0</v>
      </c>
      <c r="D74" s="12">
        <v>1003433.0</v>
      </c>
      <c r="E74" s="12">
        <v>3.0</v>
      </c>
      <c r="F74" s="12">
        <v>0.0</v>
      </c>
      <c r="G74" s="12">
        <v>0.0</v>
      </c>
      <c r="H74" s="12" t="s">
        <v>10</v>
      </c>
      <c r="I74" s="12">
        <f>sumıf(Sales!B:B,D74,Sales!G:G)</f>
        <v>126.22</v>
      </c>
    </row>
    <row r="75">
      <c r="A75" s="12">
        <v>2021.0</v>
      </c>
      <c r="B75" s="12">
        <v>10.0</v>
      </c>
      <c r="C75" s="12">
        <v>2.0</v>
      </c>
      <c r="D75" s="12">
        <v>1003463.0</v>
      </c>
      <c r="E75" s="13">
        <v>0.2739746448184035</v>
      </c>
      <c r="F75" s="12">
        <v>0.0</v>
      </c>
      <c r="G75" s="12">
        <v>0.0</v>
      </c>
      <c r="H75" s="12" t="s">
        <v>12</v>
      </c>
      <c r="I75" s="12">
        <f>sumıf(Sales!B:B,D75,Sales!G:G)</f>
        <v>68.19</v>
      </c>
    </row>
    <row r="76">
      <c r="A76" s="12">
        <v>2021.0</v>
      </c>
      <c r="B76" s="12">
        <v>10.0</v>
      </c>
      <c r="C76" s="12">
        <v>2.0</v>
      </c>
      <c r="D76" s="12">
        <v>1003565.0</v>
      </c>
      <c r="E76" s="12">
        <v>1.0</v>
      </c>
      <c r="F76" s="12">
        <v>0.0</v>
      </c>
      <c r="G76" s="12">
        <v>0.0</v>
      </c>
      <c r="H76" s="12" t="s">
        <v>12</v>
      </c>
      <c r="I76" s="12">
        <f>sumıf(Sales!B:B,D76,Sales!G:G)</f>
        <v>124.12</v>
      </c>
    </row>
    <row r="77">
      <c r="A77" s="12">
        <v>2021.0</v>
      </c>
      <c r="B77" s="12">
        <v>10.0</v>
      </c>
      <c r="C77" s="12">
        <v>2.0</v>
      </c>
      <c r="D77" s="12">
        <v>1003404.0</v>
      </c>
      <c r="E77" s="12">
        <v>1.0</v>
      </c>
      <c r="F77" s="12">
        <v>0.0</v>
      </c>
      <c r="G77" s="12">
        <v>6.0</v>
      </c>
      <c r="H77" s="12" t="s">
        <v>12</v>
      </c>
      <c r="I77" s="12">
        <f>sumıf(Sales!B:B,D77,Sales!G:G)</f>
        <v>61.79</v>
      </c>
    </row>
    <row r="78">
      <c r="A78" s="12">
        <v>2021.0</v>
      </c>
      <c r="B78" s="12">
        <v>10.0</v>
      </c>
      <c r="C78" s="12">
        <v>2.0</v>
      </c>
      <c r="D78" s="12">
        <v>1003895.0</v>
      </c>
      <c r="E78" s="12">
        <v>1.0</v>
      </c>
      <c r="F78" s="12">
        <v>5.57</v>
      </c>
      <c r="G78" s="12">
        <v>0.0</v>
      </c>
      <c r="H78" s="12" t="s">
        <v>12</v>
      </c>
      <c r="I78" s="12">
        <f>sumıf(Sales!B:B,D78,Sales!G:G)</f>
        <v>48.13</v>
      </c>
    </row>
    <row r="79">
      <c r="A79" s="12">
        <v>2021.0</v>
      </c>
      <c r="B79" s="12">
        <v>10.0</v>
      </c>
      <c r="C79" s="12">
        <v>3.0</v>
      </c>
      <c r="D79" s="12">
        <v>1003613.0</v>
      </c>
      <c r="E79" s="12">
        <v>1.0</v>
      </c>
      <c r="F79" s="12">
        <v>0.95</v>
      </c>
      <c r="G79" s="12">
        <v>0.0</v>
      </c>
      <c r="H79" s="12" t="s">
        <v>11</v>
      </c>
      <c r="I79" s="12">
        <f>sumıf(Sales!B:B,D79,Sales!G:G)</f>
        <v>59.36</v>
      </c>
    </row>
    <row r="80">
      <c r="A80" s="12">
        <v>2021.0</v>
      </c>
      <c r="B80" s="12">
        <v>10.0</v>
      </c>
      <c r="C80" s="12">
        <v>4.0</v>
      </c>
      <c r="D80" s="12">
        <v>1003347.0</v>
      </c>
      <c r="E80" s="12">
        <v>12.0</v>
      </c>
      <c r="F80" s="12">
        <v>0.0</v>
      </c>
      <c r="G80" s="12">
        <v>5.0</v>
      </c>
      <c r="H80" s="12" t="s">
        <v>12</v>
      </c>
      <c r="I80" s="12">
        <f>sumıf(Sales!B:B,D80,Sales!G:G)</f>
        <v>171.41</v>
      </c>
    </row>
    <row r="81">
      <c r="A81" s="12">
        <v>2021.0</v>
      </c>
      <c r="B81" s="12">
        <v>10.0</v>
      </c>
      <c r="C81" s="12">
        <v>4.0</v>
      </c>
      <c r="D81" s="12">
        <v>1003458.0</v>
      </c>
      <c r="E81" s="12">
        <v>1.0</v>
      </c>
      <c r="F81" s="12">
        <v>0.0</v>
      </c>
      <c r="G81" s="12">
        <v>10.0</v>
      </c>
      <c r="H81" s="12" t="s">
        <v>12</v>
      </c>
      <c r="I81" s="12">
        <f>sumıf(Sales!B:B,D81,Sales!G:G)</f>
        <v>302.38</v>
      </c>
    </row>
    <row r="82">
      <c r="A82" s="12">
        <v>2021.0</v>
      </c>
      <c r="B82" s="12">
        <v>10.0</v>
      </c>
      <c r="C82" s="12">
        <v>4.0</v>
      </c>
      <c r="D82" s="12">
        <v>1003290.0</v>
      </c>
      <c r="E82" s="12">
        <v>3.0</v>
      </c>
      <c r="F82" s="12">
        <v>0.0</v>
      </c>
      <c r="G82" s="12">
        <v>0.0</v>
      </c>
      <c r="H82" s="12" t="s">
        <v>10</v>
      </c>
      <c r="I82" s="12">
        <f>sumıf(Sales!B:B,D82,Sales!G:G)</f>
        <v>137.11</v>
      </c>
    </row>
    <row r="83">
      <c r="A83" s="12">
        <v>2021.0</v>
      </c>
      <c r="B83" s="12">
        <v>10.0</v>
      </c>
      <c r="C83" s="12">
        <v>4.0</v>
      </c>
      <c r="D83" s="12">
        <v>1003570.0</v>
      </c>
      <c r="E83" s="12">
        <v>3.0</v>
      </c>
      <c r="F83" s="12">
        <v>0.95</v>
      </c>
      <c r="G83" s="12">
        <v>0.0</v>
      </c>
      <c r="H83" s="12" t="s">
        <v>10</v>
      </c>
      <c r="I83" s="12">
        <f>sumıf(Sales!B:B,D83,Sales!G:G)</f>
        <v>204.25</v>
      </c>
    </row>
    <row r="84">
      <c r="A84" s="12">
        <v>2021.0</v>
      </c>
      <c r="B84" s="12">
        <v>10.0</v>
      </c>
      <c r="C84" s="12">
        <v>4.0</v>
      </c>
      <c r="D84" s="12">
        <v>1003418.0</v>
      </c>
      <c r="E84" s="12">
        <v>2.0</v>
      </c>
      <c r="F84" s="12">
        <v>0.0</v>
      </c>
      <c r="G84" s="12">
        <v>0.0</v>
      </c>
      <c r="H84" s="12" t="s">
        <v>10</v>
      </c>
      <c r="I84" s="12">
        <f>sumıf(Sales!B:B,D84,Sales!G:G)</f>
        <v>127.7</v>
      </c>
    </row>
    <row r="85">
      <c r="A85" s="12">
        <v>2021.0</v>
      </c>
      <c r="B85" s="12">
        <v>10.0</v>
      </c>
      <c r="C85" s="12">
        <v>4.0</v>
      </c>
      <c r="D85" s="12">
        <v>1003846.0</v>
      </c>
      <c r="E85" s="12">
        <v>2.0</v>
      </c>
      <c r="F85" s="12">
        <v>0.0</v>
      </c>
      <c r="G85" s="12">
        <v>0.0</v>
      </c>
      <c r="H85" s="12" t="s">
        <v>11</v>
      </c>
      <c r="I85" s="12">
        <f>sumıf(Sales!B:B,D85,Sales!G:G)</f>
        <v>70.59</v>
      </c>
    </row>
    <row r="86">
      <c r="A86" s="12">
        <v>2021.0</v>
      </c>
      <c r="B86" s="12">
        <v>10.0</v>
      </c>
      <c r="C86" s="12">
        <v>4.0</v>
      </c>
      <c r="D86" s="12">
        <v>1003932.0</v>
      </c>
      <c r="E86" s="12">
        <v>1.0</v>
      </c>
      <c r="F86" s="12">
        <v>0.0</v>
      </c>
      <c r="G86" s="12">
        <v>0.0</v>
      </c>
      <c r="H86" s="12" t="s">
        <v>11</v>
      </c>
      <c r="I86" s="12">
        <f>sumıf(Sales!B:B,D86,Sales!G:G)</f>
        <v>103.38</v>
      </c>
    </row>
    <row r="87">
      <c r="A87" s="12">
        <v>2021.0</v>
      </c>
      <c r="B87" s="12">
        <v>10.0</v>
      </c>
      <c r="C87" s="12">
        <v>4.0</v>
      </c>
      <c r="D87" s="12">
        <v>1003784.0</v>
      </c>
      <c r="E87" s="12">
        <v>2.0</v>
      </c>
      <c r="F87" s="12">
        <v>0.0</v>
      </c>
      <c r="G87" s="12">
        <v>5.0</v>
      </c>
      <c r="H87" s="12" t="s">
        <v>12</v>
      </c>
      <c r="I87" s="12">
        <f>sumıf(Sales!B:B,D87,Sales!G:G)</f>
        <v>89.26</v>
      </c>
    </row>
    <row r="88">
      <c r="A88" s="12">
        <v>2021.0</v>
      </c>
      <c r="B88" s="12">
        <v>10.0</v>
      </c>
      <c r="C88" s="12">
        <v>4.0</v>
      </c>
      <c r="D88" s="12">
        <v>1003426.0</v>
      </c>
      <c r="E88" s="12">
        <v>4.0</v>
      </c>
      <c r="F88" s="12">
        <v>0.0</v>
      </c>
      <c r="G88" s="12">
        <v>0.0</v>
      </c>
      <c r="H88" s="12" t="s">
        <v>12</v>
      </c>
      <c r="I88" s="12">
        <f>sumıf(Sales!B:B,D88,Sales!G:G)</f>
        <v>89.07</v>
      </c>
    </row>
    <row r="89">
      <c r="A89" s="12">
        <v>2021.0</v>
      </c>
      <c r="B89" s="12">
        <v>10.0</v>
      </c>
      <c r="C89" s="12">
        <v>4.0</v>
      </c>
      <c r="D89" s="12">
        <v>1004000.0</v>
      </c>
      <c r="E89" s="12">
        <v>3.0</v>
      </c>
      <c r="F89" s="12">
        <v>13.01</v>
      </c>
      <c r="G89" s="12">
        <v>0.0</v>
      </c>
      <c r="H89" s="12" t="s">
        <v>12</v>
      </c>
      <c r="I89" s="12">
        <f>sumıf(Sales!B:B,D89,Sales!G:G)</f>
        <v>76.94</v>
      </c>
    </row>
    <row r="90">
      <c r="A90" s="12">
        <v>2021.0</v>
      </c>
      <c r="B90" s="12">
        <v>10.0</v>
      </c>
      <c r="C90" s="12">
        <v>4.0</v>
      </c>
      <c r="D90" s="12">
        <v>1003823.0</v>
      </c>
      <c r="E90" s="12">
        <v>2.0</v>
      </c>
      <c r="F90" s="12">
        <v>0.0</v>
      </c>
      <c r="G90" s="12">
        <v>0.0</v>
      </c>
      <c r="H90" s="12" t="s">
        <v>12</v>
      </c>
      <c r="I90" s="12">
        <f>sumıf(Sales!B:B,D90,Sales!G:G)</f>
        <v>91.34</v>
      </c>
    </row>
    <row r="91">
      <c r="A91" s="12">
        <v>2021.0</v>
      </c>
      <c r="B91" s="12">
        <v>10.0</v>
      </c>
      <c r="C91" s="12">
        <v>4.0</v>
      </c>
      <c r="D91" s="12">
        <v>1003357.0</v>
      </c>
      <c r="E91" s="12">
        <v>1.0</v>
      </c>
      <c r="F91" s="12">
        <v>0.95</v>
      </c>
      <c r="G91" s="12">
        <v>0.0</v>
      </c>
      <c r="H91" s="12" t="s">
        <v>11</v>
      </c>
      <c r="I91" s="12">
        <f>sumıf(Sales!B:B,D91,Sales!G:G)</f>
        <v>48.28</v>
      </c>
    </row>
    <row r="92">
      <c r="A92" s="12">
        <v>2021.0</v>
      </c>
      <c r="B92" s="12">
        <v>10.0</v>
      </c>
      <c r="C92" s="12">
        <v>4.0</v>
      </c>
      <c r="D92" s="12">
        <v>1003591.0</v>
      </c>
      <c r="E92" s="12">
        <v>5.0</v>
      </c>
      <c r="F92" s="12">
        <v>0.86</v>
      </c>
      <c r="G92" s="12">
        <v>0.0</v>
      </c>
      <c r="H92" s="12" t="s">
        <v>12</v>
      </c>
      <c r="I92" s="12">
        <f>sumıf(Sales!B:B,D92,Sales!G:G)</f>
        <v>39.19</v>
      </c>
    </row>
    <row r="93">
      <c r="A93" s="12">
        <v>2021.0</v>
      </c>
      <c r="B93" s="12">
        <v>10.0</v>
      </c>
      <c r="C93" s="12">
        <v>4.0</v>
      </c>
      <c r="D93" s="12">
        <v>1003459.0</v>
      </c>
      <c r="E93" s="12">
        <v>1.0</v>
      </c>
      <c r="F93" s="12">
        <v>0.0</v>
      </c>
      <c r="G93" s="12">
        <v>0.0</v>
      </c>
      <c r="H93" s="12" t="s">
        <v>11</v>
      </c>
      <c r="I93" s="12">
        <f>sumıf(Sales!B:B,D93,Sales!G:G)</f>
        <v>131.76</v>
      </c>
    </row>
    <row r="94">
      <c r="A94" s="12">
        <v>2021.0</v>
      </c>
      <c r="B94" s="12">
        <v>10.0</v>
      </c>
      <c r="C94" s="12">
        <v>4.0</v>
      </c>
      <c r="D94" s="12">
        <v>1003825.0</v>
      </c>
      <c r="E94" s="12">
        <v>5.0</v>
      </c>
      <c r="F94" s="12">
        <v>5.75</v>
      </c>
      <c r="G94" s="12">
        <v>0.0</v>
      </c>
      <c r="H94" s="12" t="s">
        <v>12</v>
      </c>
      <c r="I94" s="12">
        <f>sumıf(Sales!B:B,D94,Sales!G:G)</f>
        <v>51.3</v>
      </c>
    </row>
    <row r="95">
      <c r="A95" s="12">
        <v>2021.0</v>
      </c>
      <c r="B95" s="12">
        <v>10.0</v>
      </c>
      <c r="C95" s="12">
        <v>4.0</v>
      </c>
      <c r="D95" s="12">
        <v>1003302.0</v>
      </c>
      <c r="E95" s="12">
        <v>6.0</v>
      </c>
      <c r="F95" s="12">
        <v>0.86</v>
      </c>
      <c r="G95" s="12">
        <v>0.0</v>
      </c>
      <c r="H95" s="12" t="s">
        <v>12</v>
      </c>
      <c r="I95" s="12">
        <f>sumıf(Sales!B:B,D95,Sales!G:G)</f>
        <v>89.58</v>
      </c>
    </row>
    <row r="96">
      <c r="A96" s="12">
        <v>2021.0</v>
      </c>
      <c r="B96" s="12">
        <v>10.0</v>
      </c>
      <c r="C96" s="12">
        <v>4.0</v>
      </c>
      <c r="D96" s="12">
        <v>1003343.0</v>
      </c>
      <c r="E96" s="12">
        <v>1.0</v>
      </c>
      <c r="F96" s="12">
        <v>0.0</v>
      </c>
      <c r="G96" s="12">
        <v>0.0</v>
      </c>
      <c r="H96" s="12" t="s">
        <v>10</v>
      </c>
      <c r="I96" s="12">
        <f>sumıf(Sales!B:B,D96,Sales!G:G)</f>
        <v>47.1</v>
      </c>
    </row>
    <row r="97">
      <c r="A97" s="12">
        <v>2021.0</v>
      </c>
      <c r="B97" s="12">
        <v>10.0</v>
      </c>
      <c r="C97" s="12">
        <v>4.0</v>
      </c>
      <c r="D97" s="12">
        <v>1003726.0</v>
      </c>
      <c r="E97" s="12">
        <v>1.0</v>
      </c>
      <c r="F97" s="12">
        <v>0.0</v>
      </c>
      <c r="G97" s="12">
        <v>0.0</v>
      </c>
      <c r="H97" s="12" t="s">
        <v>10</v>
      </c>
      <c r="I97" s="12">
        <f>sumıf(Sales!B:B,D97,Sales!G:G)</f>
        <v>73.63</v>
      </c>
    </row>
    <row r="98">
      <c r="A98" s="12">
        <v>2021.0</v>
      </c>
      <c r="B98" s="12">
        <v>10.0</v>
      </c>
      <c r="C98" s="12">
        <v>4.0</v>
      </c>
      <c r="D98" s="12">
        <v>1003328.0</v>
      </c>
      <c r="E98" s="12">
        <v>2.0</v>
      </c>
      <c r="F98" s="12">
        <v>0.0</v>
      </c>
      <c r="G98" s="12">
        <v>10.0</v>
      </c>
      <c r="H98" s="12" t="s">
        <v>11</v>
      </c>
      <c r="I98" s="12">
        <f>sumıf(Sales!B:B,D98,Sales!G:G)</f>
        <v>63.67</v>
      </c>
    </row>
    <row r="99">
      <c r="A99" s="12">
        <v>2021.0</v>
      </c>
      <c r="B99" s="12">
        <v>10.0</v>
      </c>
      <c r="C99" s="12">
        <v>4.0</v>
      </c>
      <c r="D99" s="12">
        <v>1003798.0</v>
      </c>
      <c r="E99" s="13">
        <v>0.9921001389957108</v>
      </c>
      <c r="F99" s="12">
        <v>0.0</v>
      </c>
      <c r="G99" s="12">
        <v>5.0</v>
      </c>
      <c r="H99" s="12" t="s">
        <v>12</v>
      </c>
      <c r="I99" s="12">
        <f>sumıf(Sales!B:B,D99,Sales!G:G)</f>
        <v>49.96</v>
      </c>
    </row>
    <row r="100">
      <c r="A100" s="12">
        <v>2021.0</v>
      </c>
      <c r="B100" s="12">
        <v>10.0</v>
      </c>
      <c r="C100" s="12">
        <v>4.0</v>
      </c>
      <c r="D100" s="12">
        <v>1003448.0</v>
      </c>
      <c r="E100" s="12">
        <v>1.0</v>
      </c>
      <c r="F100" s="12">
        <v>0.0</v>
      </c>
      <c r="G100" s="12">
        <v>0.0</v>
      </c>
      <c r="H100" s="12" t="s">
        <v>12</v>
      </c>
      <c r="I100" s="12">
        <f>sumıf(Sales!B:B,D100,Sales!G:G)</f>
        <v>7.37</v>
      </c>
    </row>
    <row r="101">
      <c r="A101" s="12">
        <v>2021.0</v>
      </c>
      <c r="B101" s="12">
        <v>10.0</v>
      </c>
      <c r="C101" s="12">
        <v>4.0</v>
      </c>
      <c r="D101" s="12">
        <v>1003429.0</v>
      </c>
      <c r="E101" s="12">
        <v>5.0</v>
      </c>
      <c r="F101" s="12">
        <v>0.0</v>
      </c>
      <c r="G101" s="12">
        <v>10.0</v>
      </c>
      <c r="H101" s="12" t="s">
        <v>12</v>
      </c>
      <c r="I101" s="12">
        <f>sumıf(Sales!B:B,D101,Sales!G:G)</f>
        <v>52.58</v>
      </c>
    </row>
    <row r="102">
      <c r="A102" s="12">
        <v>2021.0</v>
      </c>
      <c r="B102" s="12">
        <v>10.0</v>
      </c>
      <c r="C102" s="12">
        <v>4.0</v>
      </c>
      <c r="D102" s="12">
        <v>1003400.0</v>
      </c>
      <c r="E102" s="12">
        <v>4.0</v>
      </c>
      <c r="F102" s="12">
        <v>0.0</v>
      </c>
      <c r="G102" s="12">
        <v>0.0</v>
      </c>
      <c r="H102" s="12" t="s">
        <v>10</v>
      </c>
      <c r="I102" s="12">
        <f>sumıf(Sales!B:B,D102,Sales!G:G)</f>
        <v>44.44</v>
      </c>
    </row>
    <row r="103">
      <c r="A103" s="12">
        <v>2021.0</v>
      </c>
      <c r="B103" s="12">
        <v>10.0</v>
      </c>
      <c r="C103" s="12">
        <v>4.0</v>
      </c>
      <c r="D103" s="12">
        <v>1003845.0</v>
      </c>
      <c r="E103" s="12">
        <v>6.0</v>
      </c>
      <c r="F103" s="12">
        <v>0.0</v>
      </c>
      <c r="G103" s="12">
        <v>5.0</v>
      </c>
      <c r="H103" s="12" t="s">
        <v>12</v>
      </c>
      <c r="I103" s="12">
        <f>sumıf(Sales!B:B,D103,Sales!G:G)</f>
        <v>55.1</v>
      </c>
    </row>
    <row r="104">
      <c r="A104" s="12">
        <v>2021.0</v>
      </c>
      <c r="B104" s="12">
        <v>10.0</v>
      </c>
      <c r="C104" s="12">
        <v>4.0</v>
      </c>
      <c r="D104" s="12">
        <v>1003376.0</v>
      </c>
      <c r="E104" s="12">
        <v>5.0</v>
      </c>
      <c r="F104" s="12">
        <v>0.0</v>
      </c>
      <c r="G104" s="12">
        <v>0.0</v>
      </c>
      <c r="H104" s="12" t="s">
        <v>12</v>
      </c>
      <c r="I104" s="12">
        <f>sumıf(Sales!B:B,D104,Sales!G:G)</f>
        <v>75.93</v>
      </c>
    </row>
    <row r="105">
      <c r="A105" s="12">
        <v>2021.0</v>
      </c>
      <c r="B105" s="12">
        <v>10.0</v>
      </c>
      <c r="C105" s="12">
        <v>4.0</v>
      </c>
      <c r="D105" s="12">
        <v>1003342.0</v>
      </c>
      <c r="E105" s="12">
        <v>2.0</v>
      </c>
      <c r="F105" s="12">
        <v>0.0</v>
      </c>
      <c r="G105" s="12">
        <v>0.0</v>
      </c>
      <c r="H105" s="12" t="s">
        <v>11</v>
      </c>
      <c r="I105" s="12">
        <f>sumıf(Sales!B:B,D105,Sales!G:G)</f>
        <v>137.63</v>
      </c>
    </row>
    <row r="106">
      <c r="A106" s="12">
        <v>2021.0</v>
      </c>
      <c r="B106" s="12">
        <v>10.0</v>
      </c>
      <c r="C106" s="12">
        <v>4.0</v>
      </c>
      <c r="D106" s="12">
        <v>1003713.0</v>
      </c>
      <c r="E106" s="12">
        <v>7.0</v>
      </c>
      <c r="F106" s="12">
        <v>0.0</v>
      </c>
      <c r="G106" s="12">
        <v>0.0</v>
      </c>
      <c r="H106" s="12" t="s">
        <v>12</v>
      </c>
      <c r="I106" s="12">
        <f>sumıf(Sales!B:B,D106,Sales!G:G)</f>
        <v>75.47</v>
      </c>
    </row>
    <row r="107">
      <c r="A107" s="12">
        <v>2021.0</v>
      </c>
      <c r="B107" s="12">
        <v>10.0</v>
      </c>
      <c r="C107" s="12">
        <v>4.0</v>
      </c>
      <c r="D107" s="12">
        <v>1003986.0</v>
      </c>
      <c r="E107" s="12">
        <v>5.0</v>
      </c>
      <c r="F107" s="12">
        <v>0.0</v>
      </c>
      <c r="G107" s="12">
        <v>12.0</v>
      </c>
      <c r="H107" s="12" t="s">
        <v>12</v>
      </c>
      <c r="I107" s="12">
        <f>sumıf(Sales!B:B,D107,Sales!G:G)</f>
        <v>255.86</v>
      </c>
    </row>
    <row r="108">
      <c r="A108" s="12">
        <v>2021.0</v>
      </c>
      <c r="B108" s="12">
        <v>10.0</v>
      </c>
      <c r="C108" s="12">
        <v>4.0</v>
      </c>
      <c r="D108" s="12">
        <v>1003844.0</v>
      </c>
      <c r="E108" s="12">
        <v>3.0</v>
      </c>
      <c r="F108" s="12">
        <v>0.0</v>
      </c>
      <c r="G108" s="12">
        <v>0.0</v>
      </c>
      <c r="H108" s="12" t="s">
        <v>11</v>
      </c>
      <c r="I108" s="12">
        <f>sumıf(Sales!B:B,D108,Sales!G:G)</f>
        <v>43.15</v>
      </c>
    </row>
    <row r="109">
      <c r="A109" s="12">
        <v>2021.0</v>
      </c>
      <c r="B109" s="12">
        <v>10.0</v>
      </c>
      <c r="C109" s="12">
        <v>4.0</v>
      </c>
      <c r="D109" s="12">
        <v>1003371.0</v>
      </c>
      <c r="E109" s="12">
        <v>2.0</v>
      </c>
      <c r="F109" s="12">
        <v>0.0</v>
      </c>
      <c r="G109" s="12">
        <v>0.0</v>
      </c>
      <c r="H109" s="12" t="s">
        <v>12</v>
      </c>
      <c r="I109" s="12">
        <f>sumıf(Sales!B:B,D109,Sales!G:G)</f>
        <v>51.3</v>
      </c>
    </row>
    <row r="110">
      <c r="A110" s="12">
        <v>2021.0</v>
      </c>
      <c r="B110" s="12">
        <v>10.0</v>
      </c>
      <c r="C110" s="12">
        <v>4.0</v>
      </c>
      <c r="D110" s="12">
        <v>1003849.0</v>
      </c>
      <c r="E110" s="12">
        <v>4.0</v>
      </c>
      <c r="F110" s="12">
        <v>0.0</v>
      </c>
      <c r="G110" s="12">
        <v>0.0</v>
      </c>
      <c r="H110" s="12" t="s">
        <v>11</v>
      </c>
      <c r="I110" s="12">
        <f>sumıf(Sales!B:B,D110,Sales!G:G)</f>
        <v>57.31</v>
      </c>
    </row>
    <row r="111">
      <c r="A111" s="12">
        <v>2021.0</v>
      </c>
      <c r="B111" s="12">
        <v>10.0</v>
      </c>
      <c r="C111" s="12">
        <v>4.0</v>
      </c>
      <c r="D111" s="12">
        <v>1003606.0</v>
      </c>
      <c r="E111" s="12">
        <v>17.0</v>
      </c>
      <c r="F111" s="12">
        <v>0.0</v>
      </c>
      <c r="G111" s="12">
        <v>0.0</v>
      </c>
      <c r="H111" s="12" t="s">
        <v>10</v>
      </c>
      <c r="I111" s="12">
        <f>sumıf(Sales!B:B,D111,Sales!G:G)</f>
        <v>135.38</v>
      </c>
    </row>
    <row r="112">
      <c r="A112" s="12">
        <v>2021.0</v>
      </c>
      <c r="B112" s="12">
        <v>10.0</v>
      </c>
      <c r="C112" s="12">
        <v>4.0</v>
      </c>
      <c r="D112" s="12">
        <v>1003680.0</v>
      </c>
      <c r="E112" s="12">
        <v>1.0</v>
      </c>
      <c r="F112" s="12">
        <v>0.0</v>
      </c>
      <c r="G112" s="12">
        <v>0.0</v>
      </c>
      <c r="H112" s="12" t="s">
        <v>10</v>
      </c>
      <c r="I112" s="12">
        <f>sumıf(Sales!B:B,D112,Sales!G:G)</f>
        <v>51.76</v>
      </c>
    </row>
    <row r="113">
      <c r="A113" s="12">
        <v>2021.0</v>
      </c>
      <c r="B113" s="12">
        <v>10.0</v>
      </c>
      <c r="C113" s="12">
        <v>4.0</v>
      </c>
      <c r="D113" s="12">
        <v>1003928.0</v>
      </c>
      <c r="E113" s="12">
        <v>3.0</v>
      </c>
      <c r="F113" s="12">
        <v>0.0</v>
      </c>
      <c r="G113" s="12">
        <v>0.0</v>
      </c>
      <c r="H113" s="12" t="s">
        <v>10</v>
      </c>
      <c r="I113" s="12">
        <f>sumıf(Sales!B:B,D113,Sales!G:G)</f>
        <v>49.41</v>
      </c>
    </row>
    <row r="114">
      <c r="A114" s="12">
        <v>2021.0</v>
      </c>
      <c r="B114" s="12">
        <v>10.0</v>
      </c>
      <c r="C114" s="12">
        <v>4.0</v>
      </c>
      <c r="D114" s="12">
        <v>1003536.0</v>
      </c>
      <c r="E114" s="12">
        <v>6.0</v>
      </c>
      <c r="F114" s="12">
        <v>0.0</v>
      </c>
      <c r="G114" s="12">
        <v>0.0</v>
      </c>
      <c r="H114" s="12" t="s">
        <v>12</v>
      </c>
      <c r="I114" s="12">
        <f>sumıf(Sales!B:B,D114,Sales!G:G)</f>
        <v>67.76</v>
      </c>
    </row>
    <row r="115">
      <c r="A115" s="12">
        <v>2021.0</v>
      </c>
      <c r="B115" s="12">
        <v>10.0</v>
      </c>
      <c r="C115" s="12">
        <v>4.0</v>
      </c>
      <c r="D115" s="12">
        <v>1003567.0</v>
      </c>
      <c r="E115" s="12">
        <v>2.0</v>
      </c>
      <c r="F115" s="12">
        <v>0.0</v>
      </c>
      <c r="G115" s="12">
        <v>0.0</v>
      </c>
      <c r="H115" s="12" t="s">
        <v>10</v>
      </c>
      <c r="I115" s="12">
        <f>sumıf(Sales!B:B,D115,Sales!G:G)</f>
        <v>112.75</v>
      </c>
    </row>
    <row r="116">
      <c r="A116" s="12">
        <v>2021.0</v>
      </c>
      <c r="B116" s="12">
        <v>10.0</v>
      </c>
      <c r="C116" s="12">
        <v>4.0</v>
      </c>
      <c r="D116" s="12">
        <v>1003839.0</v>
      </c>
      <c r="E116" s="12">
        <v>3.0</v>
      </c>
      <c r="F116" s="12">
        <v>0.0</v>
      </c>
      <c r="G116" s="12">
        <v>0.0</v>
      </c>
      <c r="H116" s="12" t="s">
        <v>10</v>
      </c>
      <c r="I116" s="12">
        <f>sumıf(Sales!B:B,D116,Sales!G:G)</f>
        <v>55.89</v>
      </c>
    </row>
    <row r="117">
      <c r="A117" s="12">
        <v>2021.0</v>
      </c>
      <c r="B117" s="12">
        <v>10.0</v>
      </c>
      <c r="C117" s="12">
        <v>4.0</v>
      </c>
      <c r="D117" s="12">
        <v>1003857.0</v>
      </c>
      <c r="E117" s="12">
        <v>8.0</v>
      </c>
      <c r="F117" s="12">
        <v>0.0</v>
      </c>
      <c r="G117" s="12">
        <v>0.0</v>
      </c>
      <c r="H117" s="12" t="s">
        <v>12</v>
      </c>
      <c r="I117" s="12">
        <f>sumıf(Sales!B:B,D117,Sales!G:G)</f>
        <v>91.5</v>
      </c>
    </row>
    <row r="118">
      <c r="A118" s="12">
        <v>2021.0</v>
      </c>
      <c r="B118" s="12">
        <v>10.0</v>
      </c>
      <c r="C118" s="12">
        <v>4.0</v>
      </c>
      <c r="D118" s="12">
        <v>1003359.0</v>
      </c>
      <c r="E118" s="12">
        <v>3.0</v>
      </c>
      <c r="F118" s="12">
        <v>0.0</v>
      </c>
      <c r="G118" s="12">
        <v>0.0</v>
      </c>
      <c r="H118" s="12" t="s">
        <v>12</v>
      </c>
      <c r="I118" s="12">
        <f>sumıf(Sales!B:B,D118,Sales!G:G)</f>
        <v>29.64</v>
      </c>
    </row>
    <row r="119">
      <c r="A119" s="12">
        <v>2021.0</v>
      </c>
      <c r="B119" s="12">
        <v>10.0</v>
      </c>
      <c r="C119" s="12">
        <v>4.0</v>
      </c>
      <c r="D119" s="12">
        <v>1003905.0</v>
      </c>
      <c r="E119" s="12">
        <v>1.0</v>
      </c>
      <c r="F119" s="12">
        <v>0.0</v>
      </c>
      <c r="G119" s="12">
        <v>7.0</v>
      </c>
      <c r="H119" s="12" t="s">
        <v>12</v>
      </c>
      <c r="I119" s="12">
        <f>sumıf(Sales!B:B,D119,Sales!G:G)</f>
        <v>136.5</v>
      </c>
    </row>
    <row r="120">
      <c r="A120" s="12">
        <v>2021.0</v>
      </c>
      <c r="B120" s="12">
        <v>10.0</v>
      </c>
      <c r="C120" s="12">
        <v>4.0</v>
      </c>
      <c r="D120" s="12">
        <v>1003858.0</v>
      </c>
      <c r="E120" s="12">
        <v>1.0</v>
      </c>
      <c r="F120" s="12">
        <v>0.0</v>
      </c>
      <c r="G120" s="12">
        <v>0.0</v>
      </c>
      <c r="H120" s="12" t="s">
        <v>12</v>
      </c>
      <c r="I120" s="12">
        <f>sumıf(Sales!B:B,D120,Sales!G:G)</f>
        <v>93.49</v>
      </c>
    </row>
    <row r="121">
      <c r="A121" s="12">
        <v>2021.0</v>
      </c>
      <c r="B121" s="12">
        <v>10.0</v>
      </c>
      <c r="C121" s="12">
        <v>4.0</v>
      </c>
      <c r="D121" s="12">
        <v>1003929.0</v>
      </c>
      <c r="E121" s="12">
        <v>1.0</v>
      </c>
      <c r="F121" s="12">
        <v>0.0</v>
      </c>
      <c r="G121" s="12">
        <v>5.0</v>
      </c>
      <c r="H121" s="12" t="s">
        <v>12</v>
      </c>
      <c r="I121" s="12">
        <f>sumıf(Sales!B:B,D121,Sales!G:G)</f>
        <v>55.42</v>
      </c>
    </row>
    <row r="122">
      <c r="A122" s="12">
        <v>2021.0</v>
      </c>
      <c r="B122" s="12">
        <v>10.0</v>
      </c>
      <c r="C122" s="12">
        <v>4.0</v>
      </c>
      <c r="D122" s="12">
        <v>1003491.0</v>
      </c>
      <c r="E122" s="12">
        <v>2.0</v>
      </c>
      <c r="F122" s="12">
        <v>3.36</v>
      </c>
      <c r="G122" s="12">
        <v>5.0</v>
      </c>
      <c r="H122" s="12" t="s">
        <v>12</v>
      </c>
      <c r="I122" s="12">
        <f>sumıf(Sales!B:B,D122,Sales!G:G)</f>
        <v>70.76</v>
      </c>
    </row>
    <row r="123">
      <c r="A123" s="12">
        <v>2021.0</v>
      </c>
      <c r="B123" s="12">
        <v>10.0</v>
      </c>
      <c r="C123" s="12">
        <v>4.0</v>
      </c>
      <c r="D123" s="12">
        <v>1003987.0</v>
      </c>
      <c r="E123" s="12">
        <v>3.0</v>
      </c>
      <c r="F123" s="12">
        <v>0.0</v>
      </c>
      <c r="G123" s="12">
        <v>8.0</v>
      </c>
      <c r="H123" s="12" t="s">
        <v>12</v>
      </c>
      <c r="I123" s="12">
        <f>sumıf(Sales!B:B,D123,Sales!G:G)</f>
        <v>106.07</v>
      </c>
    </row>
    <row r="124">
      <c r="A124" s="12">
        <v>2021.0</v>
      </c>
      <c r="B124" s="12">
        <v>10.0</v>
      </c>
      <c r="C124" s="12">
        <v>4.0</v>
      </c>
      <c r="D124" s="12">
        <v>1003455.0</v>
      </c>
      <c r="E124" s="12">
        <v>1.0</v>
      </c>
      <c r="F124" s="12">
        <v>6.36</v>
      </c>
      <c r="G124" s="12">
        <v>0.0</v>
      </c>
      <c r="H124" s="12" t="s">
        <v>12</v>
      </c>
      <c r="I124" s="12">
        <f>sumıf(Sales!B:B,D124,Sales!G:G)</f>
        <v>76.18</v>
      </c>
    </row>
    <row r="125">
      <c r="A125" s="12">
        <v>2021.0</v>
      </c>
      <c r="B125" s="12">
        <v>10.0</v>
      </c>
      <c r="C125" s="12">
        <v>4.0</v>
      </c>
      <c r="D125" s="12">
        <v>1003478.0</v>
      </c>
      <c r="E125" s="12">
        <v>2.0</v>
      </c>
      <c r="F125" s="12">
        <v>0.0</v>
      </c>
      <c r="G125" s="12">
        <v>21.0</v>
      </c>
      <c r="H125" s="12" t="s">
        <v>12</v>
      </c>
      <c r="I125" s="12">
        <f>sumıf(Sales!B:B,D125,Sales!G:G)</f>
        <v>123.12</v>
      </c>
    </row>
    <row r="126">
      <c r="A126" s="12">
        <v>2021.0</v>
      </c>
      <c r="B126" s="12">
        <v>10.0</v>
      </c>
      <c r="C126" s="12">
        <v>4.0</v>
      </c>
      <c r="D126" s="12">
        <v>1003906.0</v>
      </c>
      <c r="E126" s="12">
        <v>1.0</v>
      </c>
      <c r="F126" s="12">
        <v>3.7</v>
      </c>
      <c r="G126" s="12">
        <v>0.0</v>
      </c>
      <c r="H126" s="12" t="s">
        <v>12</v>
      </c>
      <c r="I126" s="12">
        <f>sumıf(Sales!B:B,D126,Sales!G:G)</f>
        <v>63.2</v>
      </c>
    </row>
    <row r="127">
      <c r="A127" s="12">
        <v>2021.0</v>
      </c>
      <c r="B127" s="12">
        <v>10.0</v>
      </c>
      <c r="C127" s="12">
        <v>4.0</v>
      </c>
      <c r="D127" s="12">
        <v>1003479.0</v>
      </c>
      <c r="E127" s="12">
        <v>5.0</v>
      </c>
      <c r="F127" s="12">
        <v>0.0</v>
      </c>
      <c r="G127" s="12">
        <v>0.0</v>
      </c>
      <c r="H127" s="12" t="s">
        <v>12</v>
      </c>
      <c r="I127" s="12">
        <f>sumıf(Sales!B:B,D127,Sales!G:G)</f>
        <v>29.41</v>
      </c>
    </row>
    <row r="128">
      <c r="A128" s="12">
        <v>2021.0</v>
      </c>
      <c r="B128" s="12">
        <v>10.0</v>
      </c>
      <c r="C128" s="12">
        <v>4.0</v>
      </c>
      <c r="D128" s="12">
        <v>1003365.0</v>
      </c>
      <c r="E128" s="13">
        <v>0.11607868252724673</v>
      </c>
      <c r="F128" s="12">
        <v>0.0</v>
      </c>
      <c r="G128" s="12">
        <v>0.0</v>
      </c>
      <c r="H128" s="12" t="s">
        <v>10</v>
      </c>
      <c r="I128" s="12">
        <f>sumıf(Sales!B:B,D128,Sales!G:G)</f>
        <v>66.33</v>
      </c>
    </row>
    <row r="129">
      <c r="A129" s="12">
        <v>2021.0</v>
      </c>
      <c r="B129" s="12">
        <v>10.0</v>
      </c>
      <c r="C129" s="12">
        <v>4.0</v>
      </c>
      <c r="D129" s="12">
        <v>1003377.0</v>
      </c>
      <c r="E129" s="12">
        <v>2.0</v>
      </c>
      <c r="F129" s="12">
        <v>0.0</v>
      </c>
      <c r="G129" s="12">
        <v>8.0</v>
      </c>
      <c r="H129" s="12" t="s">
        <v>12</v>
      </c>
      <c r="I129" s="12">
        <f>sumıf(Sales!B:B,D129,Sales!G:G)</f>
        <v>120.66</v>
      </c>
    </row>
    <row r="130">
      <c r="A130" s="12">
        <v>2021.0</v>
      </c>
      <c r="B130" s="12">
        <v>10.0</v>
      </c>
      <c r="C130" s="12">
        <v>4.0</v>
      </c>
      <c r="D130" s="12">
        <v>1003617.0</v>
      </c>
      <c r="E130" s="12">
        <v>2.0</v>
      </c>
      <c r="F130" s="12">
        <v>0.0</v>
      </c>
      <c r="G130" s="12">
        <v>0.0</v>
      </c>
      <c r="H130" s="12" t="s">
        <v>12</v>
      </c>
      <c r="I130" s="12">
        <f>sumıf(Sales!B:B,D130,Sales!G:G)</f>
        <v>67.37</v>
      </c>
    </row>
    <row r="131">
      <c r="A131" s="12">
        <v>2021.0</v>
      </c>
      <c r="B131" s="12">
        <v>10.0</v>
      </c>
      <c r="C131" s="12">
        <v>4.0</v>
      </c>
      <c r="D131" s="12">
        <v>1003941.0</v>
      </c>
      <c r="E131" s="12">
        <v>5.0</v>
      </c>
      <c r="F131" s="12">
        <v>0.0</v>
      </c>
      <c r="G131" s="12">
        <v>0.0</v>
      </c>
      <c r="H131" s="12" t="s">
        <v>12</v>
      </c>
      <c r="I131" s="12">
        <f>sumıf(Sales!B:B,D131,Sales!G:G)</f>
        <v>89.85</v>
      </c>
    </row>
    <row r="132">
      <c r="A132" s="12">
        <v>2021.0</v>
      </c>
      <c r="B132" s="12">
        <v>10.0</v>
      </c>
      <c r="C132" s="12">
        <v>4.0</v>
      </c>
      <c r="D132" s="12">
        <v>1003460.0</v>
      </c>
      <c r="E132" s="12">
        <v>3.0</v>
      </c>
      <c r="F132" s="12">
        <v>0.0</v>
      </c>
      <c r="G132" s="12">
        <v>0.0</v>
      </c>
      <c r="H132" s="12" t="s">
        <v>12</v>
      </c>
      <c r="I132" s="12">
        <f>sumıf(Sales!B:B,D132,Sales!G:G)</f>
        <v>94.88</v>
      </c>
    </row>
    <row r="133">
      <c r="A133" s="12">
        <v>2021.0</v>
      </c>
      <c r="B133" s="12">
        <v>10.0</v>
      </c>
      <c r="C133" s="12">
        <v>4.0</v>
      </c>
      <c r="D133" s="12">
        <v>1003637.0</v>
      </c>
      <c r="E133" s="12">
        <v>1.0</v>
      </c>
      <c r="F133" s="12">
        <v>0.0</v>
      </c>
      <c r="G133" s="12">
        <v>0.0</v>
      </c>
      <c r="H133" s="12" t="s">
        <v>11</v>
      </c>
      <c r="I133" s="12">
        <f>sumıf(Sales!B:B,D133,Sales!G:G)</f>
        <v>3.8</v>
      </c>
    </row>
    <row r="134">
      <c r="A134" s="12">
        <v>2021.0</v>
      </c>
      <c r="B134" s="12">
        <v>10.0</v>
      </c>
      <c r="C134" s="12">
        <v>4.0</v>
      </c>
      <c r="D134" s="12">
        <v>1003466.0</v>
      </c>
      <c r="E134" s="13">
        <v>0.44557331025703306</v>
      </c>
      <c r="F134" s="12">
        <v>3.65</v>
      </c>
      <c r="G134" s="12">
        <v>0.0</v>
      </c>
      <c r="H134" s="12" t="s">
        <v>12</v>
      </c>
      <c r="I134" s="12">
        <f>sumıf(Sales!B:B,D134,Sales!G:G)</f>
        <v>73.86</v>
      </c>
    </row>
    <row r="135">
      <c r="A135" s="12">
        <v>2021.0</v>
      </c>
      <c r="B135" s="12">
        <v>10.0</v>
      </c>
      <c r="C135" s="12">
        <v>4.0</v>
      </c>
      <c r="D135" s="12">
        <v>1003708.0</v>
      </c>
      <c r="E135" s="12">
        <v>1.0</v>
      </c>
      <c r="F135" s="12">
        <v>0.0</v>
      </c>
      <c r="G135" s="12">
        <v>0.0</v>
      </c>
      <c r="H135" s="12" t="s">
        <v>11</v>
      </c>
      <c r="I135" s="12">
        <f>sumıf(Sales!B:B,D135,Sales!G:G)</f>
        <v>129.37</v>
      </c>
    </row>
    <row r="136">
      <c r="A136" s="12">
        <v>2021.0</v>
      </c>
      <c r="B136" s="12">
        <v>10.0</v>
      </c>
      <c r="C136" s="12">
        <v>4.0</v>
      </c>
      <c r="D136" s="12">
        <v>1003885.0</v>
      </c>
      <c r="E136" s="13">
        <v>0.7241937751960622</v>
      </c>
      <c r="F136" s="12">
        <v>0.0</v>
      </c>
      <c r="G136" s="12">
        <v>0.0</v>
      </c>
      <c r="H136" s="12" t="s">
        <v>12</v>
      </c>
      <c r="I136" s="12">
        <f>sumıf(Sales!B:B,D136,Sales!G:G)</f>
        <v>121.76</v>
      </c>
    </row>
    <row r="137">
      <c r="A137" s="12">
        <v>2021.0</v>
      </c>
      <c r="B137" s="12">
        <v>10.0</v>
      </c>
      <c r="C137" s="12">
        <v>4.0</v>
      </c>
      <c r="D137" s="12">
        <v>1003581.0</v>
      </c>
      <c r="E137" s="12">
        <v>4.0</v>
      </c>
      <c r="F137" s="12">
        <v>0.0</v>
      </c>
      <c r="G137" s="12">
        <v>0.0</v>
      </c>
      <c r="H137" s="12" t="s">
        <v>10</v>
      </c>
      <c r="I137" s="12">
        <f>sumıf(Sales!B:B,D137,Sales!G:G)</f>
        <v>62.67</v>
      </c>
    </row>
    <row r="138">
      <c r="A138" s="12">
        <v>2021.0</v>
      </c>
      <c r="B138" s="12">
        <v>10.0</v>
      </c>
      <c r="C138" s="12">
        <v>4.0</v>
      </c>
      <c r="D138" s="12">
        <v>1003672.0</v>
      </c>
      <c r="E138" s="12">
        <v>2.0</v>
      </c>
      <c r="F138" s="12">
        <v>0.0</v>
      </c>
      <c r="G138" s="12">
        <v>0.0</v>
      </c>
      <c r="H138" s="12" t="s">
        <v>11</v>
      </c>
      <c r="I138" s="12">
        <f>sumıf(Sales!B:B,D138,Sales!G:G)</f>
        <v>66.98</v>
      </c>
    </row>
    <row r="139">
      <c r="A139" s="12">
        <v>2021.0</v>
      </c>
      <c r="B139" s="12">
        <v>10.0</v>
      </c>
      <c r="C139" s="12">
        <v>4.0</v>
      </c>
      <c r="D139" s="12">
        <v>1003414.0</v>
      </c>
      <c r="E139" s="12">
        <v>2.0</v>
      </c>
      <c r="F139" s="12">
        <v>0.0</v>
      </c>
      <c r="G139" s="12">
        <v>5.0</v>
      </c>
      <c r="H139" s="12" t="s">
        <v>12</v>
      </c>
      <c r="I139" s="12">
        <f>sumıf(Sales!B:B,D139,Sales!G:G)</f>
        <v>62.66</v>
      </c>
    </row>
    <row r="140">
      <c r="A140" s="12">
        <v>2021.0</v>
      </c>
      <c r="B140" s="12">
        <v>10.0</v>
      </c>
      <c r="C140" s="12">
        <v>4.0</v>
      </c>
      <c r="D140" s="12">
        <v>1003386.0</v>
      </c>
      <c r="E140" s="13">
        <v>0.5273326786417548</v>
      </c>
      <c r="F140" s="12">
        <v>0.0</v>
      </c>
      <c r="G140" s="12">
        <v>0.0</v>
      </c>
      <c r="H140" s="12" t="s">
        <v>12</v>
      </c>
      <c r="I140" s="12">
        <f>sumıf(Sales!B:B,D140,Sales!G:G)</f>
        <v>76.42</v>
      </c>
    </row>
    <row r="141">
      <c r="A141" s="12">
        <v>2021.0</v>
      </c>
      <c r="B141" s="12">
        <v>10.0</v>
      </c>
      <c r="C141" s="12">
        <v>4.0</v>
      </c>
      <c r="D141" s="12">
        <v>1003792.0</v>
      </c>
      <c r="E141" s="12">
        <v>18.0</v>
      </c>
      <c r="F141" s="12">
        <v>0.0</v>
      </c>
      <c r="G141" s="12">
        <v>0.0</v>
      </c>
      <c r="H141" s="12" t="s">
        <v>12</v>
      </c>
      <c r="I141" s="12">
        <f>sumıf(Sales!B:B,D141,Sales!G:G)</f>
        <v>180.12</v>
      </c>
    </row>
    <row r="142">
      <c r="A142" s="12">
        <v>2021.0</v>
      </c>
      <c r="B142" s="12">
        <v>10.0</v>
      </c>
      <c r="C142" s="12">
        <v>4.0</v>
      </c>
      <c r="D142" s="12">
        <v>1004023.0</v>
      </c>
      <c r="E142" s="12">
        <v>1.0</v>
      </c>
      <c r="F142" s="12">
        <v>0.0</v>
      </c>
      <c r="G142" s="12">
        <v>0.0</v>
      </c>
      <c r="H142" s="12" t="s">
        <v>12</v>
      </c>
      <c r="I142" s="12">
        <f>sumıf(Sales!B:B,D142,Sales!G:G)</f>
        <v>145.21</v>
      </c>
    </row>
    <row r="143">
      <c r="A143" s="12">
        <v>2021.0</v>
      </c>
      <c r="B143" s="12">
        <v>10.0</v>
      </c>
      <c r="C143" s="12">
        <v>4.0</v>
      </c>
      <c r="D143" s="12">
        <v>1003333.0</v>
      </c>
      <c r="E143" s="12">
        <v>1.0</v>
      </c>
      <c r="F143" s="12">
        <v>3.7</v>
      </c>
      <c r="G143" s="12">
        <v>5.0</v>
      </c>
      <c r="H143" s="12" t="s">
        <v>12</v>
      </c>
      <c r="I143" s="12">
        <f>sumıf(Sales!B:B,D143,Sales!G:G)</f>
        <v>68.45</v>
      </c>
    </row>
    <row r="144">
      <c r="A144" s="12">
        <v>2021.0</v>
      </c>
      <c r="B144" s="12">
        <v>10.0</v>
      </c>
      <c r="C144" s="12">
        <v>4.0</v>
      </c>
      <c r="D144" s="12">
        <v>1003911.0</v>
      </c>
      <c r="E144" s="12">
        <v>1.0</v>
      </c>
      <c r="F144" s="12">
        <v>0.0</v>
      </c>
      <c r="G144" s="12">
        <v>0.0</v>
      </c>
      <c r="H144" s="12" t="s">
        <v>12</v>
      </c>
      <c r="I144" s="12">
        <f>sumıf(Sales!B:B,D144,Sales!G:G)</f>
        <v>36.72</v>
      </c>
    </row>
    <row r="145">
      <c r="A145" s="12">
        <v>2021.0</v>
      </c>
      <c r="B145" s="12">
        <v>10.0</v>
      </c>
      <c r="C145" s="12">
        <v>4.0</v>
      </c>
      <c r="D145" s="12">
        <v>1003431.0</v>
      </c>
      <c r="E145" s="12">
        <v>3.0</v>
      </c>
      <c r="F145" s="12">
        <v>0.0</v>
      </c>
      <c r="G145" s="12">
        <v>0.0</v>
      </c>
      <c r="H145" s="12" t="s">
        <v>11</v>
      </c>
      <c r="I145" s="12">
        <f>sumıf(Sales!B:B,D145,Sales!G:G)</f>
        <v>57.4</v>
      </c>
    </row>
    <row r="146">
      <c r="A146" s="12">
        <v>2021.0</v>
      </c>
      <c r="B146" s="12">
        <v>10.0</v>
      </c>
      <c r="C146" s="12">
        <v>4.0</v>
      </c>
      <c r="D146" s="12">
        <v>1003563.0</v>
      </c>
      <c r="E146" s="12">
        <v>3.0</v>
      </c>
      <c r="F146" s="12">
        <v>0.0</v>
      </c>
      <c r="G146" s="12">
        <v>0.0</v>
      </c>
      <c r="H146" s="12" t="s">
        <v>12</v>
      </c>
      <c r="I146" s="12">
        <f>sumıf(Sales!B:B,D146,Sales!G:G)</f>
        <v>59.81</v>
      </c>
    </row>
    <row r="147">
      <c r="A147" s="12">
        <v>2021.0</v>
      </c>
      <c r="B147" s="12">
        <v>10.0</v>
      </c>
      <c r="C147" s="12">
        <v>4.0</v>
      </c>
      <c r="D147" s="12">
        <v>1003355.0</v>
      </c>
      <c r="E147" s="12">
        <v>17.0</v>
      </c>
      <c r="F147" s="12">
        <v>0.0</v>
      </c>
      <c r="G147" s="12">
        <v>0.0</v>
      </c>
      <c r="H147" s="12" t="s">
        <v>12</v>
      </c>
      <c r="I147" s="12">
        <f>sumıf(Sales!B:B,D147,Sales!G:G)</f>
        <v>99.16</v>
      </c>
    </row>
    <row r="148">
      <c r="A148" s="12">
        <v>2021.0</v>
      </c>
      <c r="B148" s="12">
        <v>10.0</v>
      </c>
      <c r="C148" s="12">
        <v>4.0</v>
      </c>
      <c r="D148" s="12">
        <v>1003461.0</v>
      </c>
      <c r="E148" s="12">
        <v>4.0</v>
      </c>
      <c r="F148" s="12">
        <v>3.7</v>
      </c>
      <c r="G148" s="12">
        <v>0.0</v>
      </c>
      <c r="H148" s="12" t="s">
        <v>12</v>
      </c>
      <c r="I148" s="12">
        <f>sumıf(Sales!B:B,D148,Sales!G:G)</f>
        <v>52.64</v>
      </c>
    </row>
    <row r="149">
      <c r="A149" s="12">
        <v>2021.0</v>
      </c>
      <c r="B149" s="12">
        <v>10.0</v>
      </c>
      <c r="C149" s="12">
        <v>4.0</v>
      </c>
      <c r="D149" s="12">
        <v>1003522.0</v>
      </c>
      <c r="E149" s="12">
        <v>2.0</v>
      </c>
      <c r="F149" s="12">
        <v>0.0</v>
      </c>
      <c r="G149" s="12">
        <v>0.0</v>
      </c>
      <c r="H149" s="12" t="s">
        <v>12</v>
      </c>
      <c r="I149" s="12">
        <f>sumıf(Sales!B:B,D149,Sales!G:G)</f>
        <v>36.26</v>
      </c>
    </row>
    <row r="150">
      <c r="A150" s="12">
        <v>2021.0</v>
      </c>
      <c r="B150" s="12">
        <v>10.0</v>
      </c>
      <c r="C150" s="12">
        <v>4.0</v>
      </c>
      <c r="D150" s="12">
        <v>1003706.0</v>
      </c>
      <c r="E150" s="12">
        <v>2.0</v>
      </c>
      <c r="F150" s="12">
        <v>3.58</v>
      </c>
      <c r="G150" s="12">
        <v>0.0</v>
      </c>
      <c r="H150" s="12" t="s">
        <v>12</v>
      </c>
      <c r="I150" s="12">
        <f>sumıf(Sales!B:B,D150,Sales!G:G)</f>
        <v>148.94</v>
      </c>
    </row>
    <row r="151">
      <c r="A151" s="12">
        <v>2021.0</v>
      </c>
      <c r="B151" s="12">
        <v>10.0</v>
      </c>
      <c r="C151" s="12">
        <v>5.0</v>
      </c>
      <c r="D151" s="12">
        <v>1003659.0</v>
      </c>
      <c r="E151" s="12">
        <v>2.0</v>
      </c>
      <c r="F151" s="12">
        <v>0.0</v>
      </c>
      <c r="G151" s="12">
        <v>5.0</v>
      </c>
      <c r="H151" s="12" t="s">
        <v>12</v>
      </c>
      <c r="I151" s="12">
        <f>sumıf(Sales!B:B,D151,Sales!G:G)</f>
        <v>101.71</v>
      </c>
    </row>
    <row r="152">
      <c r="A152" s="12">
        <v>2021.0</v>
      </c>
      <c r="B152" s="12">
        <v>10.0</v>
      </c>
      <c r="C152" s="12">
        <v>5.0</v>
      </c>
      <c r="D152" s="12">
        <v>1003955.0</v>
      </c>
      <c r="E152" s="13">
        <v>0.06751311210253186</v>
      </c>
      <c r="F152" s="12">
        <v>5.75</v>
      </c>
      <c r="G152" s="12">
        <v>0.0</v>
      </c>
      <c r="H152" s="12" t="s">
        <v>11</v>
      </c>
      <c r="I152" s="12">
        <f>sumıf(Sales!B:B,D152,Sales!G:G)</f>
        <v>85.7</v>
      </c>
    </row>
    <row r="153">
      <c r="A153" s="12">
        <v>2021.0</v>
      </c>
      <c r="B153" s="12">
        <v>10.0</v>
      </c>
      <c r="C153" s="12">
        <v>5.0</v>
      </c>
      <c r="D153" s="12">
        <v>1003523.0</v>
      </c>
      <c r="E153" s="12">
        <v>2.0</v>
      </c>
      <c r="F153" s="12">
        <v>3.25</v>
      </c>
      <c r="G153" s="12">
        <v>0.0</v>
      </c>
      <c r="H153" s="12" t="s">
        <v>10</v>
      </c>
      <c r="I153" s="12">
        <f>sumıf(Sales!B:B,D153,Sales!G:G)</f>
        <v>22.47</v>
      </c>
    </row>
    <row r="154">
      <c r="A154" s="12">
        <v>2021.0</v>
      </c>
      <c r="B154" s="12">
        <v>10.0</v>
      </c>
      <c r="C154" s="12">
        <v>5.0</v>
      </c>
      <c r="D154" s="12">
        <v>1003474.0</v>
      </c>
      <c r="E154" s="12">
        <v>2.0</v>
      </c>
      <c r="F154" s="12">
        <v>0.0</v>
      </c>
      <c r="G154" s="12">
        <v>0.0</v>
      </c>
      <c r="H154" s="12" t="s">
        <v>11</v>
      </c>
      <c r="I154" s="12">
        <f>sumıf(Sales!B:B,D154,Sales!G:G)</f>
        <v>61.12</v>
      </c>
    </row>
    <row r="155">
      <c r="A155" s="12">
        <v>2021.0</v>
      </c>
      <c r="B155" s="12">
        <v>10.0</v>
      </c>
      <c r="C155" s="12">
        <v>5.0</v>
      </c>
      <c r="D155" s="12">
        <v>1003690.0</v>
      </c>
      <c r="E155" s="12">
        <v>1.0</v>
      </c>
      <c r="F155" s="12">
        <v>0.0</v>
      </c>
      <c r="G155" s="12">
        <v>8.35</v>
      </c>
      <c r="H155" s="12" t="s">
        <v>12</v>
      </c>
      <c r="I155" s="12">
        <f>sumıf(Sales!B:B,D155,Sales!G:G)</f>
        <v>40.61</v>
      </c>
    </row>
    <row r="156">
      <c r="A156" s="12">
        <v>2021.0</v>
      </c>
      <c r="B156" s="12">
        <v>10.0</v>
      </c>
      <c r="C156" s="12">
        <v>5.0</v>
      </c>
      <c r="D156" s="12">
        <v>1003542.0</v>
      </c>
      <c r="E156" s="13">
        <v>0.20990658130717954</v>
      </c>
      <c r="F156" s="12">
        <v>0.0</v>
      </c>
      <c r="G156" s="12">
        <v>0.0</v>
      </c>
      <c r="H156" s="12" t="s">
        <v>10</v>
      </c>
      <c r="I156" s="12">
        <f>sumıf(Sales!B:B,D156,Sales!G:G)</f>
        <v>188.22</v>
      </c>
    </row>
    <row r="157">
      <c r="A157" s="12">
        <v>2021.0</v>
      </c>
      <c r="B157" s="12">
        <v>10.0</v>
      </c>
      <c r="C157" s="12">
        <v>5.0</v>
      </c>
      <c r="D157" s="12">
        <v>1003978.0</v>
      </c>
      <c r="E157" s="12">
        <v>5.0</v>
      </c>
      <c r="F157" s="12">
        <v>0.0</v>
      </c>
      <c r="G157" s="12">
        <v>0.0</v>
      </c>
      <c r="H157" s="12" t="s">
        <v>12</v>
      </c>
      <c r="I157" s="12">
        <f>sumıf(Sales!B:B,D157,Sales!G:G)</f>
        <v>24.18</v>
      </c>
    </row>
    <row r="158">
      <c r="A158" s="12">
        <v>2021.0</v>
      </c>
      <c r="B158" s="12">
        <v>10.0</v>
      </c>
      <c r="C158" s="12">
        <v>5.0</v>
      </c>
      <c r="D158" s="12">
        <v>1003813.0</v>
      </c>
      <c r="E158" s="12">
        <v>2.0</v>
      </c>
      <c r="F158" s="12">
        <v>0.0</v>
      </c>
      <c r="G158" s="12">
        <v>0.0</v>
      </c>
      <c r="H158" s="12" t="s">
        <v>12</v>
      </c>
      <c r="I158" s="12">
        <f>sumıf(Sales!B:B,D158,Sales!G:G)</f>
        <v>64</v>
      </c>
    </row>
    <row r="159">
      <c r="A159" s="12">
        <v>2021.0</v>
      </c>
      <c r="B159" s="12">
        <v>10.0</v>
      </c>
      <c r="C159" s="12">
        <v>5.0</v>
      </c>
      <c r="D159" s="12">
        <v>1003653.0</v>
      </c>
      <c r="E159" s="12">
        <v>3.0</v>
      </c>
      <c r="F159" s="12">
        <v>0.0</v>
      </c>
      <c r="G159" s="12">
        <v>0.0</v>
      </c>
      <c r="H159" s="12" t="s">
        <v>11</v>
      </c>
      <c r="I159" s="12">
        <f>sumıf(Sales!B:B,D159,Sales!G:G)</f>
        <v>54.97</v>
      </c>
    </row>
    <row r="160">
      <c r="A160" s="12">
        <v>2021.0</v>
      </c>
      <c r="B160" s="12">
        <v>10.0</v>
      </c>
      <c r="C160" s="12">
        <v>5.0</v>
      </c>
      <c r="D160" s="12">
        <v>1003551.0</v>
      </c>
      <c r="E160" s="12">
        <v>3.0</v>
      </c>
      <c r="F160" s="12">
        <v>5.75</v>
      </c>
      <c r="G160" s="12">
        <v>0.0</v>
      </c>
      <c r="H160" s="12" t="s">
        <v>10</v>
      </c>
      <c r="I160" s="12">
        <f>sumıf(Sales!B:B,D160,Sales!G:G)</f>
        <v>73.52</v>
      </c>
    </row>
    <row r="161">
      <c r="A161" s="12">
        <v>2021.0</v>
      </c>
      <c r="B161" s="12">
        <v>10.0</v>
      </c>
      <c r="C161" s="12">
        <v>5.0</v>
      </c>
      <c r="D161" s="12">
        <v>1003619.0</v>
      </c>
      <c r="E161" s="12">
        <v>1.0</v>
      </c>
      <c r="F161" s="12">
        <v>3.25</v>
      </c>
      <c r="G161" s="12">
        <v>0.0</v>
      </c>
      <c r="H161" s="12" t="s">
        <v>11</v>
      </c>
      <c r="I161" s="12">
        <f>sumıf(Sales!B:B,D161,Sales!G:G)</f>
        <v>38.25</v>
      </c>
    </row>
    <row r="162">
      <c r="A162" s="12">
        <v>2021.0</v>
      </c>
      <c r="B162" s="12">
        <v>10.0</v>
      </c>
      <c r="C162" s="12">
        <v>5.0</v>
      </c>
      <c r="D162" s="12">
        <v>1003804.0</v>
      </c>
      <c r="E162" s="12">
        <v>1.0</v>
      </c>
      <c r="F162" s="12">
        <v>0.94</v>
      </c>
      <c r="G162" s="12">
        <v>10.0</v>
      </c>
      <c r="H162" s="12" t="s">
        <v>12</v>
      </c>
      <c r="I162" s="12">
        <f>sumıf(Sales!B:B,D162,Sales!G:G)</f>
        <v>68.05</v>
      </c>
    </row>
    <row r="163">
      <c r="A163" s="12">
        <v>2021.0</v>
      </c>
      <c r="B163" s="12">
        <v>10.0</v>
      </c>
      <c r="C163" s="12">
        <v>5.0</v>
      </c>
      <c r="D163" s="12">
        <v>1003482.0</v>
      </c>
      <c r="E163" s="12">
        <v>4.0</v>
      </c>
      <c r="F163" s="12">
        <v>0.0</v>
      </c>
      <c r="G163" s="12">
        <v>0.0</v>
      </c>
      <c r="H163" s="12" t="s">
        <v>10</v>
      </c>
      <c r="I163" s="12">
        <f>sumıf(Sales!B:B,D163,Sales!G:G)</f>
        <v>41.12</v>
      </c>
    </row>
    <row r="164">
      <c r="A164" s="12">
        <v>2021.0</v>
      </c>
      <c r="B164" s="12">
        <v>10.0</v>
      </c>
      <c r="C164" s="12">
        <v>5.0</v>
      </c>
      <c r="D164" s="12">
        <v>1003515.0</v>
      </c>
      <c r="E164" s="13">
        <v>0.8027852750014013</v>
      </c>
      <c r="F164" s="12">
        <v>0.0</v>
      </c>
      <c r="G164" s="12">
        <v>0.0</v>
      </c>
      <c r="H164" s="12" t="s">
        <v>11</v>
      </c>
      <c r="I164" s="12">
        <f>sumıf(Sales!B:B,D164,Sales!G:G)</f>
        <v>113.23</v>
      </c>
    </row>
    <row r="165">
      <c r="A165" s="12">
        <v>2021.0</v>
      </c>
      <c r="B165" s="12">
        <v>10.0</v>
      </c>
      <c r="C165" s="12">
        <v>5.0</v>
      </c>
      <c r="D165" s="12">
        <v>1003363.0</v>
      </c>
      <c r="E165" s="12">
        <v>2.0</v>
      </c>
      <c r="F165" s="12">
        <v>0.0</v>
      </c>
      <c r="G165" s="12">
        <v>0.0</v>
      </c>
      <c r="H165" s="12" t="s">
        <v>10</v>
      </c>
      <c r="I165" s="12">
        <f>sumıf(Sales!B:B,D165,Sales!G:G)</f>
        <v>69.64</v>
      </c>
    </row>
    <row r="166">
      <c r="A166" s="12">
        <v>2021.0</v>
      </c>
      <c r="B166" s="12">
        <v>10.0</v>
      </c>
      <c r="C166" s="12">
        <v>5.0</v>
      </c>
      <c r="D166" s="12">
        <v>1003751.0</v>
      </c>
      <c r="E166" s="12">
        <v>3.0</v>
      </c>
      <c r="F166" s="12">
        <v>0.0</v>
      </c>
      <c r="G166" s="12">
        <v>0.0</v>
      </c>
      <c r="H166" s="12" t="s">
        <v>10</v>
      </c>
      <c r="I166" s="12">
        <f>sumıf(Sales!B:B,D166,Sales!G:G)</f>
        <v>55.08</v>
      </c>
    </row>
    <row r="167">
      <c r="A167" s="12">
        <v>2021.0</v>
      </c>
      <c r="B167" s="12">
        <v>10.0</v>
      </c>
      <c r="C167" s="12">
        <v>5.0</v>
      </c>
      <c r="D167" s="12">
        <v>1003577.0</v>
      </c>
      <c r="E167" s="12">
        <v>8.0</v>
      </c>
      <c r="F167" s="12">
        <v>0.0</v>
      </c>
      <c r="G167" s="12">
        <v>0.0</v>
      </c>
      <c r="H167" s="12" t="s">
        <v>11</v>
      </c>
      <c r="I167" s="12">
        <f>sumıf(Sales!B:B,D167,Sales!G:G)</f>
        <v>46.64</v>
      </c>
    </row>
    <row r="168">
      <c r="A168" s="12">
        <v>2021.0</v>
      </c>
      <c r="B168" s="12">
        <v>10.0</v>
      </c>
      <c r="C168" s="12">
        <v>5.0</v>
      </c>
      <c r="D168" s="12">
        <v>1003628.0</v>
      </c>
      <c r="E168" s="12">
        <v>12.0</v>
      </c>
      <c r="F168" s="12">
        <v>3.25</v>
      </c>
      <c r="G168" s="12">
        <v>0.0</v>
      </c>
      <c r="H168" s="12" t="s">
        <v>11</v>
      </c>
      <c r="I168" s="12">
        <f>sumıf(Sales!B:B,D168,Sales!G:G)</f>
        <v>81.07</v>
      </c>
    </row>
    <row r="169">
      <c r="A169" s="12">
        <v>2021.0</v>
      </c>
      <c r="B169" s="12">
        <v>10.0</v>
      </c>
      <c r="C169" s="12">
        <v>5.0</v>
      </c>
      <c r="D169" s="12">
        <v>1003762.0</v>
      </c>
      <c r="E169" s="12">
        <v>3.0</v>
      </c>
      <c r="F169" s="12">
        <v>0.0</v>
      </c>
      <c r="G169" s="12">
        <v>10.0</v>
      </c>
      <c r="H169" s="12" t="s">
        <v>12</v>
      </c>
      <c r="I169" s="12">
        <f>sumıf(Sales!B:B,D169,Sales!G:G)</f>
        <v>58.64</v>
      </c>
    </row>
    <row r="170">
      <c r="A170" s="12">
        <v>2021.0</v>
      </c>
      <c r="B170" s="12">
        <v>10.0</v>
      </c>
      <c r="C170" s="12">
        <v>5.0</v>
      </c>
      <c r="D170" s="12">
        <v>1003985.0</v>
      </c>
      <c r="E170" s="12">
        <v>2.0</v>
      </c>
      <c r="F170" s="12">
        <v>0.0</v>
      </c>
      <c r="G170" s="12">
        <v>0.0</v>
      </c>
      <c r="H170" s="12" t="s">
        <v>11</v>
      </c>
      <c r="I170" s="12">
        <f>sumıf(Sales!B:B,D170,Sales!G:G)</f>
        <v>47.09</v>
      </c>
    </row>
    <row r="171">
      <c r="A171" s="12">
        <v>2021.0</v>
      </c>
      <c r="B171" s="12">
        <v>10.0</v>
      </c>
      <c r="C171" s="12">
        <v>5.0</v>
      </c>
      <c r="D171" s="12">
        <v>1003676.0</v>
      </c>
      <c r="E171" s="12">
        <v>2.0</v>
      </c>
      <c r="F171" s="12">
        <v>0.0</v>
      </c>
      <c r="G171" s="12">
        <v>0.0</v>
      </c>
      <c r="H171" s="12" t="s">
        <v>11</v>
      </c>
      <c r="I171" s="12">
        <f>sumıf(Sales!B:B,D171,Sales!G:G)</f>
        <v>29.75</v>
      </c>
    </row>
    <row r="172">
      <c r="A172" s="12">
        <v>2021.0</v>
      </c>
      <c r="B172" s="12">
        <v>10.0</v>
      </c>
      <c r="C172" s="12">
        <v>5.0</v>
      </c>
      <c r="D172" s="12">
        <v>1003670.0</v>
      </c>
      <c r="E172" s="12">
        <v>3.0</v>
      </c>
      <c r="F172" s="12">
        <v>0.0</v>
      </c>
      <c r="G172" s="12">
        <v>0.0</v>
      </c>
      <c r="H172" s="12" t="s">
        <v>12</v>
      </c>
      <c r="I172" s="12">
        <f>sumıf(Sales!B:B,D172,Sales!G:G)</f>
        <v>104.4</v>
      </c>
    </row>
    <row r="173">
      <c r="A173" s="12">
        <v>2021.0</v>
      </c>
      <c r="B173" s="12">
        <v>10.0</v>
      </c>
      <c r="C173" s="12">
        <v>5.0</v>
      </c>
      <c r="D173" s="12">
        <v>1003856.0</v>
      </c>
      <c r="E173" s="12">
        <v>1.0</v>
      </c>
      <c r="F173" s="12">
        <v>0.0</v>
      </c>
      <c r="G173" s="12">
        <v>0.0</v>
      </c>
      <c r="H173" s="12" t="s">
        <v>10</v>
      </c>
      <c r="I173" s="12">
        <f>sumıf(Sales!B:B,D173,Sales!G:G)</f>
        <v>35.82</v>
      </c>
    </row>
    <row r="174">
      <c r="A174" s="12">
        <v>2021.0</v>
      </c>
      <c r="B174" s="12">
        <v>10.0</v>
      </c>
      <c r="C174" s="12">
        <v>5.0</v>
      </c>
      <c r="D174" s="12">
        <v>1003417.0</v>
      </c>
      <c r="E174" s="12">
        <v>9.0</v>
      </c>
      <c r="F174" s="12">
        <v>0.0</v>
      </c>
      <c r="G174" s="12">
        <v>0.0</v>
      </c>
      <c r="H174" s="12" t="s">
        <v>12</v>
      </c>
      <c r="I174" s="12">
        <f>sumıf(Sales!B:B,D174,Sales!G:G)</f>
        <v>56.28</v>
      </c>
    </row>
    <row r="175">
      <c r="A175" s="12">
        <v>2021.0</v>
      </c>
      <c r="B175" s="12">
        <v>10.0</v>
      </c>
      <c r="C175" s="12">
        <v>5.0</v>
      </c>
      <c r="D175" s="12">
        <v>1003691.0</v>
      </c>
      <c r="E175" s="12">
        <v>2.0</v>
      </c>
      <c r="F175" s="12">
        <v>3.55</v>
      </c>
      <c r="G175" s="12">
        <v>0.0</v>
      </c>
      <c r="H175" s="12" t="s">
        <v>10</v>
      </c>
      <c r="I175" s="12">
        <f>sumıf(Sales!B:B,D175,Sales!G:G)</f>
        <v>79.56</v>
      </c>
    </row>
    <row r="176">
      <c r="A176" s="12">
        <v>2021.0</v>
      </c>
      <c r="B176" s="12">
        <v>10.0</v>
      </c>
      <c r="C176" s="12">
        <v>5.0</v>
      </c>
      <c r="D176" s="12">
        <v>1003382.0</v>
      </c>
      <c r="E176" s="12">
        <v>6.0</v>
      </c>
      <c r="F176" s="12">
        <v>0.0</v>
      </c>
      <c r="G176" s="12">
        <v>0.0</v>
      </c>
      <c r="H176" s="12" t="s">
        <v>10</v>
      </c>
      <c r="I176" s="12">
        <f>sumıf(Sales!B:B,D176,Sales!G:G)</f>
        <v>13.74</v>
      </c>
    </row>
    <row r="177">
      <c r="A177" s="12">
        <v>2021.0</v>
      </c>
      <c r="B177" s="12">
        <v>10.0</v>
      </c>
      <c r="C177" s="12">
        <v>5.0</v>
      </c>
      <c r="D177" s="12">
        <v>1003589.0</v>
      </c>
      <c r="E177" s="12">
        <v>3.0</v>
      </c>
      <c r="F177" s="12">
        <v>0.0</v>
      </c>
      <c r="G177" s="12">
        <v>0.0</v>
      </c>
      <c r="H177" s="12" t="s">
        <v>10</v>
      </c>
      <c r="I177" s="12">
        <f>sumıf(Sales!B:B,D177,Sales!G:G)</f>
        <v>62.92</v>
      </c>
    </row>
    <row r="178">
      <c r="A178" s="12">
        <v>2021.0</v>
      </c>
      <c r="B178" s="12">
        <v>10.0</v>
      </c>
      <c r="C178" s="12">
        <v>5.0</v>
      </c>
      <c r="D178" s="12">
        <v>1003868.0</v>
      </c>
      <c r="E178" s="12">
        <v>3.0</v>
      </c>
      <c r="F178" s="12">
        <v>0.0</v>
      </c>
      <c r="G178" s="12">
        <v>0.0</v>
      </c>
      <c r="H178" s="12" t="s">
        <v>11</v>
      </c>
      <c r="I178" s="12">
        <f>sumıf(Sales!B:B,D178,Sales!G:G)</f>
        <v>59.36</v>
      </c>
    </row>
    <row r="179">
      <c r="A179" s="12">
        <v>2021.0</v>
      </c>
      <c r="B179" s="12">
        <v>10.0</v>
      </c>
      <c r="C179" s="12">
        <v>5.0</v>
      </c>
      <c r="D179" s="12">
        <v>1003438.0</v>
      </c>
      <c r="E179" s="13">
        <v>0.15438023042713223</v>
      </c>
      <c r="F179" s="12">
        <v>0.0</v>
      </c>
      <c r="G179" s="12">
        <v>0.0</v>
      </c>
      <c r="H179" s="12" t="s">
        <v>10</v>
      </c>
      <c r="I179" s="12">
        <f>sumıf(Sales!B:B,D179,Sales!G:G)</f>
        <v>148.7</v>
      </c>
    </row>
    <row r="180">
      <c r="A180" s="12">
        <v>2021.0</v>
      </c>
      <c r="B180" s="12">
        <v>10.0</v>
      </c>
      <c r="C180" s="12">
        <v>5.0</v>
      </c>
      <c r="D180" s="12">
        <v>1003538.0</v>
      </c>
      <c r="E180" s="12">
        <v>6.0</v>
      </c>
      <c r="F180" s="12">
        <v>0.0</v>
      </c>
      <c r="G180" s="12">
        <v>0.0</v>
      </c>
      <c r="H180" s="12" t="s">
        <v>10</v>
      </c>
      <c r="I180" s="12">
        <f>sumıf(Sales!B:B,D180,Sales!G:G)</f>
        <v>34.16</v>
      </c>
    </row>
    <row r="181">
      <c r="A181" s="12">
        <v>2021.0</v>
      </c>
      <c r="B181" s="12">
        <v>10.0</v>
      </c>
      <c r="C181" s="12">
        <v>5.0</v>
      </c>
      <c r="D181" s="12">
        <v>1003476.0</v>
      </c>
      <c r="E181" s="12">
        <v>3.0</v>
      </c>
      <c r="F181" s="12">
        <v>0.0</v>
      </c>
      <c r="G181" s="12">
        <v>0.0</v>
      </c>
      <c r="H181" s="12" t="s">
        <v>11</v>
      </c>
      <c r="I181" s="12">
        <f>sumıf(Sales!B:B,D181,Sales!G:G)</f>
        <v>60.41</v>
      </c>
    </row>
    <row r="182">
      <c r="A182" s="12">
        <v>2021.0</v>
      </c>
      <c r="B182" s="12">
        <v>10.0</v>
      </c>
      <c r="C182" s="12">
        <v>5.0</v>
      </c>
      <c r="D182" s="12">
        <v>1003661.0</v>
      </c>
      <c r="E182" s="12">
        <v>1.0</v>
      </c>
      <c r="F182" s="12">
        <v>0.93</v>
      </c>
      <c r="G182" s="12">
        <v>0.0</v>
      </c>
      <c r="H182" s="12" t="s">
        <v>12</v>
      </c>
      <c r="I182" s="12">
        <f>sumıf(Sales!B:B,D182,Sales!G:G)</f>
        <v>47.74</v>
      </c>
    </row>
    <row r="183">
      <c r="A183" s="12">
        <v>2021.0</v>
      </c>
      <c r="B183" s="12">
        <v>10.0</v>
      </c>
      <c r="C183" s="12">
        <v>5.0</v>
      </c>
      <c r="D183" s="12">
        <v>1003863.0</v>
      </c>
      <c r="E183" s="12">
        <v>5.0</v>
      </c>
      <c r="F183" s="12">
        <v>0.0</v>
      </c>
      <c r="G183" s="12">
        <v>0.0</v>
      </c>
      <c r="H183" s="12" t="s">
        <v>10</v>
      </c>
      <c r="I183" s="12">
        <f>sumıf(Sales!B:B,D183,Sales!G:G)</f>
        <v>45.19</v>
      </c>
    </row>
    <row r="184">
      <c r="A184" s="12">
        <v>2021.0</v>
      </c>
      <c r="B184" s="12">
        <v>10.0</v>
      </c>
      <c r="C184" s="12">
        <v>5.0</v>
      </c>
      <c r="D184" s="12">
        <v>1003877.0</v>
      </c>
      <c r="E184" s="12">
        <v>3.0</v>
      </c>
      <c r="F184" s="12">
        <v>0.0</v>
      </c>
      <c r="G184" s="12">
        <v>0.0</v>
      </c>
      <c r="H184" s="12" t="s">
        <v>12</v>
      </c>
      <c r="I184" s="12">
        <f>sumıf(Sales!B:B,D184,Sales!G:G)</f>
        <v>66.45</v>
      </c>
    </row>
    <row r="185">
      <c r="A185" s="12">
        <v>2021.0</v>
      </c>
      <c r="B185" s="12">
        <v>10.0</v>
      </c>
      <c r="C185" s="12">
        <v>5.0</v>
      </c>
      <c r="D185" s="12">
        <v>1003450.0</v>
      </c>
      <c r="E185" s="12">
        <v>5.0</v>
      </c>
      <c r="F185" s="12">
        <v>8.25</v>
      </c>
      <c r="G185" s="12">
        <v>0.0</v>
      </c>
      <c r="H185" s="12" t="s">
        <v>12</v>
      </c>
      <c r="I185" s="12">
        <f>sumıf(Sales!B:B,D185,Sales!G:G)</f>
        <v>57.34</v>
      </c>
    </row>
    <row r="186">
      <c r="A186" s="12">
        <v>2021.0</v>
      </c>
      <c r="B186" s="12">
        <v>10.0</v>
      </c>
      <c r="C186" s="12">
        <v>5.0</v>
      </c>
      <c r="D186" s="12">
        <v>1003741.0</v>
      </c>
      <c r="E186" s="12">
        <v>1.0</v>
      </c>
      <c r="F186" s="12">
        <v>9.38</v>
      </c>
      <c r="G186" s="12">
        <v>0.0</v>
      </c>
      <c r="H186" s="12" t="s">
        <v>12</v>
      </c>
      <c r="I186" s="12">
        <f>sumıf(Sales!B:B,D186,Sales!G:G)</f>
        <v>130.49</v>
      </c>
    </row>
    <row r="187">
      <c r="A187" s="12">
        <v>2021.0</v>
      </c>
      <c r="B187" s="12">
        <v>10.0</v>
      </c>
      <c r="C187" s="12">
        <v>5.0</v>
      </c>
      <c r="D187" s="12">
        <v>1003769.0</v>
      </c>
      <c r="E187" s="12">
        <v>1.0</v>
      </c>
      <c r="F187" s="12">
        <v>0.0</v>
      </c>
      <c r="G187" s="12">
        <v>5.0</v>
      </c>
      <c r="H187" s="12" t="s">
        <v>12</v>
      </c>
      <c r="I187" s="12">
        <f>sumıf(Sales!B:B,D187,Sales!G:G)</f>
        <v>44.73</v>
      </c>
    </row>
    <row r="188">
      <c r="A188" s="12">
        <v>2021.0</v>
      </c>
      <c r="B188" s="12">
        <v>10.0</v>
      </c>
      <c r="C188" s="12">
        <v>5.0</v>
      </c>
      <c r="D188" s="12">
        <v>1003423.0</v>
      </c>
      <c r="E188" s="12">
        <v>1.0</v>
      </c>
      <c r="F188" s="12">
        <v>0.0</v>
      </c>
      <c r="G188" s="12">
        <v>0.0</v>
      </c>
      <c r="H188" s="12" t="s">
        <v>10</v>
      </c>
      <c r="I188" s="12">
        <f>sumıf(Sales!B:B,D188,Sales!G:G)</f>
        <v>92.2</v>
      </c>
    </row>
    <row r="189">
      <c r="A189" s="12">
        <v>2021.0</v>
      </c>
      <c r="B189" s="12">
        <v>10.0</v>
      </c>
      <c r="C189" s="12">
        <v>5.0</v>
      </c>
      <c r="D189" s="12">
        <v>1003779.0</v>
      </c>
      <c r="E189" s="12">
        <v>3.0</v>
      </c>
      <c r="F189" s="12">
        <v>0.0</v>
      </c>
      <c r="G189" s="12">
        <v>10.0</v>
      </c>
      <c r="H189" s="12" t="s">
        <v>11</v>
      </c>
      <c r="I189" s="12">
        <f>sumıf(Sales!B:B,D189,Sales!G:G)</f>
        <v>60.52</v>
      </c>
    </row>
    <row r="190">
      <c r="A190" s="12">
        <v>2021.0</v>
      </c>
      <c r="B190" s="12">
        <v>10.0</v>
      </c>
      <c r="C190" s="12">
        <v>5.0</v>
      </c>
      <c r="D190" s="12">
        <v>1003614.0</v>
      </c>
      <c r="E190" s="12">
        <v>2.0</v>
      </c>
      <c r="F190" s="12">
        <v>0.0</v>
      </c>
      <c r="G190" s="12">
        <v>6.0</v>
      </c>
      <c r="H190" s="12" t="s">
        <v>12</v>
      </c>
      <c r="I190" s="12">
        <f>sumıf(Sales!B:B,D190,Sales!G:G)</f>
        <v>17.48</v>
      </c>
    </row>
    <row r="191">
      <c r="A191" s="12">
        <v>2021.0</v>
      </c>
      <c r="B191" s="12">
        <v>10.0</v>
      </c>
      <c r="C191" s="12">
        <v>5.0</v>
      </c>
      <c r="D191" s="12">
        <v>1003971.0</v>
      </c>
      <c r="E191" s="12">
        <v>2.0</v>
      </c>
      <c r="F191" s="12">
        <v>0.0</v>
      </c>
      <c r="G191" s="12">
        <v>0.0</v>
      </c>
      <c r="H191" s="12" t="s">
        <v>12</v>
      </c>
      <c r="I191" s="12">
        <f>sumıf(Sales!B:B,D191,Sales!G:G)</f>
        <v>19.52</v>
      </c>
    </row>
    <row r="192">
      <c r="A192" s="12">
        <v>2021.0</v>
      </c>
      <c r="B192" s="12">
        <v>10.0</v>
      </c>
      <c r="C192" s="12">
        <v>5.0</v>
      </c>
      <c r="D192" s="12">
        <v>1003934.0</v>
      </c>
      <c r="E192" s="12">
        <v>1.0</v>
      </c>
      <c r="F192" s="12">
        <v>0.0</v>
      </c>
      <c r="G192" s="12">
        <v>0.0</v>
      </c>
      <c r="H192" s="12" t="s">
        <v>12</v>
      </c>
      <c r="I192" s="12">
        <f>sumıf(Sales!B:B,D192,Sales!G:G)</f>
        <v>31.9</v>
      </c>
    </row>
    <row r="193">
      <c r="A193" s="12">
        <v>2021.0</v>
      </c>
      <c r="B193" s="12">
        <v>10.0</v>
      </c>
      <c r="C193" s="12">
        <v>5.0</v>
      </c>
      <c r="D193" s="12">
        <v>1003470.0</v>
      </c>
      <c r="E193" s="12">
        <v>12.0</v>
      </c>
      <c r="F193" s="12">
        <v>0.0</v>
      </c>
      <c r="G193" s="12">
        <v>0.0</v>
      </c>
      <c r="H193" s="12" t="s">
        <v>10</v>
      </c>
      <c r="I193" s="12">
        <f>sumıf(Sales!B:B,D193,Sales!G:G)</f>
        <v>42.37</v>
      </c>
    </row>
    <row r="194">
      <c r="A194" s="12">
        <v>2021.0</v>
      </c>
      <c r="B194" s="12">
        <v>10.0</v>
      </c>
      <c r="C194" s="12">
        <v>5.0</v>
      </c>
      <c r="D194" s="12">
        <v>1003767.0</v>
      </c>
      <c r="E194" s="13">
        <v>0.3848026435531944</v>
      </c>
      <c r="F194" s="12">
        <v>0.0</v>
      </c>
      <c r="G194" s="12">
        <v>0.0</v>
      </c>
      <c r="H194" s="12" t="s">
        <v>10</v>
      </c>
      <c r="I194" s="12">
        <f>sumıf(Sales!B:B,D194,Sales!G:G)</f>
        <v>117.55</v>
      </c>
    </row>
    <row r="195">
      <c r="A195" s="12">
        <v>2021.0</v>
      </c>
      <c r="B195" s="12">
        <v>10.0</v>
      </c>
      <c r="C195" s="12">
        <v>5.0</v>
      </c>
      <c r="D195" s="12">
        <v>1003876.0</v>
      </c>
      <c r="E195" s="12">
        <v>6.0</v>
      </c>
      <c r="F195" s="12">
        <v>0.0</v>
      </c>
      <c r="G195" s="12">
        <v>0.0</v>
      </c>
      <c r="H195" s="12" t="s">
        <v>12</v>
      </c>
      <c r="I195" s="12">
        <f>sumıf(Sales!B:B,D195,Sales!G:G)</f>
        <v>37</v>
      </c>
    </row>
    <row r="196">
      <c r="A196" s="12">
        <v>2021.0</v>
      </c>
      <c r="B196" s="12">
        <v>10.0</v>
      </c>
      <c r="C196" s="12">
        <v>5.0</v>
      </c>
      <c r="D196" s="12">
        <v>1003995.0</v>
      </c>
      <c r="E196" s="12">
        <v>1.0</v>
      </c>
      <c r="F196" s="12">
        <v>0.0</v>
      </c>
      <c r="G196" s="12">
        <v>0.0</v>
      </c>
      <c r="H196" s="12" t="s">
        <v>10</v>
      </c>
      <c r="I196" s="12">
        <f>sumıf(Sales!B:B,D196,Sales!G:G)</f>
        <v>36.66</v>
      </c>
    </row>
    <row r="197">
      <c r="A197" s="12">
        <v>2021.0</v>
      </c>
      <c r="B197" s="12">
        <v>10.0</v>
      </c>
      <c r="C197" s="12">
        <v>5.0</v>
      </c>
      <c r="D197" s="12">
        <v>1003735.0</v>
      </c>
      <c r="E197" s="12">
        <v>3.0</v>
      </c>
      <c r="F197" s="12">
        <v>0.0</v>
      </c>
      <c r="G197" s="12">
        <v>0.0</v>
      </c>
      <c r="H197" s="12" t="s">
        <v>12</v>
      </c>
      <c r="I197" s="12">
        <f>sumıf(Sales!B:B,D197,Sales!G:G)</f>
        <v>120.9</v>
      </c>
    </row>
    <row r="198">
      <c r="A198" s="12">
        <v>2021.0</v>
      </c>
      <c r="B198" s="12">
        <v>10.0</v>
      </c>
      <c r="C198" s="12">
        <v>5.0</v>
      </c>
      <c r="D198" s="12">
        <v>1003869.0</v>
      </c>
      <c r="E198" s="12">
        <v>3.0</v>
      </c>
      <c r="F198" s="12">
        <v>0.0</v>
      </c>
      <c r="G198" s="12">
        <v>10.0</v>
      </c>
      <c r="H198" s="12" t="s">
        <v>11</v>
      </c>
      <c r="I198" s="12">
        <f>sumıf(Sales!B:B,D198,Sales!G:G)</f>
        <v>59.17</v>
      </c>
    </row>
    <row r="199">
      <c r="A199" s="12">
        <v>2021.0</v>
      </c>
      <c r="B199" s="12">
        <v>10.0</v>
      </c>
      <c r="C199" s="12">
        <v>5.0</v>
      </c>
      <c r="D199" s="12">
        <v>1003535.0</v>
      </c>
      <c r="E199" s="12">
        <v>1.0</v>
      </c>
      <c r="F199" s="12">
        <v>0.0</v>
      </c>
      <c r="G199" s="12">
        <v>0.0</v>
      </c>
      <c r="H199" s="12" t="s">
        <v>10</v>
      </c>
      <c r="I199" s="12">
        <f>sumıf(Sales!B:B,D199,Sales!G:G)</f>
        <v>29.75</v>
      </c>
    </row>
    <row r="200">
      <c r="A200" s="12">
        <v>2021.0</v>
      </c>
      <c r="B200" s="12">
        <v>10.0</v>
      </c>
      <c r="C200" s="12">
        <v>5.0</v>
      </c>
      <c r="D200" s="12">
        <v>1003412.0</v>
      </c>
      <c r="E200" s="12">
        <v>14.0</v>
      </c>
      <c r="F200" s="12">
        <v>0.0</v>
      </c>
      <c r="G200" s="12">
        <v>6.0</v>
      </c>
      <c r="H200" s="12" t="s">
        <v>12</v>
      </c>
      <c r="I200" s="12">
        <f>sumıf(Sales!B:B,D200,Sales!G:G)</f>
        <v>83.61</v>
      </c>
    </row>
    <row r="201">
      <c r="A201" s="12">
        <v>2021.0</v>
      </c>
      <c r="B201" s="12">
        <v>10.0</v>
      </c>
      <c r="C201" s="12">
        <v>5.0</v>
      </c>
      <c r="D201" s="12">
        <v>1003878.0</v>
      </c>
      <c r="E201" s="12">
        <v>2.0</v>
      </c>
      <c r="F201" s="12">
        <v>0.0</v>
      </c>
      <c r="G201" s="12">
        <v>0.0</v>
      </c>
      <c r="H201" s="12" t="s">
        <v>12</v>
      </c>
      <c r="I201" s="12">
        <f>sumıf(Sales!B:B,D201,Sales!G:G)</f>
        <v>53.03</v>
      </c>
    </row>
    <row r="202">
      <c r="A202" s="12">
        <v>2021.0</v>
      </c>
      <c r="B202" s="12">
        <v>10.0</v>
      </c>
      <c r="C202" s="12">
        <v>5.0</v>
      </c>
      <c r="D202" s="12">
        <v>1003311.0</v>
      </c>
      <c r="E202" s="12">
        <v>6.0</v>
      </c>
      <c r="F202" s="12">
        <v>0.0</v>
      </c>
      <c r="G202" s="12">
        <v>5.0</v>
      </c>
      <c r="H202" s="12" t="s">
        <v>12</v>
      </c>
      <c r="I202" s="12">
        <f>sumıf(Sales!B:B,D202,Sales!G:G)</f>
        <v>31.76</v>
      </c>
    </row>
    <row r="203">
      <c r="A203" s="12">
        <v>2021.0</v>
      </c>
      <c r="B203" s="12">
        <v>10.0</v>
      </c>
      <c r="C203" s="12">
        <v>5.0</v>
      </c>
      <c r="D203" s="12">
        <v>1003421.0</v>
      </c>
      <c r="E203" s="12">
        <v>1.0</v>
      </c>
      <c r="F203" s="12">
        <v>0.0</v>
      </c>
      <c r="G203" s="12">
        <v>0.0</v>
      </c>
      <c r="H203" s="12" t="s">
        <v>12</v>
      </c>
      <c r="I203" s="12">
        <f>sumıf(Sales!B:B,D203,Sales!G:G)</f>
        <v>127.53</v>
      </c>
    </row>
    <row r="204">
      <c r="A204" s="12">
        <v>2021.0</v>
      </c>
      <c r="B204" s="12">
        <v>10.0</v>
      </c>
      <c r="C204" s="12">
        <v>5.0</v>
      </c>
      <c r="D204" s="12">
        <v>1003502.0</v>
      </c>
      <c r="E204" s="12">
        <v>7.0</v>
      </c>
      <c r="F204" s="12">
        <v>0.0</v>
      </c>
      <c r="G204" s="12">
        <v>0.0</v>
      </c>
      <c r="H204" s="12" t="s">
        <v>10</v>
      </c>
      <c r="I204" s="12">
        <f>sumıf(Sales!B:B,D204,Sales!G:G)</f>
        <v>8.72</v>
      </c>
    </row>
    <row r="205">
      <c r="A205" s="12">
        <v>2021.0</v>
      </c>
      <c r="B205" s="12">
        <v>10.0</v>
      </c>
      <c r="C205" s="12">
        <v>5.0</v>
      </c>
      <c r="D205" s="12">
        <v>1003301.0</v>
      </c>
      <c r="E205" s="12">
        <v>5.0</v>
      </c>
      <c r="F205" s="12">
        <v>0.92</v>
      </c>
      <c r="G205" s="12">
        <v>7.0</v>
      </c>
      <c r="H205" s="12" t="s">
        <v>12</v>
      </c>
      <c r="I205" s="12">
        <f>sumıf(Sales!B:B,D205,Sales!G:G)</f>
        <v>100.59</v>
      </c>
    </row>
    <row r="206">
      <c r="A206" s="12">
        <v>2021.0</v>
      </c>
      <c r="B206" s="12">
        <v>10.0</v>
      </c>
      <c r="C206" s="12">
        <v>5.0</v>
      </c>
      <c r="D206" s="12">
        <v>1003451.0</v>
      </c>
      <c r="E206" s="12">
        <v>2.0</v>
      </c>
      <c r="F206" s="12">
        <v>0.0</v>
      </c>
      <c r="G206" s="12">
        <v>0.0</v>
      </c>
      <c r="H206" s="12" t="s">
        <v>11</v>
      </c>
      <c r="I206" s="12">
        <f>sumıf(Sales!B:B,D206,Sales!G:G)</f>
        <v>47.72</v>
      </c>
    </row>
    <row r="207">
      <c r="A207" s="12">
        <v>2021.0</v>
      </c>
      <c r="B207" s="12">
        <v>10.0</v>
      </c>
      <c r="C207" s="12">
        <v>5.0</v>
      </c>
      <c r="D207" s="12">
        <v>1003687.0</v>
      </c>
      <c r="E207" s="12">
        <v>1.0</v>
      </c>
      <c r="F207" s="12">
        <v>0.0</v>
      </c>
      <c r="G207" s="12">
        <v>0.0</v>
      </c>
      <c r="H207" s="12" t="s">
        <v>11</v>
      </c>
      <c r="I207" s="12">
        <f>sumıf(Sales!B:B,D207,Sales!G:G)</f>
        <v>23.94</v>
      </c>
    </row>
    <row r="208">
      <c r="A208" s="12">
        <v>2021.0</v>
      </c>
      <c r="B208" s="12">
        <v>10.0</v>
      </c>
      <c r="C208" s="12">
        <v>5.0</v>
      </c>
      <c r="D208" s="12">
        <v>1003394.0</v>
      </c>
      <c r="E208" s="12">
        <v>1.0</v>
      </c>
      <c r="F208" s="12">
        <v>0.0</v>
      </c>
      <c r="G208" s="12">
        <v>0.0</v>
      </c>
      <c r="H208" s="12" t="s">
        <v>10</v>
      </c>
      <c r="I208" s="12">
        <f>sumıf(Sales!B:B,D208,Sales!G:G)</f>
        <v>65.48</v>
      </c>
    </row>
    <row r="209">
      <c r="A209" s="12">
        <v>2021.0</v>
      </c>
      <c r="B209" s="12">
        <v>10.0</v>
      </c>
      <c r="C209" s="12">
        <v>5.0</v>
      </c>
      <c r="D209" s="12">
        <v>1003541.0</v>
      </c>
      <c r="E209" s="12">
        <v>12.0</v>
      </c>
      <c r="F209" s="12">
        <v>0.0</v>
      </c>
      <c r="G209" s="12">
        <v>7.0</v>
      </c>
      <c r="H209" s="12" t="s">
        <v>12</v>
      </c>
      <c r="I209" s="12">
        <f>sumıf(Sales!B:B,D209,Sales!G:G)</f>
        <v>39.64</v>
      </c>
    </row>
    <row r="210">
      <c r="A210" s="12">
        <v>2021.0</v>
      </c>
      <c r="B210" s="12">
        <v>10.0</v>
      </c>
      <c r="C210" s="12">
        <v>5.0</v>
      </c>
      <c r="D210" s="12">
        <v>1003324.0</v>
      </c>
      <c r="E210" s="13">
        <v>0.34762011296766715</v>
      </c>
      <c r="F210" s="12">
        <v>0.0</v>
      </c>
      <c r="G210" s="12">
        <v>6.0</v>
      </c>
      <c r="H210" s="12" t="s">
        <v>12</v>
      </c>
      <c r="I210" s="12">
        <f>sumıf(Sales!B:B,D210,Sales!G:G)</f>
        <v>105.25</v>
      </c>
    </row>
    <row r="211">
      <c r="A211" s="12">
        <v>2021.0</v>
      </c>
      <c r="B211" s="12">
        <v>10.0</v>
      </c>
      <c r="C211" s="12">
        <v>5.0</v>
      </c>
      <c r="D211" s="12">
        <v>1003731.0</v>
      </c>
      <c r="E211" s="12">
        <v>5.0</v>
      </c>
      <c r="F211" s="12">
        <v>0.0</v>
      </c>
      <c r="G211" s="12">
        <v>0.0</v>
      </c>
      <c r="H211" s="12" t="s">
        <v>10</v>
      </c>
      <c r="I211" s="12">
        <f>sumıf(Sales!B:B,D211,Sales!G:G)</f>
        <v>84.05</v>
      </c>
    </row>
    <row r="212">
      <c r="A212" s="12">
        <v>2021.0</v>
      </c>
      <c r="B212" s="12">
        <v>10.0</v>
      </c>
      <c r="C212" s="12">
        <v>5.0</v>
      </c>
      <c r="D212" s="12">
        <v>1003548.0</v>
      </c>
      <c r="E212" s="13">
        <v>0.7516991183302398</v>
      </c>
      <c r="F212" s="12">
        <v>0.0</v>
      </c>
      <c r="G212" s="12">
        <v>0.0</v>
      </c>
      <c r="H212" s="12" t="s">
        <v>12</v>
      </c>
      <c r="I212" s="12">
        <f>sumıf(Sales!B:B,D212,Sales!G:G)</f>
        <v>34.45</v>
      </c>
    </row>
    <row r="213">
      <c r="A213" s="12">
        <v>2021.0</v>
      </c>
      <c r="B213" s="12">
        <v>10.0</v>
      </c>
      <c r="C213" s="12">
        <v>5.0</v>
      </c>
      <c r="D213" s="12">
        <v>1003656.0</v>
      </c>
      <c r="E213" s="12">
        <v>2.0</v>
      </c>
      <c r="F213" s="12">
        <v>0.0</v>
      </c>
      <c r="G213" s="12">
        <v>0.0</v>
      </c>
      <c r="H213" s="12" t="s">
        <v>10</v>
      </c>
      <c r="I213" s="12">
        <f>sumıf(Sales!B:B,D213,Sales!G:G)</f>
        <v>181.46</v>
      </c>
    </row>
    <row r="214">
      <c r="A214" s="12">
        <v>2021.0</v>
      </c>
      <c r="B214" s="12">
        <v>10.0</v>
      </c>
      <c r="C214" s="12">
        <v>5.0</v>
      </c>
      <c r="D214" s="12">
        <v>1003828.0</v>
      </c>
      <c r="E214" s="12">
        <v>18.0</v>
      </c>
      <c r="F214" s="12">
        <v>0.0</v>
      </c>
      <c r="G214" s="12">
        <v>0.0</v>
      </c>
      <c r="H214" s="12" t="s">
        <v>11</v>
      </c>
      <c r="I214" s="12">
        <f>sumıf(Sales!B:B,D214,Sales!G:G)</f>
        <v>32.74</v>
      </c>
    </row>
    <row r="215">
      <c r="A215" s="12">
        <v>2021.0</v>
      </c>
      <c r="B215" s="12">
        <v>10.0</v>
      </c>
      <c r="C215" s="12">
        <v>6.0</v>
      </c>
      <c r="D215" s="12">
        <v>1003434.0</v>
      </c>
      <c r="E215" s="12">
        <v>1.0</v>
      </c>
      <c r="F215" s="12">
        <v>0.0</v>
      </c>
      <c r="G215" s="12">
        <v>0.0</v>
      </c>
      <c r="H215" s="12" t="s">
        <v>12</v>
      </c>
      <c r="I215" s="12">
        <f>sumıf(Sales!B:B,D215,Sales!G:G)</f>
        <v>53.09</v>
      </c>
    </row>
    <row r="216">
      <c r="A216" s="12">
        <v>2021.0</v>
      </c>
      <c r="B216" s="12">
        <v>10.0</v>
      </c>
      <c r="C216" s="12">
        <v>6.0</v>
      </c>
      <c r="D216" s="12">
        <v>1003667.0</v>
      </c>
      <c r="E216" s="12">
        <v>3.0</v>
      </c>
      <c r="F216" s="12">
        <v>7.42</v>
      </c>
      <c r="G216" s="12">
        <v>0.0</v>
      </c>
      <c r="H216" s="12" t="s">
        <v>12</v>
      </c>
      <c r="I216" s="12">
        <f>sumıf(Sales!B:B,D216,Sales!G:G)</f>
        <v>137.25</v>
      </c>
    </row>
    <row r="217">
      <c r="A217" s="12">
        <v>2021.0</v>
      </c>
      <c r="B217" s="12">
        <v>10.0</v>
      </c>
      <c r="C217" s="12">
        <v>6.0</v>
      </c>
      <c r="D217" s="12">
        <v>1003353.0</v>
      </c>
      <c r="E217" s="12">
        <v>1.0</v>
      </c>
      <c r="F217" s="12">
        <v>0.0</v>
      </c>
      <c r="G217" s="12">
        <v>0.0</v>
      </c>
      <c r="H217" s="12" t="s">
        <v>11</v>
      </c>
      <c r="I217" s="12">
        <f>sumıf(Sales!B:B,D217,Sales!G:G)</f>
        <v>85.85</v>
      </c>
    </row>
    <row r="218">
      <c r="A218" s="12">
        <v>2021.0</v>
      </c>
      <c r="B218" s="12">
        <v>10.0</v>
      </c>
      <c r="C218" s="12">
        <v>6.0</v>
      </c>
      <c r="D218" s="12">
        <v>1003370.0</v>
      </c>
      <c r="E218" s="12">
        <v>11.0</v>
      </c>
      <c r="F218" s="12">
        <v>0.0</v>
      </c>
      <c r="G218" s="12">
        <v>10.0</v>
      </c>
      <c r="H218" s="12" t="s">
        <v>12</v>
      </c>
      <c r="I218" s="12">
        <f>sumıf(Sales!B:B,D218,Sales!G:G)</f>
        <v>171.45</v>
      </c>
    </row>
    <row r="219">
      <c r="A219" s="12">
        <v>2021.0</v>
      </c>
      <c r="B219" s="12">
        <v>10.0</v>
      </c>
      <c r="C219" s="12">
        <v>6.0</v>
      </c>
      <c r="D219" s="12">
        <v>1003560.0</v>
      </c>
      <c r="E219" s="12">
        <v>4.0</v>
      </c>
      <c r="F219" s="12">
        <v>0.0</v>
      </c>
      <c r="G219" s="12">
        <v>0.0</v>
      </c>
      <c r="H219" s="12" t="s">
        <v>10</v>
      </c>
      <c r="I219" s="12">
        <f>sumıf(Sales!B:B,D219,Sales!G:G)</f>
        <v>13.15</v>
      </c>
    </row>
    <row r="220">
      <c r="A220" s="12">
        <v>2021.0</v>
      </c>
      <c r="B220" s="12">
        <v>10.0</v>
      </c>
      <c r="C220" s="12">
        <v>6.0</v>
      </c>
      <c r="D220" s="12">
        <v>1003306.0</v>
      </c>
      <c r="E220" s="12">
        <v>5.0</v>
      </c>
      <c r="F220" s="12">
        <v>0.0</v>
      </c>
      <c r="G220" s="12">
        <v>0.0</v>
      </c>
      <c r="H220" s="12" t="s">
        <v>12</v>
      </c>
      <c r="I220" s="12">
        <f>sumıf(Sales!B:B,D220,Sales!G:G)</f>
        <v>60.21</v>
      </c>
    </row>
    <row r="221">
      <c r="A221" s="12">
        <v>2021.0</v>
      </c>
      <c r="B221" s="12">
        <v>10.0</v>
      </c>
      <c r="C221" s="12">
        <v>6.0</v>
      </c>
      <c r="D221" s="12">
        <v>1003553.0</v>
      </c>
      <c r="E221" s="13">
        <v>0.07463021206743825</v>
      </c>
      <c r="F221" s="12">
        <v>0.0</v>
      </c>
      <c r="G221" s="12">
        <v>0.0</v>
      </c>
      <c r="H221" s="12" t="s">
        <v>12</v>
      </c>
      <c r="I221" s="12">
        <f>sumıf(Sales!B:B,D221,Sales!G:G)</f>
        <v>51.51</v>
      </c>
    </row>
    <row r="222">
      <c r="A222" s="12">
        <v>2021.0</v>
      </c>
      <c r="B222" s="12">
        <v>10.0</v>
      </c>
      <c r="C222" s="12">
        <v>6.0</v>
      </c>
      <c r="D222" s="12">
        <v>1004019.0</v>
      </c>
      <c r="E222" s="12">
        <v>1.0</v>
      </c>
      <c r="F222" s="12">
        <v>0.0</v>
      </c>
      <c r="G222" s="12">
        <v>0.0</v>
      </c>
      <c r="H222" s="12" t="s">
        <v>10</v>
      </c>
      <c r="I222" s="12">
        <f>sumıf(Sales!B:B,D222,Sales!G:G)</f>
        <v>53.42</v>
      </c>
    </row>
    <row r="223">
      <c r="A223" s="12">
        <v>2021.0</v>
      </c>
      <c r="B223" s="12">
        <v>10.0</v>
      </c>
      <c r="C223" s="12">
        <v>6.0</v>
      </c>
      <c r="D223" s="12">
        <v>1003402.0</v>
      </c>
      <c r="E223" s="12">
        <v>1.0</v>
      </c>
      <c r="F223" s="12">
        <v>0.0</v>
      </c>
      <c r="G223" s="12">
        <v>0.0</v>
      </c>
      <c r="H223" s="12" t="s">
        <v>12</v>
      </c>
      <c r="I223" s="12">
        <f>sumıf(Sales!B:B,D223,Sales!G:G)</f>
        <v>54.43</v>
      </c>
    </row>
    <row r="224">
      <c r="A224" s="12">
        <v>2021.0</v>
      </c>
      <c r="B224" s="12">
        <v>10.0</v>
      </c>
      <c r="C224" s="12">
        <v>6.0</v>
      </c>
      <c r="D224" s="12">
        <v>1003403.0</v>
      </c>
      <c r="E224" s="12">
        <v>2.0</v>
      </c>
      <c r="F224" s="12">
        <v>5.75</v>
      </c>
      <c r="G224" s="12">
        <v>0.0</v>
      </c>
      <c r="H224" s="12" t="s">
        <v>12</v>
      </c>
      <c r="I224" s="12">
        <f>sumıf(Sales!B:B,D224,Sales!G:G)</f>
        <v>55.34</v>
      </c>
    </row>
    <row r="225">
      <c r="A225" s="12">
        <v>2021.0</v>
      </c>
      <c r="B225" s="12">
        <v>10.0</v>
      </c>
      <c r="C225" s="12">
        <v>6.0</v>
      </c>
      <c r="D225" s="12">
        <v>1003775.0</v>
      </c>
      <c r="E225" s="12">
        <v>1.0</v>
      </c>
      <c r="F225" s="12">
        <v>0.0</v>
      </c>
      <c r="G225" s="12">
        <v>5.0</v>
      </c>
      <c r="H225" s="12" t="s">
        <v>12</v>
      </c>
      <c r="I225" s="12">
        <f>sumıf(Sales!B:B,D225,Sales!G:G)</f>
        <v>26.35</v>
      </c>
    </row>
    <row r="226">
      <c r="A226" s="12">
        <v>2021.0</v>
      </c>
      <c r="B226" s="12">
        <v>10.0</v>
      </c>
      <c r="C226" s="12">
        <v>6.0</v>
      </c>
      <c r="D226" s="12">
        <v>1003704.0</v>
      </c>
      <c r="E226" s="12">
        <v>1.0</v>
      </c>
      <c r="F226" s="12">
        <v>0.0</v>
      </c>
      <c r="G226" s="12">
        <v>0.0</v>
      </c>
      <c r="H226" s="12" t="s">
        <v>10</v>
      </c>
      <c r="I226" s="12">
        <f>sumıf(Sales!B:B,D226,Sales!G:G)</f>
        <v>51.22</v>
      </c>
    </row>
    <row r="227">
      <c r="A227" s="12">
        <v>2021.0</v>
      </c>
      <c r="B227" s="12">
        <v>10.0</v>
      </c>
      <c r="C227" s="12">
        <v>6.0</v>
      </c>
      <c r="D227" s="12">
        <v>1003467.0</v>
      </c>
      <c r="E227" s="12">
        <v>2.0</v>
      </c>
      <c r="F227" s="12">
        <v>0.0</v>
      </c>
      <c r="G227" s="12">
        <v>0.0</v>
      </c>
      <c r="H227" s="12" t="s">
        <v>11</v>
      </c>
      <c r="I227" s="12">
        <f>sumıf(Sales!B:B,D227,Sales!G:G)</f>
        <v>32.74</v>
      </c>
    </row>
    <row r="228">
      <c r="A228" s="12">
        <v>2021.0</v>
      </c>
      <c r="B228" s="12">
        <v>10.0</v>
      </c>
      <c r="C228" s="12">
        <v>6.0</v>
      </c>
      <c r="D228" s="12">
        <v>1003430.0</v>
      </c>
      <c r="E228" s="12">
        <v>2.0</v>
      </c>
      <c r="F228" s="12">
        <v>0.0</v>
      </c>
      <c r="G228" s="12">
        <v>0.0</v>
      </c>
      <c r="H228" s="12" t="s">
        <v>11</v>
      </c>
      <c r="I228" s="12">
        <f>sumıf(Sales!B:B,D228,Sales!G:G)</f>
        <v>99.53</v>
      </c>
    </row>
    <row r="229">
      <c r="A229" s="12">
        <v>2021.0</v>
      </c>
      <c r="B229" s="12">
        <v>10.0</v>
      </c>
      <c r="C229" s="12">
        <v>6.0</v>
      </c>
      <c r="D229" s="12">
        <v>1003349.0</v>
      </c>
      <c r="E229" s="12">
        <v>10.0</v>
      </c>
      <c r="F229" s="12">
        <v>0.0</v>
      </c>
      <c r="G229" s="12">
        <v>0.0</v>
      </c>
      <c r="H229" s="12" t="s">
        <v>12</v>
      </c>
      <c r="I229" s="12">
        <f>sumıf(Sales!B:B,D229,Sales!G:G)</f>
        <v>74.75</v>
      </c>
    </row>
    <row r="230">
      <c r="A230" s="12">
        <v>2021.0</v>
      </c>
      <c r="B230" s="12">
        <v>10.0</v>
      </c>
      <c r="C230" s="12">
        <v>6.0</v>
      </c>
      <c r="D230" s="12">
        <v>1003946.0</v>
      </c>
      <c r="E230" s="12">
        <v>5.0</v>
      </c>
      <c r="F230" s="12">
        <v>0.0</v>
      </c>
      <c r="G230" s="12">
        <v>10.0</v>
      </c>
      <c r="H230" s="12" t="s">
        <v>12</v>
      </c>
      <c r="I230" s="12">
        <f>sumıf(Sales!B:B,D230,Sales!G:G)</f>
        <v>111.64</v>
      </c>
    </row>
    <row r="231">
      <c r="A231" s="12">
        <v>2021.0</v>
      </c>
      <c r="B231" s="12">
        <v>10.0</v>
      </c>
      <c r="C231" s="12">
        <v>6.0</v>
      </c>
      <c r="D231" s="12">
        <v>1003738.0</v>
      </c>
      <c r="E231" s="12">
        <v>7.0</v>
      </c>
      <c r="F231" s="12">
        <v>7.36</v>
      </c>
      <c r="G231" s="12">
        <v>0.0</v>
      </c>
      <c r="H231" s="12" t="s">
        <v>12</v>
      </c>
      <c r="I231" s="12">
        <f>sumıf(Sales!B:B,D231,Sales!G:G)</f>
        <v>82.4</v>
      </c>
    </row>
    <row r="232">
      <c r="A232" s="12">
        <v>2021.0</v>
      </c>
      <c r="B232" s="12">
        <v>10.0</v>
      </c>
      <c r="C232" s="12">
        <v>6.0</v>
      </c>
      <c r="D232" s="12">
        <v>1003897.0</v>
      </c>
      <c r="E232" s="12">
        <v>5.0</v>
      </c>
      <c r="F232" s="12">
        <v>0.0</v>
      </c>
      <c r="G232" s="12">
        <v>10.0</v>
      </c>
      <c r="H232" s="12" t="s">
        <v>12</v>
      </c>
      <c r="I232" s="12">
        <f>sumıf(Sales!B:B,D232,Sales!G:G)</f>
        <v>77.83</v>
      </c>
    </row>
    <row r="233">
      <c r="A233" s="12">
        <v>2021.0</v>
      </c>
      <c r="B233" s="12">
        <v>10.0</v>
      </c>
      <c r="C233" s="12">
        <v>6.0</v>
      </c>
      <c r="D233" s="12">
        <v>1003666.0</v>
      </c>
      <c r="E233" s="12">
        <v>2.0</v>
      </c>
      <c r="F233" s="12">
        <v>0.0</v>
      </c>
      <c r="G233" s="12">
        <v>0.0</v>
      </c>
      <c r="H233" s="12" t="s">
        <v>11</v>
      </c>
      <c r="I233" s="12">
        <f>sumıf(Sales!B:B,D233,Sales!G:G)</f>
        <v>59.89</v>
      </c>
    </row>
    <row r="234">
      <c r="A234" s="12">
        <v>2021.0</v>
      </c>
      <c r="B234" s="12">
        <v>10.0</v>
      </c>
      <c r="C234" s="12">
        <v>6.0</v>
      </c>
      <c r="D234" s="12">
        <v>1003325.0</v>
      </c>
      <c r="E234" s="12">
        <v>2.0</v>
      </c>
      <c r="F234" s="12">
        <v>0.0</v>
      </c>
      <c r="G234" s="12">
        <v>0.0</v>
      </c>
      <c r="H234" s="12" t="s">
        <v>10</v>
      </c>
      <c r="I234" s="12">
        <f>sumıf(Sales!B:B,D234,Sales!G:G)</f>
        <v>53.61</v>
      </c>
    </row>
    <row r="235">
      <c r="A235" s="12">
        <v>2021.0</v>
      </c>
      <c r="B235" s="12">
        <v>10.0</v>
      </c>
      <c r="C235" s="12">
        <v>6.0</v>
      </c>
      <c r="D235" s="12">
        <v>1003962.0</v>
      </c>
      <c r="E235" s="12">
        <v>2.0</v>
      </c>
      <c r="F235" s="12">
        <v>0.0</v>
      </c>
      <c r="G235" s="12">
        <v>0.0</v>
      </c>
      <c r="H235" s="12" t="s">
        <v>11</v>
      </c>
      <c r="I235" s="12">
        <f>sumıf(Sales!B:B,D235,Sales!G:G)</f>
        <v>57.17</v>
      </c>
    </row>
    <row r="236">
      <c r="A236" s="12">
        <v>2021.0</v>
      </c>
      <c r="B236" s="12">
        <v>10.0</v>
      </c>
      <c r="C236" s="12">
        <v>6.0</v>
      </c>
      <c r="D236" s="12">
        <v>1003351.0</v>
      </c>
      <c r="E236" s="12">
        <v>3.0</v>
      </c>
      <c r="F236" s="12">
        <v>0.0</v>
      </c>
      <c r="G236" s="12">
        <v>0.0</v>
      </c>
      <c r="H236" s="12" t="s">
        <v>12</v>
      </c>
      <c r="I236" s="12">
        <f>sumıf(Sales!B:B,D236,Sales!G:G)</f>
        <v>31.93</v>
      </c>
    </row>
    <row r="237">
      <c r="A237" s="12">
        <v>2021.0</v>
      </c>
      <c r="B237" s="12">
        <v>10.0</v>
      </c>
      <c r="C237" s="12">
        <v>6.0</v>
      </c>
      <c r="D237" s="12">
        <v>1003700.0</v>
      </c>
      <c r="E237" s="12">
        <v>3.0</v>
      </c>
      <c r="F237" s="12">
        <v>0.0</v>
      </c>
      <c r="G237" s="12">
        <v>0.0</v>
      </c>
      <c r="H237" s="12" t="s">
        <v>10</v>
      </c>
      <c r="I237" s="12">
        <f>sumıf(Sales!B:B,D237,Sales!G:G)</f>
        <v>73.19</v>
      </c>
    </row>
    <row r="238">
      <c r="A238" s="12">
        <v>2021.0</v>
      </c>
      <c r="B238" s="12">
        <v>10.0</v>
      </c>
      <c r="C238" s="12">
        <v>6.0</v>
      </c>
      <c r="D238" s="12">
        <v>1003475.0</v>
      </c>
      <c r="E238" s="13">
        <v>0.3553481942915355</v>
      </c>
      <c r="F238" s="12">
        <v>0.0</v>
      </c>
      <c r="G238" s="12">
        <v>5.0</v>
      </c>
      <c r="H238" s="12" t="s">
        <v>12</v>
      </c>
      <c r="I238" s="12">
        <f>sumıf(Sales!B:B,D238,Sales!G:G)</f>
        <v>45.53</v>
      </c>
    </row>
    <row r="239">
      <c r="A239" s="12">
        <v>2021.0</v>
      </c>
      <c r="B239" s="12">
        <v>10.0</v>
      </c>
      <c r="C239" s="12">
        <v>6.0</v>
      </c>
      <c r="D239" s="12">
        <v>1003834.0</v>
      </c>
      <c r="E239" s="12">
        <v>1.0</v>
      </c>
      <c r="F239" s="12">
        <v>8.25</v>
      </c>
      <c r="G239" s="12">
        <v>0.0</v>
      </c>
      <c r="H239" s="12" t="s">
        <v>12</v>
      </c>
      <c r="I239" s="12">
        <f>sumıf(Sales!B:B,D239,Sales!G:G)</f>
        <v>23.83</v>
      </c>
    </row>
    <row r="240">
      <c r="A240" s="12">
        <v>2021.0</v>
      </c>
      <c r="B240" s="12">
        <v>10.0</v>
      </c>
      <c r="C240" s="12">
        <v>6.0</v>
      </c>
      <c r="D240" s="12">
        <v>1003552.0</v>
      </c>
      <c r="E240" s="12">
        <v>6.0</v>
      </c>
      <c r="F240" s="12">
        <v>0.0</v>
      </c>
      <c r="G240" s="12">
        <v>6.0</v>
      </c>
      <c r="H240" s="12" t="s">
        <v>12</v>
      </c>
      <c r="I240" s="12">
        <f>sumıf(Sales!B:B,D240,Sales!G:G)</f>
        <v>113.39</v>
      </c>
    </row>
    <row r="241">
      <c r="A241" s="12">
        <v>2021.0</v>
      </c>
      <c r="B241" s="12">
        <v>10.0</v>
      </c>
      <c r="C241" s="12">
        <v>6.0</v>
      </c>
      <c r="D241" s="12">
        <v>1003334.0</v>
      </c>
      <c r="E241" s="12">
        <v>3.0</v>
      </c>
      <c r="F241" s="12">
        <v>0.0</v>
      </c>
      <c r="G241" s="12">
        <v>0.0</v>
      </c>
      <c r="H241" s="12" t="s">
        <v>11</v>
      </c>
      <c r="I241" s="12">
        <f>sumıf(Sales!B:B,D241,Sales!G:G)</f>
        <v>152.67</v>
      </c>
    </row>
    <row r="242">
      <c r="A242" s="12">
        <v>2021.0</v>
      </c>
      <c r="B242" s="12">
        <v>10.0</v>
      </c>
      <c r="C242" s="12">
        <v>6.0</v>
      </c>
      <c r="D242" s="12">
        <v>1003293.0</v>
      </c>
      <c r="E242" s="12">
        <v>4.0</v>
      </c>
      <c r="F242" s="12">
        <v>0.0</v>
      </c>
      <c r="G242" s="12">
        <v>0.0</v>
      </c>
      <c r="H242" s="12" t="s">
        <v>10</v>
      </c>
      <c r="I242" s="12">
        <f>sumıf(Sales!B:B,D242,Sales!G:G)</f>
        <v>109.9</v>
      </c>
    </row>
    <row r="243">
      <c r="A243" s="12">
        <v>2021.0</v>
      </c>
      <c r="B243" s="12">
        <v>10.0</v>
      </c>
      <c r="C243" s="12">
        <v>6.0</v>
      </c>
      <c r="D243" s="12">
        <v>1003308.0</v>
      </c>
      <c r="E243" s="12">
        <v>1.0</v>
      </c>
      <c r="F243" s="12">
        <v>7.36</v>
      </c>
      <c r="G243" s="12">
        <v>0.0</v>
      </c>
      <c r="H243" s="12" t="s">
        <v>12</v>
      </c>
      <c r="I243" s="12">
        <f>sumıf(Sales!B:B,D243,Sales!G:G)</f>
        <v>49.13</v>
      </c>
    </row>
    <row r="244">
      <c r="A244" s="12">
        <v>2021.0</v>
      </c>
      <c r="B244" s="12">
        <v>10.0</v>
      </c>
      <c r="C244" s="12">
        <v>6.0</v>
      </c>
      <c r="D244" s="12">
        <v>1003883.0</v>
      </c>
      <c r="E244" s="12">
        <v>1.0</v>
      </c>
      <c r="F244" s="12">
        <v>0.0</v>
      </c>
      <c r="G244" s="12">
        <v>5.0</v>
      </c>
      <c r="H244" s="12" t="s">
        <v>12</v>
      </c>
      <c r="I244" s="12">
        <f>sumıf(Sales!B:B,D244,Sales!G:G)</f>
        <v>56.44</v>
      </c>
    </row>
    <row r="245">
      <c r="A245" s="12">
        <v>2021.0</v>
      </c>
      <c r="B245" s="12">
        <v>10.0</v>
      </c>
      <c r="C245" s="12">
        <v>6.0</v>
      </c>
      <c r="D245" s="12">
        <v>1003890.0</v>
      </c>
      <c r="E245" s="13">
        <v>0.553065610367219</v>
      </c>
      <c r="F245" s="12">
        <v>0.0</v>
      </c>
      <c r="G245" s="12">
        <v>0.0</v>
      </c>
      <c r="H245" s="12" t="s">
        <v>11</v>
      </c>
      <c r="I245" s="12">
        <f>sumıf(Sales!B:B,D245,Sales!G:G)</f>
        <v>85.56</v>
      </c>
    </row>
    <row r="246">
      <c r="A246" s="12">
        <v>2021.0</v>
      </c>
      <c r="B246" s="12">
        <v>10.0</v>
      </c>
      <c r="C246" s="12">
        <v>6.0</v>
      </c>
      <c r="D246" s="12">
        <v>1003316.0</v>
      </c>
      <c r="E246" s="12">
        <v>5.0</v>
      </c>
      <c r="F246" s="12">
        <v>0.0</v>
      </c>
      <c r="G246" s="12">
        <v>0.0</v>
      </c>
      <c r="H246" s="12" t="s">
        <v>12</v>
      </c>
      <c r="I246" s="12">
        <f>sumıf(Sales!B:B,D246,Sales!G:G)</f>
        <v>23.27</v>
      </c>
    </row>
    <row r="247">
      <c r="A247" s="12">
        <v>2021.0</v>
      </c>
      <c r="B247" s="12">
        <v>10.0</v>
      </c>
      <c r="C247" s="12">
        <v>6.0</v>
      </c>
      <c r="D247" s="12">
        <v>1003558.0</v>
      </c>
      <c r="E247" s="12">
        <v>2.0</v>
      </c>
      <c r="F247" s="12">
        <v>0.0</v>
      </c>
      <c r="G247" s="12">
        <v>10.0</v>
      </c>
      <c r="H247" s="12" t="s">
        <v>12</v>
      </c>
      <c r="I247" s="12">
        <f>sumıf(Sales!B:B,D247,Sales!G:G)</f>
        <v>126.5</v>
      </c>
    </row>
    <row r="248">
      <c r="A248" s="12">
        <v>2021.0</v>
      </c>
      <c r="B248" s="12">
        <v>10.0</v>
      </c>
      <c r="C248" s="12">
        <v>6.0</v>
      </c>
      <c r="D248" s="12">
        <v>1003449.0</v>
      </c>
      <c r="E248" s="13">
        <v>0.5602246257135752</v>
      </c>
      <c r="F248" s="12">
        <v>0.0</v>
      </c>
      <c r="G248" s="12">
        <v>5.0</v>
      </c>
      <c r="H248" s="12" t="s">
        <v>12</v>
      </c>
      <c r="I248" s="12">
        <f>sumıf(Sales!B:B,D248,Sales!G:G)</f>
        <v>61.73</v>
      </c>
    </row>
    <row r="249">
      <c r="A249" s="12">
        <v>2021.0</v>
      </c>
      <c r="B249" s="12">
        <v>10.0</v>
      </c>
      <c r="C249" s="12">
        <v>6.0</v>
      </c>
      <c r="D249" s="12">
        <v>1003574.0</v>
      </c>
      <c r="E249" s="12">
        <v>7.0</v>
      </c>
      <c r="F249" s="12">
        <v>0.0</v>
      </c>
      <c r="G249" s="12">
        <v>0.0</v>
      </c>
      <c r="H249" s="12" t="s">
        <v>10</v>
      </c>
      <c r="I249" s="12">
        <f>sumıf(Sales!B:B,D249,Sales!G:G)</f>
        <v>34.42</v>
      </c>
    </row>
    <row r="250">
      <c r="A250" s="12">
        <v>2021.0</v>
      </c>
      <c r="B250" s="12">
        <v>10.0</v>
      </c>
      <c r="C250" s="12">
        <v>6.0</v>
      </c>
      <c r="D250" s="12">
        <v>1003899.0</v>
      </c>
      <c r="E250" s="12">
        <v>1.0</v>
      </c>
      <c r="F250" s="12">
        <v>0.0</v>
      </c>
      <c r="G250" s="12">
        <v>0.0</v>
      </c>
      <c r="H250" s="12" t="s">
        <v>11</v>
      </c>
      <c r="I250" s="12">
        <f>sumıf(Sales!B:B,D250,Sales!G:G)</f>
        <v>72.37</v>
      </c>
    </row>
    <row r="251">
      <c r="A251" s="12">
        <v>2021.0</v>
      </c>
      <c r="B251" s="12">
        <v>10.0</v>
      </c>
      <c r="C251" s="12">
        <v>6.0</v>
      </c>
      <c r="D251" s="12">
        <v>1003286.0</v>
      </c>
      <c r="E251" s="12">
        <v>8.0</v>
      </c>
      <c r="F251" s="12">
        <v>0.0</v>
      </c>
      <c r="G251" s="12">
        <v>0.0</v>
      </c>
      <c r="H251" s="12" t="s">
        <v>12</v>
      </c>
      <c r="I251" s="12">
        <f>sumıf(Sales!B:B,D251,Sales!G:G)</f>
        <v>108.01</v>
      </c>
    </row>
    <row r="252">
      <c r="A252" s="12">
        <v>2021.0</v>
      </c>
      <c r="B252" s="12">
        <v>10.0</v>
      </c>
      <c r="C252" s="12">
        <v>6.0</v>
      </c>
      <c r="D252" s="12">
        <v>1003586.0</v>
      </c>
      <c r="E252" s="12">
        <v>2.0</v>
      </c>
      <c r="F252" s="12">
        <v>0.0</v>
      </c>
      <c r="G252" s="12">
        <v>7.0</v>
      </c>
      <c r="H252" s="12" t="s">
        <v>10</v>
      </c>
      <c r="I252" s="12">
        <f>sumıf(Sales!B:B,D252,Sales!G:G)</f>
        <v>8.24</v>
      </c>
    </row>
    <row r="253">
      <c r="A253" s="12">
        <v>2021.0</v>
      </c>
      <c r="B253" s="12">
        <v>10.0</v>
      </c>
      <c r="C253" s="12">
        <v>6.0</v>
      </c>
      <c r="D253" s="12">
        <v>1003668.0</v>
      </c>
      <c r="E253" s="12">
        <v>2.0</v>
      </c>
      <c r="F253" s="12">
        <v>0.0</v>
      </c>
      <c r="G253" s="12">
        <v>0.0</v>
      </c>
      <c r="H253" s="12" t="s">
        <v>12</v>
      </c>
      <c r="I253" s="12">
        <f>sumıf(Sales!B:B,D253,Sales!G:G)</f>
        <v>36.82</v>
      </c>
    </row>
    <row r="254">
      <c r="A254" s="12">
        <v>2021.0</v>
      </c>
      <c r="B254" s="12">
        <v>10.0</v>
      </c>
      <c r="C254" s="12">
        <v>6.0</v>
      </c>
      <c r="D254" s="12">
        <v>1003746.0</v>
      </c>
      <c r="E254" s="12">
        <v>1.0</v>
      </c>
      <c r="F254" s="12">
        <v>0.0</v>
      </c>
      <c r="G254" s="12">
        <v>0.0</v>
      </c>
      <c r="H254" s="12" t="s">
        <v>10</v>
      </c>
      <c r="I254" s="12">
        <f>sumıf(Sales!B:B,D254,Sales!G:G)</f>
        <v>53.86</v>
      </c>
    </row>
    <row r="255">
      <c r="A255" s="12">
        <v>2021.0</v>
      </c>
      <c r="B255" s="12">
        <v>10.0</v>
      </c>
      <c r="C255" s="12">
        <v>6.0</v>
      </c>
      <c r="D255" s="12">
        <v>1003481.0</v>
      </c>
      <c r="E255" s="13">
        <v>0.9906947508126732</v>
      </c>
      <c r="F255" s="12">
        <v>0.0</v>
      </c>
      <c r="G255" s="12">
        <v>0.0</v>
      </c>
      <c r="H255" s="12" t="s">
        <v>12</v>
      </c>
      <c r="I255" s="12">
        <f>sumıf(Sales!B:B,D255,Sales!G:G)</f>
        <v>32.24</v>
      </c>
    </row>
    <row r="256">
      <c r="A256" s="12">
        <v>2021.0</v>
      </c>
      <c r="B256" s="12">
        <v>10.0</v>
      </c>
      <c r="C256" s="12">
        <v>6.0</v>
      </c>
      <c r="D256" s="12">
        <v>1003504.0</v>
      </c>
      <c r="E256" s="12">
        <v>2.0</v>
      </c>
      <c r="F256" s="12">
        <v>0.0</v>
      </c>
      <c r="G256" s="12">
        <v>5.0</v>
      </c>
      <c r="H256" s="12" t="s">
        <v>10</v>
      </c>
      <c r="I256" s="12">
        <f>sumıf(Sales!B:B,D256,Sales!G:G)</f>
        <v>48.45</v>
      </c>
    </row>
    <row r="257">
      <c r="A257" s="12">
        <v>2021.0</v>
      </c>
      <c r="B257" s="12">
        <v>10.0</v>
      </c>
      <c r="C257" s="12">
        <v>6.0</v>
      </c>
      <c r="D257" s="12">
        <v>1003527.0</v>
      </c>
      <c r="E257" s="12">
        <v>2.0</v>
      </c>
      <c r="F257" s="12">
        <v>0.0</v>
      </c>
      <c r="G257" s="12">
        <v>0.0</v>
      </c>
      <c r="H257" s="12" t="s">
        <v>12</v>
      </c>
      <c r="I257" s="12">
        <f>sumıf(Sales!B:B,D257,Sales!G:G)</f>
        <v>32.96</v>
      </c>
    </row>
    <row r="258">
      <c r="A258" s="12">
        <v>2021.0</v>
      </c>
      <c r="B258" s="12">
        <v>10.0</v>
      </c>
      <c r="C258" s="12">
        <v>6.0</v>
      </c>
      <c r="D258" s="12">
        <v>1003800.0</v>
      </c>
      <c r="E258" s="12">
        <v>10.0</v>
      </c>
      <c r="F258" s="12">
        <v>0.0</v>
      </c>
      <c r="G258" s="12">
        <v>0.0</v>
      </c>
      <c r="H258" s="12" t="s">
        <v>10</v>
      </c>
      <c r="I258" s="12">
        <f>sumıf(Sales!B:B,D258,Sales!G:G)</f>
        <v>99.63</v>
      </c>
    </row>
    <row r="259">
      <c r="A259" s="12">
        <v>2021.0</v>
      </c>
      <c r="B259" s="12">
        <v>10.0</v>
      </c>
      <c r="C259" s="12">
        <v>6.0</v>
      </c>
      <c r="D259" s="12">
        <v>1004013.0</v>
      </c>
      <c r="E259" s="13">
        <v>0.41891249411787845</v>
      </c>
      <c r="F259" s="12">
        <v>0.0</v>
      </c>
      <c r="G259" s="12">
        <v>0.0</v>
      </c>
      <c r="H259" s="12" t="s">
        <v>12</v>
      </c>
      <c r="I259" s="12">
        <f>sumıf(Sales!B:B,D259,Sales!G:G)</f>
        <v>119.49</v>
      </c>
    </row>
    <row r="260">
      <c r="A260" s="12">
        <v>2021.0</v>
      </c>
      <c r="B260" s="12">
        <v>10.0</v>
      </c>
      <c r="C260" s="12">
        <v>6.0</v>
      </c>
      <c r="D260" s="12">
        <v>1004018.0</v>
      </c>
      <c r="E260" s="12">
        <v>3.0</v>
      </c>
      <c r="F260" s="12">
        <v>0.0</v>
      </c>
      <c r="G260" s="12">
        <v>0.0</v>
      </c>
      <c r="H260" s="12" t="s">
        <v>12</v>
      </c>
      <c r="I260" s="12">
        <f>sumıf(Sales!B:B,D260,Sales!G:G)</f>
        <v>32.76</v>
      </c>
    </row>
    <row r="261">
      <c r="A261" s="12">
        <v>2021.0</v>
      </c>
      <c r="B261" s="12">
        <v>10.0</v>
      </c>
      <c r="C261" s="12">
        <v>6.0</v>
      </c>
      <c r="D261" s="12">
        <v>1003320.0</v>
      </c>
      <c r="E261" s="12">
        <v>14.0</v>
      </c>
      <c r="F261" s="12">
        <v>0.0</v>
      </c>
      <c r="G261" s="12">
        <v>0.0</v>
      </c>
      <c r="H261" s="12" t="s">
        <v>10</v>
      </c>
      <c r="I261" s="12">
        <f>sumıf(Sales!B:B,D261,Sales!G:G)</f>
        <v>142.16</v>
      </c>
    </row>
    <row r="262">
      <c r="A262" s="12">
        <v>2021.0</v>
      </c>
      <c r="B262" s="12">
        <v>10.0</v>
      </c>
      <c r="C262" s="12">
        <v>6.0</v>
      </c>
      <c r="D262" s="12">
        <v>1003374.0</v>
      </c>
      <c r="E262" s="12">
        <v>4.0</v>
      </c>
      <c r="F262" s="12">
        <v>9.38</v>
      </c>
      <c r="G262" s="12">
        <v>0.0</v>
      </c>
      <c r="H262" s="12" t="s">
        <v>12</v>
      </c>
      <c r="I262" s="12">
        <f>sumıf(Sales!B:B,D262,Sales!G:G)</f>
        <v>20.52</v>
      </c>
    </row>
    <row r="263">
      <c r="A263" s="12">
        <v>2021.0</v>
      </c>
      <c r="B263" s="12">
        <v>10.0</v>
      </c>
      <c r="C263" s="12">
        <v>6.0</v>
      </c>
      <c r="D263" s="12">
        <v>1003930.0</v>
      </c>
      <c r="E263" s="12">
        <v>12.0</v>
      </c>
      <c r="F263" s="12">
        <v>3.58</v>
      </c>
      <c r="G263" s="12">
        <v>0.0</v>
      </c>
      <c r="H263" s="12" t="s">
        <v>11</v>
      </c>
      <c r="I263" s="12">
        <f>sumıf(Sales!B:B,D263,Sales!G:G)</f>
        <v>29.12</v>
      </c>
    </row>
    <row r="264">
      <c r="A264" s="12">
        <v>2021.0</v>
      </c>
      <c r="B264" s="12">
        <v>10.0</v>
      </c>
      <c r="C264" s="12">
        <v>7.0</v>
      </c>
      <c r="D264" s="12">
        <v>1003920.0</v>
      </c>
      <c r="E264" s="12">
        <v>1.0</v>
      </c>
      <c r="F264" s="12">
        <v>0.0</v>
      </c>
      <c r="G264" s="12">
        <v>0.0</v>
      </c>
      <c r="H264" s="12" t="s">
        <v>12</v>
      </c>
      <c r="I264" s="12">
        <f>sumıf(Sales!B:B,D264,Sales!G:G)</f>
        <v>5.86</v>
      </c>
    </row>
    <row r="265">
      <c r="A265" s="12">
        <v>2021.0</v>
      </c>
      <c r="B265" s="12">
        <v>10.0</v>
      </c>
      <c r="C265" s="12">
        <v>7.0</v>
      </c>
      <c r="D265" s="12">
        <v>1003295.0</v>
      </c>
      <c r="E265" s="12">
        <v>2.0</v>
      </c>
      <c r="F265" s="12">
        <v>0.0</v>
      </c>
      <c r="G265" s="12">
        <v>0.0</v>
      </c>
      <c r="H265" s="12" t="s">
        <v>11</v>
      </c>
      <c r="I265" s="12">
        <f>sumıf(Sales!B:B,D265,Sales!G:G)</f>
        <v>49.47</v>
      </c>
    </row>
    <row r="266">
      <c r="A266" s="12">
        <v>2021.0</v>
      </c>
      <c r="B266" s="12">
        <v>10.0</v>
      </c>
      <c r="C266" s="12">
        <v>7.0</v>
      </c>
      <c r="D266" s="12">
        <v>1003348.0</v>
      </c>
      <c r="E266" s="12">
        <v>10.0</v>
      </c>
      <c r="F266" s="12">
        <v>0.0</v>
      </c>
      <c r="G266" s="12">
        <v>0.0</v>
      </c>
      <c r="H266" s="12" t="s">
        <v>12</v>
      </c>
      <c r="I266" s="12">
        <f>sumıf(Sales!B:B,D266,Sales!G:G)</f>
        <v>23.86</v>
      </c>
    </row>
    <row r="267">
      <c r="A267" s="12">
        <v>2021.0</v>
      </c>
      <c r="B267" s="12">
        <v>10.0</v>
      </c>
      <c r="C267" s="12">
        <v>7.0</v>
      </c>
      <c r="D267" s="12">
        <v>1003578.0</v>
      </c>
      <c r="E267" s="12">
        <v>3.0</v>
      </c>
      <c r="F267" s="12">
        <v>0.0</v>
      </c>
      <c r="G267" s="12">
        <v>0.0</v>
      </c>
      <c r="H267" s="12" t="s">
        <v>10</v>
      </c>
      <c r="I267" s="12">
        <f>sumıf(Sales!B:B,D267,Sales!G:G)</f>
        <v>54.76</v>
      </c>
    </row>
    <row r="268">
      <c r="A268" s="12">
        <v>2021.0</v>
      </c>
      <c r="B268" s="12">
        <v>10.0</v>
      </c>
      <c r="C268" s="12">
        <v>7.0</v>
      </c>
      <c r="D268" s="12">
        <v>1003942.0</v>
      </c>
      <c r="E268" s="12">
        <v>5.0</v>
      </c>
      <c r="F268" s="12">
        <v>0.0</v>
      </c>
      <c r="G268" s="12">
        <v>0.0</v>
      </c>
      <c r="H268" s="12" t="s">
        <v>10</v>
      </c>
      <c r="I268" s="12">
        <f>sumıf(Sales!B:B,D268,Sales!G:G)</f>
        <v>15.78</v>
      </c>
    </row>
    <row r="269">
      <c r="A269" s="12">
        <v>2021.0</v>
      </c>
      <c r="B269" s="12">
        <v>10.0</v>
      </c>
      <c r="C269" s="12">
        <v>7.0</v>
      </c>
      <c r="D269" s="12">
        <v>1003728.0</v>
      </c>
      <c r="E269" s="13">
        <v>0.3754180006316007</v>
      </c>
      <c r="F269" s="12">
        <v>0.0</v>
      </c>
      <c r="G269" s="12">
        <v>5.0</v>
      </c>
      <c r="H269" s="12" t="s">
        <v>12</v>
      </c>
      <c r="I269" s="12">
        <f>sumıf(Sales!B:B,D269,Sales!G:G)</f>
        <v>62.86</v>
      </c>
    </row>
    <row r="270">
      <c r="A270" s="12">
        <v>2021.0</v>
      </c>
      <c r="B270" s="12">
        <v>10.0</v>
      </c>
      <c r="C270" s="12">
        <v>7.0</v>
      </c>
      <c r="D270" s="12">
        <v>1003819.0</v>
      </c>
      <c r="E270" s="12">
        <v>3.0</v>
      </c>
      <c r="F270" s="12">
        <v>0.0</v>
      </c>
      <c r="G270" s="12">
        <v>0.0</v>
      </c>
      <c r="H270" s="12" t="s">
        <v>10</v>
      </c>
      <c r="I270" s="12">
        <f>sumıf(Sales!B:B,D270,Sales!G:G)</f>
        <v>96.59</v>
      </c>
    </row>
    <row r="271">
      <c r="A271" s="12">
        <v>2021.0</v>
      </c>
      <c r="B271" s="12">
        <v>10.0</v>
      </c>
      <c r="C271" s="12">
        <v>7.0</v>
      </c>
      <c r="D271" s="12">
        <v>1003497.0</v>
      </c>
      <c r="E271" s="12">
        <v>1.0</v>
      </c>
      <c r="F271" s="12">
        <v>0.0</v>
      </c>
      <c r="G271" s="12">
        <v>5.0</v>
      </c>
      <c r="H271" s="12" t="s">
        <v>12</v>
      </c>
      <c r="I271" s="12">
        <f>sumıf(Sales!B:B,D271,Sales!G:G)</f>
        <v>163.71</v>
      </c>
    </row>
    <row r="272">
      <c r="A272" s="12">
        <v>2021.0</v>
      </c>
      <c r="B272" s="12">
        <v>10.0</v>
      </c>
      <c r="C272" s="12">
        <v>7.0</v>
      </c>
      <c r="D272" s="12">
        <v>1003327.0</v>
      </c>
      <c r="E272" s="12">
        <v>1.0</v>
      </c>
      <c r="F272" s="12">
        <v>0.0</v>
      </c>
      <c r="G272" s="12">
        <v>0.0</v>
      </c>
      <c r="H272" s="12" t="s">
        <v>12</v>
      </c>
      <c r="I272" s="12">
        <f>sumıf(Sales!B:B,D272,Sales!G:G)</f>
        <v>70.62</v>
      </c>
    </row>
    <row r="273">
      <c r="A273" s="12">
        <v>2021.0</v>
      </c>
      <c r="B273" s="12">
        <v>10.0</v>
      </c>
      <c r="C273" s="12">
        <v>7.0</v>
      </c>
      <c r="D273" s="12">
        <v>1003759.0</v>
      </c>
      <c r="E273" s="12">
        <v>1.0</v>
      </c>
      <c r="F273" s="12">
        <v>0.0</v>
      </c>
      <c r="G273" s="12">
        <v>0.0</v>
      </c>
      <c r="H273" s="12" t="s">
        <v>10</v>
      </c>
      <c r="I273" s="12">
        <f>sumıf(Sales!B:B,D273,Sales!G:G)</f>
        <v>57.02</v>
      </c>
    </row>
    <row r="274">
      <c r="A274" s="12">
        <v>2021.0</v>
      </c>
      <c r="B274" s="12">
        <v>10.0</v>
      </c>
      <c r="C274" s="12">
        <v>7.0</v>
      </c>
      <c r="D274" s="12">
        <v>1003304.0</v>
      </c>
      <c r="E274" s="12">
        <v>1.0</v>
      </c>
      <c r="F274" s="12">
        <v>0.0</v>
      </c>
      <c r="G274" s="12">
        <v>10.0</v>
      </c>
      <c r="H274" s="12" t="s">
        <v>12</v>
      </c>
      <c r="I274" s="12">
        <f>sumıf(Sales!B:B,D274,Sales!G:G)</f>
        <v>71.6</v>
      </c>
    </row>
    <row r="275">
      <c r="A275" s="12">
        <v>2021.0</v>
      </c>
      <c r="B275" s="12">
        <v>10.0</v>
      </c>
      <c r="C275" s="12">
        <v>7.0</v>
      </c>
      <c r="D275" s="12">
        <v>1003439.0</v>
      </c>
      <c r="E275" s="12">
        <v>3.0</v>
      </c>
      <c r="F275" s="12">
        <v>0.0</v>
      </c>
      <c r="G275" s="12">
        <v>0.0</v>
      </c>
      <c r="H275" s="12" t="s">
        <v>10</v>
      </c>
      <c r="I275" s="12">
        <f>sumıf(Sales!B:B,D275,Sales!G:G)</f>
        <v>128.05</v>
      </c>
    </row>
    <row r="276">
      <c r="A276" s="12">
        <v>2021.0</v>
      </c>
      <c r="B276" s="12">
        <v>10.0</v>
      </c>
      <c r="C276" s="12">
        <v>7.0</v>
      </c>
      <c r="D276" s="12">
        <v>1003626.0</v>
      </c>
      <c r="E276" s="12">
        <v>2.0</v>
      </c>
      <c r="F276" s="12">
        <v>0.0</v>
      </c>
      <c r="G276" s="12">
        <v>0.0</v>
      </c>
      <c r="H276" s="12" t="s">
        <v>11</v>
      </c>
      <c r="I276" s="12">
        <f>sumıf(Sales!B:B,D276,Sales!G:G)</f>
        <v>122.38</v>
      </c>
    </row>
    <row r="277">
      <c r="A277" s="12">
        <v>2021.0</v>
      </c>
      <c r="B277" s="12">
        <v>10.0</v>
      </c>
      <c r="C277" s="12">
        <v>7.0</v>
      </c>
      <c r="D277" s="12">
        <v>1003413.0</v>
      </c>
      <c r="E277" s="12">
        <v>4.0</v>
      </c>
      <c r="F277" s="12">
        <v>0.0</v>
      </c>
      <c r="G277" s="12">
        <v>0.0</v>
      </c>
      <c r="H277" s="12" t="s">
        <v>11</v>
      </c>
      <c r="I277" s="12">
        <f>sumıf(Sales!B:B,D277,Sales!G:G)</f>
        <v>77.75</v>
      </c>
    </row>
    <row r="278">
      <c r="A278" s="12">
        <v>2021.0</v>
      </c>
      <c r="B278" s="12">
        <v>10.0</v>
      </c>
      <c r="C278" s="12">
        <v>7.0</v>
      </c>
      <c r="D278" s="12">
        <v>1003770.0</v>
      </c>
      <c r="E278" s="12">
        <v>2.0</v>
      </c>
      <c r="F278" s="12">
        <v>0.0</v>
      </c>
      <c r="G278" s="12">
        <v>0.0</v>
      </c>
      <c r="H278" s="12" t="s">
        <v>10</v>
      </c>
      <c r="I278" s="12">
        <f>sumıf(Sales!B:B,D278,Sales!G:G)</f>
        <v>96.34</v>
      </c>
    </row>
    <row r="279">
      <c r="A279" s="12">
        <v>2021.0</v>
      </c>
      <c r="B279" s="12">
        <v>10.0</v>
      </c>
      <c r="C279" s="12">
        <v>7.0</v>
      </c>
      <c r="D279" s="12">
        <v>1003994.0</v>
      </c>
      <c r="E279" s="12">
        <v>4.0</v>
      </c>
      <c r="F279" s="12">
        <v>0.0</v>
      </c>
      <c r="G279" s="12">
        <v>5.0</v>
      </c>
      <c r="H279" s="12" t="s">
        <v>12</v>
      </c>
      <c r="I279" s="12">
        <f>sumıf(Sales!B:B,D279,Sales!G:G)</f>
        <v>72.44</v>
      </c>
    </row>
    <row r="280">
      <c r="A280" s="12">
        <v>2021.0</v>
      </c>
      <c r="B280" s="12">
        <v>10.0</v>
      </c>
      <c r="C280" s="12">
        <v>7.0</v>
      </c>
      <c r="D280" s="12">
        <v>1003368.0</v>
      </c>
      <c r="E280" s="12">
        <v>1.0</v>
      </c>
      <c r="F280" s="12">
        <v>0.0</v>
      </c>
      <c r="G280" s="12">
        <v>5.0</v>
      </c>
      <c r="H280" s="12" t="s">
        <v>12</v>
      </c>
      <c r="I280" s="12">
        <f>sumıf(Sales!B:B,D280,Sales!G:G)</f>
        <v>57.87</v>
      </c>
    </row>
    <row r="281">
      <c r="A281" s="12">
        <v>2021.0</v>
      </c>
      <c r="B281" s="12">
        <v>10.0</v>
      </c>
      <c r="C281" s="12">
        <v>7.0</v>
      </c>
      <c r="D281" s="12">
        <v>1003472.0</v>
      </c>
      <c r="E281" s="13">
        <v>0.42889864981504233</v>
      </c>
      <c r="F281" s="12">
        <v>6.54</v>
      </c>
      <c r="G281" s="12">
        <v>0.0</v>
      </c>
      <c r="H281" s="12" t="s">
        <v>12</v>
      </c>
      <c r="I281" s="12">
        <f>sumıf(Sales!B:B,D281,Sales!G:G)</f>
        <v>84.83</v>
      </c>
    </row>
    <row r="282">
      <c r="A282" s="12">
        <v>2021.0</v>
      </c>
      <c r="B282" s="12">
        <v>10.0</v>
      </c>
      <c r="C282" s="12">
        <v>7.0</v>
      </c>
      <c r="D282" s="12">
        <v>1003422.0</v>
      </c>
      <c r="E282" s="12">
        <v>3.0</v>
      </c>
      <c r="F282" s="12">
        <v>0.0</v>
      </c>
      <c r="G282" s="12">
        <v>5.0</v>
      </c>
      <c r="H282" s="12" t="s">
        <v>12</v>
      </c>
      <c r="I282" s="12">
        <f>sumıf(Sales!B:B,D282,Sales!G:G)</f>
        <v>54.72</v>
      </c>
    </row>
    <row r="283">
      <c r="A283" s="12">
        <v>2021.0</v>
      </c>
      <c r="B283" s="12">
        <v>10.0</v>
      </c>
      <c r="C283" s="12">
        <v>7.0</v>
      </c>
      <c r="D283" s="12">
        <v>1003697.0</v>
      </c>
      <c r="E283" s="12">
        <v>3.0</v>
      </c>
      <c r="F283" s="12">
        <v>0.0</v>
      </c>
      <c r="G283" s="12">
        <v>6.0</v>
      </c>
      <c r="H283" s="12" t="s">
        <v>12</v>
      </c>
      <c r="I283" s="12">
        <f>sumıf(Sales!B:B,D283,Sales!G:G)</f>
        <v>87.76</v>
      </c>
    </row>
    <row r="284">
      <c r="A284" s="12">
        <v>2021.0</v>
      </c>
      <c r="B284" s="12">
        <v>10.0</v>
      </c>
      <c r="C284" s="12">
        <v>7.0</v>
      </c>
      <c r="D284" s="12">
        <v>1003321.0</v>
      </c>
      <c r="E284" s="13">
        <v>0.8590133848862741</v>
      </c>
      <c r="F284" s="12">
        <v>0.0</v>
      </c>
      <c r="G284" s="12">
        <v>0.0</v>
      </c>
      <c r="H284" s="12" t="s">
        <v>11</v>
      </c>
      <c r="I284" s="12">
        <f>sumıf(Sales!B:B,D284,Sales!G:G)</f>
        <v>135.92</v>
      </c>
    </row>
    <row r="285">
      <c r="A285" s="12">
        <v>2021.0</v>
      </c>
      <c r="B285" s="12">
        <v>10.0</v>
      </c>
      <c r="C285" s="12">
        <v>7.0</v>
      </c>
      <c r="D285" s="12">
        <v>1003329.0</v>
      </c>
      <c r="E285" s="12">
        <v>1.0</v>
      </c>
      <c r="F285" s="12">
        <v>0.0</v>
      </c>
      <c r="G285" s="12">
        <v>0.0</v>
      </c>
      <c r="H285" s="12" t="s">
        <v>10</v>
      </c>
      <c r="I285" s="12">
        <f>sumıf(Sales!B:B,D285,Sales!G:G)</f>
        <v>146.92</v>
      </c>
    </row>
    <row r="286">
      <c r="A286" s="12">
        <v>2021.0</v>
      </c>
      <c r="B286" s="12">
        <v>10.0</v>
      </c>
      <c r="C286" s="12">
        <v>7.0</v>
      </c>
      <c r="D286" s="12">
        <v>1003477.0</v>
      </c>
      <c r="E286" s="12">
        <v>7.0</v>
      </c>
      <c r="F286" s="12">
        <v>0.0</v>
      </c>
      <c r="G286" s="12">
        <v>0.0</v>
      </c>
      <c r="H286" s="12" t="s">
        <v>10</v>
      </c>
      <c r="I286" s="12">
        <f>sumıf(Sales!B:B,D286,Sales!G:G)</f>
        <v>110.3</v>
      </c>
    </row>
    <row r="287">
      <c r="A287" s="12">
        <v>2021.0</v>
      </c>
      <c r="B287" s="12">
        <v>10.0</v>
      </c>
      <c r="C287" s="12">
        <v>7.0</v>
      </c>
      <c r="D287" s="12">
        <v>1003485.0</v>
      </c>
      <c r="E287" s="12">
        <v>5.0</v>
      </c>
      <c r="F287" s="12">
        <v>0.0</v>
      </c>
      <c r="G287" s="12">
        <v>5.0</v>
      </c>
      <c r="H287" s="12" t="s">
        <v>10</v>
      </c>
      <c r="I287" s="12">
        <f>sumıf(Sales!B:B,D287,Sales!G:G)</f>
        <v>45.53</v>
      </c>
    </row>
    <row r="288">
      <c r="A288" s="12">
        <v>2021.0</v>
      </c>
      <c r="B288" s="12">
        <v>10.0</v>
      </c>
      <c r="C288" s="12">
        <v>7.0</v>
      </c>
      <c r="D288" s="12">
        <v>1003972.0</v>
      </c>
      <c r="E288" s="12">
        <v>5.0</v>
      </c>
      <c r="F288" s="12">
        <v>0.0</v>
      </c>
      <c r="G288" s="12">
        <v>0.0</v>
      </c>
      <c r="H288" s="12" t="s">
        <v>11</v>
      </c>
      <c r="I288" s="12">
        <f>sumıf(Sales!B:B,D288,Sales!G:G)</f>
        <v>74.56</v>
      </c>
    </row>
    <row r="289">
      <c r="A289" s="12">
        <v>2021.0</v>
      </c>
      <c r="B289" s="12">
        <v>10.0</v>
      </c>
      <c r="C289" s="12">
        <v>7.0</v>
      </c>
      <c r="D289" s="12">
        <v>1003597.0</v>
      </c>
      <c r="E289" s="12">
        <v>3.0</v>
      </c>
      <c r="F289" s="12">
        <v>0.0</v>
      </c>
      <c r="G289" s="12">
        <v>0.0</v>
      </c>
      <c r="H289" s="12" t="s">
        <v>11</v>
      </c>
      <c r="I289" s="12">
        <f>sumıf(Sales!B:B,D289,Sales!G:G)</f>
        <v>123.81</v>
      </c>
    </row>
    <row r="290">
      <c r="A290" s="12">
        <v>2021.0</v>
      </c>
      <c r="B290" s="12">
        <v>10.0</v>
      </c>
      <c r="C290" s="12">
        <v>7.0</v>
      </c>
      <c r="D290" s="12">
        <v>1003625.0</v>
      </c>
      <c r="E290" s="12">
        <v>4.0</v>
      </c>
      <c r="F290" s="12">
        <v>0.0</v>
      </c>
      <c r="G290" s="12">
        <v>0.0</v>
      </c>
      <c r="H290" s="12" t="s">
        <v>11</v>
      </c>
      <c r="I290" s="12">
        <f>sumıf(Sales!B:B,D290,Sales!G:G)</f>
        <v>98.04</v>
      </c>
    </row>
    <row r="291">
      <c r="A291" s="12">
        <v>2021.0</v>
      </c>
      <c r="B291" s="12">
        <v>10.0</v>
      </c>
      <c r="C291" s="12">
        <v>7.0</v>
      </c>
      <c r="D291" s="12">
        <v>1003608.0</v>
      </c>
      <c r="E291" s="12">
        <v>4.0</v>
      </c>
      <c r="F291" s="12">
        <v>0.0</v>
      </c>
      <c r="G291" s="12">
        <v>0.0</v>
      </c>
      <c r="H291" s="12" t="s">
        <v>11</v>
      </c>
      <c r="I291" s="12">
        <f>sumıf(Sales!B:B,D291,Sales!G:G)</f>
        <v>14.03</v>
      </c>
    </row>
    <row r="292">
      <c r="A292" s="12">
        <v>2021.0</v>
      </c>
      <c r="B292" s="12">
        <v>10.0</v>
      </c>
      <c r="C292" s="12">
        <v>7.0</v>
      </c>
      <c r="D292" s="12">
        <v>1003621.0</v>
      </c>
      <c r="E292" s="13">
        <v>0.791385464979351</v>
      </c>
      <c r="F292" s="12">
        <v>0.0</v>
      </c>
      <c r="G292" s="12">
        <v>0.0</v>
      </c>
      <c r="H292" s="12" t="s">
        <v>11</v>
      </c>
      <c r="I292" s="12">
        <f>sumıf(Sales!B:B,D292,Sales!G:G)</f>
        <v>95.41</v>
      </c>
    </row>
    <row r="293">
      <c r="A293" s="12">
        <v>2021.0</v>
      </c>
      <c r="B293" s="12">
        <v>10.0</v>
      </c>
      <c r="C293" s="12">
        <v>7.0</v>
      </c>
      <c r="D293" s="12">
        <v>1003688.0</v>
      </c>
      <c r="E293" s="12">
        <v>1.0</v>
      </c>
      <c r="F293" s="12">
        <v>0.0</v>
      </c>
      <c r="G293" s="12">
        <v>0.0</v>
      </c>
      <c r="H293" s="12" t="s">
        <v>10</v>
      </c>
      <c r="I293" s="12">
        <f>sumıf(Sales!B:B,D293,Sales!G:G)</f>
        <v>73.39</v>
      </c>
    </row>
    <row r="294">
      <c r="A294" s="12">
        <v>2021.0</v>
      </c>
      <c r="B294" s="12">
        <v>10.0</v>
      </c>
      <c r="C294" s="12">
        <v>7.0</v>
      </c>
      <c r="D294" s="12">
        <v>1003630.0</v>
      </c>
      <c r="E294" s="12">
        <v>8.0</v>
      </c>
      <c r="F294" s="12">
        <v>0.0</v>
      </c>
      <c r="G294" s="12">
        <v>5.0</v>
      </c>
      <c r="H294" s="12" t="s">
        <v>12</v>
      </c>
      <c r="I294" s="12">
        <f>sumıf(Sales!B:B,D294,Sales!G:G)</f>
        <v>22.57</v>
      </c>
    </row>
    <row r="295">
      <c r="A295" s="12">
        <v>2021.0</v>
      </c>
      <c r="B295" s="12">
        <v>10.0</v>
      </c>
      <c r="C295" s="12">
        <v>7.0</v>
      </c>
      <c r="D295" s="12">
        <v>1003866.0</v>
      </c>
      <c r="E295" s="12">
        <v>4.0</v>
      </c>
      <c r="F295" s="12">
        <v>0.0</v>
      </c>
      <c r="G295" s="12">
        <v>0.0</v>
      </c>
      <c r="H295" s="12" t="s">
        <v>11</v>
      </c>
      <c r="I295" s="12">
        <f>sumıf(Sales!B:B,D295,Sales!G:G)</f>
        <v>64</v>
      </c>
    </row>
    <row r="296">
      <c r="A296" s="12">
        <v>2021.0</v>
      </c>
      <c r="B296" s="12">
        <v>10.0</v>
      </c>
      <c r="C296" s="12">
        <v>7.0</v>
      </c>
      <c r="D296" s="12">
        <v>1003937.0</v>
      </c>
      <c r="E296" s="12">
        <v>2.0</v>
      </c>
      <c r="F296" s="12">
        <v>0.0</v>
      </c>
      <c r="G296" s="12">
        <v>0.0</v>
      </c>
      <c r="H296" s="12" t="s">
        <v>11</v>
      </c>
      <c r="I296" s="12">
        <f>sumıf(Sales!B:B,D296,Sales!G:G)</f>
        <v>37.65</v>
      </c>
    </row>
    <row r="297">
      <c r="A297" s="12">
        <v>2021.0</v>
      </c>
      <c r="B297" s="12">
        <v>10.0</v>
      </c>
      <c r="C297" s="12">
        <v>7.0</v>
      </c>
      <c r="D297" s="12">
        <v>1003462.0</v>
      </c>
      <c r="E297" s="12">
        <v>2.0</v>
      </c>
      <c r="F297" s="12">
        <v>0.0</v>
      </c>
      <c r="G297" s="12">
        <v>0.0</v>
      </c>
      <c r="H297" s="12" t="s">
        <v>11</v>
      </c>
      <c r="I297" s="12">
        <f>sumıf(Sales!B:B,D297,Sales!G:G)</f>
        <v>16.39</v>
      </c>
    </row>
    <row r="298">
      <c r="A298" s="12">
        <v>2021.0</v>
      </c>
      <c r="B298" s="12">
        <v>10.0</v>
      </c>
      <c r="C298" s="12">
        <v>7.0</v>
      </c>
      <c r="D298" s="12">
        <v>1003356.0</v>
      </c>
      <c r="E298" s="12">
        <v>3.0</v>
      </c>
      <c r="F298" s="12">
        <v>0.83</v>
      </c>
      <c r="G298" s="12">
        <v>0.0</v>
      </c>
      <c r="H298" s="12" t="s">
        <v>12</v>
      </c>
      <c r="I298" s="12">
        <f>sumıf(Sales!B:B,D298,Sales!G:G)</f>
        <v>26.79</v>
      </c>
    </row>
    <row r="299">
      <c r="A299" s="12">
        <v>2021.0</v>
      </c>
      <c r="B299" s="12">
        <v>10.0</v>
      </c>
      <c r="C299" s="12">
        <v>7.0</v>
      </c>
      <c r="D299" s="12">
        <v>1003965.0</v>
      </c>
      <c r="E299" s="12">
        <v>1.0</v>
      </c>
      <c r="F299" s="12">
        <v>0.0</v>
      </c>
      <c r="G299" s="12">
        <v>0.0</v>
      </c>
      <c r="H299" s="12" t="s">
        <v>10</v>
      </c>
      <c r="I299" s="12">
        <f>sumıf(Sales!B:B,D299,Sales!G:G)</f>
        <v>131.47</v>
      </c>
    </row>
    <row r="300">
      <c r="A300" s="12">
        <v>2021.0</v>
      </c>
      <c r="B300" s="12">
        <v>10.0</v>
      </c>
      <c r="C300" s="12">
        <v>7.0</v>
      </c>
      <c r="D300" s="12">
        <v>1003595.0</v>
      </c>
      <c r="E300" s="12">
        <v>3.0</v>
      </c>
      <c r="F300" s="12">
        <v>0.0</v>
      </c>
      <c r="G300" s="12">
        <v>8.0</v>
      </c>
      <c r="H300" s="12" t="s">
        <v>12</v>
      </c>
      <c r="I300" s="12">
        <f>sumıf(Sales!B:B,D300,Sales!G:G)</f>
        <v>15.93</v>
      </c>
    </row>
    <row r="301">
      <c r="A301" s="12">
        <v>2021.0</v>
      </c>
      <c r="B301" s="12">
        <v>10.0</v>
      </c>
      <c r="C301" s="12">
        <v>7.0</v>
      </c>
      <c r="D301" s="12">
        <v>1003756.0</v>
      </c>
      <c r="E301" s="12">
        <v>3.0</v>
      </c>
      <c r="F301" s="12">
        <v>0.0</v>
      </c>
      <c r="G301" s="12">
        <v>5.0</v>
      </c>
      <c r="H301" s="12" t="s">
        <v>12</v>
      </c>
      <c r="I301" s="12">
        <f>sumıf(Sales!B:B,D301,Sales!G:G)</f>
        <v>105.6</v>
      </c>
    </row>
    <row r="302">
      <c r="A302" s="12">
        <v>2021.0</v>
      </c>
      <c r="B302" s="12">
        <v>10.0</v>
      </c>
      <c r="C302" s="12">
        <v>7.0</v>
      </c>
      <c r="D302" s="12">
        <v>1003397.0</v>
      </c>
      <c r="E302" s="12">
        <v>2.0</v>
      </c>
      <c r="F302" s="12">
        <v>0.0</v>
      </c>
      <c r="G302" s="12">
        <v>0.0</v>
      </c>
      <c r="H302" s="12" t="s">
        <v>11</v>
      </c>
      <c r="I302" s="12">
        <f>sumıf(Sales!B:B,D302,Sales!G:G)</f>
        <v>80.6</v>
      </c>
    </row>
    <row r="303">
      <c r="A303" s="12">
        <v>2021.0</v>
      </c>
      <c r="B303" s="12">
        <v>10.0</v>
      </c>
      <c r="C303" s="12">
        <v>7.0</v>
      </c>
      <c r="D303" s="12">
        <v>1003520.0</v>
      </c>
      <c r="E303" s="12">
        <v>3.0</v>
      </c>
      <c r="F303" s="12">
        <v>0.0</v>
      </c>
      <c r="G303" s="12">
        <v>0.0</v>
      </c>
      <c r="H303" s="12" t="s">
        <v>10</v>
      </c>
      <c r="I303" s="12">
        <f>sumıf(Sales!B:B,D303,Sales!G:G)</f>
        <v>144.11</v>
      </c>
    </row>
    <row r="304">
      <c r="A304" s="12">
        <v>2021.0</v>
      </c>
      <c r="B304" s="12">
        <v>10.0</v>
      </c>
      <c r="C304" s="12">
        <v>7.0</v>
      </c>
      <c r="D304" s="12">
        <v>1003884.0</v>
      </c>
      <c r="E304" s="12">
        <v>1.0</v>
      </c>
      <c r="F304" s="12">
        <v>0.0</v>
      </c>
      <c r="G304" s="12">
        <v>0.0</v>
      </c>
      <c r="H304" s="12" t="s">
        <v>12</v>
      </c>
      <c r="I304" s="12">
        <f>sumıf(Sales!B:B,D304,Sales!G:G)</f>
        <v>63.09</v>
      </c>
    </row>
    <row r="305">
      <c r="A305" s="12">
        <v>2021.0</v>
      </c>
      <c r="B305" s="12">
        <v>10.0</v>
      </c>
      <c r="C305" s="12">
        <v>7.0</v>
      </c>
      <c r="D305" s="12">
        <v>1003752.0</v>
      </c>
      <c r="E305" s="12">
        <v>10.0</v>
      </c>
      <c r="F305" s="12">
        <v>0.0</v>
      </c>
      <c r="G305" s="12">
        <v>0.0</v>
      </c>
      <c r="H305" s="12" t="s">
        <v>12</v>
      </c>
      <c r="I305" s="12">
        <f>sumıf(Sales!B:B,D305,Sales!G:G)</f>
        <v>19.33</v>
      </c>
    </row>
    <row r="306">
      <c r="A306" s="12">
        <v>2021.0</v>
      </c>
      <c r="B306" s="12">
        <v>10.0</v>
      </c>
      <c r="C306" s="12">
        <v>7.0</v>
      </c>
      <c r="D306" s="12">
        <v>1003830.0</v>
      </c>
      <c r="E306" s="12">
        <v>1.0</v>
      </c>
      <c r="F306" s="12">
        <v>0.0</v>
      </c>
      <c r="G306" s="12">
        <v>0.0</v>
      </c>
      <c r="H306" s="12" t="s">
        <v>10</v>
      </c>
      <c r="I306" s="12">
        <f>sumıf(Sales!B:B,D306,Sales!G:G)</f>
        <v>50.23</v>
      </c>
    </row>
    <row r="307">
      <c r="A307" s="12">
        <v>2021.0</v>
      </c>
      <c r="B307" s="12">
        <v>10.0</v>
      </c>
      <c r="C307" s="12">
        <v>7.0</v>
      </c>
      <c r="D307" s="12">
        <v>1003984.0</v>
      </c>
      <c r="E307" s="12">
        <v>2.0</v>
      </c>
      <c r="F307" s="12">
        <v>3.25</v>
      </c>
      <c r="G307" s="12">
        <v>0.0</v>
      </c>
      <c r="H307" s="12" t="s">
        <v>12</v>
      </c>
      <c r="I307" s="12">
        <f>sumıf(Sales!B:B,D307,Sales!G:G)</f>
        <v>140.97</v>
      </c>
    </row>
    <row r="308">
      <c r="A308" s="12">
        <v>2021.0</v>
      </c>
      <c r="B308" s="12">
        <v>10.0</v>
      </c>
      <c r="C308" s="12">
        <v>7.0</v>
      </c>
      <c r="D308" s="12">
        <v>1003508.0</v>
      </c>
      <c r="E308" s="12">
        <v>1.0</v>
      </c>
      <c r="F308" s="12">
        <v>0.0</v>
      </c>
      <c r="G308" s="12">
        <v>6.0</v>
      </c>
      <c r="H308" s="12" t="s">
        <v>12</v>
      </c>
      <c r="I308" s="12">
        <f>sumıf(Sales!B:B,D308,Sales!G:G)</f>
        <v>90.94</v>
      </c>
    </row>
    <row r="309">
      <c r="A309" s="12">
        <v>2021.0</v>
      </c>
      <c r="B309" s="12">
        <v>10.0</v>
      </c>
      <c r="C309" s="12">
        <v>7.0</v>
      </c>
      <c r="D309" s="12">
        <v>1003976.0</v>
      </c>
      <c r="E309" s="13">
        <v>0.9909109803681703</v>
      </c>
      <c r="F309" s="12">
        <v>0.0</v>
      </c>
      <c r="G309" s="12">
        <v>0.0</v>
      </c>
      <c r="H309" s="12" t="s">
        <v>11</v>
      </c>
      <c r="I309" s="12">
        <f>sumıf(Sales!B:B,D309,Sales!G:G)</f>
        <v>46.48</v>
      </c>
    </row>
    <row r="310">
      <c r="A310" s="12">
        <v>2021.0</v>
      </c>
      <c r="B310" s="12">
        <v>10.0</v>
      </c>
      <c r="C310" s="12">
        <v>7.0</v>
      </c>
      <c r="D310" s="12">
        <v>1003457.0</v>
      </c>
      <c r="E310" s="12">
        <v>3.0</v>
      </c>
      <c r="F310" s="12">
        <v>0.0</v>
      </c>
      <c r="G310" s="12">
        <v>0.0</v>
      </c>
      <c r="H310" s="12" t="s">
        <v>12</v>
      </c>
      <c r="I310" s="12">
        <f>sumıf(Sales!B:B,D310,Sales!G:G)</f>
        <v>82.2</v>
      </c>
    </row>
    <row r="311">
      <c r="A311" s="12">
        <v>2021.0</v>
      </c>
      <c r="B311" s="12">
        <v>10.0</v>
      </c>
      <c r="C311" s="12">
        <v>7.0</v>
      </c>
      <c r="D311" s="12">
        <v>1003285.0</v>
      </c>
      <c r="E311" s="12">
        <v>3.0</v>
      </c>
      <c r="F311" s="12">
        <v>0.94</v>
      </c>
      <c r="G311" s="12">
        <v>5.0</v>
      </c>
      <c r="H311" s="12" t="s">
        <v>12</v>
      </c>
      <c r="I311" s="12">
        <f>sumıf(Sales!B:B,D311,Sales!G:G)</f>
        <v>29.16</v>
      </c>
    </row>
    <row r="312">
      <c r="A312" s="12">
        <v>2021.0</v>
      </c>
      <c r="B312" s="12">
        <v>10.0</v>
      </c>
      <c r="C312" s="12">
        <v>7.0</v>
      </c>
      <c r="D312" s="12">
        <v>1003840.0</v>
      </c>
      <c r="E312" s="12">
        <v>9.0</v>
      </c>
      <c r="F312" s="12">
        <v>0.0</v>
      </c>
      <c r="G312" s="12">
        <v>0.0</v>
      </c>
      <c r="H312" s="12" t="s">
        <v>11</v>
      </c>
      <c r="I312" s="12">
        <f>sumıf(Sales!B:B,D312,Sales!G:G)</f>
        <v>58.27</v>
      </c>
    </row>
    <row r="313">
      <c r="A313" s="12">
        <v>2021.0</v>
      </c>
      <c r="B313" s="12">
        <v>10.0</v>
      </c>
      <c r="C313" s="12">
        <v>7.0</v>
      </c>
      <c r="D313" s="12">
        <v>1003635.0</v>
      </c>
      <c r="E313" s="12">
        <v>2.0</v>
      </c>
      <c r="F313" s="12">
        <v>5.75</v>
      </c>
      <c r="G313" s="12">
        <v>0.0</v>
      </c>
      <c r="H313" s="12" t="s">
        <v>12</v>
      </c>
      <c r="I313" s="12">
        <f>sumıf(Sales!B:B,D313,Sales!G:G)</f>
        <v>75.86</v>
      </c>
    </row>
    <row r="314">
      <c r="A314" s="12">
        <v>2021.0</v>
      </c>
      <c r="B314" s="12">
        <v>10.0</v>
      </c>
      <c r="C314" s="12">
        <v>7.0</v>
      </c>
      <c r="D314" s="12">
        <v>1003640.0</v>
      </c>
      <c r="E314" s="12">
        <v>1.0</v>
      </c>
      <c r="F314" s="12">
        <v>0.0</v>
      </c>
      <c r="G314" s="12">
        <v>0.0</v>
      </c>
      <c r="H314" s="12" t="s">
        <v>10</v>
      </c>
      <c r="I314" s="12">
        <f>sumıf(Sales!B:B,D314,Sales!G:G)</f>
        <v>134.61</v>
      </c>
    </row>
    <row r="315">
      <c r="A315" s="12">
        <v>2021.0</v>
      </c>
      <c r="B315" s="12">
        <v>10.0</v>
      </c>
      <c r="C315" s="12">
        <v>7.0</v>
      </c>
      <c r="D315" s="12">
        <v>1003755.0</v>
      </c>
      <c r="E315" s="12">
        <v>1.0</v>
      </c>
      <c r="F315" s="12">
        <v>0.0</v>
      </c>
      <c r="G315" s="12">
        <v>0.0</v>
      </c>
      <c r="H315" s="12" t="s">
        <v>12</v>
      </c>
      <c r="I315" s="12">
        <f>sumıf(Sales!B:B,D315,Sales!G:G)</f>
        <v>11.66</v>
      </c>
    </row>
    <row r="316">
      <c r="A316" s="12">
        <v>2021.0</v>
      </c>
      <c r="B316" s="12">
        <v>10.0</v>
      </c>
      <c r="C316" s="12">
        <v>7.0</v>
      </c>
      <c r="D316" s="12">
        <v>1003682.0</v>
      </c>
      <c r="E316" s="12">
        <v>1.0</v>
      </c>
      <c r="F316" s="12">
        <v>0.0</v>
      </c>
      <c r="G316" s="12">
        <v>0.0</v>
      </c>
      <c r="H316" s="12" t="s">
        <v>10</v>
      </c>
      <c r="I316" s="12">
        <f>sumıf(Sales!B:B,D316,Sales!G:G)</f>
        <v>93.68</v>
      </c>
    </row>
    <row r="317">
      <c r="A317" s="12">
        <v>2021.0</v>
      </c>
      <c r="B317" s="12">
        <v>10.0</v>
      </c>
      <c r="C317" s="12">
        <v>7.0</v>
      </c>
      <c r="D317" s="12">
        <v>1003838.0</v>
      </c>
      <c r="E317" s="12">
        <v>1.0</v>
      </c>
      <c r="F317" s="12">
        <v>0.0</v>
      </c>
      <c r="G317" s="12">
        <v>0.0</v>
      </c>
      <c r="H317" s="12" t="s">
        <v>12</v>
      </c>
      <c r="I317" s="12">
        <f>sumıf(Sales!B:B,D317,Sales!G:G)</f>
        <v>40.83</v>
      </c>
    </row>
    <row r="318">
      <c r="A318" s="12">
        <v>2021.0</v>
      </c>
      <c r="B318" s="12">
        <v>10.0</v>
      </c>
      <c r="C318" s="12">
        <v>7.0</v>
      </c>
      <c r="D318" s="12">
        <v>1003309.0</v>
      </c>
      <c r="E318" s="12">
        <v>1.0</v>
      </c>
      <c r="F318" s="12">
        <v>0.0</v>
      </c>
      <c r="G318" s="12">
        <v>5.0</v>
      </c>
      <c r="H318" s="12" t="s">
        <v>12</v>
      </c>
      <c r="I318" s="12">
        <f>sumıf(Sales!B:B,D318,Sales!G:G)</f>
        <v>68.08</v>
      </c>
    </row>
    <row r="319">
      <c r="A319" s="12">
        <v>2021.0</v>
      </c>
      <c r="B319" s="12">
        <v>10.0</v>
      </c>
      <c r="C319" s="12">
        <v>7.0</v>
      </c>
      <c r="D319" s="12">
        <v>1003379.0</v>
      </c>
      <c r="E319" s="12">
        <v>1.0</v>
      </c>
      <c r="F319" s="12">
        <v>6.08</v>
      </c>
      <c r="G319" s="12">
        <v>0.0</v>
      </c>
      <c r="H319" s="12" t="s">
        <v>12</v>
      </c>
      <c r="I319" s="12">
        <f>sumıf(Sales!B:B,D319,Sales!G:G)</f>
        <v>41.64</v>
      </c>
    </row>
    <row r="320">
      <c r="A320" s="12">
        <v>2021.0</v>
      </c>
      <c r="B320" s="12">
        <v>10.0</v>
      </c>
      <c r="C320" s="12">
        <v>7.0</v>
      </c>
      <c r="D320" s="12">
        <v>1003512.0</v>
      </c>
      <c r="E320" s="12">
        <v>3.0</v>
      </c>
      <c r="F320" s="12">
        <v>0.0</v>
      </c>
      <c r="G320" s="12">
        <v>0.0</v>
      </c>
      <c r="H320" s="12" t="s">
        <v>10</v>
      </c>
      <c r="I320" s="12">
        <f>sumıf(Sales!B:B,D320,Sales!G:G)</f>
        <v>83.37</v>
      </c>
    </row>
    <row r="321">
      <c r="A321" s="12">
        <v>2021.0</v>
      </c>
      <c r="B321" s="12">
        <v>10.0</v>
      </c>
      <c r="C321" s="12">
        <v>7.0</v>
      </c>
      <c r="D321" s="12">
        <v>1003549.0</v>
      </c>
      <c r="E321" s="12">
        <v>2.0</v>
      </c>
      <c r="F321" s="12">
        <v>0.0</v>
      </c>
      <c r="G321" s="12">
        <v>8.0</v>
      </c>
      <c r="H321" s="12" t="s">
        <v>12</v>
      </c>
      <c r="I321" s="12">
        <f>sumıf(Sales!B:B,D321,Sales!G:G)</f>
        <v>81.21</v>
      </c>
    </row>
    <row r="322">
      <c r="A322" s="12">
        <v>2021.0</v>
      </c>
      <c r="B322" s="12">
        <v>10.0</v>
      </c>
      <c r="C322" s="12">
        <v>7.0</v>
      </c>
      <c r="D322" s="12">
        <v>1003793.0</v>
      </c>
      <c r="E322" s="12">
        <v>8.0</v>
      </c>
      <c r="F322" s="12">
        <v>0.0</v>
      </c>
      <c r="G322" s="12">
        <v>7.0</v>
      </c>
      <c r="H322" s="12" t="s">
        <v>12</v>
      </c>
      <c r="I322" s="12">
        <f>sumıf(Sales!B:B,D322,Sales!G:G)</f>
        <v>247.87</v>
      </c>
    </row>
    <row r="323">
      <c r="A323" s="12">
        <v>2021.0</v>
      </c>
      <c r="B323" s="12">
        <v>10.0</v>
      </c>
      <c r="C323" s="12">
        <v>7.0</v>
      </c>
      <c r="D323" s="12">
        <v>1003305.0</v>
      </c>
      <c r="E323" s="12">
        <v>10.0</v>
      </c>
      <c r="F323" s="12">
        <v>0.0</v>
      </c>
      <c r="G323" s="12">
        <v>0.0</v>
      </c>
      <c r="H323" s="12" t="s">
        <v>11</v>
      </c>
      <c r="I323" s="12">
        <f>sumıf(Sales!B:B,D323,Sales!G:G)</f>
        <v>65.04</v>
      </c>
    </row>
    <row r="324">
      <c r="A324" s="12">
        <v>2021.0</v>
      </c>
      <c r="B324" s="12">
        <v>10.0</v>
      </c>
      <c r="C324" s="12">
        <v>7.0</v>
      </c>
      <c r="D324" s="12">
        <v>1003772.0</v>
      </c>
      <c r="E324" s="12">
        <v>1.0</v>
      </c>
      <c r="F324" s="12">
        <v>0.0</v>
      </c>
      <c r="G324" s="12">
        <v>0.0</v>
      </c>
      <c r="H324" s="12" t="s">
        <v>10</v>
      </c>
      <c r="I324" s="12">
        <f>sumıf(Sales!B:B,D324,Sales!G:G)</f>
        <v>41.35</v>
      </c>
    </row>
    <row r="325">
      <c r="A325" s="12">
        <v>2021.0</v>
      </c>
      <c r="B325" s="12">
        <v>10.0</v>
      </c>
      <c r="C325" s="12">
        <v>7.0</v>
      </c>
      <c r="D325" s="12">
        <v>1003879.0</v>
      </c>
      <c r="E325" s="12">
        <v>2.0</v>
      </c>
      <c r="F325" s="12">
        <v>0.0</v>
      </c>
      <c r="G325" s="12">
        <v>10.0</v>
      </c>
      <c r="H325" s="12" t="s">
        <v>12</v>
      </c>
      <c r="I325" s="12">
        <f>sumıf(Sales!B:B,D325,Sales!G:G)</f>
        <v>75.54</v>
      </c>
    </row>
    <row r="326">
      <c r="A326" s="12">
        <v>2021.0</v>
      </c>
      <c r="B326" s="12">
        <v>10.0</v>
      </c>
      <c r="C326" s="12">
        <v>7.0</v>
      </c>
      <c r="D326" s="12">
        <v>1003496.0</v>
      </c>
      <c r="E326" s="12">
        <v>2.0</v>
      </c>
      <c r="F326" s="12">
        <v>0.0</v>
      </c>
      <c r="G326" s="12">
        <v>0.0</v>
      </c>
      <c r="H326" s="12" t="s">
        <v>10</v>
      </c>
      <c r="I326" s="12">
        <f>sumıf(Sales!B:B,D326,Sales!G:G)</f>
        <v>98.47</v>
      </c>
    </row>
    <row r="327">
      <c r="A327" s="12">
        <v>2021.0</v>
      </c>
      <c r="B327" s="12">
        <v>10.0</v>
      </c>
      <c r="C327" s="12">
        <v>8.0</v>
      </c>
      <c r="D327" s="12">
        <v>1003580.0</v>
      </c>
      <c r="E327" s="12">
        <v>4.0</v>
      </c>
      <c r="F327" s="12">
        <v>0.0</v>
      </c>
      <c r="G327" s="12">
        <v>10.0</v>
      </c>
      <c r="H327" s="12" t="s">
        <v>12</v>
      </c>
      <c r="I327" s="12">
        <f>sumıf(Sales!B:B,D327,Sales!G:G)</f>
        <v>38.47</v>
      </c>
    </row>
    <row r="328">
      <c r="A328" s="12">
        <v>2021.0</v>
      </c>
      <c r="B328" s="12">
        <v>10.0</v>
      </c>
      <c r="C328" s="12">
        <v>8.0</v>
      </c>
      <c r="D328" s="12">
        <v>1003339.0</v>
      </c>
      <c r="E328" s="13">
        <v>0.7147263327122729</v>
      </c>
      <c r="F328" s="12">
        <v>0.0</v>
      </c>
      <c r="G328" s="12">
        <v>0.0</v>
      </c>
      <c r="H328" s="12" t="s">
        <v>12</v>
      </c>
      <c r="I328" s="12">
        <f>sumıf(Sales!B:B,D328,Sales!G:G)</f>
        <v>88.07</v>
      </c>
    </row>
    <row r="329">
      <c r="A329" s="12">
        <v>2021.0</v>
      </c>
      <c r="B329" s="12">
        <v>10.0</v>
      </c>
      <c r="C329" s="12">
        <v>8.0</v>
      </c>
      <c r="D329" s="12">
        <v>1003590.0</v>
      </c>
      <c r="E329" s="12">
        <v>6.0</v>
      </c>
      <c r="F329" s="12">
        <v>0.0</v>
      </c>
      <c r="G329" s="12">
        <v>0.0</v>
      </c>
      <c r="H329" s="12" t="s">
        <v>12</v>
      </c>
      <c r="I329" s="12">
        <f>sumıf(Sales!B:B,D329,Sales!G:G)</f>
        <v>94.08</v>
      </c>
    </row>
    <row r="330">
      <c r="A330" s="12">
        <v>2021.0</v>
      </c>
      <c r="B330" s="12">
        <v>10.0</v>
      </c>
      <c r="C330" s="12">
        <v>8.0</v>
      </c>
      <c r="D330" s="12">
        <v>1003909.0</v>
      </c>
      <c r="E330" s="12">
        <v>2.0</v>
      </c>
      <c r="F330" s="12">
        <v>0.0</v>
      </c>
      <c r="G330" s="12">
        <v>0.0</v>
      </c>
      <c r="H330" s="12" t="s">
        <v>12</v>
      </c>
      <c r="I330" s="12">
        <f>sumıf(Sales!B:B,D330,Sales!G:G)</f>
        <v>58.76</v>
      </c>
    </row>
    <row r="331">
      <c r="A331" s="12">
        <v>2021.0</v>
      </c>
      <c r="B331" s="12">
        <v>10.0</v>
      </c>
      <c r="C331" s="12">
        <v>8.0</v>
      </c>
      <c r="D331" s="12">
        <v>1003471.0</v>
      </c>
      <c r="E331" s="12">
        <v>6.0</v>
      </c>
      <c r="F331" s="12">
        <v>0.0</v>
      </c>
      <c r="G331" s="12">
        <v>0.0</v>
      </c>
      <c r="H331" s="12" t="s">
        <v>12</v>
      </c>
      <c r="I331" s="12">
        <f>sumıf(Sales!B:B,D331,Sales!G:G)</f>
        <v>95.84</v>
      </c>
    </row>
    <row r="332">
      <c r="A332" s="12">
        <v>2021.0</v>
      </c>
      <c r="B332" s="12">
        <v>10.0</v>
      </c>
      <c r="C332" s="12">
        <v>8.0</v>
      </c>
      <c r="D332" s="12">
        <v>1003727.0</v>
      </c>
      <c r="E332" s="12">
        <v>1.0</v>
      </c>
      <c r="F332" s="12">
        <v>0.86</v>
      </c>
      <c r="G332" s="12">
        <v>0.0</v>
      </c>
      <c r="H332" s="12" t="s">
        <v>12</v>
      </c>
      <c r="I332" s="12">
        <f>sumıf(Sales!B:B,D332,Sales!G:G)</f>
        <v>149.78</v>
      </c>
    </row>
    <row r="333">
      <c r="A333" s="12">
        <v>2021.0</v>
      </c>
      <c r="B333" s="12">
        <v>10.0</v>
      </c>
      <c r="C333" s="12">
        <v>8.0</v>
      </c>
      <c r="D333" s="12">
        <v>1003469.0</v>
      </c>
      <c r="E333" s="12">
        <v>1.0</v>
      </c>
      <c r="F333" s="12">
        <v>0.95</v>
      </c>
      <c r="G333" s="12">
        <v>0.0</v>
      </c>
      <c r="H333" s="12" t="s">
        <v>11</v>
      </c>
      <c r="I333" s="12">
        <f>sumıf(Sales!B:B,D333,Sales!G:G)</f>
        <v>60.01</v>
      </c>
    </row>
    <row r="334">
      <c r="A334" s="12">
        <v>2021.0</v>
      </c>
      <c r="B334" s="12">
        <v>10.0</v>
      </c>
      <c r="C334" s="12">
        <v>8.0</v>
      </c>
      <c r="D334" s="12">
        <v>1003927.0</v>
      </c>
      <c r="E334" s="12">
        <v>3.0</v>
      </c>
      <c r="F334" s="12">
        <v>0.0</v>
      </c>
      <c r="G334" s="12">
        <v>0.0</v>
      </c>
      <c r="H334" s="12" t="s">
        <v>12</v>
      </c>
      <c r="I334" s="12">
        <f>sumıf(Sales!B:B,D334,Sales!G:G)</f>
        <v>55.51</v>
      </c>
    </row>
    <row r="335">
      <c r="A335" s="12">
        <v>2021.0</v>
      </c>
      <c r="B335" s="12">
        <v>10.0</v>
      </c>
      <c r="C335" s="12">
        <v>8.0</v>
      </c>
      <c r="D335" s="12">
        <v>1003865.0</v>
      </c>
      <c r="E335" s="12">
        <v>2.0</v>
      </c>
      <c r="F335" s="12">
        <v>0.0</v>
      </c>
      <c r="G335" s="12">
        <v>0.0</v>
      </c>
      <c r="H335" s="12" t="s">
        <v>12</v>
      </c>
      <c r="I335" s="12">
        <f>sumıf(Sales!B:B,D335,Sales!G:G)</f>
        <v>129.36</v>
      </c>
    </row>
    <row r="336">
      <c r="A336" s="12">
        <v>2021.0</v>
      </c>
      <c r="B336" s="12">
        <v>10.0</v>
      </c>
      <c r="C336" s="12">
        <v>8.0</v>
      </c>
      <c r="D336" s="12">
        <v>1003554.0</v>
      </c>
      <c r="E336" s="13">
        <v>0.340939151429405</v>
      </c>
      <c r="F336" s="12">
        <v>0.0</v>
      </c>
      <c r="G336" s="12">
        <v>0.0</v>
      </c>
      <c r="H336" s="12" t="s">
        <v>12</v>
      </c>
      <c r="I336" s="12">
        <f>sumıf(Sales!B:B,D336,Sales!G:G)</f>
        <v>39.1</v>
      </c>
    </row>
    <row r="337">
      <c r="A337" s="12">
        <v>2021.0</v>
      </c>
      <c r="B337" s="12">
        <v>10.0</v>
      </c>
      <c r="C337" s="12">
        <v>8.0</v>
      </c>
      <c r="D337" s="12">
        <v>1003809.0</v>
      </c>
      <c r="E337" s="12">
        <v>1.0</v>
      </c>
      <c r="F337" s="12">
        <v>0.0</v>
      </c>
      <c r="G337" s="12">
        <v>7.0</v>
      </c>
      <c r="H337" s="12" t="s">
        <v>12</v>
      </c>
      <c r="I337" s="12">
        <f>sumıf(Sales!B:B,D337,Sales!G:G)</f>
        <v>64.55</v>
      </c>
    </row>
    <row r="338">
      <c r="A338" s="12">
        <v>2021.0</v>
      </c>
      <c r="B338" s="12">
        <v>10.0</v>
      </c>
      <c r="C338" s="12">
        <v>8.0</v>
      </c>
      <c r="D338" s="12">
        <v>1003744.0</v>
      </c>
      <c r="E338" s="12">
        <v>16.0</v>
      </c>
      <c r="F338" s="12">
        <v>0.0</v>
      </c>
      <c r="G338" s="12">
        <v>8.0</v>
      </c>
      <c r="H338" s="12" t="s">
        <v>12</v>
      </c>
      <c r="I338" s="12">
        <f>sumıf(Sales!B:B,D338,Sales!G:G)</f>
        <v>42.73</v>
      </c>
    </row>
    <row r="339">
      <c r="A339" s="12">
        <v>2021.0</v>
      </c>
      <c r="B339" s="12">
        <v>10.0</v>
      </c>
      <c r="C339" s="12">
        <v>8.0</v>
      </c>
      <c r="D339" s="12">
        <v>1003910.0</v>
      </c>
      <c r="E339" s="12">
        <v>1.0</v>
      </c>
      <c r="F339" s="12">
        <v>0.0</v>
      </c>
      <c r="G339" s="12">
        <v>0.0</v>
      </c>
      <c r="H339" s="12" t="s">
        <v>10</v>
      </c>
      <c r="I339" s="12">
        <f>sumıf(Sales!B:B,D339,Sales!G:G)</f>
        <v>105.79</v>
      </c>
    </row>
    <row r="340">
      <c r="A340" s="12">
        <v>2021.0</v>
      </c>
      <c r="B340" s="12">
        <v>10.0</v>
      </c>
      <c r="C340" s="12">
        <v>8.0</v>
      </c>
      <c r="D340" s="12">
        <v>1003658.0</v>
      </c>
      <c r="E340" s="12">
        <v>1.0</v>
      </c>
      <c r="F340" s="12">
        <v>0.0</v>
      </c>
      <c r="G340" s="12">
        <v>0.0</v>
      </c>
      <c r="H340" s="12" t="s">
        <v>10</v>
      </c>
      <c r="I340" s="12">
        <f>sumıf(Sales!B:B,D340,Sales!G:G)</f>
        <v>163.04</v>
      </c>
    </row>
    <row r="341">
      <c r="A341" s="12">
        <v>2021.0</v>
      </c>
      <c r="B341" s="12">
        <v>10.0</v>
      </c>
      <c r="C341" s="12">
        <v>8.0</v>
      </c>
      <c r="D341" s="12">
        <v>1003736.0</v>
      </c>
      <c r="E341" s="12">
        <v>4.0</v>
      </c>
      <c r="F341" s="12">
        <v>0.0</v>
      </c>
      <c r="G341" s="12">
        <v>0.0</v>
      </c>
      <c r="H341" s="12" t="s">
        <v>10</v>
      </c>
      <c r="I341" s="12">
        <f>sumıf(Sales!B:B,D341,Sales!G:G)</f>
        <v>48.37</v>
      </c>
    </row>
    <row r="342">
      <c r="A342" s="12">
        <v>2021.0</v>
      </c>
      <c r="B342" s="12">
        <v>10.0</v>
      </c>
      <c r="C342" s="12">
        <v>8.0</v>
      </c>
      <c r="D342" s="12">
        <v>1003882.0</v>
      </c>
      <c r="E342" s="12">
        <v>8.0</v>
      </c>
      <c r="F342" s="12">
        <v>0.0</v>
      </c>
      <c r="G342" s="12">
        <v>10.0</v>
      </c>
      <c r="H342" s="12" t="s">
        <v>12</v>
      </c>
      <c r="I342" s="12">
        <f>sumıf(Sales!B:B,D342,Sales!G:G)</f>
        <v>18.29</v>
      </c>
    </row>
    <row r="343">
      <c r="A343" s="12">
        <v>2021.0</v>
      </c>
      <c r="B343" s="12">
        <v>10.0</v>
      </c>
      <c r="C343" s="12">
        <v>8.0</v>
      </c>
      <c r="D343" s="12">
        <v>1003711.0</v>
      </c>
      <c r="E343" s="12">
        <v>3.0</v>
      </c>
      <c r="F343" s="12">
        <v>7.36</v>
      </c>
      <c r="G343" s="12">
        <v>0.0</v>
      </c>
      <c r="H343" s="12" t="s">
        <v>12</v>
      </c>
      <c r="I343" s="12">
        <f>sumıf(Sales!B:B,D343,Sales!G:G)</f>
        <v>134.81</v>
      </c>
    </row>
    <row r="344">
      <c r="A344" s="12">
        <v>2021.0</v>
      </c>
      <c r="B344" s="12">
        <v>10.0</v>
      </c>
      <c r="C344" s="12">
        <v>8.0</v>
      </c>
      <c r="D344" s="12">
        <v>1003832.0</v>
      </c>
      <c r="E344" s="12">
        <v>1.0</v>
      </c>
      <c r="F344" s="12">
        <v>0.0</v>
      </c>
      <c r="G344" s="12">
        <v>0.0</v>
      </c>
      <c r="H344" s="12" t="s">
        <v>12</v>
      </c>
      <c r="I344" s="12">
        <f>sumıf(Sales!B:B,D344,Sales!G:G)</f>
        <v>44.65</v>
      </c>
    </row>
    <row r="345">
      <c r="A345" s="12">
        <v>2021.0</v>
      </c>
      <c r="B345" s="12">
        <v>10.0</v>
      </c>
      <c r="C345" s="12">
        <v>8.0</v>
      </c>
      <c r="D345" s="12">
        <v>1003850.0</v>
      </c>
      <c r="E345" s="12">
        <v>15.0</v>
      </c>
      <c r="F345" s="12">
        <v>0.0</v>
      </c>
      <c r="G345" s="12">
        <v>5.0</v>
      </c>
      <c r="H345" s="12" t="s">
        <v>12</v>
      </c>
      <c r="I345" s="12">
        <f>sumıf(Sales!B:B,D345,Sales!G:G)</f>
        <v>22.16</v>
      </c>
    </row>
    <row r="346">
      <c r="A346" s="12">
        <v>2021.0</v>
      </c>
      <c r="B346" s="12">
        <v>10.0</v>
      </c>
      <c r="C346" s="12">
        <v>8.0</v>
      </c>
      <c r="D346" s="12">
        <v>1003765.0</v>
      </c>
      <c r="E346" s="12">
        <v>12.0</v>
      </c>
      <c r="F346" s="12">
        <v>0.0</v>
      </c>
      <c r="G346" s="12">
        <v>0.0</v>
      </c>
      <c r="H346" s="12" t="s">
        <v>11</v>
      </c>
      <c r="I346" s="12">
        <f>sumıf(Sales!B:B,D346,Sales!G:G)</f>
        <v>31.59</v>
      </c>
    </row>
    <row r="347">
      <c r="A347" s="12">
        <v>2021.0</v>
      </c>
      <c r="B347" s="12">
        <v>10.0</v>
      </c>
      <c r="C347" s="12">
        <v>8.0</v>
      </c>
      <c r="D347" s="12">
        <v>1003693.0</v>
      </c>
      <c r="E347" s="12">
        <v>7.0</v>
      </c>
      <c r="F347" s="12">
        <v>3.7</v>
      </c>
      <c r="G347" s="12">
        <v>0.0</v>
      </c>
      <c r="H347" s="12" t="s">
        <v>12</v>
      </c>
      <c r="I347" s="12">
        <f>sumıf(Sales!B:B,D347,Sales!G:G)</f>
        <v>39.08</v>
      </c>
    </row>
    <row r="348">
      <c r="A348" s="12">
        <v>2021.0</v>
      </c>
      <c r="B348" s="12">
        <v>10.0</v>
      </c>
      <c r="C348" s="12">
        <v>8.0</v>
      </c>
      <c r="D348" s="12">
        <v>1003859.0</v>
      </c>
      <c r="E348" s="12">
        <v>2.0</v>
      </c>
      <c r="F348" s="12">
        <v>0.0</v>
      </c>
      <c r="G348" s="12">
        <v>0.0</v>
      </c>
      <c r="H348" s="12" t="s">
        <v>10</v>
      </c>
      <c r="I348" s="12">
        <f>sumıf(Sales!B:B,D348,Sales!G:G)</f>
        <v>54.36</v>
      </c>
    </row>
    <row r="349">
      <c r="A349" s="12">
        <v>2021.0</v>
      </c>
      <c r="B349" s="12">
        <v>10.0</v>
      </c>
      <c r="C349" s="12">
        <v>8.0</v>
      </c>
      <c r="D349" s="12">
        <v>1003592.0</v>
      </c>
      <c r="E349" s="12">
        <v>1.0</v>
      </c>
      <c r="F349" s="12">
        <v>0.0</v>
      </c>
      <c r="G349" s="12">
        <v>0.0</v>
      </c>
      <c r="H349" s="12" t="s">
        <v>10</v>
      </c>
      <c r="I349" s="12">
        <f>sumıf(Sales!B:B,D349,Sales!G:G)</f>
        <v>32.07</v>
      </c>
    </row>
    <row r="350">
      <c r="A350" s="12">
        <v>2021.0</v>
      </c>
      <c r="B350" s="12">
        <v>10.0</v>
      </c>
      <c r="C350" s="12">
        <v>8.0</v>
      </c>
      <c r="D350" s="12">
        <v>1003361.0</v>
      </c>
      <c r="E350" s="12">
        <v>1.0</v>
      </c>
      <c r="F350" s="12">
        <v>0.0</v>
      </c>
      <c r="G350" s="12">
        <v>6.0</v>
      </c>
      <c r="H350" s="12" t="s">
        <v>12</v>
      </c>
      <c r="I350" s="12">
        <f>sumıf(Sales!B:B,D350,Sales!G:G)</f>
        <v>89.04</v>
      </c>
    </row>
    <row r="351">
      <c r="A351" s="12">
        <v>2021.0</v>
      </c>
      <c r="B351" s="12">
        <v>10.0</v>
      </c>
      <c r="C351" s="12">
        <v>8.0</v>
      </c>
      <c r="D351" s="12">
        <v>1004006.0</v>
      </c>
      <c r="E351" s="12">
        <v>8.0</v>
      </c>
      <c r="F351" s="12">
        <v>5.75</v>
      </c>
      <c r="G351" s="12">
        <v>6.0</v>
      </c>
      <c r="H351" s="12" t="s">
        <v>10</v>
      </c>
      <c r="I351" s="12">
        <f>sumıf(Sales!B:B,D351,Sales!G:G)</f>
        <v>35.84</v>
      </c>
    </row>
    <row r="352">
      <c r="A352" s="12">
        <v>2021.0</v>
      </c>
      <c r="B352" s="12">
        <v>10.0</v>
      </c>
      <c r="C352" s="12">
        <v>8.0</v>
      </c>
      <c r="D352" s="12">
        <v>1003483.0</v>
      </c>
      <c r="E352" s="12">
        <v>1.0</v>
      </c>
      <c r="F352" s="12">
        <v>0.0</v>
      </c>
      <c r="G352" s="12">
        <v>0.0</v>
      </c>
      <c r="H352" s="12" t="s">
        <v>10</v>
      </c>
      <c r="I352" s="12">
        <f>sumıf(Sales!B:B,D352,Sales!G:G)</f>
        <v>35.44</v>
      </c>
    </row>
    <row r="353">
      <c r="A353" s="12">
        <v>2021.0</v>
      </c>
      <c r="B353" s="12">
        <v>10.0</v>
      </c>
      <c r="C353" s="12">
        <v>8.0</v>
      </c>
      <c r="D353" s="12">
        <v>1003525.0</v>
      </c>
      <c r="E353" s="12">
        <v>2.0</v>
      </c>
      <c r="F353" s="12">
        <v>0.0</v>
      </c>
      <c r="G353" s="12">
        <v>0.0</v>
      </c>
      <c r="H353" s="12" t="s">
        <v>10</v>
      </c>
      <c r="I353" s="12">
        <f>sumıf(Sales!B:B,D353,Sales!G:G)</f>
        <v>74.72</v>
      </c>
    </row>
    <row r="354">
      <c r="A354" s="12">
        <v>2021.0</v>
      </c>
      <c r="B354" s="12">
        <v>10.0</v>
      </c>
      <c r="C354" s="12">
        <v>8.0</v>
      </c>
      <c r="D354" s="12">
        <v>1003579.0</v>
      </c>
      <c r="E354" s="12">
        <v>6.0</v>
      </c>
      <c r="F354" s="12">
        <v>0.0</v>
      </c>
      <c r="G354" s="12">
        <v>10.0</v>
      </c>
      <c r="H354" s="12" t="s">
        <v>12</v>
      </c>
      <c r="I354" s="12">
        <f>sumıf(Sales!B:B,D354,Sales!G:G)</f>
        <v>19.16</v>
      </c>
    </row>
    <row r="355">
      <c r="A355" s="12">
        <v>2021.0</v>
      </c>
      <c r="B355" s="12">
        <v>10.0</v>
      </c>
      <c r="C355" s="12">
        <v>8.0</v>
      </c>
      <c r="D355" s="12">
        <v>1003345.0</v>
      </c>
      <c r="E355" s="12">
        <v>1.0</v>
      </c>
      <c r="F355" s="12">
        <v>0.0</v>
      </c>
      <c r="G355" s="12">
        <v>0.0</v>
      </c>
      <c r="H355" s="12" t="s">
        <v>11</v>
      </c>
      <c r="I355" s="12">
        <f>sumıf(Sales!B:B,D355,Sales!G:G)</f>
        <v>59.07</v>
      </c>
    </row>
    <row r="356">
      <c r="A356" s="12">
        <v>2021.0</v>
      </c>
      <c r="B356" s="12">
        <v>10.0</v>
      </c>
      <c r="C356" s="12">
        <v>8.0</v>
      </c>
      <c r="D356" s="12">
        <v>1003399.0</v>
      </c>
      <c r="E356" s="12">
        <v>2.0</v>
      </c>
      <c r="F356" s="12">
        <v>0.0</v>
      </c>
      <c r="G356" s="12">
        <v>0.0</v>
      </c>
      <c r="H356" s="12" t="s">
        <v>10</v>
      </c>
      <c r="I356" s="12">
        <f>sumıf(Sales!B:B,D356,Sales!G:G)</f>
        <v>92.84</v>
      </c>
    </row>
    <row r="357">
      <c r="A357" s="12">
        <v>2021.0</v>
      </c>
      <c r="B357" s="12">
        <v>10.0</v>
      </c>
      <c r="C357" s="12">
        <v>8.0</v>
      </c>
      <c r="D357" s="12">
        <v>1003709.0</v>
      </c>
      <c r="E357" s="12">
        <v>6.0</v>
      </c>
      <c r="F357" s="12">
        <v>0.0</v>
      </c>
      <c r="G357" s="12">
        <v>0.0</v>
      </c>
      <c r="H357" s="12" t="s">
        <v>10</v>
      </c>
      <c r="I357" s="12">
        <f>sumıf(Sales!B:B,D357,Sales!G:G)</f>
        <v>47.08</v>
      </c>
    </row>
    <row r="358">
      <c r="A358" s="12">
        <v>2021.0</v>
      </c>
      <c r="B358" s="12">
        <v>10.0</v>
      </c>
      <c r="C358" s="12">
        <v>8.0</v>
      </c>
      <c r="D358" s="12">
        <v>1003998.0</v>
      </c>
      <c r="E358" s="12">
        <v>1.0</v>
      </c>
      <c r="F358" s="12">
        <v>0.0</v>
      </c>
      <c r="G358" s="12">
        <v>0.0</v>
      </c>
      <c r="H358" s="12" t="s">
        <v>10</v>
      </c>
      <c r="I358" s="12">
        <f>sumıf(Sales!B:B,D358,Sales!G:G)</f>
        <v>42.67</v>
      </c>
    </row>
    <row r="359">
      <c r="A359" s="12">
        <v>2021.0</v>
      </c>
      <c r="B359" s="12">
        <v>10.0</v>
      </c>
      <c r="C359" s="12">
        <v>8.0</v>
      </c>
      <c r="D359" s="12">
        <v>1003453.0</v>
      </c>
      <c r="E359" s="13">
        <v>0.5469894970880074</v>
      </c>
      <c r="F359" s="12">
        <v>3.35</v>
      </c>
      <c r="G359" s="12">
        <v>0.0</v>
      </c>
      <c r="H359" s="12" t="s">
        <v>11</v>
      </c>
      <c r="I359" s="12">
        <f>sumıf(Sales!B:B,D359,Sales!G:G)</f>
        <v>61.79</v>
      </c>
    </row>
    <row r="360">
      <c r="A360" s="12">
        <v>2021.0</v>
      </c>
      <c r="B360" s="12">
        <v>10.0</v>
      </c>
      <c r="C360" s="12">
        <v>8.0</v>
      </c>
      <c r="D360" s="12">
        <v>1003652.0</v>
      </c>
      <c r="E360" s="12">
        <v>2.0</v>
      </c>
      <c r="F360" s="12">
        <v>0.0</v>
      </c>
      <c r="G360" s="12">
        <v>0.0</v>
      </c>
      <c r="H360" s="12" t="s">
        <v>10</v>
      </c>
      <c r="I360" s="12">
        <f>sumıf(Sales!B:B,D360,Sales!G:G)</f>
        <v>18.2</v>
      </c>
    </row>
    <row r="361">
      <c r="A361" s="12">
        <v>2021.0</v>
      </c>
      <c r="B361" s="12">
        <v>10.0</v>
      </c>
      <c r="C361" s="12">
        <v>8.0</v>
      </c>
      <c r="D361" s="12">
        <v>1003488.0</v>
      </c>
      <c r="E361" s="12">
        <v>3.0</v>
      </c>
      <c r="F361" s="12">
        <v>0.0</v>
      </c>
      <c r="G361" s="12">
        <v>0.0</v>
      </c>
      <c r="H361" s="12" t="s">
        <v>11</v>
      </c>
      <c r="I361" s="12">
        <f>sumıf(Sales!B:B,D361,Sales!G:G)</f>
        <v>55.32</v>
      </c>
    </row>
    <row r="362">
      <c r="A362" s="12">
        <v>2021.0</v>
      </c>
      <c r="B362" s="12">
        <v>10.0</v>
      </c>
      <c r="C362" s="12">
        <v>8.0</v>
      </c>
      <c r="D362" s="12">
        <v>1003852.0</v>
      </c>
      <c r="E362" s="12">
        <v>14.0</v>
      </c>
      <c r="F362" s="12">
        <v>0.0</v>
      </c>
      <c r="G362" s="12">
        <v>0.0</v>
      </c>
      <c r="H362" s="12" t="s">
        <v>12</v>
      </c>
      <c r="I362" s="12">
        <f>sumıf(Sales!B:B,D362,Sales!G:G)</f>
        <v>36.32</v>
      </c>
    </row>
    <row r="363">
      <c r="A363" s="12">
        <v>2021.0</v>
      </c>
      <c r="B363" s="12">
        <v>10.0</v>
      </c>
      <c r="C363" s="12">
        <v>8.0</v>
      </c>
      <c r="D363" s="12">
        <v>1003794.0</v>
      </c>
      <c r="E363" s="12">
        <v>6.0</v>
      </c>
      <c r="F363" s="12">
        <v>0.0</v>
      </c>
      <c r="G363" s="12">
        <v>0.0</v>
      </c>
      <c r="H363" s="12" t="s">
        <v>12</v>
      </c>
      <c r="I363" s="12">
        <f>sumıf(Sales!B:B,D363,Sales!G:G)</f>
        <v>86.22</v>
      </c>
    </row>
    <row r="364">
      <c r="A364" s="12">
        <v>2021.0</v>
      </c>
      <c r="B364" s="12">
        <v>10.0</v>
      </c>
      <c r="C364" s="12">
        <v>8.0</v>
      </c>
      <c r="D364" s="12">
        <v>1003915.0</v>
      </c>
      <c r="E364" s="12">
        <v>4.0</v>
      </c>
      <c r="F364" s="12">
        <v>0.0</v>
      </c>
      <c r="G364" s="12">
        <v>0.0</v>
      </c>
      <c r="H364" s="12" t="s">
        <v>12</v>
      </c>
      <c r="I364" s="12">
        <f>sumıf(Sales!B:B,D364,Sales!G:G)</f>
        <v>67.19</v>
      </c>
    </row>
    <row r="365">
      <c r="A365" s="12">
        <v>2021.0</v>
      </c>
      <c r="B365" s="12">
        <v>10.0</v>
      </c>
      <c r="C365" s="12">
        <v>8.0</v>
      </c>
      <c r="D365" s="12">
        <v>1003344.0</v>
      </c>
      <c r="E365" s="12">
        <v>1.0</v>
      </c>
      <c r="F365" s="12">
        <v>0.0</v>
      </c>
      <c r="G365" s="12">
        <v>5.0</v>
      </c>
      <c r="H365" s="12" t="s">
        <v>12</v>
      </c>
      <c r="I365" s="12">
        <f>sumıf(Sales!B:B,D365,Sales!G:G)</f>
        <v>54.54</v>
      </c>
    </row>
    <row r="366">
      <c r="A366" s="12">
        <v>2021.0</v>
      </c>
      <c r="B366" s="12">
        <v>10.0</v>
      </c>
      <c r="C366" s="12">
        <v>8.0</v>
      </c>
      <c r="D366" s="12">
        <v>1003816.0</v>
      </c>
      <c r="E366" s="12">
        <v>4.0</v>
      </c>
      <c r="F366" s="12">
        <v>0.0</v>
      </c>
      <c r="G366" s="12">
        <v>0.0</v>
      </c>
      <c r="H366" s="12" t="s">
        <v>11</v>
      </c>
      <c r="I366" s="12">
        <f>sumıf(Sales!B:B,D366,Sales!G:G)</f>
        <v>64.62</v>
      </c>
    </row>
    <row r="367">
      <c r="A367" s="12">
        <v>2021.0</v>
      </c>
      <c r="B367" s="12">
        <v>10.0</v>
      </c>
      <c r="C367" s="12">
        <v>8.0</v>
      </c>
      <c r="D367" s="12">
        <v>1003398.0</v>
      </c>
      <c r="E367" s="12">
        <v>5.0</v>
      </c>
      <c r="F367" s="12">
        <v>0.0</v>
      </c>
      <c r="G367" s="12">
        <v>0.0</v>
      </c>
      <c r="H367" s="12" t="s">
        <v>12</v>
      </c>
      <c r="I367" s="12">
        <f>sumıf(Sales!B:B,D367,Sales!G:G)</f>
        <v>37.37</v>
      </c>
    </row>
    <row r="368">
      <c r="A368" s="12">
        <v>2021.0</v>
      </c>
      <c r="B368" s="12">
        <v>10.0</v>
      </c>
      <c r="C368" s="12">
        <v>8.0</v>
      </c>
      <c r="D368" s="12">
        <v>1003896.0</v>
      </c>
      <c r="E368" s="12">
        <v>1.0</v>
      </c>
      <c r="F368" s="12">
        <v>0.0</v>
      </c>
      <c r="G368" s="12">
        <v>0.0</v>
      </c>
      <c r="H368" s="12" t="s">
        <v>11</v>
      </c>
      <c r="I368" s="12">
        <f>sumıf(Sales!B:B,D368,Sales!G:G)</f>
        <v>56.34</v>
      </c>
    </row>
    <row r="369">
      <c r="A369" s="12">
        <v>2021.0</v>
      </c>
      <c r="B369" s="12">
        <v>10.0</v>
      </c>
      <c r="C369" s="12">
        <v>8.0</v>
      </c>
      <c r="D369" s="12">
        <v>1003999.0</v>
      </c>
      <c r="E369" s="12">
        <v>1.0</v>
      </c>
      <c r="F369" s="12">
        <v>0.0</v>
      </c>
      <c r="G369" s="12">
        <v>10.0</v>
      </c>
      <c r="H369" s="12" t="s">
        <v>12</v>
      </c>
      <c r="I369" s="12">
        <f>sumıf(Sales!B:B,D369,Sales!G:G)</f>
        <v>172.27</v>
      </c>
    </row>
    <row r="370">
      <c r="A370" s="12">
        <v>2021.0</v>
      </c>
      <c r="B370" s="12">
        <v>10.0</v>
      </c>
      <c r="C370" s="12">
        <v>8.0</v>
      </c>
      <c r="D370" s="12">
        <v>1003582.0</v>
      </c>
      <c r="E370" s="12">
        <v>2.0</v>
      </c>
      <c r="F370" s="12">
        <v>0.0</v>
      </c>
      <c r="G370" s="12">
        <v>0.0</v>
      </c>
      <c r="H370" s="12" t="s">
        <v>10</v>
      </c>
      <c r="I370" s="12">
        <f>sumıf(Sales!B:B,D370,Sales!G:G)</f>
        <v>37.95</v>
      </c>
    </row>
    <row r="371">
      <c r="A371" s="12">
        <v>2021.0</v>
      </c>
      <c r="B371" s="12">
        <v>10.0</v>
      </c>
      <c r="C371" s="12">
        <v>8.0</v>
      </c>
      <c r="D371" s="12">
        <v>1003938.0</v>
      </c>
      <c r="E371" s="12">
        <v>1.0</v>
      </c>
      <c r="F371" s="12">
        <v>0.0</v>
      </c>
      <c r="G371" s="12">
        <v>8.0</v>
      </c>
      <c r="H371" s="12" t="s">
        <v>12</v>
      </c>
      <c r="I371" s="12">
        <f>sumıf(Sales!B:B,D371,Sales!G:G)</f>
        <v>88.34</v>
      </c>
    </row>
    <row r="372">
      <c r="A372" s="12">
        <v>2021.0</v>
      </c>
      <c r="B372" s="12">
        <v>10.0</v>
      </c>
      <c r="C372" s="12">
        <v>8.0</v>
      </c>
      <c r="D372" s="12">
        <v>1003872.0</v>
      </c>
      <c r="E372" s="12">
        <v>5.0</v>
      </c>
      <c r="F372" s="12">
        <v>0.0</v>
      </c>
      <c r="G372" s="12">
        <v>0.0</v>
      </c>
      <c r="H372" s="12" t="s">
        <v>10</v>
      </c>
      <c r="I372" s="12">
        <f>sumıf(Sales!B:B,D372,Sales!G:G)</f>
        <v>211.73</v>
      </c>
    </row>
    <row r="373">
      <c r="A373" s="12">
        <v>2021.0</v>
      </c>
      <c r="B373" s="12">
        <v>10.0</v>
      </c>
      <c r="C373" s="12">
        <v>8.0</v>
      </c>
      <c r="D373" s="12">
        <v>1003837.0</v>
      </c>
      <c r="E373" s="12">
        <v>2.0</v>
      </c>
      <c r="F373" s="12">
        <v>0.0</v>
      </c>
      <c r="G373" s="12">
        <v>0.0</v>
      </c>
      <c r="H373" s="12" t="s">
        <v>10</v>
      </c>
      <c r="I373" s="12">
        <f>sumıf(Sales!B:B,D373,Sales!G:G)</f>
        <v>19.2</v>
      </c>
    </row>
    <row r="374">
      <c r="A374" s="12">
        <v>2021.0</v>
      </c>
      <c r="B374" s="12">
        <v>10.0</v>
      </c>
      <c r="C374" s="12">
        <v>8.0</v>
      </c>
      <c r="D374" s="12">
        <v>1003908.0</v>
      </c>
      <c r="E374" s="12">
        <v>2.0</v>
      </c>
      <c r="F374" s="12">
        <v>0.0</v>
      </c>
      <c r="G374" s="12">
        <v>5.0</v>
      </c>
      <c r="H374" s="12" t="s">
        <v>10</v>
      </c>
      <c r="I374" s="12">
        <f>sumıf(Sales!B:B,D374,Sales!G:G)</f>
        <v>55.49</v>
      </c>
    </row>
    <row r="375">
      <c r="A375" s="12">
        <v>2021.0</v>
      </c>
      <c r="B375" s="12">
        <v>10.0</v>
      </c>
      <c r="C375" s="12">
        <v>8.0</v>
      </c>
      <c r="D375" s="12">
        <v>1003760.0</v>
      </c>
      <c r="E375" s="12">
        <v>5.0</v>
      </c>
      <c r="F375" s="12">
        <v>3.63</v>
      </c>
      <c r="G375" s="12">
        <v>0.0</v>
      </c>
      <c r="H375" s="12" t="s">
        <v>12</v>
      </c>
      <c r="I375" s="12">
        <f>sumıf(Sales!B:B,D375,Sales!G:G)</f>
        <v>75.36</v>
      </c>
    </row>
    <row r="376">
      <c r="A376" s="12">
        <v>2021.0</v>
      </c>
      <c r="B376" s="12">
        <v>10.0</v>
      </c>
      <c r="C376" s="12">
        <v>8.0</v>
      </c>
      <c r="D376" s="12">
        <v>1003973.0</v>
      </c>
      <c r="E376" s="12">
        <v>3.0</v>
      </c>
      <c r="F376" s="12">
        <v>0.0</v>
      </c>
      <c r="G376" s="12">
        <v>0.0</v>
      </c>
      <c r="H376" s="12" t="s">
        <v>12</v>
      </c>
      <c r="I376" s="12">
        <f>sumıf(Sales!B:B,D376,Sales!G:G)</f>
        <v>49.21</v>
      </c>
    </row>
    <row r="377">
      <c r="A377" s="12">
        <v>2021.0</v>
      </c>
      <c r="B377" s="12">
        <v>10.0</v>
      </c>
      <c r="C377" s="12">
        <v>8.0</v>
      </c>
      <c r="D377" s="12">
        <v>1003969.0</v>
      </c>
      <c r="E377" s="12">
        <v>8.0</v>
      </c>
      <c r="F377" s="12">
        <v>0.0</v>
      </c>
      <c r="G377" s="12">
        <v>0.0</v>
      </c>
      <c r="H377" s="12" t="s">
        <v>12</v>
      </c>
      <c r="I377" s="12">
        <f>sumıf(Sales!B:B,D377,Sales!G:G)</f>
        <v>107.88</v>
      </c>
    </row>
    <row r="378">
      <c r="A378" s="12">
        <v>2021.0</v>
      </c>
      <c r="B378" s="12">
        <v>10.0</v>
      </c>
      <c r="C378" s="12">
        <v>8.0</v>
      </c>
      <c r="D378" s="12">
        <v>1003366.0</v>
      </c>
      <c r="E378" s="12">
        <v>6.0</v>
      </c>
      <c r="F378" s="12">
        <v>0.0</v>
      </c>
      <c r="G378" s="12">
        <v>0.0</v>
      </c>
      <c r="H378" s="12" t="s">
        <v>12</v>
      </c>
      <c r="I378" s="12">
        <f>sumıf(Sales!B:B,D378,Sales!G:G)</f>
        <v>22.83</v>
      </c>
    </row>
    <row r="379">
      <c r="A379" s="12">
        <v>2021.0</v>
      </c>
      <c r="B379" s="12">
        <v>10.0</v>
      </c>
      <c r="C379" s="12">
        <v>8.0</v>
      </c>
      <c r="D379" s="12">
        <v>1003875.0</v>
      </c>
      <c r="E379" s="12">
        <v>2.0</v>
      </c>
      <c r="F379" s="12">
        <v>0.0</v>
      </c>
      <c r="G379" s="12">
        <v>0.0</v>
      </c>
      <c r="H379" s="12" t="s">
        <v>10</v>
      </c>
      <c r="I379" s="12">
        <f>sumıf(Sales!B:B,D379,Sales!G:G)</f>
        <v>44.97</v>
      </c>
    </row>
    <row r="380">
      <c r="A380" s="12">
        <v>2021.0</v>
      </c>
      <c r="B380" s="12">
        <v>10.0</v>
      </c>
      <c r="C380" s="12">
        <v>8.0</v>
      </c>
      <c r="D380" s="12">
        <v>1003724.0</v>
      </c>
      <c r="E380" s="12">
        <v>3.0</v>
      </c>
      <c r="F380" s="12">
        <v>0.0</v>
      </c>
      <c r="G380" s="12">
        <v>0.0</v>
      </c>
      <c r="H380" s="12" t="s">
        <v>12</v>
      </c>
      <c r="I380" s="12">
        <f>sumıf(Sales!B:B,D380,Sales!G:G)</f>
        <v>30.89</v>
      </c>
    </row>
    <row r="381">
      <c r="A381" s="12">
        <v>2021.0</v>
      </c>
      <c r="B381" s="12">
        <v>10.0</v>
      </c>
      <c r="C381" s="12">
        <v>8.0</v>
      </c>
      <c r="D381" s="12">
        <v>1003815.0</v>
      </c>
      <c r="E381" s="12">
        <v>7.0</v>
      </c>
      <c r="F381" s="12">
        <v>0.0</v>
      </c>
      <c r="G381" s="12">
        <v>10.0</v>
      </c>
      <c r="H381" s="12" t="s">
        <v>12</v>
      </c>
      <c r="I381" s="12">
        <f>sumıf(Sales!B:B,D381,Sales!G:G)</f>
        <v>42.21</v>
      </c>
    </row>
    <row r="382">
      <c r="A382" s="12">
        <v>2021.0</v>
      </c>
      <c r="B382" s="12">
        <v>10.0</v>
      </c>
      <c r="C382" s="12">
        <v>8.0</v>
      </c>
      <c r="D382" s="12">
        <v>1003864.0</v>
      </c>
      <c r="E382" s="12">
        <v>17.0</v>
      </c>
      <c r="F382" s="12">
        <v>0.0</v>
      </c>
      <c r="G382" s="12">
        <v>0.0</v>
      </c>
      <c r="H382" s="12" t="s">
        <v>10</v>
      </c>
      <c r="I382" s="12">
        <f>sumıf(Sales!B:B,D382,Sales!G:G)</f>
        <v>66.83</v>
      </c>
    </row>
    <row r="383">
      <c r="A383" s="12">
        <v>2021.0</v>
      </c>
      <c r="B383" s="12">
        <v>10.0</v>
      </c>
      <c r="C383" s="12">
        <v>8.0</v>
      </c>
      <c r="D383" s="12">
        <v>1003990.0</v>
      </c>
      <c r="E383" s="12">
        <v>2.0</v>
      </c>
      <c r="F383" s="12">
        <v>0.0</v>
      </c>
      <c r="G383" s="12">
        <v>0.0</v>
      </c>
      <c r="H383" s="12" t="s">
        <v>12</v>
      </c>
      <c r="I383" s="12">
        <f>sumıf(Sales!B:B,D383,Sales!G:G)</f>
        <v>100.94</v>
      </c>
    </row>
    <row r="384">
      <c r="A384" s="12">
        <v>2021.0</v>
      </c>
      <c r="B384" s="12">
        <v>10.0</v>
      </c>
      <c r="C384" s="12">
        <v>8.0</v>
      </c>
      <c r="D384" s="12">
        <v>1003757.0</v>
      </c>
      <c r="E384" s="12">
        <v>14.0</v>
      </c>
      <c r="F384" s="12">
        <v>3.7</v>
      </c>
      <c r="G384" s="12">
        <v>0.0</v>
      </c>
      <c r="H384" s="12" t="s">
        <v>12</v>
      </c>
      <c r="I384" s="12">
        <f>sumıf(Sales!B:B,D384,Sales!G:G)</f>
        <v>379.44</v>
      </c>
    </row>
    <row r="385">
      <c r="A385" s="12">
        <v>2021.0</v>
      </c>
      <c r="B385" s="12">
        <v>10.0</v>
      </c>
      <c r="C385" s="12">
        <v>8.0</v>
      </c>
      <c r="D385" s="12">
        <v>1003294.0</v>
      </c>
      <c r="E385" s="12">
        <v>5.0</v>
      </c>
      <c r="F385" s="12">
        <v>0.0</v>
      </c>
      <c r="G385" s="12">
        <v>0.0</v>
      </c>
      <c r="H385" s="12" t="s">
        <v>12</v>
      </c>
      <c r="I385" s="12">
        <f>sumıf(Sales!B:B,D385,Sales!G:G)</f>
        <v>16.09</v>
      </c>
    </row>
    <row r="386">
      <c r="A386" s="12">
        <v>2021.0</v>
      </c>
      <c r="B386" s="12">
        <v>10.0</v>
      </c>
      <c r="C386" s="12">
        <v>8.0</v>
      </c>
      <c r="D386" s="12">
        <v>1003495.0</v>
      </c>
      <c r="E386" s="12">
        <v>5.0</v>
      </c>
      <c r="F386" s="12">
        <v>0.0</v>
      </c>
      <c r="G386" s="12">
        <v>0.0</v>
      </c>
      <c r="H386" s="12" t="s">
        <v>10</v>
      </c>
      <c r="I386" s="12">
        <f>sumıf(Sales!B:B,D386,Sales!G:G)</f>
        <v>86.81</v>
      </c>
    </row>
    <row r="387">
      <c r="A387" s="12">
        <v>2021.0</v>
      </c>
      <c r="B387" s="12">
        <v>10.0</v>
      </c>
      <c r="C387" s="12">
        <v>8.0</v>
      </c>
      <c r="D387" s="12">
        <v>1003499.0</v>
      </c>
      <c r="E387" s="12">
        <v>1.0</v>
      </c>
      <c r="F387" s="12">
        <v>0.0</v>
      </c>
      <c r="G387" s="12">
        <v>0.0</v>
      </c>
      <c r="H387" s="12" t="s">
        <v>10</v>
      </c>
      <c r="I387" s="12">
        <f>sumıf(Sales!B:B,D387,Sales!G:G)</f>
        <v>63.57</v>
      </c>
    </row>
    <row r="388">
      <c r="A388" s="12">
        <v>2021.0</v>
      </c>
      <c r="B388" s="12">
        <v>10.0</v>
      </c>
      <c r="C388" s="12">
        <v>8.0</v>
      </c>
      <c r="D388" s="12">
        <v>1003646.0</v>
      </c>
      <c r="E388" s="12">
        <v>2.0</v>
      </c>
      <c r="F388" s="12">
        <v>0.0</v>
      </c>
      <c r="G388" s="12">
        <v>0.0</v>
      </c>
      <c r="H388" s="12" t="s">
        <v>10</v>
      </c>
      <c r="I388" s="12">
        <f>sumıf(Sales!B:B,D388,Sales!G:G)</f>
        <v>33.99</v>
      </c>
    </row>
    <row r="389">
      <c r="A389" s="12">
        <v>2021.0</v>
      </c>
      <c r="B389" s="12">
        <v>10.0</v>
      </c>
      <c r="C389" s="12">
        <v>8.0</v>
      </c>
      <c r="D389" s="12">
        <v>1003602.0</v>
      </c>
      <c r="E389" s="12">
        <v>3.0</v>
      </c>
      <c r="F389" s="12">
        <v>0.0</v>
      </c>
      <c r="G389" s="12">
        <v>5.0</v>
      </c>
      <c r="H389" s="12" t="s">
        <v>12</v>
      </c>
      <c r="I389" s="12">
        <f>sumıf(Sales!B:B,D389,Sales!G:G)</f>
        <v>156.54</v>
      </c>
    </row>
    <row r="390">
      <c r="A390" s="12">
        <v>2021.0</v>
      </c>
      <c r="B390" s="12">
        <v>10.0</v>
      </c>
      <c r="C390" s="12">
        <v>9.0</v>
      </c>
      <c r="D390" s="12">
        <v>1003954.0</v>
      </c>
      <c r="E390" s="12">
        <v>3.0</v>
      </c>
      <c r="F390" s="12">
        <v>0.0</v>
      </c>
      <c r="G390" s="12">
        <v>5.0</v>
      </c>
      <c r="H390" s="12" t="s">
        <v>12</v>
      </c>
      <c r="I390" s="12">
        <f>sumıf(Sales!B:B,D390,Sales!G:G)</f>
        <v>54</v>
      </c>
    </row>
    <row r="391">
      <c r="A391" s="12">
        <v>2021.0</v>
      </c>
      <c r="B391" s="12">
        <v>10.0</v>
      </c>
      <c r="C391" s="12">
        <v>9.0</v>
      </c>
      <c r="D391" s="12">
        <v>1003993.0</v>
      </c>
      <c r="E391" s="12">
        <v>2.0</v>
      </c>
      <c r="F391" s="12">
        <v>0.0</v>
      </c>
      <c r="G391" s="12">
        <v>0.0</v>
      </c>
      <c r="H391" s="12" t="s">
        <v>10</v>
      </c>
      <c r="I391" s="12">
        <f>sumıf(Sales!B:B,D391,Sales!G:G)</f>
        <v>55.84</v>
      </c>
    </row>
    <row r="392">
      <c r="A392" s="12">
        <v>2021.0</v>
      </c>
      <c r="B392" s="12">
        <v>10.0</v>
      </c>
      <c r="C392" s="12">
        <v>9.0</v>
      </c>
      <c r="D392" s="12">
        <v>1003699.0</v>
      </c>
      <c r="E392" s="12">
        <v>14.0</v>
      </c>
      <c r="F392" s="12">
        <v>0.0</v>
      </c>
      <c r="G392" s="12">
        <v>0.0</v>
      </c>
      <c r="H392" s="12" t="s">
        <v>10</v>
      </c>
      <c r="I392" s="12">
        <f>sumıf(Sales!B:B,D392,Sales!G:G)</f>
        <v>97.83</v>
      </c>
    </row>
    <row r="393">
      <c r="A393" s="12">
        <v>2021.0</v>
      </c>
      <c r="B393" s="12">
        <v>10.0</v>
      </c>
      <c r="C393" s="12">
        <v>9.0</v>
      </c>
      <c r="D393" s="12">
        <v>1003776.0</v>
      </c>
      <c r="E393" s="12">
        <v>7.0</v>
      </c>
      <c r="F393" s="12">
        <v>0.0</v>
      </c>
      <c r="G393" s="12">
        <v>0.0</v>
      </c>
      <c r="H393" s="12" t="s">
        <v>10</v>
      </c>
      <c r="I393" s="12">
        <f>sumıf(Sales!B:B,D393,Sales!G:G)</f>
        <v>43.69</v>
      </c>
    </row>
    <row r="394">
      <c r="A394" s="12">
        <v>2021.0</v>
      </c>
      <c r="B394" s="12">
        <v>10.0</v>
      </c>
      <c r="C394" s="12">
        <v>9.0</v>
      </c>
      <c r="D394" s="12">
        <v>1003657.0</v>
      </c>
      <c r="E394" s="12">
        <v>2.0</v>
      </c>
      <c r="F394" s="12">
        <v>0.0</v>
      </c>
      <c r="G394" s="12">
        <v>0.0</v>
      </c>
      <c r="H394" s="12" t="s">
        <v>12</v>
      </c>
      <c r="I394" s="12">
        <f>sumıf(Sales!B:B,D394,Sales!G:G)</f>
        <v>108.4</v>
      </c>
    </row>
    <row r="395">
      <c r="A395" s="12">
        <v>2021.0</v>
      </c>
      <c r="B395" s="12">
        <v>10.0</v>
      </c>
      <c r="C395" s="12">
        <v>9.0</v>
      </c>
      <c r="D395" s="12">
        <v>1003983.0</v>
      </c>
      <c r="E395" s="12">
        <v>3.0</v>
      </c>
      <c r="F395" s="12">
        <v>0.0</v>
      </c>
      <c r="G395" s="12">
        <v>0.0</v>
      </c>
      <c r="H395" s="12" t="s">
        <v>12</v>
      </c>
      <c r="I395" s="12">
        <f>sumıf(Sales!B:B,D395,Sales!G:G)</f>
        <v>56.44</v>
      </c>
    </row>
    <row r="396">
      <c r="A396" s="12">
        <v>2021.0</v>
      </c>
      <c r="B396" s="12">
        <v>10.0</v>
      </c>
      <c r="C396" s="12">
        <v>9.0</v>
      </c>
      <c r="D396" s="12">
        <v>1003436.0</v>
      </c>
      <c r="E396" s="12">
        <v>1.0</v>
      </c>
      <c r="F396" s="12">
        <v>0.0</v>
      </c>
      <c r="G396" s="12">
        <v>0.0</v>
      </c>
      <c r="H396" s="12" t="s">
        <v>10</v>
      </c>
      <c r="I396" s="12">
        <f>sumıf(Sales!B:B,D396,Sales!G:G)</f>
        <v>68.19</v>
      </c>
    </row>
    <row r="397">
      <c r="A397" s="12">
        <v>2021.0</v>
      </c>
      <c r="B397" s="12">
        <v>10.0</v>
      </c>
      <c r="C397" s="12">
        <v>9.0</v>
      </c>
      <c r="D397" s="12">
        <v>1003572.0</v>
      </c>
      <c r="E397" s="12">
        <v>4.0</v>
      </c>
      <c r="F397" s="12">
        <v>0.0</v>
      </c>
      <c r="G397" s="12">
        <v>0.0</v>
      </c>
      <c r="H397" s="12" t="s">
        <v>12</v>
      </c>
      <c r="I397" s="12">
        <f>sumıf(Sales!B:B,D397,Sales!G:G)</f>
        <v>54.25</v>
      </c>
    </row>
    <row r="398">
      <c r="A398" s="12">
        <v>2021.0</v>
      </c>
      <c r="B398" s="12">
        <v>10.0</v>
      </c>
      <c r="C398" s="12">
        <v>9.0</v>
      </c>
      <c r="D398" s="12">
        <v>1003550.0</v>
      </c>
      <c r="E398" s="12">
        <v>1.0</v>
      </c>
      <c r="F398" s="12">
        <v>0.0</v>
      </c>
      <c r="G398" s="12">
        <v>5.0</v>
      </c>
      <c r="H398" s="12" t="s">
        <v>12</v>
      </c>
      <c r="I398" s="12">
        <f>sumıf(Sales!B:B,D398,Sales!G:G)</f>
        <v>52.98</v>
      </c>
    </row>
    <row r="399">
      <c r="A399" s="12">
        <v>2021.0</v>
      </c>
      <c r="B399" s="12">
        <v>10.0</v>
      </c>
      <c r="C399" s="12">
        <v>9.0</v>
      </c>
      <c r="D399" s="12">
        <v>1003812.0</v>
      </c>
      <c r="E399" s="12">
        <v>9.0</v>
      </c>
      <c r="F399" s="12">
        <v>0.0</v>
      </c>
      <c r="G399" s="12">
        <v>8.0</v>
      </c>
      <c r="H399" s="12" t="s">
        <v>12</v>
      </c>
      <c r="I399" s="12">
        <f>sumıf(Sales!B:B,D399,Sales!G:G)</f>
        <v>75.82</v>
      </c>
    </row>
    <row r="400">
      <c r="A400" s="12">
        <v>2021.0</v>
      </c>
      <c r="B400" s="12">
        <v>10.0</v>
      </c>
      <c r="C400" s="12">
        <v>9.0</v>
      </c>
      <c r="D400" s="12">
        <v>1003604.0</v>
      </c>
      <c r="E400" s="12">
        <v>2.0</v>
      </c>
      <c r="F400" s="12">
        <v>0.0</v>
      </c>
      <c r="G400" s="12">
        <v>0.0</v>
      </c>
      <c r="H400" s="12" t="s">
        <v>10</v>
      </c>
      <c r="I400" s="12">
        <f>sumıf(Sales!B:B,D400,Sales!G:G)</f>
        <v>49.94</v>
      </c>
    </row>
    <row r="401">
      <c r="A401" s="12">
        <v>2021.0</v>
      </c>
      <c r="B401" s="12">
        <v>10.0</v>
      </c>
      <c r="C401" s="12">
        <v>9.0</v>
      </c>
      <c r="D401" s="12">
        <v>1003444.0</v>
      </c>
      <c r="E401" s="12">
        <v>2.0</v>
      </c>
      <c r="F401" s="12">
        <v>0.94</v>
      </c>
      <c r="G401" s="12">
        <v>0.0</v>
      </c>
      <c r="H401" s="12" t="s">
        <v>12</v>
      </c>
      <c r="I401" s="12">
        <f>sumıf(Sales!B:B,D401,Sales!G:G)</f>
        <v>34.97</v>
      </c>
    </row>
    <row r="402">
      <c r="A402" s="12">
        <v>2021.0</v>
      </c>
      <c r="B402" s="12">
        <v>10.0</v>
      </c>
      <c r="C402" s="12">
        <v>9.0</v>
      </c>
      <c r="D402" s="12">
        <v>1004007.0</v>
      </c>
      <c r="E402" s="12">
        <v>7.0</v>
      </c>
      <c r="F402" s="12">
        <v>0.0</v>
      </c>
      <c r="G402" s="12">
        <v>0.0</v>
      </c>
      <c r="H402" s="12" t="s">
        <v>11</v>
      </c>
      <c r="I402" s="12">
        <f>sumıf(Sales!B:B,D402,Sales!G:G)</f>
        <v>47.81</v>
      </c>
    </row>
    <row r="403">
      <c r="A403" s="12">
        <v>2021.0</v>
      </c>
      <c r="B403" s="12">
        <v>10.0</v>
      </c>
      <c r="C403" s="12">
        <v>9.0</v>
      </c>
      <c r="D403" s="12">
        <v>1003963.0</v>
      </c>
      <c r="E403" s="12">
        <v>1.0</v>
      </c>
      <c r="F403" s="12">
        <v>0.87</v>
      </c>
      <c r="G403" s="12">
        <v>0.0</v>
      </c>
      <c r="H403" s="12" t="s">
        <v>11</v>
      </c>
      <c r="I403" s="12">
        <f>sumıf(Sales!B:B,D403,Sales!G:G)</f>
        <v>112.4</v>
      </c>
    </row>
    <row r="404">
      <c r="A404" s="12">
        <v>2021.0</v>
      </c>
      <c r="B404" s="12">
        <v>10.0</v>
      </c>
      <c r="C404" s="12">
        <v>9.0</v>
      </c>
      <c r="D404" s="12">
        <v>1003534.0</v>
      </c>
      <c r="E404" s="12">
        <v>7.0</v>
      </c>
      <c r="F404" s="12">
        <v>3.49</v>
      </c>
      <c r="G404" s="12">
        <v>0.0</v>
      </c>
      <c r="H404" s="12" t="s">
        <v>10</v>
      </c>
      <c r="I404" s="12">
        <f>sumıf(Sales!B:B,D404,Sales!G:G)</f>
        <v>77.44</v>
      </c>
    </row>
    <row r="405">
      <c r="A405" s="12">
        <v>2021.0</v>
      </c>
      <c r="B405" s="12">
        <v>10.0</v>
      </c>
      <c r="C405" s="12">
        <v>9.0</v>
      </c>
      <c r="D405" s="12">
        <v>1003338.0</v>
      </c>
      <c r="E405" s="13">
        <v>0.7172113479667884</v>
      </c>
      <c r="F405" s="12">
        <v>0.88</v>
      </c>
      <c r="G405" s="12">
        <v>0.0</v>
      </c>
      <c r="H405" s="12" t="s">
        <v>12</v>
      </c>
      <c r="I405" s="12">
        <f>sumıf(Sales!B:B,D405,Sales!G:G)</f>
        <v>100.19</v>
      </c>
    </row>
    <row r="406">
      <c r="A406" s="12">
        <v>2021.0</v>
      </c>
      <c r="B406" s="12">
        <v>10.0</v>
      </c>
      <c r="C406" s="12">
        <v>9.0</v>
      </c>
      <c r="D406" s="12">
        <v>1003926.0</v>
      </c>
      <c r="E406" s="12">
        <v>13.0</v>
      </c>
      <c r="F406" s="12">
        <v>0.0</v>
      </c>
      <c r="G406" s="12">
        <v>0.0</v>
      </c>
      <c r="H406" s="12" t="s">
        <v>12</v>
      </c>
      <c r="I406" s="12">
        <f>sumıf(Sales!B:B,D406,Sales!G:G)</f>
        <v>13.34</v>
      </c>
    </row>
    <row r="407">
      <c r="A407" s="12">
        <v>2021.0</v>
      </c>
      <c r="B407" s="12">
        <v>10.0</v>
      </c>
      <c r="C407" s="12">
        <v>9.0</v>
      </c>
      <c r="D407" s="12">
        <v>1003571.0</v>
      </c>
      <c r="E407" s="12">
        <v>2.0</v>
      </c>
      <c r="F407" s="12">
        <v>0.0</v>
      </c>
      <c r="G407" s="12">
        <v>0.0</v>
      </c>
      <c r="H407" s="12" t="s">
        <v>12</v>
      </c>
      <c r="I407" s="12">
        <f>sumıf(Sales!B:B,D407,Sales!G:G)</f>
        <v>39.77</v>
      </c>
    </row>
    <row r="408">
      <c r="A408" s="12">
        <v>2021.0</v>
      </c>
      <c r="B408" s="12">
        <v>10.0</v>
      </c>
      <c r="C408" s="12">
        <v>9.0</v>
      </c>
      <c r="D408" s="12">
        <v>1003774.0</v>
      </c>
      <c r="E408" s="12">
        <v>6.0</v>
      </c>
      <c r="F408" s="12">
        <v>8.25</v>
      </c>
      <c r="G408" s="12">
        <v>0.0</v>
      </c>
      <c r="H408" s="12" t="s">
        <v>12</v>
      </c>
      <c r="I408" s="12">
        <f>sumıf(Sales!B:B,D408,Sales!G:G)</f>
        <v>44.97</v>
      </c>
    </row>
    <row r="409">
      <c r="A409" s="12">
        <v>2021.0</v>
      </c>
      <c r="B409" s="12">
        <v>10.0</v>
      </c>
      <c r="C409" s="12">
        <v>9.0</v>
      </c>
      <c r="D409" s="12">
        <v>1003665.0</v>
      </c>
      <c r="E409" s="12">
        <v>4.0</v>
      </c>
      <c r="F409" s="12">
        <v>0.0</v>
      </c>
      <c r="G409" s="12">
        <v>0.0</v>
      </c>
      <c r="H409" s="12" t="s">
        <v>11</v>
      </c>
      <c r="I409" s="12">
        <f>sumıf(Sales!B:B,D409,Sales!G:G)</f>
        <v>35.47</v>
      </c>
    </row>
    <row r="410">
      <c r="A410" s="12">
        <v>2021.0</v>
      </c>
      <c r="B410" s="12">
        <v>10.0</v>
      </c>
      <c r="C410" s="12">
        <v>9.0</v>
      </c>
      <c r="D410" s="12">
        <v>1003873.0</v>
      </c>
      <c r="E410" s="12">
        <v>3.0</v>
      </c>
      <c r="F410" s="12">
        <v>0.92</v>
      </c>
      <c r="G410" s="12">
        <v>0.0</v>
      </c>
      <c r="H410" s="12" t="s">
        <v>10</v>
      </c>
      <c r="I410" s="12">
        <f>sumıf(Sales!B:B,D410,Sales!G:G)</f>
        <v>53.95</v>
      </c>
    </row>
    <row r="411">
      <c r="A411" s="12">
        <v>2021.0</v>
      </c>
      <c r="B411" s="12">
        <v>10.0</v>
      </c>
      <c r="C411" s="12">
        <v>9.0</v>
      </c>
      <c r="D411" s="12">
        <v>1003506.0</v>
      </c>
      <c r="E411" s="12">
        <v>3.0</v>
      </c>
      <c r="F411" s="12">
        <v>0.0</v>
      </c>
      <c r="G411" s="12">
        <v>5.0</v>
      </c>
      <c r="H411" s="12" t="s">
        <v>11</v>
      </c>
      <c r="I411" s="12">
        <f>sumıf(Sales!B:B,D411,Sales!G:G)</f>
        <v>39.14</v>
      </c>
    </row>
    <row r="412">
      <c r="A412" s="12">
        <v>2021.0</v>
      </c>
      <c r="B412" s="12">
        <v>10.0</v>
      </c>
      <c r="C412" s="12">
        <v>9.0</v>
      </c>
      <c r="D412" s="12">
        <v>1003931.0</v>
      </c>
      <c r="E412" s="12">
        <v>3.0</v>
      </c>
      <c r="F412" s="12">
        <v>0.0</v>
      </c>
      <c r="G412" s="12">
        <v>0.0</v>
      </c>
      <c r="H412" s="12" t="s">
        <v>11</v>
      </c>
      <c r="I412" s="12">
        <f>sumıf(Sales!B:B,D412,Sales!G:G)</f>
        <v>43.13</v>
      </c>
    </row>
    <row r="413">
      <c r="A413" s="12">
        <v>2021.0</v>
      </c>
      <c r="B413" s="12">
        <v>10.0</v>
      </c>
      <c r="C413" s="12">
        <v>9.0</v>
      </c>
      <c r="D413" s="12">
        <v>1003902.0</v>
      </c>
      <c r="E413" s="12">
        <v>16.0</v>
      </c>
      <c r="F413" s="12">
        <v>0.0</v>
      </c>
      <c r="G413" s="12">
        <v>0.0</v>
      </c>
      <c r="H413" s="12" t="s">
        <v>11</v>
      </c>
      <c r="I413" s="12">
        <f>sumıf(Sales!B:B,D413,Sales!G:G)</f>
        <v>45.95</v>
      </c>
    </row>
    <row r="414">
      <c r="A414" s="12">
        <v>2021.0</v>
      </c>
      <c r="B414" s="12">
        <v>10.0</v>
      </c>
      <c r="C414" s="12">
        <v>9.0</v>
      </c>
      <c r="D414" s="12">
        <v>1003960.0</v>
      </c>
      <c r="E414" s="12">
        <v>8.0</v>
      </c>
      <c r="F414" s="12">
        <v>0.0</v>
      </c>
      <c r="G414" s="12">
        <v>0.0</v>
      </c>
      <c r="H414" s="12" t="s">
        <v>10</v>
      </c>
      <c r="I414" s="12">
        <f>sumıf(Sales!B:B,D414,Sales!G:G)</f>
        <v>92.86</v>
      </c>
    </row>
    <row r="415">
      <c r="A415" s="12">
        <v>2021.0</v>
      </c>
      <c r="B415" s="12">
        <v>10.0</v>
      </c>
      <c r="C415" s="12">
        <v>9.0</v>
      </c>
      <c r="D415" s="12">
        <v>1003980.0</v>
      </c>
      <c r="E415" s="12">
        <v>2.0</v>
      </c>
      <c r="F415" s="12">
        <v>0.0</v>
      </c>
      <c r="G415" s="12">
        <v>0.0</v>
      </c>
      <c r="H415" s="12" t="s">
        <v>12</v>
      </c>
      <c r="I415" s="12">
        <f>sumıf(Sales!B:B,D415,Sales!G:G)</f>
        <v>124.42</v>
      </c>
    </row>
    <row r="416">
      <c r="A416" s="12">
        <v>2021.0</v>
      </c>
      <c r="B416" s="12">
        <v>10.0</v>
      </c>
      <c r="C416" s="12">
        <v>9.0</v>
      </c>
      <c r="D416" s="12">
        <v>1004002.0</v>
      </c>
      <c r="E416" s="12">
        <v>1.0</v>
      </c>
      <c r="F416" s="12">
        <v>0.0</v>
      </c>
      <c r="G416" s="12">
        <v>0.0</v>
      </c>
      <c r="H416" s="12" t="s">
        <v>12</v>
      </c>
      <c r="I416" s="12">
        <f>sumıf(Sales!B:B,D416,Sales!G:G)</f>
        <v>37.24</v>
      </c>
    </row>
    <row r="417">
      <c r="A417" s="12">
        <v>2021.0</v>
      </c>
      <c r="B417" s="12">
        <v>10.0</v>
      </c>
      <c r="C417" s="12">
        <v>9.0</v>
      </c>
      <c r="D417" s="12">
        <v>1003975.0</v>
      </c>
      <c r="E417" s="12">
        <v>1.0</v>
      </c>
      <c r="F417" s="12">
        <v>0.0</v>
      </c>
      <c r="G417" s="12">
        <v>0.0</v>
      </c>
      <c r="H417" s="12" t="s">
        <v>10</v>
      </c>
      <c r="I417" s="12">
        <f>sumıf(Sales!B:B,D417,Sales!G:G)</f>
        <v>39.72</v>
      </c>
    </row>
    <row r="418">
      <c r="A418" s="12">
        <v>2021.0</v>
      </c>
      <c r="B418" s="12">
        <v>10.0</v>
      </c>
      <c r="C418" s="12">
        <v>9.0</v>
      </c>
      <c r="D418" s="12">
        <v>1003789.0</v>
      </c>
      <c r="E418" s="12">
        <v>4.0</v>
      </c>
      <c r="F418" s="12">
        <v>0.0</v>
      </c>
      <c r="G418" s="12">
        <v>0.0</v>
      </c>
      <c r="H418" s="12" t="s">
        <v>11</v>
      </c>
      <c r="I418" s="12">
        <f>sumıf(Sales!B:B,D418,Sales!G:G)</f>
        <v>69.61</v>
      </c>
    </row>
    <row r="419">
      <c r="A419" s="12">
        <v>2021.0</v>
      </c>
      <c r="B419" s="12">
        <v>10.0</v>
      </c>
      <c r="C419" s="12">
        <v>9.0</v>
      </c>
      <c r="D419" s="12">
        <v>1003425.0</v>
      </c>
      <c r="E419" s="12">
        <v>4.0</v>
      </c>
      <c r="F419" s="12">
        <v>0.0</v>
      </c>
      <c r="G419" s="12">
        <v>0.0</v>
      </c>
      <c r="H419" s="12" t="s">
        <v>11</v>
      </c>
      <c r="I419" s="12">
        <f>sumıf(Sales!B:B,D419,Sales!G:G)</f>
        <v>37.12</v>
      </c>
    </row>
    <row r="420">
      <c r="A420" s="12">
        <v>2021.0</v>
      </c>
      <c r="B420" s="12">
        <v>10.0</v>
      </c>
      <c r="C420" s="12">
        <v>9.0</v>
      </c>
      <c r="D420" s="12">
        <v>1004012.0</v>
      </c>
      <c r="E420" s="12">
        <v>3.0</v>
      </c>
      <c r="F420" s="12">
        <v>0.0</v>
      </c>
      <c r="G420" s="12">
        <v>0.0</v>
      </c>
      <c r="H420" s="12" t="s">
        <v>11</v>
      </c>
      <c r="I420" s="12">
        <f>sumıf(Sales!B:B,D420,Sales!G:G)</f>
        <v>38.06</v>
      </c>
    </row>
    <row r="421">
      <c r="A421" s="12">
        <v>2021.0</v>
      </c>
      <c r="B421" s="12">
        <v>10.0</v>
      </c>
      <c r="C421" s="12">
        <v>9.0</v>
      </c>
      <c r="D421" s="12">
        <v>1003750.0</v>
      </c>
      <c r="E421" s="12">
        <v>6.0</v>
      </c>
      <c r="F421" s="12">
        <v>0.0</v>
      </c>
      <c r="G421" s="12">
        <v>0.0</v>
      </c>
      <c r="H421" s="12" t="s">
        <v>11</v>
      </c>
      <c r="I421" s="12">
        <f>sumıf(Sales!B:B,D421,Sales!G:G)</f>
        <v>68.93</v>
      </c>
    </row>
    <row r="422">
      <c r="A422" s="12">
        <v>2021.0</v>
      </c>
      <c r="B422" s="12">
        <v>10.0</v>
      </c>
      <c r="C422" s="12">
        <v>9.0</v>
      </c>
      <c r="D422" s="12">
        <v>1003795.0</v>
      </c>
      <c r="E422" s="12">
        <v>6.0</v>
      </c>
      <c r="F422" s="12">
        <v>0.0</v>
      </c>
      <c r="G422" s="12">
        <v>5.0</v>
      </c>
      <c r="H422" s="12" t="s">
        <v>11</v>
      </c>
      <c r="I422" s="12">
        <f>sumıf(Sales!B:B,D422,Sales!G:G)</f>
        <v>144.09</v>
      </c>
    </row>
    <row r="423">
      <c r="A423" s="12">
        <v>2021.0</v>
      </c>
      <c r="B423" s="12">
        <v>10.0</v>
      </c>
      <c r="C423" s="12">
        <v>9.0</v>
      </c>
      <c r="D423" s="12">
        <v>1003610.0</v>
      </c>
      <c r="E423" s="12">
        <v>2.0</v>
      </c>
      <c r="F423" s="12">
        <v>0.0</v>
      </c>
      <c r="G423" s="12">
        <v>0.0</v>
      </c>
      <c r="H423" s="12" t="s">
        <v>10</v>
      </c>
      <c r="I423" s="12">
        <f>sumıf(Sales!B:B,D423,Sales!G:G)</f>
        <v>26.91</v>
      </c>
    </row>
    <row r="424">
      <c r="A424" s="12">
        <v>2021.0</v>
      </c>
      <c r="B424" s="12">
        <v>10.0</v>
      </c>
      <c r="C424" s="12">
        <v>9.0</v>
      </c>
      <c r="D424" s="12">
        <v>1003391.0</v>
      </c>
      <c r="E424" s="12">
        <v>3.0</v>
      </c>
      <c r="F424" s="12">
        <v>0.0</v>
      </c>
      <c r="G424" s="12">
        <v>0.0</v>
      </c>
      <c r="H424" s="12" t="s">
        <v>10</v>
      </c>
      <c r="I424" s="12">
        <f>sumıf(Sales!B:B,D424,Sales!G:G)</f>
        <v>113.59</v>
      </c>
    </row>
    <row r="425">
      <c r="A425" s="12">
        <v>2021.0</v>
      </c>
      <c r="B425" s="12">
        <v>10.0</v>
      </c>
      <c r="C425" s="12">
        <v>9.0</v>
      </c>
      <c r="D425" s="12">
        <v>1003373.0</v>
      </c>
      <c r="E425" s="12">
        <v>13.0</v>
      </c>
      <c r="F425" s="12">
        <v>6.54</v>
      </c>
      <c r="G425" s="12">
        <v>0.0</v>
      </c>
      <c r="H425" s="12" t="s">
        <v>11</v>
      </c>
      <c r="I425" s="12">
        <f>sumıf(Sales!B:B,D425,Sales!G:G)</f>
        <v>73.98</v>
      </c>
    </row>
    <row r="426">
      <c r="A426" s="12">
        <v>2021.0</v>
      </c>
      <c r="B426" s="12">
        <v>10.0</v>
      </c>
      <c r="C426" s="12">
        <v>9.0</v>
      </c>
      <c r="D426" s="12">
        <v>1003961.0</v>
      </c>
      <c r="E426" s="12">
        <v>1.0</v>
      </c>
      <c r="F426" s="12">
        <v>3.63</v>
      </c>
      <c r="G426" s="12">
        <v>0.0</v>
      </c>
      <c r="H426" s="12" t="s">
        <v>12</v>
      </c>
      <c r="I426" s="12">
        <f>sumıf(Sales!B:B,D426,Sales!G:G)</f>
        <v>73.92</v>
      </c>
    </row>
    <row r="427">
      <c r="A427" s="12">
        <v>2021.0</v>
      </c>
      <c r="B427" s="12">
        <v>10.0</v>
      </c>
      <c r="C427" s="12">
        <v>9.0</v>
      </c>
      <c r="D427" s="12">
        <v>1003703.0</v>
      </c>
      <c r="E427" s="12">
        <v>2.0</v>
      </c>
      <c r="F427" s="12">
        <v>0.0</v>
      </c>
      <c r="G427" s="12">
        <v>5.0</v>
      </c>
      <c r="H427" s="12" t="s">
        <v>12</v>
      </c>
      <c r="I427" s="12">
        <f>sumıf(Sales!B:B,D427,Sales!G:G)</f>
        <v>44.56</v>
      </c>
    </row>
    <row r="428">
      <c r="A428" s="12">
        <v>2021.0</v>
      </c>
      <c r="B428" s="12">
        <v>10.0</v>
      </c>
      <c r="C428" s="12">
        <v>9.0</v>
      </c>
      <c r="D428" s="12">
        <v>1003530.0</v>
      </c>
      <c r="E428" s="12">
        <v>3.0</v>
      </c>
      <c r="F428" s="12">
        <v>0.0</v>
      </c>
      <c r="G428" s="12">
        <v>5.0</v>
      </c>
      <c r="H428" s="12" t="s">
        <v>12</v>
      </c>
      <c r="I428" s="12">
        <f>sumıf(Sales!B:B,D428,Sales!G:G)</f>
        <v>50.98</v>
      </c>
    </row>
    <row r="429">
      <c r="A429" s="12">
        <v>2021.0</v>
      </c>
      <c r="B429" s="12">
        <v>10.0</v>
      </c>
      <c r="C429" s="12">
        <v>9.0</v>
      </c>
      <c r="D429" s="12">
        <v>1003284.0</v>
      </c>
      <c r="E429" s="12">
        <v>1.0</v>
      </c>
      <c r="F429" s="12">
        <v>0.0</v>
      </c>
      <c r="G429" s="12">
        <v>0.0</v>
      </c>
      <c r="H429" s="12" t="s">
        <v>11</v>
      </c>
      <c r="I429" s="12">
        <f>sumıf(Sales!B:B,D429,Sales!G:G)</f>
        <v>47.59</v>
      </c>
    </row>
    <row r="430">
      <c r="A430" s="12">
        <v>2021.0</v>
      </c>
      <c r="B430" s="12">
        <v>10.0</v>
      </c>
      <c r="C430" s="12">
        <v>9.0</v>
      </c>
      <c r="D430" s="12">
        <v>1003318.0</v>
      </c>
      <c r="E430" s="12">
        <v>16.0</v>
      </c>
      <c r="F430" s="12">
        <v>0.0</v>
      </c>
      <c r="G430" s="12">
        <v>0.0</v>
      </c>
      <c r="H430" s="12" t="s">
        <v>10</v>
      </c>
      <c r="I430" s="12">
        <f>sumıf(Sales!B:B,D430,Sales!G:G)</f>
        <v>46.15</v>
      </c>
    </row>
    <row r="431">
      <c r="A431" s="12">
        <v>2021.0</v>
      </c>
      <c r="B431" s="12">
        <v>10.0</v>
      </c>
      <c r="C431" s="12">
        <v>9.0</v>
      </c>
      <c r="D431" s="12">
        <v>1003970.0</v>
      </c>
      <c r="E431" s="12">
        <v>7.0</v>
      </c>
      <c r="F431" s="12">
        <v>0.0</v>
      </c>
      <c r="G431" s="12">
        <v>0.0</v>
      </c>
      <c r="H431" s="12" t="s">
        <v>12</v>
      </c>
      <c r="I431" s="12">
        <f>sumıf(Sales!B:B,D431,Sales!G:G)</f>
        <v>33.45</v>
      </c>
    </row>
    <row r="432">
      <c r="A432" s="12">
        <v>2021.0</v>
      </c>
      <c r="B432" s="12">
        <v>10.0</v>
      </c>
      <c r="C432" s="12">
        <v>10.0</v>
      </c>
      <c r="D432" s="12">
        <v>1003289.0</v>
      </c>
      <c r="E432" s="12">
        <v>17.0</v>
      </c>
      <c r="F432" s="12">
        <v>0.0</v>
      </c>
      <c r="G432" s="12">
        <v>0.0</v>
      </c>
      <c r="H432" s="12" t="s">
        <v>11</v>
      </c>
      <c r="I432" s="12">
        <f>sumıf(Sales!B:B,D432,Sales!G:G)</f>
        <v>56.06</v>
      </c>
    </row>
    <row r="433">
      <c r="A433" s="12">
        <v>2021.0</v>
      </c>
      <c r="B433" s="12">
        <v>10.0</v>
      </c>
      <c r="C433" s="12">
        <v>11.0</v>
      </c>
      <c r="D433" s="12">
        <v>1003921.0</v>
      </c>
      <c r="E433" s="12">
        <v>1.0</v>
      </c>
      <c r="F433" s="12">
        <v>0.0</v>
      </c>
      <c r="G433" s="12">
        <v>10.0</v>
      </c>
      <c r="H433" s="12" t="s">
        <v>12</v>
      </c>
      <c r="I433" s="12">
        <f>sumıf(Sales!B:B,D433,Sales!G:G)</f>
        <v>234.5</v>
      </c>
    </row>
    <row r="434">
      <c r="A434" s="12">
        <v>2021.0</v>
      </c>
      <c r="B434" s="12">
        <v>10.0</v>
      </c>
      <c r="C434" s="12">
        <v>11.0</v>
      </c>
      <c r="D434" s="12">
        <v>1004008.0</v>
      </c>
      <c r="E434" s="12">
        <v>1.0</v>
      </c>
      <c r="F434" s="12">
        <v>0.0</v>
      </c>
      <c r="G434" s="12">
        <v>0.0</v>
      </c>
      <c r="H434" s="12" t="s">
        <v>12</v>
      </c>
      <c r="I434" s="12">
        <f>sumıf(Sales!B:B,D434,Sales!G:G)</f>
        <v>55.69</v>
      </c>
    </row>
    <row r="435">
      <c r="A435" s="12">
        <v>2021.0</v>
      </c>
      <c r="B435" s="12">
        <v>10.0</v>
      </c>
      <c r="C435" s="12">
        <v>11.0</v>
      </c>
      <c r="D435" s="12">
        <v>1003922.0</v>
      </c>
      <c r="E435" s="12">
        <v>2.0</v>
      </c>
      <c r="F435" s="12">
        <v>0.0</v>
      </c>
      <c r="G435" s="12">
        <v>10.0</v>
      </c>
      <c r="H435" s="12" t="s">
        <v>12</v>
      </c>
      <c r="I435" s="12">
        <f>sumıf(Sales!B:B,D435,Sales!G:G)</f>
        <v>84.65</v>
      </c>
    </row>
    <row r="436">
      <c r="A436" s="12">
        <v>2021.0</v>
      </c>
      <c r="B436" s="12">
        <v>10.0</v>
      </c>
      <c r="C436" s="12">
        <v>11.0</v>
      </c>
      <c r="D436" s="12">
        <v>1003547.0</v>
      </c>
      <c r="E436" s="12">
        <v>15.0</v>
      </c>
      <c r="F436" s="12">
        <v>0.0</v>
      </c>
      <c r="G436" s="12">
        <v>10.0</v>
      </c>
      <c r="H436" s="12" t="s">
        <v>12</v>
      </c>
      <c r="I436" s="12">
        <f>sumıf(Sales!B:B,D436,Sales!G:G)</f>
        <v>34.7</v>
      </c>
    </row>
    <row r="437">
      <c r="A437" s="12">
        <v>2021.0</v>
      </c>
      <c r="B437" s="12">
        <v>10.0</v>
      </c>
      <c r="C437" s="12">
        <v>11.0</v>
      </c>
      <c r="D437" s="12">
        <v>1003766.0</v>
      </c>
      <c r="E437" s="12">
        <v>11.0</v>
      </c>
      <c r="F437" s="12">
        <v>0.85</v>
      </c>
      <c r="G437" s="12">
        <v>0.0</v>
      </c>
      <c r="H437" s="12" t="s">
        <v>10</v>
      </c>
      <c r="I437" s="12">
        <f>sumıf(Sales!B:B,D437,Sales!G:G)</f>
        <v>56.13</v>
      </c>
    </row>
    <row r="438">
      <c r="A438" s="12">
        <v>2021.0</v>
      </c>
      <c r="B438" s="12">
        <v>10.0</v>
      </c>
      <c r="C438" s="12">
        <v>11.0</v>
      </c>
      <c r="D438" s="12">
        <v>1003559.0</v>
      </c>
      <c r="E438" s="12">
        <v>1.0</v>
      </c>
      <c r="F438" s="12">
        <v>0.0</v>
      </c>
      <c r="G438" s="12">
        <v>0.0</v>
      </c>
      <c r="H438" s="12" t="s">
        <v>10</v>
      </c>
      <c r="I438" s="12">
        <f>sumıf(Sales!B:B,D438,Sales!G:G)</f>
        <v>59.88</v>
      </c>
    </row>
    <row r="439">
      <c r="A439" s="12">
        <v>2021.0</v>
      </c>
      <c r="B439" s="12">
        <v>10.0</v>
      </c>
      <c r="C439" s="12">
        <v>11.0</v>
      </c>
      <c r="D439" s="12">
        <v>1003768.0</v>
      </c>
      <c r="E439" s="12">
        <v>1.0</v>
      </c>
      <c r="F439" s="12">
        <v>0.0</v>
      </c>
      <c r="G439" s="12">
        <v>5.0</v>
      </c>
      <c r="H439" s="12" t="s">
        <v>12</v>
      </c>
      <c r="I439" s="12">
        <f>sumıf(Sales!B:B,D439,Sales!G:G)</f>
        <v>10.75</v>
      </c>
    </row>
    <row r="440">
      <c r="A440" s="12">
        <v>2021.0</v>
      </c>
      <c r="B440" s="12">
        <v>10.0</v>
      </c>
      <c r="C440" s="12">
        <v>11.0</v>
      </c>
      <c r="D440" s="12">
        <v>1003651.0</v>
      </c>
      <c r="E440" s="12">
        <v>6.0</v>
      </c>
      <c r="F440" s="12">
        <v>5.43</v>
      </c>
      <c r="G440" s="12">
        <v>0.0</v>
      </c>
      <c r="H440" s="12" t="s">
        <v>11</v>
      </c>
      <c r="I440" s="12">
        <f>sumıf(Sales!B:B,D440,Sales!G:G)</f>
        <v>36.75</v>
      </c>
    </row>
    <row r="441">
      <c r="A441" s="12">
        <v>2021.0</v>
      </c>
      <c r="B441" s="12">
        <v>10.0</v>
      </c>
      <c r="C441" s="12">
        <v>11.0</v>
      </c>
      <c r="D441" s="12">
        <v>1003820.0</v>
      </c>
      <c r="E441" s="12">
        <v>5.0</v>
      </c>
      <c r="F441" s="12">
        <v>0.0</v>
      </c>
      <c r="G441" s="12">
        <v>0.0</v>
      </c>
      <c r="H441" s="12" t="s">
        <v>10</v>
      </c>
      <c r="I441" s="12">
        <f>sumıf(Sales!B:B,D441,Sales!G:G)</f>
        <v>9.23</v>
      </c>
    </row>
    <row r="442">
      <c r="A442" s="12">
        <v>2021.0</v>
      </c>
      <c r="B442" s="12">
        <v>10.0</v>
      </c>
      <c r="C442" s="12">
        <v>11.0</v>
      </c>
      <c r="D442" s="12">
        <v>1003988.0</v>
      </c>
      <c r="E442" s="12">
        <v>2.0</v>
      </c>
      <c r="F442" s="12">
        <v>0.0</v>
      </c>
      <c r="G442" s="12">
        <v>5.0</v>
      </c>
      <c r="H442" s="12" t="s">
        <v>11</v>
      </c>
      <c r="I442" s="12">
        <f>sumıf(Sales!B:B,D442,Sales!G:G)</f>
        <v>111.4</v>
      </c>
    </row>
    <row r="443">
      <c r="A443" s="12">
        <v>2021.0</v>
      </c>
      <c r="B443" s="12">
        <v>10.0</v>
      </c>
      <c r="C443" s="12">
        <v>11.0</v>
      </c>
      <c r="D443" s="12">
        <v>1003607.0</v>
      </c>
      <c r="E443" s="12">
        <v>15.0</v>
      </c>
      <c r="F443" s="12">
        <v>0.0</v>
      </c>
      <c r="G443" s="12">
        <v>0.0</v>
      </c>
      <c r="H443" s="12" t="s">
        <v>11</v>
      </c>
      <c r="I443" s="12">
        <f>sumıf(Sales!B:B,D443,Sales!G:G)</f>
        <v>41.02</v>
      </c>
    </row>
    <row r="444">
      <c r="A444" s="12">
        <v>2021.0</v>
      </c>
      <c r="B444" s="12">
        <v>10.0</v>
      </c>
      <c r="C444" s="12">
        <v>11.0</v>
      </c>
      <c r="D444" s="12">
        <v>1003874.0</v>
      </c>
      <c r="E444" s="12">
        <v>1.0</v>
      </c>
      <c r="F444" s="12">
        <v>5.75</v>
      </c>
      <c r="G444" s="12">
        <v>0.0</v>
      </c>
      <c r="H444" s="12" t="s">
        <v>10</v>
      </c>
      <c r="I444" s="12">
        <f>sumıf(Sales!B:B,D444,Sales!G:G)</f>
        <v>165.53</v>
      </c>
    </row>
    <row r="445">
      <c r="A445" s="12">
        <v>2021.0</v>
      </c>
      <c r="B445" s="12">
        <v>10.0</v>
      </c>
      <c r="C445" s="12">
        <v>11.0</v>
      </c>
      <c r="D445" s="12">
        <v>1003564.0</v>
      </c>
      <c r="E445" s="12">
        <v>1.0</v>
      </c>
      <c r="F445" s="12">
        <v>0.0</v>
      </c>
      <c r="G445" s="12">
        <v>0.0</v>
      </c>
      <c r="H445" s="12" t="s">
        <v>11</v>
      </c>
      <c r="I445" s="12">
        <f>sumıf(Sales!B:B,D445,Sales!G:G)</f>
        <v>89.7</v>
      </c>
    </row>
    <row r="446">
      <c r="A446" s="12">
        <v>2021.0</v>
      </c>
      <c r="B446" s="12">
        <v>10.0</v>
      </c>
      <c r="C446" s="12">
        <v>11.0</v>
      </c>
      <c r="D446" s="12">
        <v>1003692.0</v>
      </c>
      <c r="E446" s="12">
        <v>1.0</v>
      </c>
      <c r="F446" s="12">
        <v>7.0</v>
      </c>
      <c r="G446" s="12">
        <v>12.0</v>
      </c>
      <c r="H446" s="12" t="s">
        <v>12</v>
      </c>
      <c r="I446" s="12">
        <f>sumıf(Sales!B:B,D446,Sales!G:G)</f>
        <v>96.48</v>
      </c>
    </row>
    <row r="447">
      <c r="A447" s="12">
        <v>2021.0</v>
      </c>
      <c r="B447" s="12">
        <v>10.0</v>
      </c>
      <c r="C447" s="12">
        <v>11.0</v>
      </c>
      <c r="D447" s="12">
        <v>1003410.0</v>
      </c>
      <c r="E447" s="13">
        <v>0.6764708825510813</v>
      </c>
      <c r="F447" s="12">
        <v>0.0</v>
      </c>
      <c r="G447" s="12">
        <v>0.0</v>
      </c>
      <c r="H447" s="12" t="s">
        <v>10</v>
      </c>
      <c r="I447" s="12">
        <f>sumıf(Sales!B:B,D447,Sales!G:G)</f>
        <v>37.17</v>
      </c>
    </row>
    <row r="448">
      <c r="A448" s="12">
        <v>2021.0</v>
      </c>
      <c r="B448" s="12">
        <v>10.0</v>
      </c>
      <c r="C448" s="12">
        <v>11.0</v>
      </c>
      <c r="D448" s="12">
        <v>1003300.0</v>
      </c>
      <c r="E448" s="12">
        <v>10.0</v>
      </c>
      <c r="F448" s="12">
        <v>0.0</v>
      </c>
      <c r="G448" s="12">
        <v>10.0</v>
      </c>
      <c r="H448" s="12" t="s">
        <v>12</v>
      </c>
      <c r="I448" s="12">
        <f>sumıf(Sales!B:B,D448,Sales!G:G)</f>
        <v>145.58</v>
      </c>
    </row>
    <row r="449">
      <c r="A449" s="12">
        <v>2021.0</v>
      </c>
      <c r="B449" s="12">
        <v>10.0</v>
      </c>
      <c r="C449" s="12">
        <v>11.0</v>
      </c>
      <c r="D449" s="12">
        <v>1003914.0</v>
      </c>
      <c r="E449" s="12">
        <v>8.0</v>
      </c>
      <c r="F449" s="12">
        <v>0.0</v>
      </c>
      <c r="G449" s="12">
        <v>0.0</v>
      </c>
      <c r="H449" s="12" t="s">
        <v>12</v>
      </c>
      <c r="I449" s="12">
        <f>sumıf(Sales!B:B,D449,Sales!G:G)</f>
        <v>51.72</v>
      </c>
    </row>
    <row r="450">
      <c r="A450" s="12">
        <v>2021.0</v>
      </c>
      <c r="B450" s="12">
        <v>10.0</v>
      </c>
      <c r="C450" s="12">
        <v>11.0</v>
      </c>
      <c r="D450" s="12">
        <v>1003842.0</v>
      </c>
      <c r="E450" s="12">
        <v>6.0</v>
      </c>
      <c r="F450" s="12">
        <v>0.0</v>
      </c>
      <c r="G450" s="12">
        <v>0.0</v>
      </c>
      <c r="H450" s="12" t="s">
        <v>11</v>
      </c>
      <c r="I450" s="12">
        <f>sumıf(Sales!B:B,D450,Sales!G:G)</f>
        <v>95.85</v>
      </c>
    </row>
    <row r="451">
      <c r="A451" s="12">
        <v>2021.0</v>
      </c>
      <c r="B451" s="12">
        <v>10.0</v>
      </c>
      <c r="C451" s="12">
        <v>11.0</v>
      </c>
      <c r="D451" s="12">
        <v>1003486.0</v>
      </c>
      <c r="E451" s="12">
        <v>5.0</v>
      </c>
      <c r="F451" s="12">
        <v>0.0</v>
      </c>
      <c r="G451" s="12">
        <v>5.0</v>
      </c>
      <c r="H451" s="12" t="s">
        <v>12</v>
      </c>
      <c r="I451" s="12">
        <f>sumıf(Sales!B:B,D451,Sales!G:G)</f>
        <v>43.75</v>
      </c>
    </row>
    <row r="452">
      <c r="A452" s="12">
        <v>2021.0</v>
      </c>
      <c r="B452" s="12">
        <v>10.0</v>
      </c>
      <c r="C452" s="12">
        <v>11.0</v>
      </c>
      <c r="D452" s="12">
        <v>1003435.0</v>
      </c>
      <c r="E452" s="12">
        <v>1.0</v>
      </c>
      <c r="F452" s="12">
        <v>0.0</v>
      </c>
      <c r="G452" s="12">
        <v>10.0</v>
      </c>
      <c r="H452" s="12" t="s">
        <v>12</v>
      </c>
      <c r="I452" s="12">
        <f>sumıf(Sales!B:B,D452,Sales!G:G)</f>
        <v>41.89</v>
      </c>
    </row>
    <row r="453">
      <c r="A453" s="12">
        <v>2021.0</v>
      </c>
      <c r="B453" s="12">
        <v>10.0</v>
      </c>
      <c r="C453" s="12">
        <v>11.0</v>
      </c>
      <c r="D453" s="12">
        <v>1003817.0</v>
      </c>
      <c r="E453" s="13">
        <v>0.43732425197267577</v>
      </c>
      <c r="F453" s="12">
        <v>0.0</v>
      </c>
      <c r="G453" s="12">
        <v>0.0</v>
      </c>
      <c r="H453" s="12" t="s">
        <v>12</v>
      </c>
      <c r="I453" s="12">
        <f>sumıf(Sales!B:B,D453,Sales!G:G)</f>
        <v>126.11</v>
      </c>
    </row>
    <row r="454">
      <c r="A454" s="12">
        <v>2021.0</v>
      </c>
      <c r="B454" s="12">
        <v>10.0</v>
      </c>
      <c r="C454" s="12">
        <v>11.0</v>
      </c>
      <c r="D454" s="12">
        <v>1003791.0</v>
      </c>
      <c r="E454" s="12">
        <v>1.0</v>
      </c>
      <c r="F454" s="12">
        <v>9.38</v>
      </c>
      <c r="G454" s="12">
        <v>5.0</v>
      </c>
      <c r="H454" s="12" t="s">
        <v>12</v>
      </c>
      <c r="I454" s="12">
        <f>sumıf(Sales!B:B,D454,Sales!G:G)</f>
        <v>149.05</v>
      </c>
    </row>
    <row r="455">
      <c r="A455" s="12">
        <v>2021.0</v>
      </c>
      <c r="B455" s="12">
        <v>10.0</v>
      </c>
      <c r="C455" s="12">
        <v>11.0</v>
      </c>
      <c r="D455" s="12">
        <v>1003489.0</v>
      </c>
      <c r="E455" s="12">
        <v>4.0</v>
      </c>
      <c r="F455" s="12">
        <v>0.0</v>
      </c>
      <c r="G455" s="12">
        <v>0.0</v>
      </c>
      <c r="H455" s="12" t="s">
        <v>10</v>
      </c>
      <c r="I455" s="12">
        <f>sumıf(Sales!B:B,D455,Sales!G:G)</f>
        <v>10.99</v>
      </c>
    </row>
    <row r="456">
      <c r="A456" s="12">
        <v>2021.0</v>
      </c>
      <c r="B456" s="12">
        <v>10.0</v>
      </c>
      <c r="C456" s="12">
        <v>11.0</v>
      </c>
      <c r="D456" s="12">
        <v>1003531.0</v>
      </c>
      <c r="E456" s="12">
        <v>3.0</v>
      </c>
      <c r="F456" s="12">
        <v>0.0</v>
      </c>
      <c r="G456" s="12">
        <v>0.0</v>
      </c>
      <c r="H456" s="12" t="s">
        <v>12</v>
      </c>
      <c r="I456" s="12">
        <f>sumıf(Sales!B:B,D456,Sales!G:G)</f>
        <v>20.17</v>
      </c>
    </row>
    <row r="457">
      <c r="A457" s="12">
        <v>2021.0</v>
      </c>
      <c r="B457" s="12">
        <v>10.0</v>
      </c>
      <c r="C457" s="12">
        <v>11.0</v>
      </c>
      <c r="D457" s="12">
        <v>1003919.0</v>
      </c>
      <c r="E457" s="12">
        <v>1.0</v>
      </c>
      <c r="F457" s="12">
        <v>0.0</v>
      </c>
      <c r="G457" s="12">
        <v>8.0</v>
      </c>
      <c r="H457" s="12" t="s">
        <v>12</v>
      </c>
      <c r="I457" s="12">
        <f>sumıf(Sales!B:B,D457,Sales!G:G)</f>
        <v>52.61</v>
      </c>
    </row>
    <row r="458">
      <c r="A458" s="12">
        <v>2021.0</v>
      </c>
      <c r="B458" s="12">
        <v>10.0</v>
      </c>
      <c r="C458" s="12">
        <v>11.0</v>
      </c>
      <c r="D458" s="12">
        <v>1003618.0</v>
      </c>
      <c r="E458" s="12">
        <v>1.0</v>
      </c>
      <c r="F458" s="12">
        <v>0.0</v>
      </c>
      <c r="G458" s="12">
        <v>5.0</v>
      </c>
      <c r="H458" s="12" t="s">
        <v>12</v>
      </c>
      <c r="I458" s="12">
        <f>sumıf(Sales!B:B,D458,Sales!G:G)</f>
        <v>33.48</v>
      </c>
    </row>
    <row r="459">
      <c r="A459" s="12">
        <v>2021.0</v>
      </c>
      <c r="B459" s="12">
        <v>10.0</v>
      </c>
      <c r="C459" s="12">
        <v>11.0</v>
      </c>
      <c r="D459" s="12">
        <v>1004004.0</v>
      </c>
      <c r="E459" s="12">
        <v>1.0</v>
      </c>
      <c r="F459" s="12">
        <v>0.0</v>
      </c>
      <c r="G459" s="12">
        <v>0.0</v>
      </c>
      <c r="H459" s="12" t="s">
        <v>12</v>
      </c>
      <c r="I459" s="12">
        <f>sumıf(Sales!B:B,D459,Sales!G:G)</f>
        <v>35.88</v>
      </c>
    </row>
    <row r="460">
      <c r="A460" s="12">
        <v>2021.0</v>
      </c>
      <c r="B460" s="12">
        <v>10.0</v>
      </c>
      <c r="C460" s="12">
        <v>11.0</v>
      </c>
      <c r="D460" s="12">
        <v>1003419.0</v>
      </c>
      <c r="E460" s="12">
        <v>10.0</v>
      </c>
      <c r="F460" s="12">
        <v>0.0</v>
      </c>
      <c r="G460" s="12">
        <v>7.0</v>
      </c>
      <c r="H460" s="12" t="s">
        <v>12</v>
      </c>
      <c r="I460" s="12">
        <f>sumıf(Sales!B:B,D460,Sales!G:G)</f>
        <v>21.82</v>
      </c>
    </row>
    <row r="461">
      <c r="A461" s="12">
        <v>2021.0</v>
      </c>
      <c r="B461" s="12">
        <v>10.0</v>
      </c>
      <c r="C461" s="12">
        <v>11.0</v>
      </c>
      <c r="D461" s="12">
        <v>1004003.0</v>
      </c>
      <c r="E461" s="13">
        <v>0.7262156568138505</v>
      </c>
      <c r="F461" s="12">
        <v>3.56</v>
      </c>
      <c r="G461" s="12">
        <v>0.0</v>
      </c>
      <c r="H461" s="12" t="s">
        <v>12</v>
      </c>
      <c r="I461" s="12">
        <f>sumıf(Sales!B:B,D461,Sales!G:G)</f>
        <v>17.34</v>
      </c>
    </row>
    <row r="462">
      <c r="A462" s="12">
        <v>2021.0</v>
      </c>
      <c r="B462" s="12">
        <v>10.0</v>
      </c>
      <c r="C462" s="12">
        <v>11.0</v>
      </c>
      <c r="D462" s="12">
        <v>1003557.0</v>
      </c>
      <c r="E462" s="12">
        <v>7.0</v>
      </c>
      <c r="F462" s="12">
        <v>0.0</v>
      </c>
      <c r="G462" s="12">
        <v>0.0</v>
      </c>
      <c r="H462" s="12" t="s">
        <v>11</v>
      </c>
      <c r="I462" s="12">
        <f>sumıf(Sales!B:B,D462,Sales!G:G)</f>
        <v>48.02</v>
      </c>
    </row>
    <row r="463">
      <c r="A463" s="12">
        <v>2021.0</v>
      </c>
      <c r="B463" s="12">
        <v>10.0</v>
      </c>
      <c r="C463" s="12">
        <v>11.0</v>
      </c>
      <c r="D463" s="12">
        <v>1003291.0</v>
      </c>
      <c r="E463" s="12">
        <v>3.0</v>
      </c>
      <c r="F463" s="12">
        <v>0.0</v>
      </c>
      <c r="G463" s="12">
        <v>0.0</v>
      </c>
      <c r="H463" s="12" t="s">
        <v>11</v>
      </c>
      <c r="I463" s="12">
        <f>sumıf(Sales!B:B,D463,Sales!G:G)</f>
        <v>10.35</v>
      </c>
    </row>
    <row r="464">
      <c r="A464" s="12">
        <v>2021.0</v>
      </c>
      <c r="B464" s="12">
        <v>10.0</v>
      </c>
      <c r="C464" s="12">
        <v>11.0</v>
      </c>
      <c r="D464" s="12">
        <v>1003950.0</v>
      </c>
      <c r="E464" s="12">
        <v>5.0</v>
      </c>
      <c r="F464" s="12">
        <v>0.0</v>
      </c>
      <c r="G464" s="12">
        <v>5.0</v>
      </c>
      <c r="H464" s="12" t="s">
        <v>10</v>
      </c>
      <c r="I464" s="12">
        <f>sumıf(Sales!B:B,D464,Sales!G:G)</f>
        <v>154.95</v>
      </c>
    </row>
    <row r="465">
      <c r="A465" s="12">
        <v>2021.0</v>
      </c>
      <c r="B465" s="12">
        <v>10.0</v>
      </c>
      <c r="C465" s="12">
        <v>11.0</v>
      </c>
      <c r="D465" s="12">
        <v>1003888.0</v>
      </c>
      <c r="E465" s="12">
        <v>8.0</v>
      </c>
      <c r="F465" s="12">
        <v>0.0</v>
      </c>
      <c r="G465" s="12">
        <v>0.0</v>
      </c>
      <c r="H465" s="12" t="s">
        <v>10</v>
      </c>
      <c r="I465" s="12">
        <f>sumıf(Sales!B:B,D465,Sales!G:G)</f>
        <v>42.83</v>
      </c>
    </row>
    <row r="466">
      <c r="A466" s="12">
        <v>2021.0</v>
      </c>
      <c r="B466" s="12">
        <v>10.0</v>
      </c>
      <c r="C466" s="12">
        <v>11.0</v>
      </c>
      <c r="D466" s="12">
        <v>1003638.0</v>
      </c>
      <c r="E466" s="12">
        <v>3.0</v>
      </c>
      <c r="F466" s="12">
        <v>0.85</v>
      </c>
      <c r="G466" s="12">
        <v>0.0</v>
      </c>
      <c r="H466" s="12" t="s">
        <v>10</v>
      </c>
      <c r="I466" s="12">
        <f>sumıf(Sales!B:B,D466,Sales!G:G)</f>
        <v>41.2</v>
      </c>
    </row>
    <row r="467">
      <c r="A467" s="12">
        <v>2021.0</v>
      </c>
      <c r="B467" s="12">
        <v>10.0</v>
      </c>
      <c r="C467" s="12">
        <v>11.0</v>
      </c>
      <c r="D467" s="12">
        <v>1003440.0</v>
      </c>
      <c r="E467" s="12">
        <v>16.0</v>
      </c>
      <c r="F467" s="12">
        <v>6.54</v>
      </c>
      <c r="G467" s="12">
        <v>0.0</v>
      </c>
      <c r="H467" s="12" t="s">
        <v>12</v>
      </c>
      <c r="I467" s="12">
        <f>sumıf(Sales!B:B,D467,Sales!G:G)</f>
        <v>57.96</v>
      </c>
    </row>
    <row r="468">
      <c r="A468" s="12">
        <v>2021.0</v>
      </c>
      <c r="B468" s="12">
        <v>10.0</v>
      </c>
      <c r="C468" s="12">
        <v>11.0</v>
      </c>
      <c r="D468" s="12">
        <v>1003596.0</v>
      </c>
      <c r="E468" s="13">
        <v>0.10113960600499661</v>
      </c>
      <c r="F468" s="12">
        <v>6.25</v>
      </c>
      <c r="G468" s="12">
        <v>0.0</v>
      </c>
      <c r="H468" s="12" t="s">
        <v>12</v>
      </c>
      <c r="I468" s="12">
        <f>sumıf(Sales!B:B,D468,Sales!G:G)</f>
        <v>53.02</v>
      </c>
    </row>
    <row r="469">
      <c r="A469" s="12">
        <v>2021.0</v>
      </c>
      <c r="B469" s="12">
        <v>10.0</v>
      </c>
      <c r="C469" s="12">
        <v>11.0</v>
      </c>
      <c r="D469" s="12">
        <v>1003903.0</v>
      </c>
      <c r="E469" s="12">
        <v>3.0</v>
      </c>
      <c r="F469" s="12">
        <v>0.0</v>
      </c>
      <c r="G469" s="12">
        <v>0.0</v>
      </c>
      <c r="H469" s="12" t="s">
        <v>12</v>
      </c>
      <c r="I469" s="12">
        <f>sumıf(Sales!B:B,D469,Sales!G:G)</f>
        <v>62.22</v>
      </c>
    </row>
    <row r="470">
      <c r="A470" s="12">
        <v>2021.0</v>
      </c>
      <c r="B470" s="12">
        <v>10.0</v>
      </c>
      <c r="C470" s="12">
        <v>11.0</v>
      </c>
      <c r="D470" s="12">
        <v>1003814.0</v>
      </c>
      <c r="E470" s="12">
        <v>6.0</v>
      </c>
      <c r="F470" s="12">
        <v>0.88</v>
      </c>
      <c r="G470" s="12">
        <v>0.0</v>
      </c>
      <c r="H470" s="12" t="s">
        <v>12</v>
      </c>
      <c r="I470" s="12">
        <f>sumıf(Sales!B:B,D470,Sales!G:G)</f>
        <v>53.22</v>
      </c>
    </row>
    <row r="471">
      <c r="A471" s="12">
        <v>2021.0</v>
      </c>
      <c r="B471" s="12">
        <v>10.0</v>
      </c>
      <c r="C471" s="12">
        <v>11.0</v>
      </c>
      <c r="D471" s="12">
        <v>1003441.0</v>
      </c>
      <c r="E471" s="12">
        <v>1.0</v>
      </c>
      <c r="F471" s="12">
        <v>0.0</v>
      </c>
      <c r="G471" s="12">
        <v>0.0</v>
      </c>
      <c r="H471" s="12" t="s">
        <v>10</v>
      </c>
      <c r="I471" s="12">
        <f>sumıf(Sales!B:B,D471,Sales!G:G)</f>
        <v>71.68</v>
      </c>
    </row>
    <row r="472">
      <c r="A472" s="12">
        <v>2021.0</v>
      </c>
      <c r="B472" s="12">
        <v>10.0</v>
      </c>
      <c r="C472" s="12">
        <v>11.0</v>
      </c>
      <c r="D472" s="12">
        <v>1003354.0</v>
      </c>
      <c r="E472" s="12">
        <v>1.0</v>
      </c>
      <c r="F472" s="12">
        <v>0.0</v>
      </c>
      <c r="G472" s="12">
        <v>0.0</v>
      </c>
      <c r="H472" s="12" t="s">
        <v>12</v>
      </c>
      <c r="I472" s="12">
        <f>sumıf(Sales!B:B,D472,Sales!G:G)</f>
        <v>61.73</v>
      </c>
    </row>
    <row r="473">
      <c r="A473" s="12">
        <v>2021.0</v>
      </c>
      <c r="B473" s="12">
        <v>10.0</v>
      </c>
      <c r="C473" s="12">
        <v>11.0</v>
      </c>
      <c r="D473" s="12">
        <v>1003734.0</v>
      </c>
      <c r="E473" s="12">
        <v>9.0</v>
      </c>
      <c r="F473" s="12">
        <v>0.91</v>
      </c>
      <c r="G473" s="12">
        <v>0.0</v>
      </c>
      <c r="H473" s="12" t="s">
        <v>10</v>
      </c>
      <c r="I473" s="12">
        <f>sumıf(Sales!B:B,D473,Sales!G:G)</f>
        <v>14.29</v>
      </c>
    </row>
    <row r="474">
      <c r="A474" s="12">
        <v>2021.0</v>
      </c>
      <c r="B474" s="12">
        <v>10.0</v>
      </c>
      <c r="C474" s="12">
        <v>11.0</v>
      </c>
      <c r="D474" s="12">
        <v>1003924.0</v>
      </c>
      <c r="E474" s="12">
        <v>6.0</v>
      </c>
      <c r="F474" s="12">
        <v>0.0</v>
      </c>
      <c r="G474" s="12">
        <v>0.0</v>
      </c>
      <c r="H474" s="12" t="s">
        <v>10</v>
      </c>
      <c r="I474" s="12">
        <f>sumıf(Sales!B:B,D474,Sales!G:G)</f>
        <v>135.74</v>
      </c>
    </row>
    <row r="475">
      <c r="A475" s="12">
        <v>2021.0</v>
      </c>
      <c r="B475" s="12">
        <v>10.0</v>
      </c>
      <c r="C475" s="12">
        <v>11.0</v>
      </c>
      <c r="D475" s="12">
        <v>1003979.0</v>
      </c>
      <c r="E475" s="12">
        <v>3.0</v>
      </c>
      <c r="F475" s="12">
        <v>0.0</v>
      </c>
      <c r="G475" s="12">
        <v>0.0</v>
      </c>
      <c r="H475" s="12" t="s">
        <v>12</v>
      </c>
      <c r="I475" s="12">
        <f>sumıf(Sales!B:B,D475,Sales!G:G)</f>
        <v>59.3</v>
      </c>
    </row>
    <row r="476">
      <c r="A476" s="12">
        <v>2021.0</v>
      </c>
      <c r="B476" s="12">
        <v>10.0</v>
      </c>
      <c r="C476" s="12">
        <v>11.0</v>
      </c>
      <c r="D476" s="12">
        <v>1003456.0</v>
      </c>
      <c r="E476" s="13">
        <v>0.18740103382951157</v>
      </c>
      <c r="F476" s="12">
        <v>0.0</v>
      </c>
      <c r="G476" s="12">
        <v>0.0</v>
      </c>
      <c r="H476" s="12" t="s">
        <v>11</v>
      </c>
      <c r="I476" s="12">
        <f>sumıf(Sales!B:B,D476,Sales!G:G)</f>
        <v>55.36</v>
      </c>
    </row>
    <row r="477">
      <c r="A477" s="12">
        <v>2021.0</v>
      </c>
      <c r="B477" s="12">
        <v>10.0</v>
      </c>
      <c r="C477" s="12">
        <v>11.0</v>
      </c>
      <c r="D477" s="12">
        <v>1003945.0</v>
      </c>
      <c r="E477" s="12">
        <v>1.0</v>
      </c>
      <c r="F477" s="12">
        <v>0.0</v>
      </c>
      <c r="G477" s="12">
        <v>0.0</v>
      </c>
      <c r="H477" s="12" t="s">
        <v>10</v>
      </c>
      <c r="I477" s="12">
        <f>sumıf(Sales!B:B,D477,Sales!G:G)</f>
        <v>99.11</v>
      </c>
    </row>
    <row r="478">
      <c r="A478" s="12">
        <v>2021.0</v>
      </c>
      <c r="B478" s="12">
        <v>10.0</v>
      </c>
      <c r="C478" s="12">
        <v>11.0</v>
      </c>
      <c r="D478" s="12">
        <v>1003797.0</v>
      </c>
      <c r="E478" s="12">
        <v>10.0</v>
      </c>
      <c r="F478" s="12">
        <v>0.0</v>
      </c>
      <c r="G478" s="12">
        <v>5.0</v>
      </c>
      <c r="H478" s="12" t="s">
        <v>12</v>
      </c>
      <c r="I478" s="12">
        <f>sumıf(Sales!B:B,D478,Sales!G:G)</f>
        <v>117.6</v>
      </c>
    </row>
    <row r="479">
      <c r="A479" s="12">
        <v>2021.0</v>
      </c>
      <c r="B479" s="12">
        <v>10.0</v>
      </c>
      <c r="C479" s="12">
        <v>11.0</v>
      </c>
      <c r="D479" s="12">
        <v>1003392.0</v>
      </c>
      <c r="E479" s="12">
        <v>2.0</v>
      </c>
      <c r="F479" s="12">
        <v>0.0</v>
      </c>
      <c r="G479" s="12">
        <v>0.0</v>
      </c>
      <c r="H479" s="12" t="s">
        <v>12</v>
      </c>
      <c r="I479" s="12">
        <f>sumıf(Sales!B:B,D479,Sales!G:G)</f>
        <v>68.17</v>
      </c>
    </row>
    <row r="480">
      <c r="A480" s="12">
        <v>2021.0</v>
      </c>
      <c r="B480" s="12">
        <v>10.0</v>
      </c>
      <c r="C480" s="12">
        <v>11.0</v>
      </c>
      <c r="D480" s="12">
        <v>1003633.0</v>
      </c>
      <c r="E480" s="12">
        <v>3.0</v>
      </c>
      <c r="F480" s="12">
        <v>0.0</v>
      </c>
      <c r="G480" s="12">
        <v>0.0</v>
      </c>
      <c r="H480" s="12" t="s">
        <v>11</v>
      </c>
      <c r="I480" s="12">
        <f>sumıf(Sales!B:B,D480,Sales!G:G)</f>
        <v>39.88</v>
      </c>
    </row>
    <row r="481">
      <c r="A481" s="12">
        <v>2021.0</v>
      </c>
      <c r="B481" s="12">
        <v>10.0</v>
      </c>
      <c r="C481" s="12">
        <v>11.0</v>
      </c>
      <c r="D481" s="12">
        <v>1003452.0</v>
      </c>
      <c r="E481" s="12">
        <v>5.0</v>
      </c>
      <c r="F481" s="12">
        <v>0.0</v>
      </c>
      <c r="G481" s="12">
        <v>0.0</v>
      </c>
      <c r="H481" s="12" t="s">
        <v>10</v>
      </c>
      <c r="I481" s="12">
        <f>sumıf(Sales!B:B,D481,Sales!G:G)</f>
        <v>33.19</v>
      </c>
    </row>
    <row r="482">
      <c r="A482" s="12">
        <v>2021.0</v>
      </c>
      <c r="B482" s="12">
        <v>10.0</v>
      </c>
      <c r="C482" s="12">
        <v>11.0</v>
      </c>
      <c r="D482" s="12">
        <v>1003695.0</v>
      </c>
      <c r="E482" s="13">
        <v>0.39806592876747837</v>
      </c>
      <c r="F482" s="12">
        <v>0.0</v>
      </c>
      <c r="G482" s="12">
        <v>5.0</v>
      </c>
      <c r="H482" s="12" t="s">
        <v>12</v>
      </c>
      <c r="I482" s="12">
        <f>sumıf(Sales!B:B,D482,Sales!G:G)</f>
        <v>138.12</v>
      </c>
    </row>
    <row r="483">
      <c r="A483" s="12">
        <v>2021.0</v>
      </c>
      <c r="B483" s="12">
        <v>10.0</v>
      </c>
      <c r="C483" s="12">
        <v>11.0</v>
      </c>
      <c r="D483" s="12">
        <v>1003539.0</v>
      </c>
      <c r="E483" s="12">
        <v>3.0</v>
      </c>
      <c r="F483" s="12">
        <v>0.91</v>
      </c>
      <c r="G483" s="12">
        <v>0.0</v>
      </c>
      <c r="H483" s="12" t="s">
        <v>12</v>
      </c>
      <c r="I483" s="12">
        <f>sumıf(Sales!B:B,D483,Sales!G:G)</f>
        <v>40.89</v>
      </c>
    </row>
    <row r="484">
      <c r="A484" s="12">
        <v>2021.0</v>
      </c>
      <c r="B484" s="12">
        <v>10.0</v>
      </c>
      <c r="C484" s="12">
        <v>11.0</v>
      </c>
      <c r="D484" s="12">
        <v>1003889.0</v>
      </c>
      <c r="E484" s="12">
        <v>2.0</v>
      </c>
      <c r="F484" s="12">
        <v>0.0</v>
      </c>
      <c r="G484" s="12">
        <v>0.0</v>
      </c>
      <c r="H484" s="12" t="s">
        <v>11</v>
      </c>
      <c r="I484" s="12">
        <f>sumıf(Sales!B:B,D484,Sales!G:G)</f>
        <v>139.29</v>
      </c>
    </row>
    <row r="485">
      <c r="A485" s="12">
        <v>2021.0</v>
      </c>
      <c r="B485" s="12">
        <v>10.0</v>
      </c>
      <c r="C485" s="12">
        <v>11.0</v>
      </c>
      <c r="D485" s="12">
        <v>1003317.0</v>
      </c>
      <c r="E485" s="12">
        <v>2.0</v>
      </c>
      <c r="F485" s="12">
        <v>0.0</v>
      </c>
      <c r="G485" s="12">
        <v>0.0</v>
      </c>
      <c r="H485" s="12" t="s">
        <v>11</v>
      </c>
      <c r="I485" s="12">
        <f>sumıf(Sales!B:B,D485,Sales!G:G)</f>
        <v>54.88</v>
      </c>
    </row>
    <row r="486">
      <c r="A486" s="12">
        <v>2021.0</v>
      </c>
      <c r="B486" s="12">
        <v>10.0</v>
      </c>
      <c r="C486" s="12">
        <v>11.0</v>
      </c>
      <c r="D486" s="12">
        <v>1004014.0</v>
      </c>
      <c r="E486" s="12">
        <v>2.0</v>
      </c>
      <c r="F486" s="12">
        <v>0.0</v>
      </c>
      <c r="G486" s="12">
        <v>0.0</v>
      </c>
      <c r="H486" s="12" t="s">
        <v>12</v>
      </c>
      <c r="I486" s="12">
        <f>sumıf(Sales!B:B,D486,Sales!G:G)</f>
        <v>91.14</v>
      </c>
    </row>
    <row r="487">
      <c r="A487" s="12">
        <v>2021.0</v>
      </c>
      <c r="B487" s="12">
        <v>10.0</v>
      </c>
      <c r="C487" s="12">
        <v>11.0</v>
      </c>
      <c r="D487" s="12">
        <v>1003892.0</v>
      </c>
      <c r="E487" s="12">
        <v>3.0</v>
      </c>
      <c r="F487" s="12">
        <v>0.0</v>
      </c>
      <c r="G487" s="12">
        <v>0.0</v>
      </c>
      <c r="H487" s="12" t="s">
        <v>11</v>
      </c>
      <c r="I487" s="12">
        <f>sumıf(Sales!B:B,D487,Sales!G:G)</f>
        <v>106.15</v>
      </c>
    </row>
    <row r="488">
      <c r="A488" s="12">
        <v>2021.0</v>
      </c>
      <c r="B488" s="12">
        <v>10.0</v>
      </c>
      <c r="C488" s="12">
        <v>11.0</v>
      </c>
      <c r="D488" s="12">
        <v>1003887.0</v>
      </c>
      <c r="E488" s="12">
        <v>20.0</v>
      </c>
      <c r="F488" s="12">
        <v>0.0</v>
      </c>
      <c r="G488" s="12">
        <v>0.0</v>
      </c>
      <c r="H488" s="12" t="s">
        <v>12</v>
      </c>
      <c r="I488" s="12">
        <f>sumıf(Sales!B:B,D488,Sales!G:G)</f>
        <v>132.14</v>
      </c>
    </row>
    <row r="489">
      <c r="A489" s="12">
        <v>2021.0</v>
      </c>
      <c r="B489" s="12">
        <v>10.0</v>
      </c>
      <c r="C489" s="12">
        <v>11.0</v>
      </c>
      <c r="D489" s="12">
        <v>1003367.0</v>
      </c>
      <c r="E489" s="13">
        <v>0.21354014762757223</v>
      </c>
      <c r="F489" s="12">
        <v>0.0</v>
      </c>
      <c r="G489" s="12">
        <v>0.0</v>
      </c>
      <c r="H489" s="12" t="s">
        <v>11</v>
      </c>
      <c r="I489" s="12">
        <f>sumıf(Sales!B:B,D489,Sales!G:G)</f>
        <v>27.86</v>
      </c>
    </row>
    <row r="490">
      <c r="A490" s="12">
        <v>2021.0</v>
      </c>
      <c r="B490" s="12">
        <v>10.0</v>
      </c>
      <c r="C490" s="12">
        <v>11.0</v>
      </c>
      <c r="D490" s="12">
        <v>1003378.0</v>
      </c>
      <c r="E490" s="12">
        <v>4.0</v>
      </c>
      <c r="F490" s="12">
        <v>0.0</v>
      </c>
      <c r="G490" s="12">
        <v>0.0</v>
      </c>
      <c r="H490" s="12" t="s">
        <v>10</v>
      </c>
      <c r="I490" s="12">
        <f>sumıf(Sales!B:B,D490,Sales!G:G)</f>
        <v>62.83</v>
      </c>
    </row>
    <row r="491">
      <c r="A491" s="12">
        <v>2021.0</v>
      </c>
      <c r="B491" s="12">
        <v>10.0</v>
      </c>
      <c r="C491" s="12">
        <v>11.0</v>
      </c>
      <c r="D491" s="12">
        <v>1003647.0</v>
      </c>
      <c r="E491" s="12">
        <v>18.0</v>
      </c>
      <c r="F491" s="12">
        <v>0.0</v>
      </c>
      <c r="G491" s="12">
        <v>5.0</v>
      </c>
      <c r="H491" s="12" t="s">
        <v>12</v>
      </c>
      <c r="I491" s="12">
        <f>sumıf(Sales!B:B,D491,Sales!G:G)</f>
        <v>92.67</v>
      </c>
    </row>
    <row r="492">
      <c r="A492" s="12">
        <v>2021.0</v>
      </c>
      <c r="B492" s="12">
        <v>10.0</v>
      </c>
      <c r="C492" s="12">
        <v>11.0</v>
      </c>
      <c r="D492" s="12">
        <v>1003387.0</v>
      </c>
      <c r="E492" s="12">
        <v>5.0</v>
      </c>
      <c r="F492" s="12">
        <v>0.94</v>
      </c>
      <c r="G492" s="12">
        <v>10.0</v>
      </c>
      <c r="H492" s="12" t="s">
        <v>10</v>
      </c>
      <c r="I492" s="12">
        <f>sumıf(Sales!B:B,D492,Sales!G:G)</f>
        <v>139.31</v>
      </c>
    </row>
    <row r="493">
      <c r="A493" s="12">
        <v>2021.0</v>
      </c>
      <c r="B493" s="12">
        <v>10.0</v>
      </c>
      <c r="C493" s="12">
        <v>11.0</v>
      </c>
      <c r="D493" s="12">
        <v>1003555.0</v>
      </c>
      <c r="E493" s="12">
        <v>4.0</v>
      </c>
      <c r="F493" s="12">
        <v>0.0</v>
      </c>
      <c r="G493" s="12">
        <v>0.0</v>
      </c>
      <c r="H493" s="12" t="s">
        <v>10</v>
      </c>
      <c r="I493" s="12">
        <f>sumıf(Sales!B:B,D493,Sales!G:G)</f>
        <v>43.72</v>
      </c>
    </row>
    <row r="494">
      <c r="A494" s="12">
        <v>2021.0</v>
      </c>
      <c r="B494" s="12">
        <v>10.0</v>
      </c>
      <c r="C494" s="12">
        <v>11.0</v>
      </c>
      <c r="D494" s="12">
        <v>1003526.0</v>
      </c>
      <c r="E494" s="12">
        <v>2.0</v>
      </c>
      <c r="F494" s="12">
        <v>0.0</v>
      </c>
      <c r="G494" s="12">
        <v>0.0</v>
      </c>
      <c r="H494" s="12" t="s">
        <v>11</v>
      </c>
      <c r="I494" s="12">
        <f>sumıf(Sales!B:B,D494,Sales!G:G)</f>
        <v>63.13</v>
      </c>
    </row>
    <row r="495">
      <c r="A495" s="12">
        <v>2021.0</v>
      </c>
      <c r="B495" s="12">
        <v>10.0</v>
      </c>
      <c r="C495" s="12">
        <v>11.0</v>
      </c>
      <c r="D495" s="12">
        <v>1003663.0</v>
      </c>
      <c r="E495" s="12">
        <v>11.0</v>
      </c>
      <c r="F495" s="12">
        <v>0.0</v>
      </c>
      <c r="G495" s="12">
        <v>0.0</v>
      </c>
      <c r="H495" s="12" t="s">
        <v>11</v>
      </c>
      <c r="I495" s="12">
        <f>sumıf(Sales!B:B,D495,Sales!G:G)</f>
        <v>60.45</v>
      </c>
    </row>
    <row r="496">
      <c r="A496" s="12">
        <v>2021.0</v>
      </c>
      <c r="B496" s="12">
        <v>10.0</v>
      </c>
      <c r="C496" s="12">
        <v>11.0</v>
      </c>
      <c r="D496" s="12">
        <v>1003953.0</v>
      </c>
      <c r="E496" s="12">
        <v>16.0</v>
      </c>
      <c r="F496" s="12">
        <v>0.0</v>
      </c>
      <c r="G496" s="12">
        <v>7.0</v>
      </c>
      <c r="H496" s="12" t="s">
        <v>12</v>
      </c>
      <c r="I496" s="12">
        <f>sumıf(Sales!B:B,D496,Sales!G:G)</f>
        <v>56.73</v>
      </c>
    </row>
    <row r="497">
      <c r="A497" s="12">
        <v>2021.0</v>
      </c>
      <c r="B497" s="12">
        <v>10.0</v>
      </c>
      <c r="C497" s="12">
        <v>11.0</v>
      </c>
      <c r="D497" s="12">
        <v>1003383.0</v>
      </c>
      <c r="E497" s="12">
        <v>1.0</v>
      </c>
      <c r="F497" s="12">
        <v>0.0</v>
      </c>
      <c r="G497" s="12">
        <v>0.0</v>
      </c>
      <c r="H497" s="12" t="s">
        <v>11</v>
      </c>
      <c r="I497" s="12">
        <f>sumıf(Sales!B:B,D497,Sales!G:G)</f>
        <v>84.87</v>
      </c>
    </row>
    <row r="498">
      <c r="A498" s="12">
        <v>2021.0</v>
      </c>
      <c r="B498" s="12">
        <v>10.0</v>
      </c>
      <c r="C498" s="12">
        <v>11.0</v>
      </c>
      <c r="D498" s="12">
        <v>1003566.0</v>
      </c>
      <c r="E498" s="12">
        <v>6.0</v>
      </c>
      <c r="F498" s="12">
        <v>0.0</v>
      </c>
      <c r="G498" s="12">
        <v>0.0</v>
      </c>
      <c r="H498" s="12" t="s">
        <v>11</v>
      </c>
      <c r="I498" s="12">
        <f>sumıf(Sales!B:B,D498,Sales!G:G)</f>
        <v>183.49</v>
      </c>
    </row>
    <row r="499">
      <c r="A499" s="12">
        <v>2021.0</v>
      </c>
      <c r="B499" s="12">
        <v>10.0</v>
      </c>
      <c r="C499" s="12">
        <v>11.0</v>
      </c>
      <c r="D499" s="12">
        <v>1003599.0</v>
      </c>
      <c r="E499" s="12">
        <v>10.0</v>
      </c>
      <c r="F499" s="12">
        <v>0.0</v>
      </c>
      <c r="G499" s="12">
        <v>0.0</v>
      </c>
      <c r="H499" s="12" t="s">
        <v>11</v>
      </c>
      <c r="I499" s="12">
        <f>sumıf(Sales!B:B,D499,Sales!G:G)</f>
        <v>27.04</v>
      </c>
    </row>
    <row r="500">
      <c r="A500" s="12">
        <v>2021.0</v>
      </c>
      <c r="B500" s="12">
        <v>10.0</v>
      </c>
      <c r="C500" s="12">
        <v>11.0</v>
      </c>
      <c r="D500" s="12">
        <v>1003543.0</v>
      </c>
      <c r="E500" s="12">
        <v>16.0</v>
      </c>
      <c r="F500" s="12">
        <v>9.38</v>
      </c>
      <c r="G500" s="12">
        <v>0.0</v>
      </c>
      <c r="H500" s="12" t="s">
        <v>12</v>
      </c>
      <c r="I500" s="12">
        <f>sumıf(Sales!B:B,D500,Sales!G:G)</f>
        <v>32.37</v>
      </c>
    </row>
    <row r="501">
      <c r="A501" s="12">
        <v>2021.0</v>
      </c>
      <c r="B501" s="12">
        <v>10.0</v>
      </c>
      <c r="C501" s="12">
        <v>11.0</v>
      </c>
      <c r="D501" s="12">
        <v>1003336.0</v>
      </c>
      <c r="E501" s="12">
        <v>3.0</v>
      </c>
      <c r="F501" s="12">
        <v>0.0</v>
      </c>
      <c r="G501" s="12">
        <v>0.0</v>
      </c>
      <c r="H501" s="12" t="s">
        <v>12</v>
      </c>
      <c r="I501" s="12">
        <f>sumıf(Sales!B:B,D501,Sales!G:G)</f>
        <v>85.57</v>
      </c>
    </row>
    <row r="502">
      <c r="A502" s="12">
        <v>2021.0</v>
      </c>
      <c r="B502" s="12">
        <v>10.0</v>
      </c>
      <c r="C502" s="12">
        <v>11.0</v>
      </c>
      <c r="D502" s="12">
        <v>1003799.0</v>
      </c>
      <c r="E502" s="12">
        <v>18.0</v>
      </c>
      <c r="F502" s="12">
        <v>0.0</v>
      </c>
      <c r="G502" s="12">
        <v>0.0</v>
      </c>
      <c r="H502" s="12" t="s">
        <v>12</v>
      </c>
      <c r="I502" s="12">
        <f>sumıf(Sales!B:B,D502,Sales!G:G)</f>
        <v>19.16</v>
      </c>
    </row>
    <row r="503">
      <c r="A503" s="12">
        <v>2021.0</v>
      </c>
      <c r="B503" s="12">
        <v>10.0</v>
      </c>
      <c r="C503" s="12">
        <v>11.0</v>
      </c>
      <c r="D503" s="12">
        <v>1003829.0</v>
      </c>
      <c r="E503" s="12">
        <v>16.0</v>
      </c>
      <c r="F503" s="12">
        <v>0.0</v>
      </c>
      <c r="G503" s="12">
        <v>5.0</v>
      </c>
      <c r="H503" s="12" t="s">
        <v>10</v>
      </c>
      <c r="I503" s="12">
        <f>sumıf(Sales!B:B,D503,Sales!G:G)</f>
        <v>32.21</v>
      </c>
    </row>
    <row r="504">
      <c r="A504" s="12">
        <v>2021.0</v>
      </c>
      <c r="B504" s="12">
        <v>10.0</v>
      </c>
      <c r="C504" s="12">
        <v>11.0</v>
      </c>
      <c r="D504" s="12">
        <v>1003801.0</v>
      </c>
      <c r="E504" s="12">
        <v>3.0</v>
      </c>
      <c r="F504" s="12">
        <v>0.0</v>
      </c>
      <c r="G504" s="12">
        <v>0.0</v>
      </c>
      <c r="H504" s="12" t="s">
        <v>11</v>
      </c>
      <c r="I504" s="12">
        <f>sumıf(Sales!B:B,D504,Sales!G:G)</f>
        <v>34.99</v>
      </c>
    </row>
    <row r="505">
      <c r="A505" s="12">
        <v>2021.0</v>
      </c>
      <c r="B505" s="12">
        <v>10.0</v>
      </c>
      <c r="C505" s="12">
        <v>11.0</v>
      </c>
      <c r="D505" s="12">
        <v>1003332.0</v>
      </c>
      <c r="E505" s="12">
        <v>7.0</v>
      </c>
      <c r="F505" s="12">
        <v>0.0</v>
      </c>
      <c r="G505" s="12">
        <v>0.0</v>
      </c>
      <c r="H505" s="12" t="s">
        <v>11</v>
      </c>
      <c r="I505" s="12">
        <f>sumıf(Sales!B:B,D505,Sales!G:G)</f>
        <v>34.99</v>
      </c>
    </row>
    <row r="506">
      <c r="A506" s="12">
        <v>2021.0</v>
      </c>
      <c r="B506" s="12">
        <v>10.0</v>
      </c>
      <c r="C506" s="12">
        <v>11.0</v>
      </c>
      <c r="D506" s="12">
        <v>1003854.0</v>
      </c>
      <c r="E506" s="12">
        <v>12.0</v>
      </c>
      <c r="F506" s="12">
        <v>0.0</v>
      </c>
      <c r="G506" s="12">
        <v>5.0</v>
      </c>
      <c r="H506" s="12" t="s">
        <v>12</v>
      </c>
      <c r="I506" s="12">
        <f>sumıf(Sales!B:B,D506,Sales!G:G)</f>
        <v>61.15</v>
      </c>
    </row>
    <row r="507">
      <c r="A507" s="12">
        <v>2021.0</v>
      </c>
      <c r="B507" s="12">
        <v>10.0</v>
      </c>
      <c r="C507" s="12">
        <v>11.0</v>
      </c>
      <c r="D507" s="12">
        <v>1003299.0</v>
      </c>
      <c r="E507" s="12">
        <v>3.0</v>
      </c>
      <c r="F507" s="12">
        <v>0.0</v>
      </c>
      <c r="G507" s="12">
        <v>0.0</v>
      </c>
      <c r="H507" s="12" t="s">
        <v>12</v>
      </c>
      <c r="I507" s="12">
        <f>sumıf(Sales!B:B,D507,Sales!G:G)</f>
        <v>101.33</v>
      </c>
    </row>
    <row r="508">
      <c r="A508" s="12">
        <v>2021.0</v>
      </c>
      <c r="B508" s="12">
        <v>10.0</v>
      </c>
      <c r="C508" s="12">
        <v>11.0</v>
      </c>
      <c r="D508" s="12">
        <v>1003503.0</v>
      </c>
      <c r="E508" s="12">
        <v>2.0</v>
      </c>
      <c r="F508" s="12">
        <v>0.0</v>
      </c>
      <c r="G508" s="12">
        <v>0.0</v>
      </c>
      <c r="H508" s="12" t="s">
        <v>10</v>
      </c>
      <c r="I508" s="12">
        <f>sumıf(Sales!B:B,D508,Sales!G:G)</f>
        <v>80.97</v>
      </c>
    </row>
    <row r="509">
      <c r="A509" s="12">
        <v>2021.0</v>
      </c>
      <c r="B509" s="12">
        <v>10.0</v>
      </c>
      <c r="C509" s="12">
        <v>11.0</v>
      </c>
      <c r="D509" s="12">
        <v>1003964.0</v>
      </c>
      <c r="E509" s="12">
        <v>3.0</v>
      </c>
      <c r="F509" s="12">
        <v>0.0</v>
      </c>
      <c r="G509" s="12">
        <v>0.0</v>
      </c>
      <c r="H509" s="12" t="s">
        <v>12</v>
      </c>
      <c r="I509" s="12">
        <f>sumıf(Sales!B:B,D509,Sales!G:G)</f>
        <v>114.95</v>
      </c>
    </row>
    <row r="510">
      <c r="A510" s="12">
        <v>2021.0</v>
      </c>
      <c r="B510" s="12">
        <v>10.0</v>
      </c>
      <c r="C510" s="12">
        <v>11.0</v>
      </c>
      <c r="D510" s="12">
        <v>1003881.0</v>
      </c>
      <c r="E510" s="12">
        <v>1.0</v>
      </c>
      <c r="F510" s="12">
        <v>0.0</v>
      </c>
      <c r="G510" s="12">
        <v>0.0</v>
      </c>
      <c r="H510" s="12" t="s">
        <v>11</v>
      </c>
      <c r="I510" s="12">
        <f>sumıf(Sales!B:B,D510,Sales!G:G)</f>
        <v>96.06</v>
      </c>
    </row>
    <row r="511">
      <c r="A511" s="12">
        <v>2021.0</v>
      </c>
      <c r="B511" s="12">
        <v>10.0</v>
      </c>
      <c r="C511" s="12">
        <v>11.0</v>
      </c>
      <c r="D511" s="12">
        <v>1003514.0</v>
      </c>
      <c r="E511" s="12">
        <v>8.0</v>
      </c>
      <c r="F511" s="12">
        <v>0.0</v>
      </c>
      <c r="G511" s="12">
        <v>0.0</v>
      </c>
      <c r="H511" s="12" t="s">
        <v>10</v>
      </c>
      <c r="I511" s="12">
        <f>sumıf(Sales!B:B,D511,Sales!G:G)</f>
        <v>157.57</v>
      </c>
    </row>
    <row r="512">
      <c r="A512" s="12">
        <v>2021.0</v>
      </c>
      <c r="B512" s="12">
        <v>10.0</v>
      </c>
      <c r="C512" s="12">
        <v>11.0</v>
      </c>
      <c r="D512" s="12">
        <v>1003609.0</v>
      </c>
      <c r="E512" s="12">
        <v>1.0</v>
      </c>
      <c r="F512" s="12">
        <v>0.0</v>
      </c>
      <c r="G512" s="12">
        <v>0.0</v>
      </c>
      <c r="H512" s="12" t="s">
        <v>11</v>
      </c>
      <c r="I512" s="12">
        <f>sumıf(Sales!B:B,D512,Sales!G:G)</f>
        <v>44.13</v>
      </c>
    </row>
    <row r="513">
      <c r="A513" s="12">
        <v>2021.0</v>
      </c>
      <c r="B513" s="12">
        <v>10.0</v>
      </c>
      <c r="C513" s="12">
        <v>11.0</v>
      </c>
      <c r="D513" s="12">
        <v>1003473.0</v>
      </c>
      <c r="E513" s="12">
        <v>2.0</v>
      </c>
      <c r="F513" s="12">
        <v>0.0</v>
      </c>
      <c r="G513" s="12">
        <v>0.0</v>
      </c>
      <c r="H513" s="12" t="s">
        <v>11</v>
      </c>
      <c r="I513" s="12">
        <f>sumıf(Sales!B:B,D513,Sales!G:G)</f>
        <v>37.12</v>
      </c>
    </row>
    <row r="514">
      <c r="A514" s="12">
        <v>2021.0</v>
      </c>
      <c r="B514" s="12">
        <v>10.0</v>
      </c>
      <c r="C514" s="12">
        <v>11.0</v>
      </c>
      <c r="D514" s="12">
        <v>1003532.0</v>
      </c>
      <c r="E514" s="12">
        <v>20.0</v>
      </c>
      <c r="F514" s="12">
        <v>0.0</v>
      </c>
      <c r="G514" s="12">
        <v>0.0</v>
      </c>
      <c r="H514" s="12" t="s">
        <v>10</v>
      </c>
      <c r="I514" s="12">
        <f>sumıf(Sales!B:B,D514,Sales!G:G)</f>
        <v>68.6</v>
      </c>
    </row>
    <row r="515">
      <c r="A515" s="12">
        <v>2021.0</v>
      </c>
      <c r="B515" s="12">
        <v>10.0</v>
      </c>
      <c r="C515" s="12">
        <v>11.0</v>
      </c>
      <c r="D515" s="12">
        <v>1003346.0</v>
      </c>
      <c r="E515" s="12">
        <v>6.0</v>
      </c>
      <c r="F515" s="12">
        <v>9.15</v>
      </c>
      <c r="G515" s="12">
        <v>0.0</v>
      </c>
      <c r="H515" s="12" t="s">
        <v>12</v>
      </c>
      <c r="I515" s="12">
        <f>sumıf(Sales!B:B,D515,Sales!G:G)</f>
        <v>36.84</v>
      </c>
    </row>
    <row r="516">
      <c r="A516" s="12">
        <v>2021.0</v>
      </c>
      <c r="B516" s="12">
        <v>10.0</v>
      </c>
      <c r="C516" s="12">
        <v>11.0</v>
      </c>
      <c r="D516" s="12">
        <v>1003420.0</v>
      </c>
      <c r="E516" s="12">
        <v>1.0</v>
      </c>
      <c r="F516" s="12">
        <v>0.0</v>
      </c>
      <c r="G516" s="12">
        <v>0.0</v>
      </c>
      <c r="H516" s="12" t="s">
        <v>10</v>
      </c>
      <c r="I516" s="12">
        <f>sumıf(Sales!B:B,D516,Sales!G:G)</f>
        <v>89.34</v>
      </c>
    </row>
    <row r="517">
      <c r="A517" s="12">
        <v>2021.0</v>
      </c>
      <c r="B517" s="12">
        <v>10.0</v>
      </c>
      <c r="C517" s="12">
        <v>11.0</v>
      </c>
      <c r="D517" s="12">
        <v>1003717.0</v>
      </c>
      <c r="E517" s="13">
        <v>0.4705142440133121</v>
      </c>
      <c r="F517" s="12">
        <v>0.0</v>
      </c>
      <c r="G517" s="12">
        <v>0.0</v>
      </c>
      <c r="H517" s="12" t="s">
        <v>12</v>
      </c>
      <c r="I517" s="12">
        <f>sumıf(Sales!B:B,D517,Sales!G:G)</f>
        <v>70.33</v>
      </c>
    </row>
    <row r="518">
      <c r="A518" s="12">
        <v>2021.0</v>
      </c>
      <c r="B518" s="12">
        <v>10.0</v>
      </c>
      <c r="C518" s="12">
        <v>12.0</v>
      </c>
      <c r="D518" s="12">
        <v>1003428.0</v>
      </c>
      <c r="E518" s="12">
        <v>12.0</v>
      </c>
      <c r="F518" s="12">
        <v>0.0</v>
      </c>
      <c r="G518" s="12">
        <v>0.0</v>
      </c>
      <c r="H518" s="12" t="s">
        <v>11</v>
      </c>
      <c r="I518" s="12">
        <f>sumıf(Sales!B:B,D518,Sales!G:G)</f>
        <v>98.23</v>
      </c>
    </row>
    <row r="519">
      <c r="A519" s="12">
        <v>2021.0</v>
      </c>
      <c r="B519" s="12">
        <v>10.0</v>
      </c>
      <c r="C519" s="12">
        <v>12.0</v>
      </c>
      <c r="D519" s="12">
        <v>1003649.0</v>
      </c>
      <c r="E519" s="12">
        <v>9.0</v>
      </c>
      <c r="F519" s="12">
        <v>0.0</v>
      </c>
      <c r="G519" s="12">
        <v>0.0</v>
      </c>
      <c r="H519" s="12" t="s">
        <v>12</v>
      </c>
      <c r="I519" s="12">
        <f>sumıf(Sales!B:B,D519,Sales!G:G)</f>
        <v>100.48</v>
      </c>
    </row>
    <row r="520">
      <c r="A520" s="12">
        <v>2021.0</v>
      </c>
      <c r="B520" s="12">
        <v>10.0</v>
      </c>
      <c r="C520" s="12">
        <v>12.0</v>
      </c>
      <c r="D520" s="12">
        <v>1003319.0</v>
      </c>
      <c r="E520" s="12">
        <v>7.0</v>
      </c>
      <c r="F520" s="12">
        <v>0.0</v>
      </c>
      <c r="G520" s="12">
        <v>10.0</v>
      </c>
      <c r="H520" s="12" t="s">
        <v>12</v>
      </c>
      <c r="I520" s="12">
        <f>sumıf(Sales!B:B,D520,Sales!G:G)</f>
        <v>77.86</v>
      </c>
    </row>
    <row r="521">
      <c r="A521" s="12">
        <v>2021.0</v>
      </c>
      <c r="B521" s="12">
        <v>10.0</v>
      </c>
      <c r="C521" s="12">
        <v>12.0</v>
      </c>
      <c r="D521" s="12">
        <v>1003313.0</v>
      </c>
      <c r="E521" s="12">
        <v>13.0</v>
      </c>
      <c r="F521" s="12">
        <v>0.0</v>
      </c>
      <c r="G521" s="12">
        <v>0.0</v>
      </c>
      <c r="H521" s="12" t="s">
        <v>12</v>
      </c>
      <c r="I521" s="12">
        <f>sumıf(Sales!B:B,D521,Sales!G:G)</f>
        <v>20.88</v>
      </c>
    </row>
    <row r="522">
      <c r="A522" s="12">
        <v>2021.0</v>
      </c>
      <c r="B522" s="12">
        <v>10.0</v>
      </c>
      <c r="C522" s="12">
        <v>12.0</v>
      </c>
      <c r="D522" s="12">
        <v>1003314.0</v>
      </c>
      <c r="E522" s="12">
        <v>20.0</v>
      </c>
      <c r="F522" s="12">
        <v>0.0</v>
      </c>
      <c r="G522" s="12">
        <v>0.0</v>
      </c>
      <c r="H522" s="12" t="s">
        <v>10</v>
      </c>
      <c r="I522" s="12">
        <f>sumıf(Sales!B:B,D522,Sales!G:G)</f>
        <v>73.67</v>
      </c>
    </row>
    <row r="523">
      <c r="A523" s="12">
        <v>2021.0</v>
      </c>
      <c r="B523" s="12">
        <v>10.0</v>
      </c>
      <c r="C523" s="12">
        <v>12.0</v>
      </c>
      <c r="D523" s="12">
        <v>1004016.0</v>
      </c>
      <c r="E523" s="12">
        <v>12.0</v>
      </c>
      <c r="F523" s="12">
        <v>0.0</v>
      </c>
      <c r="G523" s="12">
        <v>0.0</v>
      </c>
      <c r="H523" s="12" t="s">
        <v>12</v>
      </c>
      <c r="I523" s="12">
        <f>sumıf(Sales!B:B,D523,Sales!G:G)</f>
        <v>146.42</v>
      </c>
    </row>
    <row r="524">
      <c r="A524" s="12">
        <v>2021.0</v>
      </c>
      <c r="B524" s="12">
        <v>10.0</v>
      </c>
      <c r="C524" s="12">
        <v>12.0</v>
      </c>
      <c r="D524" s="12">
        <v>1003622.0</v>
      </c>
      <c r="E524" s="12">
        <v>14.0</v>
      </c>
      <c r="F524" s="12">
        <v>0.0</v>
      </c>
      <c r="G524" s="12">
        <v>0.0</v>
      </c>
      <c r="H524" s="12" t="s">
        <v>10</v>
      </c>
      <c r="I524" s="12">
        <f>sumıf(Sales!B:B,D524,Sales!G:G)</f>
        <v>64.81</v>
      </c>
    </row>
    <row r="525">
      <c r="A525" s="12">
        <v>2021.0</v>
      </c>
      <c r="B525" s="12">
        <v>10.0</v>
      </c>
      <c r="C525" s="12">
        <v>12.0</v>
      </c>
      <c r="D525" s="12">
        <v>1003958.0</v>
      </c>
      <c r="E525" s="12">
        <v>5.0</v>
      </c>
      <c r="F525" s="12">
        <v>0.0</v>
      </c>
      <c r="G525" s="12">
        <v>0.0</v>
      </c>
      <c r="H525" s="12" t="s">
        <v>11</v>
      </c>
      <c r="I525" s="12">
        <f>sumıf(Sales!B:B,D525,Sales!G:G)</f>
        <v>40.35</v>
      </c>
    </row>
    <row r="526">
      <c r="A526" s="12">
        <v>2021.0</v>
      </c>
      <c r="B526" s="12">
        <v>10.0</v>
      </c>
      <c r="C526" s="12">
        <v>12.0</v>
      </c>
      <c r="D526" s="12">
        <v>1003517.0</v>
      </c>
      <c r="E526" s="12">
        <v>16.0</v>
      </c>
      <c r="F526" s="12">
        <v>3.7</v>
      </c>
      <c r="G526" s="12">
        <v>0.0</v>
      </c>
      <c r="H526" s="12" t="s">
        <v>11</v>
      </c>
      <c r="I526" s="12">
        <f>sumıf(Sales!B:B,D526,Sales!G:G)</f>
        <v>98.23</v>
      </c>
    </row>
    <row r="527">
      <c r="A527" s="12">
        <v>2021.0</v>
      </c>
      <c r="B527" s="12">
        <v>10.0</v>
      </c>
      <c r="C527" s="12">
        <v>12.0</v>
      </c>
      <c r="D527" s="12">
        <v>1003524.0</v>
      </c>
      <c r="E527" s="12">
        <v>1.0</v>
      </c>
      <c r="F527" s="12">
        <v>0.0</v>
      </c>
      <c r="G527" s="12">
        <v>3.68</v>
      </c>
      <c r="H527" s="12" t="s">
        <v>12</v>
      </c>
      <c r="I527" s="12">
        <f>sumıf(Sales!B:B,D527,Sales!G:G)</f>
        <v>72.35</v>
      </c>
    </row>
    <row r="528">
      <c r="A528" s="12">
        <v>2021.0</v>
      </c>
      <c r="B528" s="12">
        <v>10.0</v>
      </c>
      <c r="C528" s="12">
        <v>12.0</v>
      </c>
      <c r="D528" s="12">
        <v>1003505.0</v>
      </c>
      <c r="E528" s="12">
        <v>1.0</v>
      </c>
      <c r="F528" s="12">
        <v>3.7</v>
      </c>
      <c r="G528" s="12">
        <v>8.0</v>
      </c>
      <c r="H528" s="12" t="s">
        <v>11</v>
      </c>
      <c r="I528" s="12">
        <f>sumıf(Sales!B:B,D528,Sales!G:G)</f>
        <v>49.12</v>
      </c>
    </row>
    <row r="529">
      <c r="A529" s="12">
        <v>2021.0</v>
      </c>
      <c r="B529" s="12">
        <v>10.0</v>
      </c>
      <c r="C529" s="12">
        <v>12.0</v>
      </c>
      <c r="D529" s="12">
        <v>1003388.0</v>
      </c>
      <c r="E529" s="12">
        <v>17.0</v>
      </c>
      <c r="F529" s="12">
        <v>0.0</v>
      </c>
      <c r="G529" s="12">
        <v>5.0</v>
      </c>
      <c r="H529" s="12" t="s">
        <v>12</v>
      </c>
      <c r="I529" s="12">
        <f>sumıf(Sales!B:B,D529,Sales!G:G)</f>
        <v>28.98</v>
      </c>
    </row>
    <row r="530">
      <c r="A530" s="12">
        <v>2021.0</v>
      </c>
      <c r="B530" s="12">
        <v>10.0</v>
      </c>
      <c r="C530" s="12">
        <v>12.0</v>
      </c>
      <c r="D530" s="12">
        <v>1003732.0</v>
      </c>
      <c r="E530" s="12">
        <v>8.0</v>
      </c>
      <c r="F530" s="12">
        <v>0.0</v>
      </c>
      <c r="G530" s="12">
        <v>0.0</v>
      </c>
      <c r="H530" s="12" t="s">
        <v>10</v>
      </c>
      <c r="I530" s="12">
        <f>sumıf(Sales!B:B,D530,Sales!G:G)</f>
        <v>37.82</v>
      </c>
    </row>
    <row r="531">
      <c r="A531" s="12">
        <v>2021.0</v>
      </c>
      <c r="B531" s="12">
        <v>10.0</v>
      </c>
      <c r="C531" s="12">
        <v>12.0</v>
      </c>
      <c r="D531" s="12">
        <v>1003545.0</v>
      </c>
      <c r="E531" s="13">
        <v>0.33776805225388906</v>
      </c>
      <c r="F531" s="12">
        <v>0.0</v>
      </c>
      <c r="G531" s="12">
        <v>0.0</v>
      </c>
      <c r="H531" s="12" t="s">
        <v>11</v>
      </c>
      <c r="I531" s="12">
        <f>sumıf(Sales!B:B,D531,Sales!G:G)</f>
        <v>56.86</v>
      </c>
    </row>
    <row r="532">
      <c r="A532" s="12">
        <v>2021.0</v>
      </c>
      <c r="B532" s="12">
        <v>10.0</v>
      </c>
      <c r="C532" s="12">
        <v>12.0</v>
      </c>
      <c r="D532" s="12">
        <v>1003364.0</v>
      </c>
      <c r="E532" s="12">
        <v>1.0</v>
      </c>
      <c r="F532" s="12">
        <v>0.0</v>
      </c>
      <c r="G532" s="12">
        <v>0.0</v>
      </c>
      <c r="H532" s="12" t="s">
        <v>10</v>
      </c>
      <c r="I532" s="12">
        <f>sumıf(Sales!B:B,D532,Sales!G:G)</f>
        <v>71.25</v>
      </c>
    </row>
    <row r="533">
      <c r="A533" s="12">
        <v>2021.0</v>
      </c>
      <c r="B533" s="12">
        <v>10.0</v>
      </c>
      <c r="C533" s="12">
        <v>12.0</v>
      </c>
      <c r="D533" s="12">
        <v>1003576.0</v>
      </c>
      <c r="E533" s="12">
        <v>3.0</v>
      </c>
      <c r="F533" s="12">
        <v>0.0</v>
      </c>
      <c r="G533" s="12">
        <v>0.0</v>
      </c>
      <c r="H533" s="12" t="s">
        <v>12</v>
      </c>
      <c r="I533" s="12">
        <f>sumıf(Sales!B:B,D533,Sales!G:G)</f>
        <v>132.78</v>
      </c>
    </row>
    <row r="534">
      <c r="A534" s="12">
        <v>2021.0</v>
      </c>
      <c r="B534" s="12">
        <v>10.0</v>
      </c>
      <c r="C534" s="12">
        <v>12.0</v>
      </c>
      <c r="D534" s="12">
        <v>1003323.0</v>
      </c>
      <c r="E534" s="12">
        <v>1.0</v>
      </c>
      <c r="F534" s="12">
        <v>0.0</v>
      </c>
      <c r="G534" s="12">
        <v>0.0</v>
      </c>
      <c r="H534" s="12" t="s">
        <v>12</v>
      </c>
      <c r="I534" s="12">
        <f>sumıf(Sales!B:B,D534,Sales!G:G)</f>
        <v>5.67</v>
      </c>
    </row>
    <row r="535">
      <c r="A535" s="12">
        <v>2021.0</v>
      </c>
      <c r="B535" s="12">
        <v>10.0</v>
      </c>
      <c r="C535" s="12">
        <v>12.0</v>
      </c>
      <c r="D535" s="12">
        <v>1003537.0</v>
      </c>
      <c r="E535" s="12">
        <v>3.0</v>
      </c>
      <c r="F535" s="12">
        <v>0.0</v>
      </c>
      <c r="G535" s="12">
        <v>10.0</v>
      </c>
      <c r="H535" s="12" t="s">
        <v>11</v>
      </c>
      <c r="I535" s="12">
        <f>sumıf(Sales!B:B,D535,Sales!G:G)</f>
        <v>59.56</v>
      </c>
    </row>
    <row r="536">
      <c r="A536" s="12">
        <v>2021.0</v>
      </c>
      <c r="B536" s="12">
        <v>10.0</v>
      </c>
      <c r="C536" s="12">
        <v>12.0</v>
      </c>
      <c r="D536" s="12">
        <v>1003624.0</v>
      </c>
      <c r="E536" s="12">
        <v>1.0</v>
      </c>
      <c r="F536" s="12">
        <v>0.0</v>
      </c>
      <c r="G536" s="12">
        <v>0.0</v>
      </c>
      <c r="H536" s="12" t="s">
        <v>12</v>
      </c>
      <c r="I536" s="12">
        <f>sumıf(Sales!B:B,D536,Sales!G:G)</f>
        <v>35.39</v>
      </c>
    </row>
    <row r="537">
      <c r="A537" s="12">
        <v>2021.0</v>
      </c>
      <c r="B537" s="12">
        <v>10.0</v>
      </c>
      <c r="C537" s="12">
        <v>12.0</v>
      </c>
      <c r="D537" s="12">
        <v>1003544.0</v>
      </c>
      <c r="E537" s="12">
        <v>2.0</v>
      </c>
      <c r="F537" s="12">
        <v>0.0</v>
      </c>
      <c r="G537" s="12">
        <v>6.0</v>
      </c>
      <c r="H537" s="12" t="s">
        <v>11</v>
      </c>
      <c r="I537" s="12">
        <f>sumıf(Sales!B:B,D537,Sales!G:G)</f>
        <v>53.69</v>
      </c>
    </row>
    <row r="538">
      <c r="A538" s="12">
        <v>2021.0</v>
      </c>
      <c r="B538" s="12">
        <v>10.0</v>
      </c>
      <c r="C538" s="12">
        <v>12.0</v>
      </c>
      <c r="D538" s="12">
        <v>1003350.0</v>
      </c>
      <c r="E538" s="12">
        <v>19.0</v>
      </c>
      <c r="F538" s="12">
        <v>0.0</v>
      </c>
      <c r="G538" s="12">
        <v>0.0</v>
      </c>
      <c r="H538" s="12" t="s">
        <v>10</v>
      </c>
      <c r="I538" s="12">
        <f>sumıf(Sales!B:B,D538,Sales!G:G)</f>
        <v>34.26</v>
      </c>
    </row>
    <row r="539">
      <c r="A539" s="12">
        <v>2021.0</v>
      </c>
      <c r="B539" s="12">
        <v>10.0</v>
      </c>
      <c r="C539" s="12">
        <v>12.0</v>
      </c>
      <c r="D539" s="12">
        <v>1003616.0</v>
      </c>
      <c r="E539" s="12">
        <v>4.0</v>
      </c>
      <c r="F539" s="12">
        <v>0.0</v>
      </c>
      <c r="G539" s="12">
        <v>10.0</v>
      </c>
      <c r="H539" s="12" t="s">
        <v>12</v>
      </c>
      <c r="I539" s="12">
        <f>sumıf(Sales!B:B,D539,Sales!G:G)</f>
        <v>71.99</v>
      </c>
    </row>
    <row r="540">
      <c r="A540" s="12">
        <v>2021.0</v>
      </c>
      <c r="B540" s="12">
        <v>10.0</v>
      </c>
      <c r="C540" s="12">
        <v>12.0</v>
      </c>
      <c r="D540" s="12">
        <v>1003977.0</v>
      </c>
      <c r="E540" s="12">
        <v>3.0</v>
      </c>
      <c r="F540" s="12">
        <v>3.25</v>
      </c>
      <c r="G540" s="12">
        <v>0.0</v>
      </c>
      <c r="H540" s="12" t="s">
        <v>12</v>
      </c>
      <c r="I540" s="12">
        <f>sumıf(Sales!B:B,D540,Sales!G:G)</f>
        <v>125.57</v>
      </c>
    </row>
    <row r="541">
      <c r="A541" s="12">
        <v>2021.0</v>
      </c>
      <c r="B541" s="12">
        <v>10.0</v>
      </c>
      <c r="C541" s="12">
        <v>12.0</v>
      </c>
      <c r="D541" s="12">
        <v>1003468.0</v>
      </c>
      <c r="E541" s="12">
        <v>13.0</v>
      </c>
      <c r="F541" s="12">
        <v>0.0</v>
      </c>
      <c r="G541" s="12">
        <v>0.0</v>
      </c>
      <c r="H541" s="12" t="s">
        <v>12</v>
      </c>
      <c r="I541" s="12">
        <f>sumıf(Sales!B:B,D541,Sales!G:G)</f>
        <v>27.92</v>
      </c>
    </row>
    <row r="542">
      <c r="A542" s="12">
        <v>2021.0</v>
      </c>
      <c r="B542" s="12">
        <v>10.0</v>
      </c>
      <c r="C542" s="12">
        <v>12.0</v>
      </c>
      <c r="D542" s="12">
        <v>1003748.0</v>
      </c>
      <c r="E542" s="12">
        <v>3.0</v>
      </c>
      <c r="F542" s="12">
        <v>0.0</v>
      </c>
      <c r="G542" s="12">
        <v>5.0</v>
      </c>
      <c r="H542" s="12" t="s">
        <v>12</v>
      </c>
      <c r="I542" s="12">
        <f>sumıf(Sales!B:B,D542,Sales!G:G)</f>
        <v>82.81</v>
      </c>
    </row>
    <row r="543">
      <c r="A543" s="12">
        <v>2021.0</v>
      </c>
      <c r="B543" s="12">
        <v>10.0</v>
      </c>
      <c r="C543" s="12">
        <v>12.0</v>
      </c>
      <c r="D543" s="12">
        <v>1003411.0</v>
      </c>
      <c r="E543" s="12">
        <v>4.0</v>
      </c>
      <c r="F543" s="12">
        <v>0.0</v>
      </c>
      <c r="G543" s="12">
        <v>0.0</v>
      </c>
      <c r="H543" s="12" t="s">
        <v>11</v>
      </c>
      <c r="I543" s="12">
        <f>sumıf(Sales!B:B,D543,Sales!G:G)</f>
        <v>49.11</v>
      </c>
    </row>
    <row r="544">
      <c r="A544" s="12">
        <v>2021.0</v>
      </c>
      <c r="B544" s="12">
        <v>10.0</v>
      </c>
      <c r="C544" s="12">
        <v>12.0</v>
      </c>
      <c r="D544" s="12">
        <v>1003790.0</v>
      </c>
      <c r="E544" s="12">
        <v>12.0</v>
      </c>
      <c r="F544" s="12">
        <v>0.0</v>
      </c>
      <c r="G544" s="12">
        <v>0.0</v>
      </c>
      <c r="H544" s="12" t="s">
        <v>12</v>
      </c>
      <c r="I544" s="12">
        <f>sumıf(Sales!B:B,D544,Sales!G:G)</f>
        <v>196.63</v>
      </c>
    </row>
    <row r="545">
      <c r="A545" s="12">
        <v>2021.0</v>
      </c>
      <c r="B545" s="12">
        <v>10.0</v>
      </c>
      <c r="C545" s="12">
        <v>12.0</v>
      </c>
      <c r="D545" s="12">
        <v>1003283.0</v>
      </c>
      <c r="E545" s="12">
        <v>3.0</v>
      </c>
      <c r="F545" s="12">
        <v>0.0</v>
      </c>
      <c r="G545" s="12">
        <v>0.0</v>
      </c>
      <c r="H545" s="12" t="s">
        <v>10</v>
      </c>
      <c r="I545" s="12">
        <f>sumıf(Sales!B:B,D545,Sales!G:G)</f>
        <v>20.14</v>
      </c>
    </row>
    <row r="546">
      <c r="A546" s="12">
        <v>2021.0</v>
      </c>
      <c r="B546" s="12">
        <v>10.0</v>
      </c>
      <c r="C546" s="12">
        <v>12.0</v>
      </c>
      <c r="D546" s="12">
        <v>1003358.0</v>
      </c>
      <c r="E546" s="12">
        <v>3.0</v>
      </c>
      <c r="F546" s="12">
        <v>0.0</v>
      </c>
      <c r="G546" s="12">
        <v>0.0</v>
      </c>
      <c r="H546" s="12" t="s">
        <v>12</v>
      </c>
      <c r="I546" s="12">
        <f>sumıf(Sales!B:B,D546,Sales!G:G)</f>
        <v>59.17</v>
      </c>
    </row>
    <row r="547">
      <c r="A547" s="12">
        <v>2021.0</v>
      </c>
      <c r="B547" s="12">
        <v>10.0</v>
      </c>
      <c r="C547" s="12">
        <v>12.0</v>
      </c>
      <c r="D547" s="12">
        <v>1003401.0</v>
      </c>
      <c r="E547" s="12">
        <v>13.0</v>
      </c>
      <c r="F547" s="12">
        <v>0.0</v>
      </c>
      <c r="G547" s="12">
        <v>0.0</v>
      </c>
      <c r="H547" s="12" t="s">
        <v>12</v>
      </c>
      <c r="I547" s="12">
        <f>sumıf(Sales!B:B,D547,Sales!G:G)</f>
        <v>40.45</v>
      </c>
    </row>
    <row r="548">
      <c r="A548" s="12">
        <v>2021.0</v>
      </c>
      <c r="B548" s="12">
        <v>10.0</v>
      </c>
      <c r="C548" s="12">
        <v>12.0</v>
      </c>
      <c r="D548" s="12">
        <v>1003786.0</v>
      </c>
      <c r="E548" s="12">
        <v>1.0</v>
      </c>
      <c r="F548" s="12">
        <v>0.0</v>
      </c>
      <c r="G548" s="12">
        <v>5.0</v>
      </c>
      <c r="H548" s="12" t="s">
        <v>12</v>
      </c>
      <c r="I548" s="12">
        <f>sumıf(Sales!B:B,D548,Sales!G:G)</f>
        <v>76.08</v>
      </c>
    </row>
    <row r="549">
      <c r="A549" s="12">
        <v>2021.0</v>
      </c>
      <c r="B549" s="12">
        <v>10.0</v>
      </c>
      <c r="C549" s="12">
        <v>12.0</v>
      </c>
      <c r="D549" s="12">
        <v>1003923.0</v>
      </c>
      <c r="E549" s="12">
        <v>1.0</v>
      </c>
      <c r="F549" s="12">
        <v>0.0</v>
      </c>
      <c r="G549" s="12">
        <v>5.0</v>
      </c>
      <c r="H549" s="12" t="s">
        <v>10</v>
      </c>
      <c r="I549" s="12">
        <f>sumıf(Sales!B:B,D549,Sales!G:G)</f>
        <v>66.58</v>
      </c>
    </row>
    <row r="550">
      <c r="A550" s="12">
        <v>2021.0</v>
      </c>
      <c r="B550" s="12">
        <v>10.0</v>
      </c>
      <c r="C550" s="12">
        <v>12.0</v>
      </c>
      <c r="D550" s="12">
        <v>1003678.0</v>
      </c>
      <c r="E550" s="12">
        <v>4.0</v>
      </c>
      <c r="F550" s="12">
        <v>0.0</v>
      </c>
      <c r="G550" s="12">
        <v>0.0</v>
      </c>
      <c r="H550" s="12" t="s">
        <v>11</v>
      </c>
      <c r="I550" s="12">
        <f>sumıf(Sales!B:B,D550,Sales!G:G)</f>
        <v>12.67</v>
      </c>
    </row>
    <row r="551">
      <c r="A551" s="12">
        <v>2021.0</v>
      </c>
      <c r="B551" s="12">
        <v>10.0</v>
      </c>
      <c r="C551" s="12">
        <v>12.0</v>
      </c>
      <c r="D551" s="12">
        <v>1003891.0</v>
      </c>
      <c r="E551" s="12">
        <v>5.0</v>
      </c>
      <c r="F551" s="12">
        <v>0.0</v>
      </c>
      <c r="G551" s="12">
        <v>0.0</v>
      </c>
      <c r="H551" s="12" t="s">
        <v>10</v>
      </c>
      <c r="I551" s="12">
        <f>sumıf(Sales!B:B,D551,Sales!G:G)</f>
        <v>157.37</v>
      </c>
    </row>
    <row r="552">
      <c r="A552" s="12">
        <v>2021.0</v>
      </c>
      <c r="B552" s="12">
        <v>10.0</v>
      </c>
      <c r="C552" s="12">
        <v>12.0</v>
      </c>
      <c r="D552" s="12">
        <v>1003655.0</v>
      </c>
      <c r="E552" s="12">
        <v>4.0</v>
      </c>
      <c r="F552" s="12">
        <v>0.0</v>
      </c>
      <c r="G552" s="12">
        <v>10.0</v>
      </c>
      <c r="H552" s="12" t="s">
        <v>11</v>
      </c>
      <c r="I552" s="12">
        <f>sumıf(Sales!B:B,D552,Sales!G:G)</f>
        <v>37.85</v>
      </c>
    </row>
    <row r="553">
      <c r="A553" s="12">
        <v>2021.0</v>
      </c>
      <c r="B553" s="12">
        <v>10.0</v>
      </c>
      <c r="C553" s="12">
        <v>12.0</v>
      </c>
      <c r="D553" s="12">
        <v>1003372.0</v>
      </c>
      <c r="E553" s="12">
        <v>8.0</v>
      </c>
      <c r="F553" s="12">
        <v>0.0</v>
      </c>
      <c r="G553" s="12">
        <v>5.0</v>
      </c>
      <c r="H553" s="12" t="s">
        <v>12</v>
      </c>
      <c r="I553" s="12">
        <f>sumıf(Sales!B:B,D553,Sales!G:G)</f>
        <v>86.59</v>
      </c>
    </row>
    <row r="554">
      <c r="A554" s="12">
        <v>2021.0</v>
      </c>
      <c r="B554" s="12">
        <v>10.0</v>
      </c>
      <c r="C554" s="12">
        <v>12.0</v>
      </c>
      <c r="D554" s="12">
        <v>1003632.0</v>
      </c>
      <c r="E554" s="12">
        <v>5.0</v>
      </c>
      <c r="F554" s="12">
        <v>0.0</v>
      </c>
      <c r="G554" s="12">
        <v>0.0</v>
      </c>
      <c r="H554" s="12" t="s">
        <v>12</v>
      </c>
      <c r="I554" s="12">
        <f>sumıf(Sales!B:B,D554,Sales!G:G)</f>
        <v>31.94</v>
      </c>
    </row>
    <row r="555">
      <c r="A555" s="12">
        <v>2021.0</v>
      </c>
      <c r="B555" s="12">
        <v>10.0</v>
      </c>
      <c r="C555" s="12">
        <v>12.0</v>
      </c>
      <c r="D555" s="12">
        <v>1003758.0</v>
      </c>
      <c r="E555" s="12">
        <v>2.0</v>
      </c>
      <c r="F555" s="12">
        <v>0.89</v>
      </c>
      <c r="G555" s="12">
        <v>5.0</v>
      </c>
      <c r="H555" s="12" t="s">
        <v>12</v>
      </c>
      <c r="I555" s="12">
        <f>sumıf(Sales!B:B,D555,Sales!G:G)</f>
        <v>67.32</v>
      </c>
    </row>
    <row r="556">
      <c r="A556" s="12">
        <v>2021.0</v>
      </c>
      <c r="B556" s="12">
        <v>10.0</v>
      </c>
      <c r="C556" s="12">
        <v>12.0</v>
      </c>
      <c r="D556" s="12">
        <v>1003715.0</v>
      </c>
      <c r="E556" s="12">
        <v>8.0</v>
      </c>
      <c r="F556" s="12">
        <v>0.0</v>
      </c>
      <c r="G556" s="12">
        <v>0.0</v>
      </c>
      <c r="H556" s="12" t="s">
        <v>12</v>
      </c>
      <c r="I556" s="12">
        <f>sumıf(Sales!B:B,D556,Sales!G:G)</f>
        <v>37.94</v>
      </c>
    </row>
    <row r="557">
      <c r="A557" s="12">
        <v>2021.0</v>
      </c>
      <c r="B557" s="12">
        <v>10.0</v>
      </c>
      <c r="C557" s="12">
        <v>12.0</v>
      </c>
      <c r="D557" s="12">
        <v>1003335.0</v>
      </c>
      <c r="E557" s="12">
        <v>6.0</v>
      </c>
      <c r="F557" s="12">
        <v>0.85</v>
      </c>
      <c r="G557" s="12">
        <v>5.0</v>
      </c>
      <c r="H557" s="12" t="s">
        <v>12</v>
      </c>
      <c r="I557" s="12">
        <f>sumıf(Sales!B:B,D557,Sales!G:G)</f>
        <v>12.54</v>
      </c>
    </row>
    <row r="558">
      <c r="A558" s="12">
        <v>2021.0</v>
      </c>
      <c r="B558" s="12">
        <v>10.0</v>
      </c>
      <c r="C558" s="12">
        <v>12.0</v>
      </c>
      <c r="D558" s="12">
        <v>1003782.0</v>
      </c>
      <c r="E558" s="12">
        <v>3.0</v>
      </c>
      <c r="F558" s="12">
        <v>0.0</v>
      </c>
      <c r="G558" s="12">
        <v>0.0</v>
      </c>
      <c r="H558" s="12" t="s">
        <v>11</v>
      </c>
      <c r="I558" s="12">
        <f>sumıf(Sales!B:B,D558,Sales!G:G)</f>
        <v>86.07</v>
      </c>
    </row>
    <row r="559">
      <c r="A559" s="12">
        <v>2021.0</v>
      </c>
      <c r="B559" s="12">
        <v>10.0</v>
      </c>
      <c r="C559" s="12">
        <v>12.0</v>
      </c>
      <c r="D559" s="12">
        <v>1003533.0</v>
      </c>
      <c r="E559" s="12">
        <v>3.0</v>
      </c>
      <c r="F559" s="12">
        <v>0.0</v>
      </c>
      <c r="G559" s="12">
        <v>0.0</v>
      </c>
      <c r="H559" s="12" t="s">
        <v>12</v>
      </c>
      <c r="I559" s="12">
        <f>sumıf(Sales!B:B,D559,Sales!G:G)</f>
        <v>10.68</v>
      </c>
    </row>
    <row r="560">
      <c r="A560" s="12">
        <v>2021.0</v>
      </c>
      <c r="B560" s="12">
        <v>10.0</v>
      </c>
      <c r="C560" s="12">
        <v>12.0</v>
      </c>
      <c r="D560" s="12">
        <v>1003696.0</v>
      </c>
      <c r="E560" s="12">
        <v>4.0</v>
      </c>
      <c r="F560" s="12">
        <v>0.0</v>
      </c>
      <c r="G560" s="12">
        <v>0.0</v>
      </c>
      <c r="H560" s="12" t="s">
        <v>12</v>
      </c>
      <c r="I560" s="12">
        <f>sumıf(Sales!B:B,D560,Sales!G:G)</f>
        <v>15.75</v>
      </c>
    </row>
    <row r="561">
      <c r="A561" s="12">
        <v>2021.0</v>
      </c>
      <c r="B561" s="12">
        <v>10.0</v>
      </c>
      <c r="C561" s="12">
        <v>12.0</v>
      </c>
      <c r="D561" s="12">
        <v>1003611.0</v>
      </c>
      <c r="E561" s="12">
        <v>4.0</v>
      </c>
      <c r="F561" s="12">
        <v>0.0</v>
      </c>
      <c r="G561" s="12">
        <v>0.0</v>
      </c>
      <c r="H561" s="12" t="s">
        <v>10</v>
      </c>
      <c r="I561" s="12">
        <f>sumıf(Sales!B:B,D561,Sales!G:G)</f>
        <v>43.23</v>
      </c>
    </row>
    <row r="562">
      <c r="A562" s="12">
        <v>2021.0</v>
      </c>
      <c r="B562" s="12">
        <v>10.0</v>
      </c>
      <c r="C562" s="12">
        <v>12.0</v>
      </c>
      <c r="D562" s="12">
        <v>1003297.0</v>
      </c>
      <c r="E562" s="12">
        <v>7.0</v>
      </c>
      <c r="F562" s="12">
        <v>0.0</v>
      </c>
      <c r="G562" s="12">
        <v>5.0</v>
      </c>
      <c r="H562" s="12" t="s">
        <v>12</v>
      </c>
      <c r="I562" s="12">
        <f>sumıf(Sales!B:B,D562,Sales!G:G)</f>
        <v>12.24</v>
      </c>
    </row>
    <row r="563">
      <c r="A563" s="12">
        <v>2021.0</v>
      </c>
      <c r="B563" s="12">
        <v>10.0</v>
      </c>
      <c r="C563" s="12">
        <v>12.0</v>
      </c>
      <c r="D563" s="12">
        <v>1003939.0</v>
      </c>
      <c r="E563" s="12">
        <v>3.0</v>
      </c>
      <c r="F563" s="12">
        <v>0.95</v>
      </c>
      <c r="G563" s="12">
        <v>5.0</v>
      </c>
      <c r="H563" s="12" t="s">
        <v>10</v>
      </c>
      <c r="I563" s="12">
        <f>sumıf(Sales!B:B,D563,Sales!G:G)</f>
        <v>55.57</v>
      </c>
    </row>
    <row r="564">
      <c r="A564" s="12">
        <v>2021.0</v>
      </c>
      <c r="B564" s="12">
        <v>10.0</v>
      </c>
      <c r="C564" s="12">
        <v>12.0</v>
      </c>
      <c r="D564" s="12">
        <v>1003683.0</v>
      </c>
      <c r="E564" s="12">
        <v>5.0</v>
      </c>
      <c r="F564" s="12">
        <v>0.0</v>
      </c>
      <c r="G564" s="12">
        <v>0.0</v>
      </c>
      <c r="H564" s="12" t="s">
        <v>10</v>
      </c>
      <c r="I564" s="12">
        <f>sumıf(Sales!B:B,D564,Sales!G:G)</f>
        <v>61.6</v>
      </c>
    </row>
    <row r="565">
      <c r="A565" s="12">
        <v>2021.0</v>
      </c>
      <c r="B565" s="12">
        <v>10.0</v>
      </c>
      <c r="C565" s="12">
        <v>12.0</v>
      </c>
      <c r="D565" s="12">
        <v>1003783.0</v>
      </c>
      <c r="E565" s="12">
        <v>1.0</v>
      </c>
      <c r="F565" s="12">
        <v>0.0</v>
      </c>
      <c r="G565" s="12">
        <v>0.0</v>
      </c>
      <c r="H565" s="12" t="s">
        <v>12</v>
      </c>
      <c r="I565" s="12">
        <f>sumıf(Sales!B:B,D565,Sales!G:G)</f>
        <v>26.7</v>
      </c>
    </row>
    <row r="566">
      <c r="A566" s="12">
        <v>2021.0</v>
      </c>
      <c r="B566" s="12">
        <v>10.0</v>
      </c>
      <c r="C566" s="12">
        <v>12.0</v>
      </c>
      <c r="D566" s="12">
        <v>1003867.0</v>
      </c>
      <c r="E566" s="12">
        <v>2.0</v>
      </c>
      <c r="F566" s="12">
        <v>0.0</v>
      </c>
      <c r="G566" s="12">
        <v>0.0</v>
      </c>
      <c r="H566" s="12" t="s">
        <v>10</v>
      </c>
      <c r="I566" s="12">
        <f>sumıf(Sales!B:B,D566,Sales!G:G)</f>
        <v>14.21</v>
      </c>
    </row>
    <row r="567">
      <c r="A567" s="12">
        <v>2021.0</v>
      </c>
      <c r="B567" s="12">
        <v>10.0</v>
      </c>
      <c r="C567" s="12">
        <v>12.0</v>
      </c>
      <c r="D567" s="12">
        <v>1003310.0</v>
      </c>
      <c r="E567" s="12">
        <v>6.0</v>
      </c>
      <c r="F567" s="12">
        <v>0.87</v>
      </c>
      <c r="G567" s="12">
        <v>0.0</v>
      </c>
      <c r="H567" s="12" t="s">
        <v>12</v>
      </c>
      <c r="I567" s="12">
        <f>sumıf(Sales!B:B,D567,Sales!G:G)</f>
        <v>7.01</v>
      </c>
    </row>
    <row r="568">
      <c r="A568" s="12">
        <v>2021.0</v>
      </c>
      <c r="B568" s="12">
        <v>10.0</v>
      </c>
      <c r="C568" s="12">
        <v>13.0</v>
      </c>
      <c r="D568" s="12">
        <v>1003904.0</v>
      </c>
      <c r="E568" s="12">
        <v>2.0</v>
      </c>
      <c r="F568" s="12">
        <v>0.0</v>
      </c>
      <c r="G568" s="12">
        <v>0.0</v>
      </c>
      <c r="H568" s="12" t="s">
        <v>12</v>
      </c>
      <c r="I568" s="12">
        <f>sumıf(Sales!B:B,D568,Sales!G:G)</f>
        <v>47.68</v>
      </c>
    </row>
    <row r="569">
      <c r="A569" s="12">
        <v>2021.0</v>
      </c>
      <c r="B569" s="12">
        <v>10.0</v>
      </c>
      <c r="C569" s="12">
        <v>13.0</v>
      </c>
      <c r="D569" s="12">
        <v>1003763.0</v>
      </c>
      <c r="E569" s="12">
        <v>4.0</v>
      </c>
      <c r="F569" s="12">
        <v>0.0</v>
      </c>
      <c r="G569" s="12">
        <v>0.0</v>
      </c>
      <c r="H569" s="12" t="s">
        <v>11</v>
      </c>
      <c r="I569" s="12">
        <f>sumıf(Sales!B:B,D569,Sales!G:G)</f>
        <v>118.8</v>
      </c>
    </row>
    <row r="570">
      <c r="A570" s="12">
        <v>2021.0</v>
      </c>
      <c r="B570" s="12">
        <v>10.0</v>
      </c>
      <c r="C570" s="12">
        <v>13.0</v>
      </c>
      <c r="D570" s="12">
        <v>1003303.0</v>
      </c>
      <c r="E570" s="13">
        <v>0.7607697589508645</v>
      </c>
      <c r="F570" s="12">
        <v>0.0</v>
      </c>
      <c r="G570" s="12">
        <v>0.0</v>
      </c>
      <c r="H570" s="12" t="s">
        <v>10</v>
      </c>
      <c r="I570" s="12">
        <f>sumıf(Sales!B:B,D570,Sales!G:G)</f>
        <v>93.7</v>
      </c>
    </row>
    <row r="571">
      <c r="A571" s="12">
        <v>2021.0</v>
      </c>
      <c r="B571" s="12">
        <v>10.0</v>
      </c>
      <c r="C571" s="12">
        <v>13.0</v>
      </c>
      <c r="D571" s="12">
        <v>1003487.0</v>
      </c>
      <c r="E571" s="12">
        <v>1.0</v>
      </c>
      <c r="F571" s="12">
        <v>0.0</v>
      </c>
      <c r="G571" s="12">
        <v>10.0</v>
      </c>
      <c r="H571" s="12" t="s">
        <v>12</v>
      </c>
      <c r="I571" s="12">
        <f>sumıf(Sales!B:B,D571,Sales!G:G)</f>
        <v>66.2</v>
      </c>
    </row>
    <row r="572">
      <c r="A572" s="12">
        <v>2021.0</v>
      </c>
      <c r="B572" s="12">
        <v>10.0</v>
      </c>
      <c r="C572" s="12">
        <v>13.0</v>
      </c>
      <c r="D572" s="12">
        <v>1003824.0</v>
      </c>
      <c r="E572" s="12">
        <v>4.0</v>
      </c>
      <c r="F572" s="12">
        <v>0.0</v>
      </c>
      <c r="G572" s="12">
        <v>0.0</v>
      </c>
      <c r="H572" s="12" t="s">
        <v>12</v>
      </c>
      <c r="I572" s="12">
        <f>sumıf(Sales!B:B,D572,Sales!G:G)</f>
        <v>165.04</v>
      </c>
    </row>
    <row r="573">
      <c r="A573" s="12">
        <v>2021.0</v>
      </c>
      <c r="B573" s="12">
        <v>10.0</v>
      </c>
      <c r="C573" s="12">
        <v>13.0</v>
      </c>
      <c r="D573" s="12">
        <v>1003788.0</v>
      </c>
      <c r="E573" s="12">
        <v>12.0</v>
      </c>
      <c r="F573" s="12">
        <v>0.0</v>
      </c>
      <c r="G573" s="12">
        <v>0.0</v>
      </c>
      <c r="H573" s="12" t="s">
        <v>12</v>
      </c>
      <c r="I573" s="12">
        <f>sumıf(Sales!B:B,D573,Sales!G:G)</f>
        <v>65.12</v>
      </c>
    </row>
    <row r="574">
      <c r="A574" s="12">
        <v>2021.0</v>
      </c>
      <c r="B574" s="12">
        <v>10.0</v>
      </c>
      <c r="C574" s="12">
        <v>13.0</v>
      </c>
      <c r="D574" s="12">
        <v>1003901.0</v>
      </c>
      <c r="E574" s="12">
        <v>5.0</v>
      </c>
      <c r="F574" s="12">
        <v>0.0</v>
      </c>
      <c r="G574" s="12">
        <v>0.0</v>
      </c>
      <c r="H574" s="12" t="s">
        <v>11</v>
      </c>
      <c r="I574" s="12">
        <f>sumıf(Sales!B:B,D574,Sales!G:G)</f>
        <v>20.27</v>
      </c>
    </row>
    <row r="575">
      <c r="A575" s="12">
        <v>2021.0</v>
      </c>
      <c r="B575" s="12">
        <v>10.0</v>
      </c>
      <c r="C575" s="12">
        <v>13.0</v>
      </c>
      <c r="D575" s="12">
        <v>1003900.0</v>
      </c>
      <c r="E575" s="12">
        <v>4.0</v>
      </c>
      <c r="F575" s="12">
        <v>6.54</v>
      </c>
      <c r="G575" s="12">
        <v>0.0</v>
      </c>
      <c r="H575" s="12" t="s">
        <v>11</v>
      </c>
      <c r="I575" s="12">
        <f>sumıf(Sales!B:B,D575,Sales!G:G)</f>
        <v>5.69</v>
      </c>
    </row>
    <row r="576">
      <c r="A576" s="12">
        <v>2021.0</v>
      </c>
      <c r="B576" s="12">
        <v>10.0</v>
      </c>
      <c r="C576" s="12">
        <v>13.0</v>
      </c>
      <c r="D576" s="12">
        <v>1003494.0</v>
      </c>
      <c r="E576" s="12">
        <v>2.0</v>
      </c>
      <c r="F576" s="12">
        <v>0.0</v>
      </c>
      <c r="G576" s="12">
        <v>0.0</v>
      </c>
      <c r="H576" s="12" t="s">
        <v>11</v>
      </c>
      <c r="I576" s="12">
        <f>sumıf(Sales!B:B,D576,Sales!G:G)</f>
        <v>19.16</v>
      </c>
    </row>
    <row r="577">
      <c r="A577" s="12">
        <v>2021.0</v>
      </c>
      <c r="B577" s="12">
        <v>10.0</v>
      </c>
      <c r="C577" s="12">
        <v>13.0</v>
      </c>
      <c r="D577" s="12">
        <v>1003686.0</v>
      </c>
      <c r="E577" s="12">
        <v>1.0</v>
      </c>
      <c r="F577" s="12">
        <v>0.0</v>
      </c>
      <c r="G577" s="12">
        <v>0.0</v>
      </c>
      <c r="H577" s="12" t="s">
        <v>10</v>
      </c>
      <c r="I577" s="12">
        <f>sumıf(Sales!B:B,D577,Sales!G:G)</f>
        <v>59.5</v>
      </c>
    </row>
    <row r="578">
      <c r="A578" s="12">
        <v>2021.0</v>
      </c>
      <c r="B578" s="12">
        <v>10.0</v>
      </c>
      <c r="C578" s="12">
        <v>13.0</v>
      </c>
      <c r="D578" s="12">
        <v>1003636.0</v>
      </c>
      <c r="E578" s="12">
        <v>3.0</v>
      </c>
      <c r="F578" s="12">
        <v>0.0</v>
      </c>
      <c r="G578" s="12">
        <v>5.0</v>
      </c>
      <c r="H578" s="12" t="s">
        <v>12</v>
      </c>
      <c r="I578" s="12">
        <f>sumıf(Sales!B:B,D578,Sales!G:G)</f>
        <v>32</v>
      </c>
    </row>
    <row r="579">
      <c r="A579" s="12">
        <v>2021.0</v>
      </c>
      <c r="B579" s="12">
        <v>10.0</v>
      </c>
      <c r="C579" s="12">
        <v>13.0</v>
      </c>
      <c r="D579" s="12">
        <v>1003749.0</v>
      </c>
      <c r="E579" s="12">
        <v>4.0</v>
      </c>
      <c r="F579" s="12">
        <v>0.0</v>
      </c>
      <c r="G579" s="12">
        <v>5.0</v>
      </c>
      <c r="H579" s="12" t="s">
        <v>12</v>
      </c>
      <c r="I579" s="12">
        <f>sumıf(Sales!B:B,D579,Sales!G:G)</f>
        <v>29.78</v>
      </c>
    </row>
    <row r="580">
      <c r="A580" s="12">
        <v>2021.0</v>
      </c>
      <c r="B580" s="12">
        <v>10.0</v>
      </c>
      <c r="C580" s="12">
        <v>13.0</v>
      </c>
      <c r="D580" s="12">
        <v>1003720.0</v>
      </c>
      <c r="E580" s="12">
        <v>20.0</v>
      </c>
      <c r="F580" s="12">
        <v>0.0</v>
      </c>
      <c r="G580" s="12">
        <v>0.0</v>
      </c>
      <c r="H580" s="12" t="s">
        <v>12</v>
      </c>
      <c r="I580" s="12">
        <f>sumıf(Sales!B:B,D580,Sales!G:G)</f>
        <v>24.27</v>
      </c>
    </row>
    <row r="581">
      <c r="A581" s="12">
        <v>2021.0</v>
      </c>
      <c r="B581" s="12">
        <v>10.0</v>
      </c>
      <c r="C581" s="12">
        <v>13.0</v>
      </c>
      <c r="D581" s="12">
        <v>1003785.0</v>
      </c>
      <c r="E581" s="12">
        <v>3.0</v>
      </c>
      <c r="F581" s="12">
        <v>0.0</v>
      </c>
      <c r="G581" s="12">
        <v>0.0</v>
      </c>
      <c r="H581" s="12" t="s">
        <v>11</v>
      </c>
      <c r="I581" s="12">
        <f>sumıf(Sales!B:B,D581,Sales!G:G)</f>
        <v>31.69</v>
      </c>
    </row>
    <row r="582">
      <c r="A582" s="12">
        <v>2021.0</v>
      </c>
      <c r="B582" s="12">
        <v>10.0</v>
      </c>
      <c r="C582" s="12">
        <v>13.0</v>
      </c>
      <c r="D582" s="12">
        <v>1003677.0</v>
      </c>
      <c r="E582" s="12">
        <v>12.0</v>
      </c>
      <c r="F582" s="12">
        <v>0.0</v>
      </c>
      <c r="G582" s="12">
        <v>7.0</v>
      </c>
      <c r="H582" s="12" t="s">
        <v>12</v>
      </c>
      <c r="I582" s="12">
        <f>sumıf(Sales!B:B,D582,Sales!G:G)</f>
        <v>81.29</v>
      </c>
    </row>
    <row r="583">
      <c r="A583" s="12">
        <v>2021.0</v>
      </c>
      <c r="B583" s="12">
        <v>10.0</v>
      </c>
      <c r="C583" s="12">
        <v>13.0</v>
      </c>
      <c r="D583" s="12">
        <v>1003340.0</v>
      </c>
      <c r="E583" s="12">
        <v>7.0</v>
      </c>
      <c r="F583" s="12">
        <v>0.0</v>
      </c>
      <c r="G583" s="12">
        <v>6.0</v>
      </c>
      <c r="H583" s="12" t="s">
        <v>12</v>
      </c>
      <c r="I583" s="12">
        <f>sumıf(Sales!B:B,D583,Sales!G:G)</f>
        <v>40.27</v>
      </c>
    </row>
    <row r="584">
      <c r="A584" s="12">
        <v>2021.0</v>
      </c>
      <c r="B584" s="12">
        <v>10.0</v>
      </c>
      <c r="C584" s="12">
        <v>13.0</v>
      </c>
      <c r="D584" s="12">
        <v>1003701.0</v>
      </c>
      <c r="E584" s="12">
        <v>4.0</v>
      </c>
      <c r="F584" s="12">
        <v>0.0</v>
      </c>
      <c r="G584" s="12">
        <v>0.0</v>
      </c>
      <c r="H584" s="12" t="s">
        <v>12</v>
      </c>
      <c r="I584" s="12">
        <f>sumıf(Sales!B:B,D584,Sales!G:G)</f>
        <v>13.28</v>
      </c>
    </row>
    <row r="585">
      <c r="A585" s="12">
        <v>2021.0</v>
      </c>
      <c r="B585" s="12">
        <v>10.0</v>
      </c>
      <c r="C585" s="12">
        <v>13.0</v>
      </c>
      <c r="D585" s="12">
        <v>1003511.0</v>
      </c>
      <c r="E585" s="12">
        <v>19.0</v>
      </c>
      <c r="F585" s="12">
        <v>5.75</v>
      </c>
      <c r="G585" s="12">
        <v>0.0</v>
      </c>
      <c r="H585" s="12" t="s">
        <v>11</v>
      </c>
      <c r="I585" s="12">
        <f>sumıf(Sales!B:B,D585,Sales!G:G)</f>
        <v>21.42</v>
      </c>
    </row>
    <row r="586">
      <c r="A586" s="12">
        <v>2021.0</v>
      </c>
      <c r="B586" s="12">
        <v>10.0</v>
      </c>
      <c r="C586" s="12">
        <v>13.0</v>
      </c>
      <c r="D586" s="12">
        <v>1003573.0</v>
      </c>
      <c r="E586" s="12">
        <v>4.0</v>
      </c>
      <c r="F586" s="12">
        <v>0.0</v>
      </c>
      <c r="G586" s="12">
        <v>7.0</v>
      </c>
      <c r="H586" s="12" t="s">
        <v>12</v>
      </c>
      <c r="I586" s="12">
        <f>sumıf(Sales!B:B,D586,Sales!G:G)</f>
        <v>55.87</v>
      </c>
    </row>
    <row r="587">
      <c r="A587" s="12">
        <v>2021.0</v>
      </c>
      <c r="B587" s="12">
        <v>10.0</v>
      </c>
      <c r="C587" s="12">
        <v>13.0</v>
      </c>
      <c r="D587" s="12">
        <v>1003831.0</v>
      </c>
      <c r="E587" s="12">
        <v>6.0</v>
      </c>
      <c r="F587" s="12">
        <v>0.0</v>
      </c>
      <c r="G587" s="12">
        <v>0.0</v>
      </c>
      <c r="H587" s="12" t="s">
        <v>11</v>
      </c>
      <c r="I587" s="12">
        <f>sumıf(Sales!B:B,D587,Sales!G:G)</f>
        <v>74.57</v>
      </c>
    </row>
    <row r="588">
      <c r="A588" s="12">
        <v>2021.0</v>
      </c>
      <c r="B588" s="12">
        <v>10.0</v>
      </c>
      <c r="C588" s="12">
        <v>13.0</v>
      </c>
      <c r="D588" s="12">
        <v>1003959.0</v>
      </c>
      <c r="E588" s="12">
        <v>6.0</v>
      </c>
      <c r="F588" s="12">
        <v>0.0</v>
      </c>
      <c r="G588" s="12">
        <v>0.0</v>
      </c>
      <c r="H588" s="12" t="s">
        <v>11</v>
      </c>
      <c r="I588" s="12">
        <f>sumıf(Sales!B:B,D588,Sales!G:G)</f>
        <v>59.77</v>
      </c>
    </row>
    <row r="589">
      <c r="A589" s="12">
        <v>2021.0</v>
      </c>
      <c r="B589" s="12">
        <v>10.0</v>
      </c>
      <c r="C589" s="12">
        <v>13.0</v>
      </c>
      <c r="D589" s="12">
        <v>1003674.0</v>
      </c>
      <c r="E589" s="12">
        <v>2.0</v>
      </c>
      <c r="F589" s="12">
        <v>3.34</v>
      </c>
      <c r="G589" s="12">
        <v>0.0</v>
      </c>
      <c r="H589" s="12" t="s">
        <v>12</v>
      </c>
      <c r="I589" s="12">
        <f>sumıf(Sales!B:B,D589,Sales!G:G)</f>
        <v>16.96</v>
      </c>
    </row>
    <row r="590">
      <c r="A590" s="12">
        <v>2021.0</v>
      </c>
      <c r="B590" s="12">
        <v>10.0</v>
      </c>
      <c r="C590" s="12">
        <v>13.0</v>
      </c>
      <c r="D590" s="12">
        <v>1003947.0</v>
      </c>
      <c r="E590" s="12">
        <v>2.0</v>
      </c>
      <c r="F590" s="12">
        <v>3.25</v>
      </c>
      <c r="G590" s="12">
        <v>0.0</v>
      </c>
      <c r="H590" s="12" t="s">
        <v>12</v>
      </c>
      <c r="I590" s="12">
        <f>sumıf(Sales!B:B,D590,Sales!G:G)</f>
        <v>15.64</v>
      </c>
    </row>
    <row r="591">
      <c r="A591" s="12">
        <v>2021.0</v>
      </c>
      <c r="B591" s="12">
        <v>10.0</v>
      </c>
      <c r="C591" s="12">
        <v>13.0</v>
      </c>
      <c r="D591" s="12">
        <v>1003562.0</v>
      </c>
      <c r="E591" s="13">
        <v>0.7119778754588065</v>
      </c>
      <c r="F591" s="12">
        <v>3.58</v>
      </c>
      <c r="G591" s="12">
        <v>0.0</v>
      </c>
      <c r="H591" s="12" t="s">
        <v>12</v>
      </c>
      <c r="I591" s="12">
        <f>sumıf(Sales!B:B,D591,Sales!G:G)</f>
        <v>96.67</v>
      </c>
    </row>
    <row r="592">
      <c r="A592" s="12">
        <v>2021.0</v>
      </c>
      <c r="B592" s="12">
        <v>10.0</v>
      </c>
      <c r="C592" s="12">
        <v>13.0</v>
      </c>
      <c r="D592" s="12">
        <v>1003513.0</v>
      </c>
      <c r="E592" s="12">
        <v>1.0</v>
      </c>
      <c r="F592" s="12">
        <v>0.0</v>
      </c>
      <c r="G592" s="12">
        <v>8.0</v>
      </c>
      <c r="H592" s="12" t="s">
        <v>12</v>
      </c>
      <c r="I592" s="12">
        <f>sumıf(Sales!B:B,D592,Sales!G:G)</f>
        <v>22.83</v>
      </c>
    </row>
    <row r="593">
      <c r="A593" s="12">
        <v>2021.0</v>
      </c>
      <c r="B593" s="12">
        <v>10.0</v>
      </c>
      <c r="C593" s="12">
        <v>13.0</v>
      </c>
      <c r="D593" s="12">
        <v>1003605.0</v>
      </c>
      <c r="E593" s="12">
        <v>3.0</v>
      </c>
      <c r="F593" s="12">
        <v>0.0</v>
      </c>
      <c r="G593" s="12">
        <v>5.0</v>
      </c>
      <c r="H593" s="12" t="s">
        <v>12</v>
      </c>
      <c r="I593" s="12">
        <f>sumıf(Sales!B:B,D593,Sales!G:G)</f>
        <v>50.81</v>
      </c>
    </row>
    <row r="594">
      <c r="A594" s="12">
        <v>2021.0</v>
      </c>
      <c r="B594" s="12">
        <v>10.0</v>
      </c>
      <c r="C594" s="12">
        <v>13.0</v>
      </c>
      <c r="D594" s="12">
        <v>1003917.0</v>
      </c>
      <c r="E594" s="12">
        <v>2.0</v>
      </c>
      <c r="F594" s="12">
        <v>0.0</v>
      </c>
      <c r="G594" s="12">
        <v>0.0</v>
      </c>
      <c r="H594" s="12" t="s">
        <v>10</v>
      </c>
      <c r="I594" s="12">
        <f>sumıf(Sales!B:B,D594,Sales!G:G)</f>
        <v>88.4</v>
      </c>
    </row>
    <row r="595">
      <c r="A595" s="12">
        <v>2021.0</v>
      </c>
      <c r="B595" s="12">
        <v>10.0</v>
      </c>
      <c r="C595" s="12">
        <v>13.0</v>
      </c>
      <c r="D595" s="12">
        <v>1003853.0</v>
      </c>
      <c r="E595" s="12">
        <v>3.0</v>
      </c>
      <c r="F595" s="12">
        <v>0.0</v>
      </c>
      <c r="G595" s="12">
        <v>0.0</v>
      </c>
      <c r="H595" s="12" t="s">
        <v>12</v>
      </c>
      <c r="I595" s="12">
        <f>sumıf(Sales!B:B,D595,Sales!G:G)</f>
        <v>72.3</v>
      </c>
    </row>
    <row r="596">
      <c r="A596" s="12">
        <v>2021.0</v>
      </c>
      <c r="B596" s="12">
        <v>10.0</v>
      </c>
      <c r="C596" s="12">
        <v>13.0</v>
      </c>
      <c r="D596" s="12">
        <v>1003796.0</v>
      </c>
      <c r="E596" s="12">
        <v>1.0</v>
      </c>
      <c r="F596" s="12">
        <v>0.0</v>
      </c>
      <c r="G596" s="12">
        <v>6.0</v>
      </c>
      <c r="H596" s="12" t="s">
        <v>12</v>
      </c>
      <c r="I596" s="12">
        <f>sumıf(Sales!B:B,D596,Sales!G:G)</f>
        <v>78.65</v>
      </c>
    </row>
    <row r="597">
      <c r="A597" s="12">
        <v>2021.0</v>
      </c>
      <c r="B597" s="12">
        <v>10.0</v>
      </c>
      <c r="C597" s="12">
        <v>13.0</v>
      </c>
      <c r="D597" s="12">
        <v>1003575.0</v>
      </c>
      <c r="E597" s="12">
        <v>2.0</v>
      </c>
      <c r="F597" s="12">
        <v>0.94</v>
      </c>
      <c r="G597" s="12">
        <v>0.0</v>
      </c>
      <c r="H597" s="12" t="s">
        <v>12</v>
      </c>
      <c r="I597" s="12">
        <f>sumıf(Sales!B:B,D597,Sales!G:G)</f>
        <v>4.83</v>
      </c>
    </row>
    <row r="598">
      <c r="A598" s="12">
        <v>2021.0</v>
      </c>
      <c r="B598" s="12">
        <v>10.0</v>
      </c>
      <c r="C598" s="12">
        <v>13.0</v>
      </c>
      <c r="D598" s="12">
        <v>1003498.0</v>
      </c>
      <c r="E598" s="12">
        <v>3.0</v>
      </c>
      <c r="F598" s="12">
        <v>0.0</v>
      </c>
      <c r="G598" s="12">
        <v>5.0</v>
      </c>
      <c r="H598" s="12" t="s">
        <v>12</v>
      </c>
      <c r="I598" s="12">
        <f>sumıf(Sales!B:B,D598,Sales!G:G)</f>
        <v>63.96</v>
      </c>
    </row>
    <row r="599">
      <c r="A599" s="12">
        <v>2021.0</v>
      </c>
      <c r="B599" s="12">
        <v>10.0</v>
      </c>
      <c r="C599" s="12">
        <v>13.0</v>
      </c>
      <c r="D599" s="12">
        <v>1003936.0</v>
      </c>
      <c r="E599" s="13">
        <v>0.5567175513801594</v>
      </c>
      <c r="F599" s="12">
        <v>0.0</v>
      </c>
      <c r="G599" s="12">
        <v>0.0</v>
      </c>
      <c r="H599" s="12" t="s">
        <v>11</v>
      </c>
      <c r="I599" s="12">
        <f>sumıf(Sales!B:B,D599,Sales!G:G)</f>
        <v>76.06</v>
      </c>
    </row>
    <row r="600">
      <c r="A600" s="12">
        <v>2021.0</v>
      </c>
      <c r="B600" s="12">
        <v>10.0</v>
      </c>
      <c r="C600" s="12">
        <v>13.0</v>
      </c>
      <c r="D600" s="12">
        <v>1003569.0</v>
      </c>
      <c r="E600" s="12">
        <v>2.0</v>
      </c>
      <c r="F600" s="12">
        <v>0.0</v>
      </c>
      <c r="G600" s="12">
        <v>7.0</v>
      </c>
      <c r="H600" s="12" t="s">
        <v>12</v>
      </c>
      <c r="I600" s="12">
        <f>sumıf(Sales!B:B,D600,Sales!G:G)</f>
        <v>93.88</v>
      </c>
    </row>
    <row r="601">
      <c r="A601" s="12">
        <v>2021.0</v>
      </c>
      <c r="B601" s="12">
        <v>10.0</v>
      </c>
      <c r="C601" s="12">
        <v>13.0</v>
      </c>
      <c r="D601" s="12">
        <v>1003442.0</v>
      </c>
      <c r="E601" s="12">
        <v>2.0</v>
      </c>
      <c r="F601" s="12">
        <v>0.0</v>
      </c>
      <c r="G601" s="12">
        <v>0.0</v>
      </c>
      <c r="H601" s="12" t="s">
        <v>12</v>
      </c>
      <c r="I601" s="12">
        <f>sumıf(Sales!B:B,D601,Sales!G:G)</f>
        <v>48.85</v>
      </c>
    </row>
    <row r="602">
      <c r="A602" s="12">
        <v>2021.0</v>
      </c>
      <c r="B602" s="12">
        <v>10.0</v>
      </c>
      <c r="C602" s="12">
        <v>13.0</v>
      </c>
      <c r="D602" s="12">
        <v>1003594.0</v>
      </c>
      <c r="E602" s="12">
        <v>2.0</v>
      </c>
      <c r="F602" s="12">
        <v>0.0</v>
      </c>
      <c r="G602" s="12">
        <v>0.0</v>
      </c>
      <c r="H602" s="12" t="s">
        <v>11</v>
      </c>
      <c r="I602" s="12">
        <f>sumıf(Sales!B:B,D602,Sales!G:G)</f>
        <v>63.36</v>
      </c>
    </row>
    <row r="603">
      <c r="A603" s="12">
        <v>2021.0</v>
      </c>
      <c r="B603" s="12">
        <v>10.0</v>
      </c>
      <c r="C603" s="12">
        <v>13.0</v>
      </c>
      <c r="D603" s="12">
        <v>1003966.0</v>
      </c>
      <c r="E603" s="12">
        <v>2.0</v>
      </c>
      <c r="F603" s="12">
        <v>0.0</v>
      </c>
      <c r="G603" s="12">
        <v>7.0</v>
      </c>
      <c r="H603" s="12" t="s">
        <v>12</v>
      </c>
      <c r="I603" s="12">
        <f>sumıf(Sales!B:B,D603,Sales!G:G)</f>
        <v>34.46</v>
      </c>
    </row>
    <row r="604">
      <c r="A604" s="12">
        <v>2021.0</v>
      </c>
      <c r="B604" s="12">
        <v>10.0</v>
      </c>
      <c r="C604" s="12">
        <v>13.0</v>
      </c>
      <c r="D604" s="12">
        <v>1003719.0</v>
      </c>
      <c r="E604" s="12">
        <v>4.0</v>
      </c>
      <c r="F604" s="12">
        <v>6.49</v>
      </c>
      <c r="G604" s="12">
        <v>0.0</v>
      </c>
      <c r="H604" s="12" t="s">
        <v>12</v>
      </c>
      <c r="I604" s="12">
        <f>sumıf(Sales!B:B,D604,Sales!G:G)</f>
        <v>13.55</v>
      </c>
    </row>
    <row r="605">
      <c r="A605" s="12">
        <v>2021.0</v>
      </c>
      <c r="B605" s="12">
        <v>10.0</v>
      </c>
      <c r="C605" s="12">
        <v>13.0</v>
      </c>
      <c r="D605" s="12">
        <v>1003725.0</v>
      </c>
      <c r="E605" s="12">
        <v>8.0</v>
      </c>
      <c r="F605" s="12">
        <v>0.0</v>
      </c>
      <c r="G605" s="12">
        <v>0.0</v>
      </c>
      <c r="H605" s="12" t="s">
        <v>12</v>
      </c>
      <c r="I605" s="12">
        <f>sumıf(Sales!B:B,D605,Sales!G:G)</f>
        <v>40.49</v>
      </c>
    </row>
    <row r="606">
      <c r="A606" s="12">
        <v>2021.0</v>
      </c>
      <c r="B606" s="12">
        <v>10.0</v>
      </c>
      <c r="C606" s="12">
        <v>13.0</v>
      </c>
      <c r="D606" s="12">
        <v>1003519.0</v>
      </c>
      <c r="E606" s="12">
        <v>6.0</v>
      </c>
      <c r="F606" s="12">
        <v>0.0</v>
      </c>
      <c r="G606" s="12">
        <v>0.0</v>
      </c>
      <c r="H606" s="12" t="s">
        <v>12</v>
      </c>
      <c r="I606" s="12">
        <f>sumıf(Sales!B:B,D606,Sales!G:G)</f>
        <v>38.45</v>
      </c>
    </row>
    <row r="607">
      <c r="A607" s="12">
        <v>2021.0</v>
      </c>
      <c r="B607" s="12">
        <v>10.0</v>
      </c>
      <c r="C607" s="12">
        <v>13.0</v>
      </c>
      <c r="D607" s="12">
        <v>1003415.0</v>
      </c>
      <c r="E607" s="12">
        <v>2.0</v>
      </c>
      <c r="F607" s="12">
        <v>0.0</v>
      </c>
      <c r="G607" s="12">
        <v>0.0</v>
      </c>
      <c r="H607" s="12" t="s">
        <v>10</v>
      </c>
      <c r="I607" s="12">
        <f>sumıf(Sales!B:B,D607,Sales!G:G)</f>
        <v>195.73</v>
      </c>
    </row>
    <row r="608">
      <c r="A608" s="12">
        <v>2021.0</v>
      </c>
      <c r="B608" s="12">
        <v>10.0</v>
      </c>
      <c r="C608" s="12">
        <v>13.0</v>
      </c>
      <c r="D608" s="12">
        <v>1003437.0</v>
      </c>
      <c r="E608" s="12">
        <v>5.0</v>
      </c>
      <c r="F608" s="12">
        <v>0.0</v>
      </c>
      <c r="G608" s="12">
        <v>0.0</v>
      </c>
      <c r="H608" s="12" t="s">
        <v>11</v>
      </c>
      <c r="I608" s="12">
        <f>sumıf(Sales!B:B,D608,Sales!G:G)</f>
        <v>27.07</v>
      </c>
    </row>
    <row r="609">
      <c r="A609" s="12">
        <v>2021.0</v>
      </c>
      <c r="B609" s="12">
        <v>10.0</v>
      </c>
      <c r="C609" s="12">
        <v>13.0</v>
      </c>
      <c r="D609" s="12">
        <v>1003390.0</v>
      </c>
      <c r="E609" s="12">
        <v>12.0</v>
      </c>
      <c r="F609" s="12">
        <v>0.0</v>
      </c>
      <c r="G609" s="12">
        <v>8.0</v>
      </c>
      <c r="H609" s="12" t="s">
        <v>12</v>
      </c>
      <c r="I609" s="12">
        <f>sumıf(Sales!B:B,D609,Sales!G:G)</f>
        <v>17.17</v>
      </c>
    </row>
    <row r="610">
      <c r="A610" s="12">
        <v>2021.0</v>
      </c>
      <c r="B610" s="12">
        <v>10.0</v>
      </c>
      <c r="C610" s="12">
        <v>13.0</v>
      </c>
      <c r="D610" s="12">
        <v>1003918.0</v>
      </c>
      <c r="E610" s="13">
        <v>0.5104167275869016</v>
      </c>
      <c r="F610" s="12">
        <v>0.0</v>
      </c>
      <c r="G610" s="12">
        <v>0.0</v>
      </c>
      <c r="H610" s="12" t="s">
        <v>11</v>
      </c>
      <c r="I610" s="12">
        <f>sumıf(Sales!B:B,D610,Sales!G:G)</f>
        <v>25.83</v>
      </c>
    </row>
    <row r="611">
      <c r="A611" s="12">
        <v>2021.0</v>
      </c>
      <c r="B611" s="12">
        <v>10.0</v>
      </c>
      <c r="C611" s="12">
        <v>13.0</v>
      </c>
      <c r="D611" s="12">
        <v>1003292.0</v>
      </c>
      <c r="E611" s="12">
        <v>1.0</v>
      </c>
      <c r="F611" s="12">
        <v>0.0</v>
      </c>
      <c r="G611" s="12">
        <v>0.0</v>
      </c>
      <c r="H611" s="12" t="s">
        <v>10</v>
      </c>
      <c r="I611" s="12">
        <f>sumıf(Sales!B:B,D611,Sales!G:G)</f>
        <v>9.74</v>
      </c>
    </row>
    <row r="612">
      <c r="A612" s="12">
        <v>2021.0</v>
      </c>
      <c r="B612" s="12">
        <v>10.0</v>
      </c>
      <c r="C612" s="12">
        <v>13.0</v>
      </c>
      <c r="D612" s="12">
        <v>1003743.0</v>
      </c>
      <c r="E612" s="12">
        <v>4.0</v>
      </c>
      <c r="F612" s="12">
        <v>0.0</v>
      </c>
      <c r="G612" s="12">
        <v>0.0</v>
      </c>
      <c r="H612" s="12" t="s">
        <v>12</v>
      </c>
      <c r="I612" s="12">
        <f>sumıf(Sales!B:B,D612,Sales!G:G)</f>
        <v>136.13</v>
      </c>
    </row>
    <row r="613">
      <c r="A613" s="12">
        <v>2021.0</v>
      </c>
      <c r="B613" s="12">
        <v>10.0</v>
      </c>
      <c r="C613" s="12">
        <v>13.0</v>
      </c>
      <c r="D613" s="12">
        <v>1003913.0</v>
      </c>
      <c r="E613" s="12">
        <v>4.0</v>
      </c>
      <c r="F613" s="12">
        <v>0.0</v>
      </c>
      <c r="G613" s="12">
        <v>0.0</v>
      </c>
      <c r="H613" s="12" t="s">
        <v>11</v>
      </c>
      <c r="I613" s="12">
        <f>sumıf(Sales!B:B,D613,Sales!G:G)</f>
        <v>101.04</v>
      </c>
    </row>
    <row r="614">
      <c r="A614" s="12">
        <v>2021.0</v>
      </c>
      <c r="B614" s="12">
        <v>10.0</v>
      </c>
      <c r="C614" s="12">
        <v>13.0</v>
      </c>
      <c r="D614" s="12">
        <v>1003385.0</v>
      </c>
      <c r="E614" s="12">
        <v>5.0</v>
      </c>
      <c r="F614" s="12">
        <v>0.0</v>
      </c>
      <c r="G614" s="12">
        <v>7.0</v>
      </c>
      <c r="H614" s="12" t="s">
        <v>10</v>
      </c>
      <c r="I614" s="12">
        <f>sumıf(Sales!B:B,D614,Sales!G:G)</f>
        <v>98.49</v>
      </c>
    </row>
    <row r="615">
      <c r="A615" s="12">
        <v>2021.0</v>
      </c>
      <c r="B615" s="12">
        <v>10.0</v>
      </c>
      <c r="C615" s="12">
        <v>13.0</v>
      </c>
      <c r="D615" s="12">
        <v>1003447.0</v>
      </c>
      <c r="E615" s="12">
        <v>3.0</v>
      </c>
      <c r="F615" s="12">
        <v>0.0</v>
      </c>
      <c r="G615" s="12">
        <v>0.0</v>
      </c>
      <c r="H615" s="12" t="s">
        <v>11</v>
      </c>
      <c r="I615" s="12">
        <f>sumıf(Sales!B:B,D615,Sales!G:G)</f>
        <v>135.08</v>
      </c>
    </row>
    <row r="616">
      <c r="A616" s="12">
        <v>2021.0</v>
      </c>
      <c r="B616" s="12">
        <v>10.0</v>
      </c>
      <c r="C616" s="12">
        <v>13.0</v>
      </c>
      <c r="D616" s="12">
        <v>1003773.0</v>
      </c>
      <c r="E616" s="12">
        <v>2.0</v>
      </c>
      <c r="F616" s="12">
        <v>0.0</v>
      </c>
      <c r="G616" s="12">
        <v>10.0</v>
      </c>
      <c r="H616" s="12" t="s">
        <v>12</v>
      </c>
      <c r="I616" s="12">
        <f>sumıf(Sales!B:B,D616,Sales!G:G)</f>
        <v>87.76</v>
      </c>
    </row>
    <row r="617">
      <c r="A617" s="12">
        <v>2021.0</v>
      </c>
      <c r="B617" s="12">
        <v>10.0</v>
      </c>
      <c r="C617" s="12">
        <v>13.0</v>
      </c>
      <c r="D617" s="12">
        <v>1003601.0</v>
      </c>
      <c r="E617" s="12">
        <v>3.0</v>
      </c>
      <c r="F617" s="12">
        <v>0.0</v>
      </c>
      <c r="G617" s="12">
        <v>0.0</v>
      </c>
      <c r="H617" s="12" t="s">
        <v>11</v>
      </c>
      <c r="I617" s="12">
        <f>sumıf(Sales!B:B,D617,Sales!G:G)</f>
        <v>67.96</v>
      </c>
    </row>
    <row r="618">
      <c r="A618" s="12">
        <v>2021.0</v>
      </c>
      <c r="B618" s="12">
        <v>10.0</v>
      </c>
      <c r="C618" s="12">
        <v>13.0</v>
      </c>
      <c r="D618" s="12">
        <v>1003588.0</v>
      </c>
      <c r="E618" s="12">
        <v>9.0</v>
      </c>
      <c r="F618" s="12">
        <v>0.0</v>
      </c>
      <c r="G618" s="12">
        <v>0.0</v>
      </c>
      <c r="H618" s="12" t="s">
        <v>10</v>
      </c>
      <c r="I618" s="12">
        <f>sumıf(Sales!B:B,D618,Sales!G:G)</f>
        <v>93.21</v>
      </c>
    </row>
    <row r="619">
      <c r="A619" s="12">
        <v>2021.0</v>
      </c>
      <c r="B619" s="12">
        <v>10.0</v>
      </c>
      <c r="C619" s="12">
        <v>13.0</v>
      </c>
      <c r="D619" s="12">
        <v>1003521.0</v>
      </c>
      <c r="E619" s="12">
        <v>4.0</v>
      </c>
      <c r="F619" s="12">
        <v>0.0</v>
      </c>
      <c r="G619" s="12">
        <v>0.0</v>
      </c>
      <c r="H619" s="12" t="s">
        <v>10</v>
      </c>
      <c r="I619" s="12">
        <f>sumıf(Sales!B:B,D619,Sales!G:G)</f>
        <v>26.86</v>
      </c>
    </row>
    <row r="620">
      <c r="A620" s="12">
        <v>2021.0</v>
      </c>
      <c r="B620" s="12">
        <v>10.0</v>
      </c>
      <c r="C620" s="12">
        <v>13.0</v>
      </c>
      <c r="D620" s="12">
        <v>1003836.0</v>
      </c>
      <c r="E620" s="12">
        <v>5.0</v>
      </c>
      <c r="F620" s="12">
        <v>3.25</v>
      </c>
      <c r="G620" s="12">
        <v>0.0</v>
      </c>
      <c r="H620" s="12" t="s">
        <v>10</v>
      </c>
      <c r="I620" s="12">
        <f>sumıf(Sales!B:B,D620,Sales!G:G)</f>
        <v>77.06</v>
      </c>
    </row>
    <row r="621">
      <c r="A621" s="12">
        <v>2021.0</v>
      </c>
      <c r="B621" s="12">
        <v>10.0</v>
      </c>
      <c r="C621" s="12">
        <v>14.0</v>
      </c>
      <c r="D621" s="12">
        <v>1004020.0</v>
      </c>
      <c r="E621" s="12">
        <v>16.0</v>
      </c>
      <c r="F621" s="12">
        <v>0.0</v>
      </c>
      <c r="G621" s="12">
        <v>0.0</v>
      </c>
      <c r="H621" s="12" t="s">
        <v>12</v>
      </c>
      <c r="I621" s="12">
        <f>sumıf(Sales!B:B,D621,Sales!G:G)</f>
        <v>102.85</v>
      </c>
    </row>
    <row r="622">
      <c r="A622" s="12">
        <v>2021.0</v>
      </c>
      <c r="B622" s="12">
        <v>10.0</v>
      </c>
      <c r="C622" s="12">
        <v>14.0</v>
      </c>
      <c r="D622" s="12">
        <v>1003407.0</v>
      </c>
      <c r="E622" s="12">
        <v>3.0</v>
      </c>
      <c r="F622" s="12">
        <v>0.0</v>
      </c>
      <c r="G622" s="12">
        <v>0.0</v>
      </c>
      <c r="H622" s="12" t="s">
        <v>10</v>
      </c>
      <c r="I622" s="12">
        <f>sumıf(Sales!B:B,D622,Sales!G:G)</f>
        <v>45.85</v>
      </c>
    </row>
    <row r="623">
      <c r="A623" s="12">
        <v>2021.0</v>
      </c>
      <c r="B623" s="12">
        <v>10.0</v>
      </c>
      <c r="C623" s="12">
        <v>14.0</v>
      </c>
      <c r="D623" s="12">
        <v>1003416.0</v>
      </c>
      <c r="E623" s="12">
        <v>8.0</v>
      </c>
      <c r="F623" s="12">
        <v>0.83</v>
      </c>
      <c r="G623" s="12">
        <v>0.0</v>
      </c>
      <c r="H623" s="12" t="s">
        <v>12</v>
      </c>
      <c r="I623" s="12">
        <f>sumıf(Sales!B:B,D623,Sales!G:G)</f>
        <v>62.48</v>
      </c>
    </row>
    <row r="624">
      <c r="A624" s="12">
        <v>2021.0</v>
      </c>
      <c r="B624" s="12">
        <v>10.0</v>
      </c>
      <c r="C624" s="12">
        <v>14.0</v>
      </c>
      <c r="D624" s="12">
        <v>1003424.0</v>
      </c>
      <c r="E624" s="12">
        <v>10.0</v>
      </c>
      <c r="F624" s="12">
        <v>18.48</v>
      </c>
      <c r="G624" s="12">
        <v>0.0</v>
      </c>
      <c r="H624" s="12" t="s">
        <v>12</v>
      </c>
      <c r="I624" s="12">
        <f>sumıf(Sales!B:B,D624,Sales!G:G)</f>
        <v>43.86</v>
      </c>
    </row>
    <row r="625">
      <c r="A625" s="12">
        <v>2021.0</v>
      </c>
      <c r="B625" s="12">
        <v>10.0</v>
      </c>
      <c r="C625" s="12">
        <v>14.0</v>
      </c>
      <c r="D625" s="12">
        <v>1003432.0</v>
      </c>
      <c r="E625" s="12">
        <v>2.0</v>
      </c>
      <c r="F625" s="12">
        <v>0.0</v>
      </c>
      <c r="G625" s="12">
        <v>0.0</v>
      </c>
      <c r="H625" s="12" t="s">
        <v>10</v>
      </c>
      <c r="I625" s="12">
        <f>sumıf(Sales!B:B,D625,Sales!G:G)</f>
        <v>3.18</v>
      </c>
    </row>
    <row r="626">
      <c r="A626" s="12">
        <v>2021.0</v>
      </c>
      <c r="B626" s="12">
        <v>10.0</v>
      </c>
      <c r="C626" s="12">
        <v>14.0</v>
      </c>
      <c r="D626" s="12">
        <v>1003480.0</v>
      </c>
      <c r="E626" s="12">
        <v>1.0</v>
      </c>
      <c r="F626" s="12">
        <v>5.92</v>
      </c>
      <c r="G626" s="12">
        <v>0.0</v>
      </c>
      <c r="H626" s="12" t="s">
        <v>11</v>
      </c>
      <c r="I626" s="12">
        <f>sumıf(Sales!B:B,D626,Sales!G:G)</f>
        <v>10.97</v>
      </c>
    </row>
    <row r="627">
      <c r="A627" s="12">
        <v>2021.0</v>
      </c>
      <c r="B627" s="12">
        <v>10.0</v>
      </c>
      <c r="C627" s="12">
        <v>14.0</v>
      </c>
      <c r="D627" s="12">
        <v>1003490.0</v>
      </c>
      <c r="E627" s="12">
        <v>1.0</v>
      </c>
      <c r="F627" s="12">
        <v>0.0</v>
      </c>
      <c r="G627" s="12">
        <v>0.0</v>
      </c>
      <c r="H627" s="12" t="s">
        <v>10</v>
      </c>
      <c r="I627" s="12">
        <f>sumıf(Sales!B:B,D627,Sales!G:G)</f>
        <v>13.41</v>
      </c>
    </row>
    <row r="628">
      <c r="A628" s="12">
        <v>2021.0</v>
      </c>
      <c r="B628" s="12">
        <v>10.0</v>
      </c>
      <c r="C628" s="12">
        <v>14.0</v>
      </c>
      <c r="D628" s="12">
        <v>1003492.0</v>
      </c>
      <c r="E628" s="12">
        <v>14.0</v>
      </c>
      <c r="F628" s="12">
        <v>0.0</v>
      </c>
      <c r="G628" s="12">
        <v>10.0</v>
      </c>
      <c r="H628" s="12" t="s">
        <v>12</v>
      </c>
      <c r="I628" s="12">
        <f>sumıf(Sales!B:B,D628,Sales!G:G)</f>
        <v>83.95</v>
      </c>
    </row>
    <row r="629">
      <c r="A629" s="12">
        <v>2021.0</v>
      </c>
      <c r="B629" s="12">
        <v>10.0</v>
      </c>
      <c r="C629" s="12">
        <v>14.0</v>
      </c>
      <c r="D629" s="12">
        <v>1003507.0</v>
      </c>
      <c r="E629" s="12">
        <v>2.0</v>
      </c>
      <c r="F629" s="12">
        <v>6.08</v>
      </c>
      <c r="G629" s="12">
        <v>0.0</v>
      </c>
      <c r="H629" s="12" t="s">
        <v>11</v>
      </c>
      <c r="I629" s="12">
        <f>sumıf(Sales!B:B,D629,Sales!G:G)</f>
        <v>4.25</v>
      </c>
    </row>
    <row r="630">
      <c r="A630" s="12">
        <v>2021.0</v>
      </c>
      <c r="B630" s="12">
        <v>10.0</v>
      </c>
      <c r="C630" s="12">
        <v>14.0</v>
      </c>
      <c r="D630" s="12">
        <v>1003510.0</v>
      </c>
      <c r="E630" s="12">
        <v>6.0</v>
      </c>
      <c r="F630" s="12">
        <v>0.0</v>
      </c>
      <c r="G630" s="12">
        <v>5.0</v>
      </c>
      <c r="H630" s="12" t="s">
        <v>12</v>
      </c>
      <c r="I630" s="12">
        <f>sumıf(Sales!B:B,D630,Sales!G:G)</f>
        <v>61.52</v>
      </c>
    </row>
    <row r="631">
      <c r="A631" s="12">
        <v>2021.0</v>
      </c>
      <c r="B631" s="12">
        <v>10.0</v>
      </c>
      <c r="C631" s="12">
        <v>14.0</v>
      </c>
      <c r="D631" s="12">
        <v>1003528.0</v>
      </c>
      <c r="E631" s="12">
        <v>20.0</v>
      </c>
      <c r="F631" s="12">
        <v>0.86</v>
      </c>
      <c r="G631" s="12">
        <v>0.0</v>
      </c>
      <c r="H631" s="12" t="s">
        <v>11</v>
      </c>
      <c r="I631" s="12">
        <f>sumıf(Sales!B:B,D631,Sales!G:G)</f>
        <v>86.83</v>
      </c>
    </row>
    <row r="632">
      <c r="A632" s="12">
        <v>2021.0</v>
      </c>
      <c r="B632" s="12">
        <v>10.0</v>
      </c>
      <c r="C632" s="12">
        <v>14.0</v>
      </c>
      <c r="D632" s="12">
        <v>1003546.0</v>
      </c>
      <c r="E632" s="12">
        <v>6.0</v>
      </c>
      <c r="F632" s="12">
        <v>0.0</v>
      </c>
      <c r="G632" s="12">
        <v>0.0</v>
      </c>
      <c r="H632" s="12" t="s">
        <v>12</v>
      </c>
      <c r="I632" s="12">
        <f>sumıf(Sales!B:B,D632,Sales!G:G)</f>
        <v>21.15</v>
      </c>
    </row>
    <row r="633">
      <c r="A633" s="12">
        <v>2021.0</v>
      </c>
      <c r="B633" s="12">
        <v>10.0</v>
      </c>
      <c r="C633" s="12">
        <v>14.0</v>
      </c>
      <c r="D633" s="12">
        <v>1003561.0</v>
      </c>
      <c r="E633" s="12">
        <v>8.0</v>
      </c>
      <c r="F633" s="12">
        <v>9.38</v>
      </c>
      <c r="G633" s="12">
        <v>0.0</v>
      </c>
      <c r="H633" s="12" t="s">
        <v>12</v>
      </c>
      <c r="I633" s="12">
        <f>sumıf(Sales!B:B,D633,Sales!G:G)</f>
        <v>43.42</v>
      </c>
    </row>
    <row r="634">
      <c r="A634" s="12">
        <v>2021.0</v>
      </c>
      <c r="B634" s="12">
        <v>10.0</v>
      </c>
      <c r="C634" s="12">
        <v>14.0</v>
      </c>
      <c r="D634" s="12">
        <v>1003583.0</v>
      </c>
      <c r="E634" s="12">
        <v>7.0</v>
      </c>
      <c r="F634" s="12">
        <v>7.36</v>
      </c>
      <c r="G634" s="12">
        <v>0.0</v>
      </c>
      <c r="H634" s="12" t="s">
        <v>12</v>
      </c>
      <c r="I634" s="12">
        <f>sumıf(Sales!B:B,D634,Sales!G:G)</f>
        <v>73.67</v>
      </c>
    </row>
    <row r="635">
      <c r="A635" s="12">
        <v>2021.0</v>
      </c>
      <c r="B635" s="12">
        <v>10.0</v>
      </c>
      <c r="C635" s="12">
        <v>14.0</v>
      </c>
      <c r="D635" s="12">
        <v>1003615.0</v>
      </c>
      <c r="E635" s="12">
        <v>2.0</v>
      </c>
      <c r="F635" s="12">
        <v>0.83</v>
      </c>
      <c r="G635" s="12">
        <v>0.0</v>
      </c>
      <c r="H635" s="12" t="s">
        <v>12</v>
      </c>
      <c r="I635" s="12">
        <f>sumıf(Sales!B:B,D635,Sales!G:G)</f>
        <v>59.94</v>
      </c>
    </row>
    <row r="636">
      <c r="A636" s="12">
        <v>2021.0</v>
      </c>
      <c r="B636" s="12">
        <v>10.0</v>
      </c>
      <c r="C636" s="12">
        <v>14.0</v>
      </c>
      <c r="D636" s="12">
        <v>1003620.0</v>
      </c>
      <c r="E636" s="12">
        <v>16.0</v>
      </c>
      <c r="F636" s="12">
        <v>0.0</v>
      </c>
      <c r="G636" s="12">
        <v>0.0</v>
      </c>
      <c r="H636" s="12" t="s">
        <v>10</v>
      </c>
      <c r="I636" s="12">
        <f>sumıf(Sales!B:B,D636,Sales!G:G)</f>
        <v>59.21</v>
      </c>
    </row>
    <row r="637">
      <c r="A637" s="12">
        <v>2021.0</v>
      </c>
      <c r="B637" s="12">
        <v>10.0</v>
      </c>
      <c r="C637" s="12">
        <v>14.0</v>
      </c>
      <c r="D637" s="12">
        <v>1003623.0</v>
      </c>
      <c r="E637" s="12">
        <v>8.0</v>
      </c>
      <c r="F637" s="12">
        <v>0.0</v>
      </c>
      <c r="G637" s="12">
        <v>10.0</v>
      </c>
      <c r="H637" s="12" t="s">
        <v>12</v>
      </c>
      <c r="I637" s="12">
        <f>sumıf(Sales!B:B,D637,Sales!G:G)</f>
        <v>77.22</v>
      </c>
    </row>
    <row r="638">
      <c r="A638" s="12">
        <v>2021.0</v>
      </c>
      <c r="B638" s="12">
        <v>10.0</v>
      </c>
      <c r="C638" s="12">
        <v>14.0</v>
      </c>
      <c r="D638" s="12">
        <v>1003648.0</v>
      </c>
      <c r="E638" s="12">
        <v>18.0</v>
      </c>
      <c r="F638" s="12">
        <v>0.0</v>
      </c>
      <c r="G638" s="12">
        <v>5.0</v>
      </c>
      <c r="H638" s="12" t="s">
        <v>12</v>
      </c>
      <c r="I638" s="12">
        <f>sumıf(Sales!B:B,D638,Sales!G:G)</f>
        <v>54.82</v>
      </c>
    </row>
    <row r="639">
      <c r="A639" s="12">
        <v>2021.0</v>
      </c>
      <c r="B639" s="12">
        <v>10.0</v>
      </c>
      <c r="C639" s="12">
        <v>14.0</v>
      </c>
      <c r="D639" s="12">
        <v>1003662.0</v>
      </c>
      <c r="E639" s="12">
        <v>3.0</v>
      </c>
      <c r="F639" s="12">
        <v>0.0</v>
      </c>
      <c r="G639" s="12">
        <v>10.0</v>
      </c>
      <c r="H639" s="12" t="s">
        <v>12</v>
      </c>
      <c r="I639" s="12">
        <f>sumıf(Sales!B:B,D639,Sales!G:G)</f>
        <v>40.67</v>
      </c>
    </row>
    <row r="640">
      <c r="A640" s="12">
        <v>2021.0</v>
      </c>
      <c r="B640" s="12">
        <v>10.0</v>
      </c>
      <c r="C640" s="12">
        <v>14.0</v>
      </c>
      <c r="D640" s="12">
        <v>1003664.0</v>
      </c>
      <c r="E640" s="12">
        <v>1.0</v>
      </c>
      <c r="F640" s="12">
        <v>0.0</v>
      </c>
      <c r="G640" s="12">
        <v>0.0</v>
      </c>
      <c r="H640" s="12" t="s">
        <v>10</v>
      </c>
      <c r="I640" s="12">
        <f>sumıf(Sales!B:B,D640,Sales!G:G)</f>
        <v>39.76</v>
      </c>
    </row>
    <row r="641">
      <c r="A641" s="12">
        <v>2021.0</v>
      </c>
      <c r="B641" s="12">
        <v>10.0</v>
      </c>
      <c r="C641" s="12">
        <v>14.0</v>
      </c>
      <c r="D641" s="12">
        <v>1003669.0</v>
      </c>
      <c r="E641" s="12">
        <v>9.0</v>
      </c>
      <c r="F641" s="12">
        <v>0.0</v>
      </c>
      <c r="G641" s="12">
        <v>0.0</v>
      </c>
      <c r="H641" s="12" t="s">
        <v>11</v>
      </c>
      <c r="I641" s="12">
        <f>sumıf(Sales!B:B,D641,Sales!G:G)</f>
        <v>19.68</v>
      </c>
    </row>
    <row r="642">
      <c r="A642" s="12">
        <v>2021.0</v>
      </c>
      <c r="B642" s="12">
        <v>10.0</v>
      </c>
      <c r="C642" s="12">
        <v>14.0</v>
      </c>
      <c r="D642" s="12">
        <v>1003673.0</v>
      </c>
      <c r="E642" s="12">
        <v>7.0</v>
      </c>
      <c r="F642" s="12">
        <v>0.0</v>
      </c>
      <c r="G642" s="12">
        <v>0.0</v>
      </c>
      <c r="H642" s="12" t="s">
        <v>12</v>
      </c>
      <c r="I642" s="12">
        <f>sumıf(Sales!B:B,D642,Sales!G:G)</f>
        <v>10.77</v>
      </c>
    </row>
    <row r="643">
      <c r="A643" s="12">
        <v>2021.0</v>
      </c>
      <c r="B643" s="12">
        <v>10.0</v>
      </c>
      <c r="C643" s="12">
        <v>14.0</v>
      </c>
      <c r="D643" s="12">
        <v>1003679.0</v>
      </c>
      <c r="E643" s="12">
        <v>8.0</v>
      </c>
      <c r="F643" s="12">
        <v>3.7</v>
      </c>
      <c r="G643" s="12">
        <v>0.0</v>
      </c>
      <c r="H643" s="12" t="s">
        <v>11</v>
      </c>
      <c r="I643" s="12">
        <f>sumıf(Sales!B:B,D643,Sales!G:G)</f>
        <v>9.85</v>
      </c>
    </row>
    <row r="644">
      <c r="A644" s="12">
        <v>2021.0</v>
      </c>
      <c r="B644" s="12">
        <v>10.0</v>
      </c>
      <c r="C644" s="12">
        <v>14.0</v>
      </c>
      <c r="D644" s="12">
        <v>1003681.0</v>
      </c>
      <c r="E644" s="12">
        <v>9.0</v>
      </c>
      <c r="F644" s="12">
        <v>0.0</v>
      </c>
      <c r="G644" s="12">
        <v>10.0</v>
      </c>
      <c r="H644" s="12" t="s">
        <v>12</v>
      </c>
      <c r="I644" s="12">
        <f>sumıf(Sales!B:B,D644,Sales!G:G)</f>
        <v>73.14</v>
      </c>
    </row>
    <row r="645">
      <c r="A645" s="12">
        <v>2021.0</v>
      </c>
      <c r="B645" s="12">
        <v>10.0</v>
      </c>
      <c r="C645" s="12">
        <v>14.0</v>
      </c>
      <c r="D645" s="12">
        <v>1003694.0</v>
      </c>
      <c r="E645" s="12">
        <v>2.0</v>
      </c>
      <c r="F645" s="12">
        <v>0.0</v>
      </c>
      <c r="G645" s="12">
        <v>0.0</v>
      </c>
      <c r="H645" s="12" t="s">
        <v>12</v>
      </c>
      <c r="I645" s="12">
        <f>sumıf(Sales!B:B,D645,Sales!G:G)</f>
        <v>38.66</v>
      </c>
    </row>
    <row r="646">
      <c r="A646" s="12">
        <v>2021.0</v>
      </c>
      <c r="B646" s="12">
        <v>10.0</v>
      </c>
      <c r="C646" s="12">
        <v>14.0</v>
      </c>
      <c r="D646" s="12">
        <v>1003710.0</v>
      </c>
      <c r="E646" s="12">
        <v>19.0</v>
      </c>
      <c r="F646" s="12">
        <v>0.94</v>
      </c>
      <c r="G646" s="12">
        <v>5.0</v>
      </c>
      <c r="H646" s="12" t="s">
        <v>11</v>
      </c>
      <c r="I646" s="12">
        <f>sumıf(Sales!B:B,D646,Sales!G:G)</f>
        <v>38.63</v>
      </c>
    </row>
    <row r="647">
      <c r="A647" s="12">
        <v>2021.0</v>
      </c>
      <c r="B647" s="12">
        <v>10.0</v>
      </c>
      <c r="C647" s="12">
        <v>14.0</v>
      </c>
      <c r="D647" s="12">
        <v>1003714.0</v>
      </c>
      <c r="E647" s="12">
        <v>5.0</v>
      </c>
      <c r="F647" s="12">
        <v>9.38</v>
      </c>
      <c r="G647" s="12">
        <v>0.0</v>
      </c>
      <c r="H647" s="12" t="s">
        <v>12</v>
      </c>
      <c r="I647" s="12">
        <f>sumıf(Sales!B:B,D647,Sales!G:G)</f>
        <v>58.06</v>
      </c>
    </row>
    <row r="648">
      <c r="A648" s="12">
        <v>2021.0</v>
      </c>
      <c r="B648" s="12">
        <v>10.0</v>
      </c>
      <c r="C648" s="12">
        <v>14.0</v>
      </c>
      <c r="D648" s="12">
        <v>1003722.0</v>
      </c>
      <c r="E648" s="12">
        <v>5.0</v>
      </c>
      <c r="F648" s="12">
        <v>0.0</v>
      </c>
      <c r="G648" s="12">
        <v>0.0</v>
      </c>
      <c r="H648" s="12" t="s">
        <v>12</v>
      </c>
      <c r="I648" s="12">
        <f>sumıf(Sales!B:B,D648,Sales!G:G)</f>
        <v>6.54</v>
      </c>
    </row>
    <row r="649">
      <c r="A649" s="12">
        <v>2021.0</v>
      </c>
      <c r="B649" s="12">
        <v>10.0</v>
      </c>
      <c r="C649" s="12">
        <v>14.0</v>
      </c>
      <c r="D649" s="12">
        <v>1003733.0</v>
      </c>
      <c r="E649" s="12">
        <v>2.0</v>
      </c>
      <c r="F649" s="12">
        <v>0.0</v>
      </c>
      <c r="G649" s="12">
        <v>0.0</v>
      </c>
      <c r="H649" s="12" t="s">
        <v>12</v>
      </c>
      <c r="I649" s="12">
        <f>sumıf(Sales!B:B,D649,Sales!G:G)</f>
        <v>75.41</v>
      </c>
    </row>
    <row r="650">
      <c r="A650" s="12">
        <v>2021.0</v>
      </c>
      <c r="B650" s="12">
        <v>10.0</v>
      </c>
      <c r="C650" s="12">
        <v>14.0</v>
      </c>
      <c r="D650" s="12">
        <v>1003737.0</v>
      </c>
      <c r="E650" s="13">
        <v>0.291631331305816</v>
      </c>
      <c r="F650" s="12">
        <v>0.0</v>
      </c>
      <c r="G650" s="12">
        <v>5.0</v>
      </c>
      <c r="H650" s="12" t="s">
        <v>12</v>
      </c>
      <c r="I650" s="12">
        <f>sumıf(Sales!B:B,D650,Sales!G:G)</f>
        <v>16.75</v>
      </c>
    </row>
    <row r="651">
      <c r="A651" s="12">
        <v>2021.0</v>
      </c>
      <c r="B651" s="12">
        <v>10.0</v>
      </c>
      <c r="C651" s="12">
        <v>14.0</v>
      </c>
      <c r="D651" s="12">
        <v>1003739.0</v>
      </c>
      <c r="E651" s="12">
        <v>18.0</v>
      </c>
      <c r="F651" s="12">
        <v>0.0</v>
      </c>
      <c r="G651" s="12">
        <v>0.0</v>
      </c>
      <c r="H651" s="12" t="s">
        <v>12</v>
      </c>
      <c r="I651" s="12">
        <f>sumıf(Sales!B:B,D651,Sales!G:G)</f>
        <v>79.84</v>
      </c>
    </row>
    <row r="652">
      <c r="A652" s="12">
        <v>2021.0</v>
      </c>
      <c r="B652" s="12">
        <v>10.0</v>
      </c>
      <c r="C652" s="12">
        <v>14.0</v>
      </c>
      <c r="D652" s="12">
        <v>1003740.0</v>
      </c>
      <c r="E652" s="12">
        <v>11.0</v>
      </c>
      <c r="F652" s="12">
        <v>0.0</v>
      </c>
      <c r="G652" s="12">
        <v>5.0</v>
      </c>
      <c r="H652" s="12" t="s">
        <v>12</v>
      </c>
      <c r="I652" s="12">
        <f>sumıf(Sales!B:B,D652,Sales!G:G)</f>
        <v>28.8</v>
      </c>
    </row>
    <row r="653">
      <c r="A653" s="12">
        <v>2021.0</v>
      </c>
      <c r="B653" s="12">
        <v>10.0</v>
      </c>
      <c r="C653" s="12">
        <v>14.0</v>
      </c>
      <c r="D653" s="12">
        <v>1003747.0</v>
      </c>
      <c r="E653" s="12">
        <v>7.0</v>
      </c>
      <c r="F653" s="12">
        <v>0.0</v>
      </c>
      <c r="G653" s="12">
        <v>0.0</v>
      </c>
      <c r="H653" s="12" t="s">
        <v>11</v>
      </c>
      <c r="I653" s="12">
        <f>sumıf(Sales!B:B,D653,Sales!G:G)</f>
        <v>29.89</v>
      </c>
    </row>
    <row r="654">
      <c r="A654" s="12">
        <v>2021.0</v>
      </c>
      <c r="B654" s="12">
        <v>10.0</v>
      </c>
      <c r="C654" s="12">
        <v>14.0</v>
      </c>
      <c r="D654" s="12">
        <v>1003754.0</v>
      </c>
      <c r="E654" s="12">
        <v>6.0</v>
      </c>
      <c r="F654" s="12">
        <v>0.0</v>
      </c>
      <c r="G654" s="12">
        <v>0.0</v>
      </c>
      <c r="H654" s="12" t="s">
        <v>10</v>
      </c>
      <c r="I654" s="12">
        <f>sumıf(Sales!B:B,D654,Sales!G:G)</f>
        <v>17.94</v>
      </c>
    </row>
    <row r="655">
      <c r="A655" s="12">
        <v>2021.0</v>
      </c>
      <c r="B655" s="12">
        <v>10.0</v>
      </c>
      <c r="C655" s="12">
        <v>14.0</v>
      </c>
      <c r="D655" s="12">
        <v>1003777.0</v>
      </c>
      <c r="E655" s="12">
        <v>3.0</v>
      </c>
      <c r="F655" s="12">
        <v>0.0</v>
      </c>
      <c r="G655" s="12">
        <v>8.0</v>
      </c>
      <c r="H655" s="12" t="s">
        <v>12</v>
      </c>
      <c r="I655" s="12">
        <f>sumıf(Sales!B:B,D655,Sales!G:G)</f>
        <v>3.77</v>
      </c>
    </row>
    <row r="656">
      <c r="A656" s="12">
        <v>2021.0</v>
      </c>
      <c r="B656" s="12">
        <v>10.0</v>
      </c>
      <c r="C656" s="12">
        <v>14.0</v>
      </c>
      <c r="D656" s="12">
        <v>1003781.0</v>
      </c>
      <c r="E656" s="12">
        <v>17.0</v>
      </c>
      <c r="F656" s="12">
        <v>0.0</v>
      </c>
      <c r="G656" s="12">
        <v>0.0</v>
      </c>
      <c r="H656" s="12" t="s">
        <v>10</v>
      </c>
      <c r="I656" s="12">
        <f>sumıf(Sales!B:B,D656,Sales!G:G)</f>
        <v>17.94</v>
      </c>
    </row>
    <row r="657">
      <c r="A657" s="12">
        <v>2021.0</v>
      </c>
      <c r="B657" s="12">
        <v>10.0</v>
      </c>
      <c r="C657" s="12">
        <v>14.0</v>
      </c>
      <c r="D657" s="12">
        <v>1003805.0</v>
      </c>
      <c r="E657" s="12">
        <v>18.0</v>
      </c>
      <c r="F657" s="12">
        <v>0.0</v>
      </c>
      <c r="G657" s="12">
        <v>0.0</v>
      </c>
      <c r="H657" s="12" t="s">
        <v>11</v>
      </c>
      <c r="I657" s="12">
        <f>sumıf(Sales!B:B,D657,Sales!G:G)</f>
        <v>19.28</v>
      </c>
    </row>
    <row r="658">
      <c r="A658" s="12">
        <v>2021.0</v>
      </c>
      <c r="B658" s="12">
        <v>10.0</v>
      </c>
      <c r="C658" s="12">
        <v>14.0</v>
      </c>
      <c r="D658" s="12">
        <v>1003807.0</v>
      </c>
      <c r="E658" s="12">
        <v>5.0</v>
      </c>
      <c r="F658" s="12">
        <v>0.0</v>
      </c>
      <c r="G658" s="12">
        <v>0.0</v>
      </c>
      <c r="H658" s="12" t="s">
        <v>10</v>
      </c>
      <c r="I658" s="12">
        <f>sumıf(Sales!B:B,D658,Sales!G:G)</f>
        <v>65.35</v>
      </c>
    </row>
    <row r="659">
      <c r="A659" s="12">
        <v>2021.0</v>
      </c>
      <c r="B659" s="12">
        <v>10.0</v>
      </c>
      <c r="C659" s="12">
        <v>14.0</v>
      </c>
      <c r="D659" s="12">
        <v>1003810.0</v>
      </c>
      <c r="E659" s="12">
        <v>8.0</v>
      </c>
      <c r="F659" s="12">
        <v>3.32</v>
      </c>
      <c r="G659" s="12">
        <v>0.0</v>
      </c>
      <c r="H659" s="12" t="s">
        <v>12</v>
      </c>
      <c r="I659" s="12">
        <f>sumıf(Sales!B:B,D659,Sales!G:G)</f>
        <v>19.28</v>
      </c>
    </row>
    <row r="660">
      <c r="A660" s="12">
        <v>2021.0</v>
      </c>
      <c r="B660" s="12">
        <v>10.0</v>
      </c>
      <c r="C660" s="12">
        <v>14.0</v>
      </c>
      <c r="D660" s="12">
        <v>1003811.0</v>
      </c>
      <c r="E660" s="12">
        <v>12.0</v>
      </c>
      <c r="F660" s="12">
        <v>0.0</v>
      </c>
      <c r="G660" s="12">
        <v>0.0</v>
      </c>
      <c r="H660" s="12" t="s">
        <v>12</v>
      </c>
      <c r="I660" s="12">
        <f>sumıf(Sales!B:B,D660,Sales!G:G)</f>
        <v>49.12</v>
      </c>
    </row>
    <row r="661">
      <c r="A661" s="12">
        <v>2021.0</v>
      </c>
      <c r="B661" s="12">
        <v>10.0</v>
      </c>
      <c r="C661" s="12">
        <v>14.0</v>
      </c>
      <c r="D661" s="12">
        <v>1003821.0</v>
      </c>
      <c r="E661" s="12">
        <v>15.0</v>
      </c>
      <c r="F661" s="12">
        <v>0.0</v>
      </c>
      <c r="G661" s="12">
        <v>15.0</v>
      </c>
      <c r="H661" s="12" t="s">
        <v>12</v>
      </c>
      <c r="I661" s="12">
        <f>sumıf(Sales!B:B,D661,Sales!G:G)</f>
        <v>102.38</v>
      </c>
    </row>
    <row r="662">
      <c r="A662" s="12">
        <v>2021.0</v>
      </c>
      <c r="B662" s="12">
        <v>10.0</v>
      </c>
      <c r="C662" s="12">
        <v>14.0</v>
      </c>
      <c r="D662" s="12">
        <v>1003827.0</v>
      </c>
      <c r="E662" s="12">
        <v>9.0</v>
      </c>
      <c r="F662" s="12">
        <v>0.0</v>
      </c>
      <c r="G662" s="12">
        <v>0.0</v>
      </c>
      <c r="H662" s="12" t="s">
        <v>12</v>
      </c>
      <c r="I662" s="12">
        <f>sumıf(Sales!B:B,D662,Sales!G:G)</f>
        <v>99.29</v>
      </c>
    </row>
    <row r="663">
      <c r="A663" s="12">
        <v>2021.0</v>
      </c>
      <c r="B663" s="12">
        <v>10.0</v>
      </c>
      <c r="C663" s="12">
        <v>14.0</v>
      </c>
      <c r="D663" s="12">
        <v>1003833.0</v>
      </c>
      <c r="E663" s="12">
        <v>5.0</v>
      </c>
      <c r="F663" s="12">
        <v>0.0</v>
      </c>
      <c r="G663" s="12">
        <v>0.0</v>
      </c>
      <c r="H663" s="12" t="s">
        <v>12</v>
      </c>
      <c r="I663" s="12">
        <f>sumıf(Sales!B:B,D663,Sales!G:G)</f>
        <v>98.23</v>
      </c>
    </row>
    <row r="664">
      <c r="A664" s="12">
        <v>2021.0</v>
      </c>
      <c r="B664" s="12">
        <v>10.0</v>
      </c>
      <c r="C664" s="12">
        <v>14.0</v>
      </c>
      <c r="D664" s="12">
        <v>1003841.0</v>
      </c>
      <c r="E664" s="12">
        <v>2.0</v>
      </c>
      <c r="F664" s="12">
        <v>0.0</v>
      </c>
      <c r="G664" s="12">
        <v>0.0</v>
      </c>
      <c r="H664" s="12" t="s">
        <v>10</v>
      </c>
      <c r="I664" s="12">
        <f>sumıf(Sales!B:B,D664,Sales!G:G)</f>
        <v>10.92</v>
      </c>
    </row>
    <row r="665">
      <c r="A665" s="12">
        <v>2021.0</v>
      </c>
      <c r="B665" s="12">
        <v>10.0</v>
      </c>
      <c r="C665" s="12">
        <v>14.0</v>
      </c>
      <c r="D665" s="12">
        <v>1003847.0</v>
      </c>
      <c r="E665" s="12">
        <v>6.0</v>
      </c>
      <c r="F665" s="12">
        <v>0.0</v>
      </c>
      <c r="G665" s="12">
        <v>0.0</v>
      </c>
      <c r="H665" s="12" t="s">
        <v>11</v>
      </c>
      <c r="I665" s="12">
        <f>sumıf(Sales!B:B,D665,Sales!G:G)</f>
        <v>65.78</v>
      </c>
    </row>
    <row r="666">
      <c r="A666" s="12">
        <v>2021.0</v>
      </c>
      <c r="B666" s="12">
        <v>10.0</v>
      </c>
      <c r="C666" s="12">
        <v>14.0</v>
      </c>
      <c r="D666" s="12">
        <v>1003855.0</v>
      </c>
      <c r="E666" s="12">
        <v>3.0</v>
      </c>
      <c r="F666" s="12">
        <v>0.0</v>
      </c>
      <c r="G666" s="12">
        <v>0.0</v>
      </c>
      <c r="H666" s="12" t="s">
        <v>11</v>
      </c>
      <c r="I666" s="12">
        <f>sumıf(Sales!B:B,D666,Sales!G:G)</f>
        <v>54.82</v>
      </c>
    </row>
    <row r="667">
      <c r="A667" s="12">
        <v>2021.0</v>
      </c>
      <c r="B667" s="12">
        <v>10.0</v>
      </c>
      <c r="C667" s="12">
        <v>14.0</v>
      </c>
      <c r="D667" s="12">
        <v>1003870.0</v>
      </c>
      <c r="E667" s="12">
        <v>5.0</v>
      </c>
      <c r="F667" s="12">
        <v>0.0</v>
      </c>
      <c r="G667" s="12">
        <v>0.0</v>
      </c>
      <c r="H667" s="12" t="s">
        <v>12</v>
      </c>
      <c r="I667" s="12">
        <f>sumıf(Sales!B:B,D667,Sales!G:G)</f>
        <v>37.2</v>
      </c>
    </row>
    <row r="668">
      <c r="A668" s="12">
        <v>2021.0</v>
      </c>
      <c r="B668" s="12">
        <v>10.0</v>
      </c>
      <c r="C668" s="12">
        <v>14.0</v>
      </c>
      <c r="D668" s="12">
        <v>1003871.0</v>
      </c>
      <c r="E668" s="12">
        <v>13.0</v>
      </c>
      <c r="F668" s="12">
        <v>0.0</v>
      </c>
      <c r="G668" s="12">
        <v>10.0</v>
      </c>
      <c r="H668" s="12" t="s">
        <v>11</v>
      </c>
      <c r="I668" s="12">
        <f>sumıf(Sales!B:B,D668,Sales!G:G)</f>
        <v>15.67</v>
      </c>
    </row>
    <row r="669">
      <c r="A669" s="12">
        <v>2021.0</v>
      </c>
      <c r="B669" s="12">
        <v>10.0</v>
      </c>
      <c r="C669" s="12">
        <v>14.0</v>
      </c>
      <c r="D669" s="12">
        <v>1003893.0</v>
      </c>
      <c r="E669" s="12">
        <v>4.0</v>
      </c>
      <c r="F669" s="12">
        <v>4.64</v>
      </c>
      <c r="G669" s="12">
        <v>0.0</v>
      </c>
      <c r="H669" s="12" t="s">
        <v>12</v>
      </c>
      <c r="I669" s="12">
        <f>sumıf(Sales!B:B,D669,Sales!G:G)</f>
        <v>84.43</v>
      </c>
    </row>
    <row r="670">
      <c r="A670" s="12">
        <v>2021.0</v>
      </c>
      <c r="B670" s="12">
        <v>10.0</v>
      </c>
      <c r="C670" s="12">
        <v>14.0</v>
      </c>
      <c r="D670" s="12">
        <v>1003894.0</v>
      </c>
      <c r="E670" s="12">
        <v>5.0</v>
      </c>
      <c r="F670" s="12">
        <v>0.0</v>
      </c>
      <c r="G670" s="12">
        <v>0.0</v>
      </c>
      <c r="H670" s="12" t="s">
        <v>10</v>
      </c>
      <c r="I670" s="12">
        <f>sumıf(Sales!B:B,D670,Sales!G:G)</f>
        <v>17.94</v>
      </c>
    </row>
    <row r="671">
      <c r="A671" s="12">
        <v>2021.0</v>
      </c>
      <c r="B671" s="12">
        <v>10.0</v>
      </c>
      <c r="C671" s="12">
        <v>14.0</v>
      </c>
      <c r="D671" s="12">
        <v>1003898.0</v>
      </c>
      <c r="E671" s="12">
        <v>1.0</v>
      </c>
      <c r="F671" s="12">
        <v>0.0</v>
      </c>
      <c r="G671" s="12">
        <v>0.0</v>
      </c>
      <c r="H671" s="12" t="s">
        <v>11</v>
      </c>
      <c r="I671" s="12">
        <f>sumıf(Sales!B:B,D671,Sales!G:G)</f>
        <v>38.62</v>
      </c>
    </row>
    <row r="672">
      <c r="A672" s="12">
        <v>2021.0</v>
      </c>
      <c r="B672" s="12">
        <v>10.0</v>
      </c>
      <c r="C672" s="12">
        <v>14.0</v>
      </c>
      <c r="D672" s="12">
        <v>1003912.0</v>
      </c>
      <c r="E672" s="12">
        <v>7.0</v>
      </c>
      <c r="F672" s="12">
        <v>0.0</v>
      </c>
      <c r="G672" s="12">
        <v>0.0</v>
      </c>
      <c r="H672" s="12" t="s">
        <v>11</v>
      </c>
      <c r="I672" s="12">
        <f>sumıf(Sales!B:B,D672,Sales!G:G)</f>
        <v>14.13</v>
      </c>
    </row>
    <row r="673">
      <c r="A673" s="12">
        <v>2021.0</v>
      </c>
      <c r="B673" s="12">
        <v>10.0</v>
      </c>
      <c r="C673" s="12">
        <v>14.0</v>
      </c>
      <c r="D673" s="12">
        <v>1003935.0</v>
      </c>
      <c r="E673" s="12">
        <v>6.0</v>
      </c>
      <c r="F673" s="12">
        <v>0.0</v>
      </c>
      <c r="G673" s="12">
        <v>0.0</v>
      </c>
      <c r="H673" s="12" t="s">
        <v>12</v>
      </c>
      <c r="I673" s="12">
        <f>sumıf(Sales!B:B,D673,Sales!G:G)</f>
        <v>46.31</v>
      </c>
    </row>
    <row r="674">
      <c r="A674" s="12">
        <v>2021.0</v>
      </c>
      <c r="B674" s="12">
        <v>10.0</v>
      </c>
      <c r="C674" s="12">
        <v>14.0</v>
      </c>
      <c r="D674" s="12">
        <v>1003949.0</v>
      </c>
      <c r="E674" s="12">
        <v>1.0</v>
      </c>
      <c r="F674" s="12">
        <v>0.0</v>
      </c>
      <c r="G674" s="12">
        <v>0.0</v>
      </c>
      <c r="H674" s="12" t="s">
        <v>12</v>
      </c>
      <c r="I674" s="12">
        <f>sumıf(Sales!B:B,D674,Sales!G:G)</f>
        <v>58.25</v>
      </c>
    </row>
    <row r="675">
      <c r="A675" s="12">
        <v>2021.0</v>
      </c>
      <c r="B675" s="12">
        <v>10.0</v>
      </c>
      <c r="C675" s="12">
        <v>14.0</v>
      </c>
      <c r="D675" s="12">
        <v>1003951.0</v>
      </c>
      <c r="E675" s="12">
        <v>2.0</v>
      </c>
      <c r="F675" s="12">
        <v>0.0</v>
      </c>
      <c r="G675" s="12">
        <v>5.0</v>
      </c>
      <c r="H675" s="12" t="s">
        <v>12</v>
      </c>
      <c r="I675" s="12">
        <f>sumıf(Sales!B:B,D675,Sales!G:G)</f>
        <v>12.55</v>
      </c>
    </row>
    <row r="676">
      <c r="A676" s="12">
        <v>2021.0</v>
      </c>
      <c r="B676" s="12">
        <v>10.0</v>
      </c>
      <c r="C676" s="12">
        <v>14.0</v>
      </c>
      <c r="D676" s="12">
        <v>1003952.0</v>
      </c>
      <c r="E676" s="12">
        <v>4.0</v>
      </c>
      <c r="F676" s="12">
        <v>0.0</v>
      </c>
      <c r="G676" s="12">
        <v>0.0</v>
      </c>
      <c r="H676" s="12" t="s">
        <v>11</v>
      </c>
      <c r="I676" s="12">
        <f>sumıf(Sales!B:B,D676,Sales!G:G)</f>
        <v>104.03</v>
      </c>
    </row>
    <row r="677">
      <c r="A677" s="12">
        <v>2021.0</v>
      </c>
      <c r="B677" s="12">
        <v>10.0</v>
      </c>
      <c r="C677" s="12">
        <v>14.0</v>
      </c>
      <c r="D677" s="12">
        <v>1003968.0</v>
      </c>
      <c r="E677" s="12">
        <v>3.0</v>
      </c>
      <c r="F677" s="12">
        <v>0.0</v>
      </c>
      <c r="G677" s="12">
        <v>0.0</v>
      </c>
      <c r="H677" s="12" t="s">
        <v>11</v>
      </c>
      <c r="I677" s="12">
        <f>sumıf(Sales!B:B,D677,Sales!G:G)</f>
        <v>23.02</v>
      </c>
    </row>
    <row r="678">
      <c r="A678" s="12">
        <v>2021.0</v>
      </c>
      <c r="B678" s="12">
        <v>10.0</v>
      </c>
      <c r="C678" s="12">
        <v>15.0</v>
      </c>
      <c r="D678" s="12">
        <v>1003982.0</v>
      </c>
      <c r="E678" s="12">
        <v>1.0</v>
      </c>
      <c r="F678" s="12">
        <v>0.0</v>
      </c>
      <c r="G678" s="12">
        <v>0.0</v>
      </c>
      <c r="H678" s="12" t="s">
        <v>11</v>
      </c>
      <c r="I678" s="12">
        <f>sumıf(Sales!B:B,D678,Sales!G:G)</f>
        <v>39.19</v>
      </c>
    </row>
    <row r="679">
      <c r="A679" s="12">
        <v>2021.0</v>
      </c>
      <c r="B679" s="12">
        <v>10.0</v>
      </c>
      <c r="C679" s="12">
        <v>15.0</v>
      </c>
      <c r="D679" s="12">
        <v>1003991.0</v>
      </c>
      <c r="E679" s="12">
        <v>20.0</v>
      </c>
      <c r="F679" s="12">
        <v>0.0</v>
      </c>
      <c r="G679" s="12">
        <v>5.0</v>
      </c>
      <c r="H679" s="12" t="s">
        <v>12</v>
      </c>
      <c r="I679" s="12">
        <f>sumıf(Sales!B:B,D679,Sales!G:G)</f>
        <v>103.31</v>
      </c>
    </row>
    <row r="680">
      <c r="A680" s="12">
        <v>2021.0</v>
      </c>
      <c r="B680" s="12">
        <v>10.0</v>
      </c>
      <c r="C680" s="12">
        <v>15.0</v>
      </c>
      <c r="D680" s="12">
        <v>1003996.0</v>
      </c>
      <c r="E680" s="12">
        <v>11.0</v>
      </c>
      <c r="F680" s="12">
        <v>0.0</v>
      </c>
      <c r="G680" s="12">
        <v>5.0</v>
      </c>
      <c r="H680" s="12" t="s">
        <v>12</v>
      </c>
      <c r="I680" s="12">
        <f>sumıf(Sales!B:B,D680,Sales!G:G)</f>
        <v>127.34</v>
      </c>
    </row>
    <row r="681">
      <c r="A681" s="12">
        <v>2021.0</v>
      </c>
      <c r="B681" s="12">
        <v>10.0</v>
      </c>
      <c r="C681" s="12">
        <v>15.0</v>
      </c>
      <c r="D681" s="12">
        <v>1004001.0</v>
      </c>
      <c r="E681" s="12">
        <v>16.0</v>
      </c>
      <c r="F681" s="12">
        <v>0.0</v>
      </c>
      <c r="G681" s="12">
        <v>0.0</v>
      </c>
      <c r="H681" s="12" t="s">
        <v>12</v>
      </c>
      <c r="I681" s="12">
        <f>sumıf(Sales!B:B,D681,Sales!G:G)</f>
        <v>37.06</v>
      </c>
    </row>
    <row r="682">
      <c r="A682" s="12">
        <v>2021.0</v>
      </c>
      <c r="B682" s="12">
        <v>10.0</v>
      </c>
      <c r="C682" s="12">
        <v>15.0</v>
      </c>
      <c r="D682" s="12">
        <v>1004005.0</v>
      </c>
      <c r="E682" s="12">
        <v>19.0</v>
      </c>
      <c r="F682" s="12">
        <v>0.0</v>
      </c>
      <c r="G682" s="12">
        <v>0.0</v>
      </c>
      <c r="H682" s="12" t="s">
        <v>12</v>
      </c>
      <c r="I682" s="12">
        <f>sumıf(Sales!B:B,D682,Sales!G:G)</f>
        <v>34.99</v>
      </c>
    </row>
    <row r="683">
      <c r="A683" s="12">
        <v>2021.0</v>
      </c>
      <c r="B683" s="12">
        <v>10.0</v>
      </c>
      <c r="C683" s="12">
        <v>15.0</v>
      </c>
      <c r="D683" s="12">
        <v>1004009.0</v>
      </c>
      <c r="E683" s="12">
        <v>9.0</v>
      </c>
      <c r="F683" s="12">
        <v>0.0</v>
      </c>
      <c r="G683" s="12">
        <v>0.0</v>
      </c>
      <c r="H683" s="12" t="s">
        <v>11</v>
      </c>
      <c r="I683" s="12">
        <f>sumıf(Sales!B:B,D683,Sales!G:G)</f>
        <v>32.89</v>
      </c>
    </row>
    <row r="684">
      <c r="A684" s="12">
        <v>2021.0</v>
      </c>
      <c r="B684" s="12">
        <v>10.0</v>
      </c>
      <c r="C684" s="12">
        <v>15.0</v>
      </c>
      <c r="D684" s="12">
        <v>1004015.0</v>
      </c>
      <c r="E684" s="12">
        <v>8.0</v>
      </c>
      <c r="F684" s="12">
        <v>0.0</v>
      </c>
      <c r="G684" s="12">
        <v>4.0</v>
      </c>
      <c r="H684" s="12" t="s">
        <v>12</v>
      </c>
      <c r="I684" s="12">
        <f>sumıf(Sales!B:B,D684,Sales!G:G)</f>
        <v>86.83</v>
      </c>
    </row>
    <row r="685">
      <c r="A685" s="12">
        <v>2021.0</v>
      </c>
      <c r="B685" s="12">
        <v>10.0</v>
      </c>
      <c r="C685" s="12">
        <v>15.0</v>
      </c>
      <c r="D685" s="12">
        <v>1004017.0</v>
      </c>
      <c r="E685" s="12">
        <v>16.0</v>
      </c>
      <c r="F685" s="12">
        <v>0.0</v>
      </c>
      <c r="G685" s="12">
        <v>0.0</v>
      </c>
      <c r="H685" s="12" t="s">
        <v>12</v>
      </c>
      <c r="I685" s="12">
        <f>sumıf(Sales!B:B,D685,Sales!G:G)</f>
        <v>31.99</v>
      </c>
    </row>
    <row r="686">
      <c r="A686" s="12">
        <v>2021.0</v>
      </c>
      <c r="B686" s="12">
        <v>10.0</v>
      </c>
      <c r="C686" s="12">
        <v>15.0</v>
      </c>
      <c r="D686" s="12">
        <v>1004021.0</v>
      </c>
      <c r="E686" s="12">
        <v>3.0</v>
      </c>
      <c r="F686" s="12">
        <v>0.0</v>
      </c>
      <c r="G686" s="12">
        <v>0.0</v>
      </c>
      <c r="H686" s="12" t="s">
        <v>10</v>
      </c>
      <c r="I686" s="12">
        <f>sumıf(Sales!B:B,D686,Sales!G:G)</f>
        <v>26.86</v>
      </c>
    </row>
    <row r="687">
      <c r="A687" s="12">
        <v>2021.0</v>
      </c>
      <c r="B687" s="12">
        <v>10.0</v>
      </c>
      <c r="C687" s="12">
        <v>15.0</v>
      </c>
      <c r="D687" s="12">
        <v>1004022.0</v>
      </c>
      <c r="E687" s="12">
        <v>13.0</v>
      </c>
      <c r="F687" s="12">
        <v>0.0</v>
      </c>
      <c r="G687" s="12">
        <v>0.0</v>
      </c>
      <c r="H687" s="12" t="s">
        <v>10</v>
      </c>
      <c r="I687" s="12">
        <f>sumıf(Sales!B:B,D687,Sales!G:G)</f>
        <v>98.24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13"/>
  </cols>
  <sheetData>
    <row r="1"/>
    <row r="2"/>
    <row r="5"/>
    <row r="6"/>
    <row r="7"/>
    <row r="8"/>
  </sheetData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3" max="3" width="20.88"/>
  </cols>
  <sheetData>
    <row r="1">
      <c r="A1" s="15" t="s">
        <v>14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7" t="s">
        <v>15</v>
      </c>
      <c r="B3" s="18"/>
      <c r="C3" s="18"/>
      <c r="D3" s="18"/>
      <c r="E3" s="18"/>
      <c r="F3" s="18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6" t="s">
        <v>16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7" t="s">
        <v>17</v>
      </c>
      <c r="B7" s="18"/>
      <c r="C7" s="18"/>
      <c r="D7" s="18"/>
      <c r="E7" s="18"/>
      <c r="F7" s="18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9"/>
      <c r="B8" s="19"/>
      <c r="C8" s="19"/>
      <c r="D8" s="19"/>
      <c r="E8" s="19"/>
      <c r="F8" s="19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20" t="s">
        <v>18</v>
      </c>
      <c r="B9" s="21" t="s">
        <v>19</v>
      </c>
      <c r="C9" s="22"/>
      <c r="D9" s="21" t="s">
        <v>20</v>
      </c>
      <c r="E9" s="23"/>
      <c r="F9" s="22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24" t="s">
        <v>21</v>
      </c>
      <c r="B10" s="16" t="s">
        <v>22</v>
      </c>
      <c r="C10" s="25"/>
      <c r="D10" s="26" t="s">
        <v>23</v>
      </c>
      <c r="E10" s="23"/>
      <c r="F10" s="22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24" t="s">
        <v>24</v>
      </c>
      <c r="B11" s="16" t="s">
        <v>25</v>
      </c>
      <c r="C11" s="25"/>
      <c r="D11" s="26" t="s">
        <v>26</v>
      </c>
      <c r="E11" s="23"/>
      <c r="F11" s="22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27"/>
      <c r="B12" s="28"/>
      <c r="C12" s="23"/>
      <c r="D12" s="22"/>
      <c r="E12" s="29"/>
      <c r="F12" s="25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27"/>
      <c r="B13" s="28"/>
      <c r="C13" s="22"/>
      <c r="D13" s="28"/>
      <c r="E13" s="23"/>
      <c r="F13" s="22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27"/>
      <c r="B14" s="28"/>
      <c r="C14" s="22"/>
      <c r="D14" s="28"/>
      <c r="E14" s="23"/>
      <c r="F14" s="22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27"/>
      <c r="B15" s="28"/>
      <c r="C15" s="22"/>
      <c r="D15" s="28"/>
      <c r="E15" s="23"/>
      <c r="F15" s="22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7" t="s">
        <v>27</v>
      </c>
      <c r="B19" s="18"/>
      <c r="C19" s="18"/>
      <c r="D19" s="18"/>
      <c r="E19" s="18"/>
      <c r="F19" s="18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 t="s">
        <v>28</v>
      </c>
      <c r="B21" s="30"/>
      <c r="C21" s="30"/>
      <c r="D21" s="30"/>
      <c r="E21" s="30"/>
      <c r="F21" s="31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 t="s">
        <v>29</v>
      </c>
      <c r="B22" s="16"/>
      <c r="C22" s="16"/>
      <c r="D22" s="16"/>
      <c r="E22" s="16"/>
      <c r="F22" s="32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6"/>
      <c r="C23" s="16"/>
      <c r="D23" s="16"/>
      <c r="E23" s="16"/>
      <c r="F23" s="32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 t="s">
        <v>30</v>
      </c>
      <c r="B24" s="16"/>
      <c r="C24" s="16"/>
      <c r="D24" s="16"/>
      <c r="E24" s="16"/>
      <c r="F24" s="32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 t="s">
        <v>31</v>
      </c>
      <c r="B25" s="16"/>
      <c r="C25" s="16"/>
      <c r="D25" s="16"/>
      <c r="E25" s="16"/>
      <c r="F25" s="32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6"/>
      <c r="C26" s="16"/>
      <c r="D26" s="16"/>
      <c r="E26" s="16"/>
      <c r="F26" s="32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 t="s">
        <v>32</v>
      </c>
      <c r="B27" s="16"/>
      <c r="C27" s="16"/>
      <c r="D27" s="16"/>
      <c r="E27" s="16"/>
      <c r="F27" s="32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 t="s">
        <v>33</v>
      </c>
      <c r="B28" s="33"/>
      <c r="C28" s="33"/>
      <c r="D28" s="33"/>
      <c r="E28" s="33"/>
      <c r="F28" s="34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mergeCells count="12">
    <mergeCell ref="B13:C13"/>
    <mergeCell ref="B14:C14"/>
    <mergeCell ref="B15:C15"/>
    <mergeCell ref="D14:F14"/>
    <mergeCell ref="D15:F15"/>
    <mergeCell ref="A1:F1"/>
    <mergeCell ref="B9:C9"/>
    <mergeCell ref="D9:F9"/>
    <mergeCell ref="D10:F10"/>
    <mergeCell ref="D11:F11"/>
    <mergeCell ref="B12:D12"/>
    <mergeCell ref="D13:F1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16.0"/>
    <col customWidth="1" min="3" max="3" width="13.0"/>
    <col customWidth="1" min="4" max="4" width="15.38"/>
  </cols>
  <sheetData>
    <row r="1"/>
    <row r="2"/>
    <row r="3"/>
    <row r="4"/>
    <row r="5"/>
    <row r="6">
      <c r="B6" s="36"/>
      <c r="C6" s="36"/>
      <c r="D6" s="36"/>
    </row>
    <row r="7">
      <c r="B7" s="36">
        <f>SUM(B5+C5+D5)</f>
        <v>4671.656321</v>
      </c>
      <c r="C7" s="36"/>
      <c r="D7" s="36"/>
    </row>
    <row r="8">
      <c r="A8" s="14" t="s">
        <v>38</v>
      </c>
      <c r="B8" s="37">
        <f>B5/B7</f>
        <v>0.6584059506</v>
      </c>
      <c r="C8" s="37">
        <f>C5/B7</f>
        <v>0.09518893716</v>
      </c>
      <c r="D8" s="37">
        <f>D5/B7</f>
        <v>0.2464051122</v>
      </c>
    </row>
    <row r="9">
      <c r="B9" s="36"/>
      <c r="C9" s="36"/>
      <c r="D9" s="36"/>
    </row>
    <row r="10">
      <c r="B10" s="36"/>
      <c r="C10" s="36"/>
      <c r="D10" s="36"/>
    </row>
    <row r="11">
      <c r="B11" s="36"/>
      <c r="C11" s="36"/>
      <c r="D11" s="36"/>
    </row>
    <row r="12">
      <c r="B12" s="36"/>
      <c r="C12" s="36"/>
      <c r="D12" s="36"/>
    </row>
    <row r="13">
      <c r="B13" s="36"/>
      <c r="C13" s="36"/>
      <c r="D13" s="36"/>
    </row>
    <row r="14">
      <c r="B14" s="36"/>
      <c r="C14" s="36"/>
      <c r="D14" s="36"/>
    </row>
    <row r="15">
      <c r="B15" s="36"/>
      <c r="C15" s="36"/>
      <c r="D15" s="36"/>
    </row>
    <row r="16">
      <c r="B16" s="36"/>
      <c r="C16" s="36"/>
      <c r="D16" s="36"/>
    </row>
    <row r="17">
      <c r="B17" s="36"/>
      <c r="C17" s="36"/>
      <c r="D17" s="36"/>
    </row>
    <row r="18">
      <c r="B18" s="36"/>
      <c r="C18" s="36"/>
      <c r="D18" s="36"/>
    </row>
    <row r="19">
      <c r="B19" s="36"/>
      <c r="C19" s="36"/>
      <c r="D19" s="36"/>
    </row>
    <row r="20">
      <c r="B20" s="36"/>
      <c r="C20" s="36"/>
      <c r="D20" s="36"/>
    </row>
    <row r="21">
      <c r="B21" s="36"/>
      <c r="C21" s="36"/>
      <c r="D21" s="36"/>
    </row>
    <row r="22">
      <c r="B22" s="36"/>
      <c r="C22" s="36"/>
      <c r="D22" s="36"/>
    </row>
    <row r="23">
      <c r="B23" s="36"/>
      <c r="C23" s="36"/>
      <c r="D23" s="36"/>
    </row>
    <row r="24">
      <c r="B24" s="36"/>
      <c r="C24" s="36"/>
      <c r="D24" s="36"/>
    </row>
    <row r="25">
      <c r="B25" s="36"/>
      <c r="C25" s="36"/>
      <c r="D25" s="36"/>
    </row>
    <row r="26">
      <c r="B26" s="36"/>
      <c r="C26" s="36"/>
      <c r="D26" s="36"/>
    </row>
    <row r="27">
      <c r="B27" s="36"/>
      <c r="C27" s="36"/>
      <c r="D27" s="36"/>
    </row>
    <row r="28">
      <c r="B28" s="36"/>
      <c r="C28" s="36"/>
      <c r="D28" s="36"/>
    </row>
    <row r="29">
      <c r="B29" s="36"/>
      <c r="C29" s="36"/>
      <c r="D29" s="36"/>
    </row>
    <row r="30">
      <c r="B30" s="36"/>
      <c r="C30" s="36"/>
      <c r="D30" s="36"/>
    </row>
    <row r="31">
      <c r="B31" s="36"/>
      <c r="C31" s="36"/>
      <c r="D31" s="36"/>
    </row>
    <row r="32">
      <c r="B32" s="36"/>
      <c r="C32" s="36"/>
      <c r="D32" s="36"/>
    </row>
    <row r="33">
      <c r="B33" s="36"/>
      <c r="C33" s="36"/>
      <c r="D33" s="36"/>
    </row>
    <row r="34">
      <c r="B34" s="36"/>
      <c r="C34" s="36"/>
      <c r="D34" s="36"/>
    </row>
    <row r="35">
      <c r="B35" s="36"/>
      <c r="C35" s="36"/>
      <c r="D35" s="36"/>
    </row>
    <row r="36">
      <c r="B36" s="36"/>
      <c r="C36" s="36"/>
      <c r="D36" s="36"/>
    </row>
    <row r="37">
      <c r="B37" s="36"/>
      <c r="C37" s="36"/>
      <c r="D37" s="36"/>
    </row>
    <row r="38">
      <c r="B38" s="36"/>
      <c r="C38" s="36"/>
      <c r="D38" s="36"/>
    </row>
    <row r="39">
      <c r="B39" s="36"/>
      <c r="C39" s="36"/>
      <c r="D39" s="36"/>
    </row>
    <row r="40">
      <c r="B40" s="36"/>
      <c r="C40" s="36"/>
      <c r="D40" s="36"/>
    </row>
    <row r="41">
      <c r="B41" s="36"/>
      <c r="C41" s="36"/>
      <c r="D41" s="36"/>
    </row>
    <row r="42">
      <c r="B42" s="36"/>
      <c r="C42" s="36"/>
      <c r="D42" s="36"/>
    </row>
    <row r="43">
      <c r="B43" s="36"/>
      <c r="C43" s="36"/>
      <c r="D43" s="36"/>
    </row>
    <row r="44">
      <c r="B44" s="36"/>
      <c r="C44" s="36"/>
      <c r="D44" s="36"/>
    </row>
    <row r="45">
      <c r="B45" s="36"/>
      <c r="C45" s="36"/>
      <c r="D45" s="36"/>
    </row>
    <row r="46">
      <c r="B46" s="36"/>
      <c r="C46" s="36"/>
      <c r="D46" s="36"/>
    </row>
    <row r="47">
      <c r="B47" s="36"/>
      <c r="C47" s="36"/>
      <c r="D47" s="36"/>
    </row>
    <row r="48">
      <c r="B48" s="36"/>
      <c r="C48" s="36"/>
      <c r="D48" s="36"/>
    </row>
    <row r="49">
      <c r="B49" s="36"/>
      <c r="C49" s="36"/>
      <c r="D49" s="36"/>
    </row>
    <row r="50">
      <c r="B50" s="36"/>
      <c r="C50" s="36"/>
      <c r="D50" s="36"/>
    </row>
    <row r="51">
      <c r="B51" s="36"/>
      <c r="C51" s="36"/>
      <c r="D51" s="36"/>
    </row>
    <row r="52">
      <c r="B52" s="36"/>
      <c r="C52" s="36"/>
      <c r="D52" s="36"/>
    </row>
    <row r="53">
      <c r="B53" s="36"/>
      <c r="C53" s="36"/>
      <c r="D53" s="36"/>
    </row>
    <row r="54">
      <c r="B54" s="36"/>
      <c r="C54" s="36"/>
      <c r="D54" s="36"/>
    </row>
    <row r="55">
      <c r="B55" s="36"/>
      <c r="C55" s="36"/>
      <c r="D55" s="36"/>
    </row>
    <row r="56">
      <c r="B56" s="36"/>
      <c r="C56" s="36"/>
      <c r="D56" s="36"/>
    </row>
    <row r="57">
      <c r="B57" s="36"/>
      <c r="C57" s="36"/>
      <c r="D57" s="36"/>
    </row>
    <row r="58">
      <c r="B58" s="36"/>
      <c r="C58" s="36"/>
      <c r="D58" s="36"/>
    </row>
    <row r="59">
      <c r="B59" s="36"/>
      <c r="C59" s="36"/>
      <c r="D59" s="36"/>
    </row>
    <row r="60">
      <c r="B60" s="36"/>
      <c r="C60" s="36"/>
      <c r="D60" s="36"/>
    </row>
    <row r="61">
      <c r="B61" s="36"/>
      <c r="C61" s="36"/>
      <c r="D61" s="36"/>
    </row>
    <row r="62">
      <c r="B62" s="36"/>
      <c r="C62" s="36"/>
      <c r="D62" s="36"/>
    </row>
    <row r="63">
      <c r="B63" s="36"/>
      <c r="C63" s="36"/>
      <c r="D63" s="36"/>
    </row>
    <row r="64">
      <c r="B64" s="36"/>
      <c r="C64" s="36"/>
      <c r="D64" s="36"/>
    </row>
    <row r="65">
      <c r="B65" s="36"/>
      <c r="C65" s="36"/>
      <c r="D65" s="36"/>
    </row>
    <row r="66">
      <c r="B66" s="36"/>
      <c r="C66" s="36"/>
      <c r="D66" s="36"/>
    </row>
    <row r="67">
      <c r="B67" s="36"/>
      <c r="C67" s="36"/>
      <c r="D67" s="36"/>
    </row>
    <row r="68">
      <c r="B68" s="36"/>
      <c r="C68" s="36"/>
      <c r="D68" s="36"/>
    </row>
    <row r="69">
      <c r="B69" s="36"/>
      <c r="C69" s="36"/>
      <c r="D69" s="36"/>
    </row>
    <row r="70">
      <c r="B70" s="36"/>
      <c r="C70" s="36"/>
      <c r="D70" s="36"/>
    </row>
    <row r="71">
      <c r="B71" s="36"/>
      <c r="C71" s="36"/>
      <c r="D71" s="36"/>
    </row>
    <row r="72">
      <c r="B72" s="36"/>
      <c r="C72" s="36"/>
      <c r="D72" s="36"/>
    </row>
    <row r="73">
      <c r="B73" s="36"/>
      <c r="C73" s="36"/>
      <c r="D73" s="36"/>
    </row>
    <row r="74">
      <c r="B74" s="36"/>
      <c r="C74" s="36"/>
      <c r="D74" s="36"/>
    </row>
    <row r="75">
      <c r="B75" s="36"/>
      <c r="C75" s="36"/>
      <c r="D75" s="36"/>
    </row>
    <row r="76">
      <c r="B76" s="36"/>
      <c r="C76" s="36"/>
      <c r="D76" s="36"/>
    </row>
    <row r="77">
      <c r="B77" s="36"/>
      <c r="C77" s="36"/>
      <c r="D77" s="36"/>
    </row>
    <row r="78">
      <c r="B78" s="36"/>
      <c r="C78" s="36"/>
      <c r="D78" s="36"/>
    </row>
    <row r="79">
      <c r="B79" s="36"/>
      <c r="C79" s="36"/>
      <c r="D79" s="36"/>
    </row>
    <row r="80">
      <c r="B80" s="36"/>
      <c r="C80" s="36"/>
      <c r="D80" s="36"/>
    </row>
    <row r="81">
      <c r="B81" s="36"/>
      <c r="C81" s="36"/>
      <c r="D81" s="36"/>
    </row>
    <row r="82">
      <c r="B82" s="36"/>
      <c r="C82" s="36"/>
      <c r="D82" s="36"/>
    </row>
    <row r="83">
      <c r="B83" s="36"/>
      <c r="C83" s="36"/>
      <c r="D83" s="36"/>
    </row>
    <row r="84">
      <c r="B84" s="36"/>
      <c r="C84" s="36"/>
      <c r="D84" s="36"/>
    </row>
    <row r="85">
      <c r="B85" s="36"/>
      <c r="C85" s="36"/>
      <c r="D85" s="36"/>
    </row>
    <row r="86">
      <c r="B86" s="36"/>
      <c r="C86" s="36"/>
      <c r="D86" s="36"/>
    </row>
    <row r="87">
      <c r="B87" s="36"/>
      <c r="C87" s="36"/>
      <c r="D87" s="36"/>
    </row>
    <row r="88">
      <c r="B88" s="36"/>
      <c r="C88" s="36"/>
      <c r="D88" s="36"/>
    </row>
    <row r="89">
      <c r="B89" s="36"/>
      <c r="C89" s="36"/>
      <c r="D89" s="36"/>
    </row>
    <row r="90">
      <c r="B90" s="36"/>
      <c r="C90" s="36"/>
      <c r="D90" s="36"/>
    </row>
    <row r="91">
      <c r="B91" s="36"/>
      <c r="C91" s="36"/>
      <c r="D91" s="36"/>
    </row>
    <row r="92">
      <c r="B92" s="36"/>
      <c r="C92" s="36"/>
      <c r="D92" s="36"/>
    </row>
    <row r="93">
      <c r="B93" s="36"/>
      <c r="C93" s="36"/>
      <c r="D93" s="36"/>
    </row>
    <row r="94">
      <c r="B94" s="36"/>
      <c r="C94" s="36"/>
      <c r="D94" s="36"/>
    </row>
    <row r="95">
      <c r="B95" s="36"/>
      <c r="C95" s="36"/>
      <c r="D95" s="36"/>
    </row>
    <row r="96">
      <c r="B96" s="36"/>
      <c r="C96" s="36"/>
      <c r="D96" s="36"/>
    </row>
    <row r="97">
      <c r="B97" s="36"/>
      <c r="C97" s="36"/>
      <c r="D97" s="36"/>
    </row>
    <row r="98">
      <c r="B98" s="36"/>
      <c r="C98" s="36"/>
      <c r="D98" s="36"/>
    </row>
    <row r="99">
      <c r="B99" s="36"/>
      <c r="C99" s="36"/>
      <c r="D99" s="36"/>
    </row>
    <row r="100">
      <c r="B100" s="36"/>
      <c r="C100" s="36"/>
      <c r="D100" s="36"/>
    </row>
    <row r="101">
      <c r="B101" s="36"/>
      <c r="C101" s="36"/>
      <c r="D101" s="36"/>
    </row>
    <row r="102">
      <c r="B102" s="36"/>
      <c r="C102" s="36"/>
      <c r="D102" s="36"/>
    </row>
    <row r="103">
      <c r="B103" s="36"/>
      <c r="C103" s="36"/>
      <c r="D103" s="36"/>
    </row>
    <row r="104">
      <c r="B104" s="36"/>
      <c r="C104" s="36"/>
      <c r="D104" s="36"/>
    </row>
    <row r="105">
      <c r="B105" s="36"/>
      <c r="C105" s="36"/>
      <c r="D105" s="36"/>
    </row>
    <row r="106">
      <c r="B106" s="36"/>
      <c r="C106" s="36"/>
      <c r="D106" s="36"/>
    </row>
    <row r="107">
      <c r="B107" s="36"/>
      <c r="C107" s="36"/>
      <c r="D107" s="36"/>
    </row>
    <row r="108">
      <c r="B108" s="36"/>
      <c r="C108" s="36"/>
      <c r="D108" s="36"/>
    </row>
    <row r="109">
      <c r="B109" s="36"/>
      <c r="C109" s="36"/>
      <c r="D109" s="36"/>
    </row>
    <row r="110">
      <c r="B110" s="36"/>
      <c r="C110" s="36"/>
      <c r="D110" s="36"/>
    </row>
    <row r="111">
      <c r="B111" s="36"/>
      <c r="C111" s="36"/>
      <c r="D111" s="36"/>
    </row>
    <row r="112">
      <c r="B112" s="36"/>
      <c r="C112" s="36"/>
      <c r="D112" s="36"/>
    </row>
    <row r="113">
      <c r="B113" s="36"/>
      <c r="C113" s="36"/>
      <c r="D113" s="36"/>
    </row>
    <row r="114">
      <c r="B114" s="36"/>
      <c r="C114" s="36"/>
      <c r="D114" s="36"/>
    </row>
    <row r="115">
      <c r="B115" s="36"/>
      <c r="C115" s="36"/>
      <c r="D115" s="36"/>
    </row>
    <row r="116">
      <c r="B116" s="36"/>
      <c r="C116" s="36"/>
      <c r="D116" s="36"/>
    </row>
    <row r="117">
      <c r="B117" s="36"/>
      <c r="C117" s="36"/>
      <c r="D117" s="36"/>
    </row>
    <row r="118">
      <c r="B118" s="36"/>
      <c r="C118" s="36"/>
      <c r="D118" s="36"/>
    </row>
    <row r="119">
      <c r="B119" s="36"/>
      <c r="C119" s="36"/>
      <c r="D119" s="36"/>
    </row>
    <row r="120">
      <c r="B120" s="36"/>
      <c r="C120" s="36"/>
      <c r="D120" s="36"/>
    </row>
    <row r="121">
      <c r="B121" s="36"/>
      <c r="C121" s="36"/>
      <c r="D121" s="36"/>
    </row>
    <row r="122">
      <c r="B122" s="36"/>
      <c r="C122" s="36"/>
      <c r="D122" s="36"/>
    </row>
    <row r="123">
      <c r="B123" s="36"/>
      <c r="C123" s="36"/>
      <c r="D123" s="36"/>
    </row>
    <row r="124">
      <c r="B124" s="36"/>
      <c r="C124" s="36"/>
      <c r="D124" s="36"/>
    </row>
    <row r="125">
      <c r="B125" s="36"/>
      <c r="C125" s="36"/>
      <c r="D125" s="36"/>
    </row>
    <row r="126">
      <c r="B126" s="36"/>
      <c r="C126" s="36"/>
      <c r="D126" s="36"/>
    </row>
    <row r="127">
      <c r="B127" s="36"/>
      <c r="C127" s="36"/>
      <c r="D127" s="36"/>
    </row>
    <row r="128">
      <c r="B128" s="36"/>
      <c r="C128" s="36"/>
      <c r="D128" s="36"/>
    </row>
    <row r="129">
      <c r="B129" s="36"/>
      <c r="C129" s="36"/>
      <c r="D129" s="36"/>
    </row>
    <row r="130">
      <c r="B130" s="36"/>
      <c r="C130" s="36"/>
      <c r="D130" s="36"/>
    </row>
    <row r="131">
      <c r="B131" s="36"/>
      <c r="C131" s="36"/>
      <c r="D131" s="36"/>
    </row>
    <row r="132">
      <c r="B132" s="36"/>
      <c r="C132" s="36"/>
      <c r="D132" s="36"/>
    </row>
    <row r="133">
      <c r="B133" s="36"/>
      <c r="C133" s="36"/>
      <c r="D133" s="36"/>
    </row>
    <row r="134">
      <c r="B134" s="36"/>
      <c r="C134" s="36"/>
      <c r="D134" s="36"/>
    </row>
    <row r="135">
      <c r="B135" s="36"/>
      <c r="C135" s="36"/>
      <c r="D135" s="36"/>
    </row>
    <row r="136">
      <c r="B136" s="36"/>
      <c r="C136" s="36"/>
      <c r="D136" s="36"/>
    </row>
    <row r="137">
      <c r="B137" s="36"/>
      <c r="C137" s="36"/>
      <c r="D137" s="36"/>
    </row>
    <row r="138">
      <c r="B138" s="36"/>
      <c r="C138" s="36"/>
      <c r="D138" s="36"/>
    </row>
    <row r="139">
      <c r="B139" s="36"/>
      <c r="C139" s="36"/>
      <c r="D139" s="36"/>
    </row>
    <row r="140">
      <c r="B140" s="36"/>
      <c r="C140" s="36"/>
      <c r="D140" s="36"/>
    </row>
    <row r="141">
      <c r="B141" s="36"/>
      <c r="C141" s="36"/>
      <c r="D141" s="36"/>
    </row>
    <row r="142">
      <c r="B142" s="36"/>
      <c r="C142" s="36"/>
      <c r="D142" s="36"/>
    </row>
    <row r="143">
      <c r="B143" s="36"/>
      <c r="C143" s="36"/>
      <c r="D143" s="36"/>
    </row>
    <row r="144">
      <c r="B144" s="36"/>
      <c r="C144" s="36"/>
      <c r="D144" s="36"/>
    </row>
    <row r="145">
      <c r="B145" s="36"/>
      <c r="C145" s="36"/>
      <c r="D145" s="36"/>
    </row>
    <row r="146">
      <c r="B146" s="36"/>
      <c r="C146" s="36"/>
      <c r="D146" s="36"/>
    </row>
    <row r="147">
      <c r="B147" s="36"/>
      <c r="C147" s="36"/>
      <c r="D147" s="36"/>
    </row>
    <row r="148">
      <c r="B148" s="36"/>
      <c r="C148" s="36"/>
      <c r="D148" s="36"/>
    </row>
    <row r="149">
      <c r="B149" s="36"/>
      <c r="C149" s="36"/>
      <c r="D149" s="36"/>
    </row>
    <row r="150">
      <c r="B150" s="36"/>
      <c r="C150" s="36"/>
      <c r="D150" s="36"/>
    </row>
    <row r="151">
      <c r="B151" s="36"/>
      <c r="C151" s="36"/>
      <c r="D151" s="36"/>
    </row>
    <row r="152">
      <c r="B152" s="36"/>
      <c r="C152" s="36"/>
      <c r="D152" s="36"/>
    </row>
    <row r="153">
      <c r="B153" s="36"/>
      <c r="C153" s="36"/>
      <c r="D153" s="36"/>
    </row>
    <row r="154">
      <c r="B154" s="36"/>
      <c r="C154" s="36"/>
      <c r="D154" s="36"/>
    </row>
    <row r="155">
      <c r="B155" s="36"/>
      <c r="C155" s="36"/>
      <c r="D155" s="36"/>
    </row>
    <row r="156">
      <c r="B156" s="36"/>
      <c r="C156" s="36"/>
      <c r="D156" s="36"/>
    </row>
    <row r="157">
      <c r="B157" s="36"/>
      <c r="C157" s="36"/>
      <c r="D157" s="36"/>
    </row>
    <row r="158">
      <c r="B158" s="36"/>
      <c r="C158" s="36"/>
      <c r="D158" s="36"/>
    </row>
    <row r="159">
      <c r="B159" s="36"/>
      <c r="C159" s="36"/>
      <c r="D159" s="36"/>
    </row>
    <row r="160">
      <c r="B160" s="36"/>
      <c r="C160" s="36"/>
      <c r="D160" s="36"/>
    </row>
    <row r="161">
      <c r="B161" s="36"/>
      <c r="C161" s="36"/>
      <c r="D161" s="36"/>
    </row>
    <row r="162">
      <c r="B162" s="36"/>
      <c r="C162" s="36"/>
      <c r="D162" s="36"/>
    </row>
    <row r="163">
      <c r="B163" s="36"/>
      <c r="C163" s="36"/>
      <c r="D163" s="36"/>
    </row>
    <row r="164">
      <c r="B164" s="36"/>
      <c r="C164" s="36"/>
      <c r="D164" s="36"/>
    </row>
    <row r="165">
      <c r="B165" s="36"/>
      <c r="C165" s="36"/>
      <c r="D165" s="36"/>
    </row>
    <row r="166">
      <c r="B166" s="36"/>
      <c r="C166" s="36"/>
      <c r="D166" s="36"/>
    </row>
    <row r="167">
      <c r="B167" s="36"/>
      <c r="C167" s="36"/>
      <c r="D167" s="36"/>
    </row>
    <row r="168">
      <c r="B168" s="36"/>
      <c r="C168" s="36"/>
      <c r="D168" s="36"/>
    </row>
    <row r="169">
      <c r="B169" s="36"/>
      <c r="C169" s="36"/>
      <c r="D169" s="36"/>
    </row>
    <row r="170">
      <c r="B170" s="36"/>
      <c r="C170" s="36"/>
      <c r="D170" s="36"/>
    </row>
    <row r="171">
      <c r="B171" s="36"/>
      <c r="C171" s="36"/>
      <c r="D171" s="36"/>
    </row>
    <row r="172">
      <c r="B172" s="36"/>
      <c r="C172" s="36"/>
      <c r="D172" s="36"/>
    </row>
    <row r="173">
      <c r="B173" s="36"/>
      <c r="C173" s="36"/>
      <c r="D173" s="36"/>
    </row>
    <row r="174">
      <c r="B174" s="36"/>
      <c r="C174" s="36"/>
      <c r="D174" s="36"/>
    </row>
    <row r="175">
      <c r="B175" s="36"/>
      <c r="C175" s="36"/>
      <c r="D175" s="36"/>
    </row>
    <row r="176">
      <c r="B176" s="36"/>
      <c r="C176" s="36"/>
      <c r="D176" s="36"/>
    </row>
    <row r="177">
      <c r="B177" s="36"/>
      <c r="C177" s="36"/>
      <c r="D177" s="36"/>
    </row>
    <row r="178">
      <c r="B178" s="36"/>
      <c r="C178" s="36"/>
      <c r="D178" s="36"/>
    </row>
    <row r="179">
      <c r="B179" s="36"/>
      <c r="C179" s="36"/>
      <c r="D179" s="36"/>
    </row>
    <row r="180">
      <c r="B180" s="36"/>
      <c r="C180" s="36"/>
      <c r="D180" s="36"/>
    </row>
    <row r="181">
      <c r="B181" s="36"/>
      <c r="C181" s="36"/>
      <c r="D181" s="36"/>
    </row>
    <row r="182">
      <c r="B182" s="36"/>
      <c r="C182" s="36"/>
      <c r="D182" s="36"/>
    </row>
    <row r="183">
      <c r="B183" s="36"/>
      <c r="C183" s="36"/>
      <c r="D183" s="36"/>
    </row>
    <row r="184">
      <c r="B184" s="36"/>
      <c r="C184" s="36"/>
      <c r="D184" s="36"/>
    </row>
    <row r="185">
      <c r="B185" s="36"/>
      <c r="C185" s="36"/>
      <c r="D185" s="36"/>
    </row>
    <row r="186">
      <c r="B186" s="36"/>
      <c r="C186" s="36"/>
      <c r="D186" s="36"/>
    </row>
    <row r="187">
      <c r="B187" s="36"/>
      <c r="C187" s="36"/>
      <c r="D187" s="36"/>
    </row>
    <row r="188">
      <c r="B188" s="36"/>
      <c r="C188" s="36"/>
      <c r="D188" s="36"/>
    </row>
    <row r="189">
      <c r="B189" s="36"/>
      <c r="C189" s="36"/>
      <c r="D189" s="36"/>
    </row>
    <row r="190">
      <c r="B190" s="36"/>
      <c r="C190" s="36"/>
      <c r="D190" s="36"/>
    </row>
    <row r="191">
      <c r="B191" s="36"/>
      <c r="C191" s="36"/>
      <c r="D191" s="36"/>
    </row>
    <row r="192">
      <c r="B192" s="36"/>
      <c r="C192" s="36"/>
      <c r="D192" s="36"/>
    </row>
    <row r="193">
      <c r="B193" s="36"/>
      <c r="C193" s="36"/>
      <c r="D193" s="36"/>
    </row>
    <row r="194">
      <c r="B194" s="36"/>
      <c r="C194" s="36"/>
      <c r="D194" s="36"/>
    </row>
    <row r="195">
      <c r="B195" s="36"/>
      <c r="C195" s="36"/>
      <c r="D195" s="36"/>
    </row>
    <row r="196">
      <c r="B196" s="36"/>
      <c r="C196" s="36"/>
      <c r="D196" s="36"/>
    </row>
    <row r="197">
      <c r="B197" s="36"/>
      <c r="C197" s="36"/>
      <c r="D197" s="36"/>
    </row>
    <row r="198">
      <c r="B198" s="36"/>
      <c r="C198" s="36"/>
      <c r="D198" s="36"/>
    </row>
    <row r="199">
      <c r="B199" s="36"/>
      <c r="C199" s="36"/>
      <c r="D199" s="36"/>
    </row>
    <row r="200">
      <c r="B200" s="36"/>
      <c r="C200" s="36"/>
      <c r="D200" s="36"/>
    </row>
    <row r="201">
      <c r="B201" s="36"/>
      <c r="C201" s="36"/>
      <c r="D201" s="36"/>
    </row>
    <row r="202">
      <c r="B202" s="36"/>
      <c r="C202" s="36"/>
      <c r="D202" s="36"/>
    </row>
    <row r="203">
      <c r="B203" s="36"/>
      <c r="C203" s="36"/>
      <c r="D203" s="36"/>
    </row>
    <row r="204">
      <c r="B204" s="36"/>
      <c r="C204" s="36"/>
      <c r="D204" s="36"/>
    </row>
    <row r="205">
      <c r="B205" s="36"/>
      <c r="C205" s="36"/>
      <c r="D205" s="36"/>
    </row>
    <row r="206">
      <c r="B206" s="36"/>
      <c r="C206" s="36"/>
      <c r="D206" s="36"/>
    </row>
    <row r="207">
      <c r="B207" s="36"/>
      <c r="C207" s="36"/>
      <c r="D207" s="36"/>
    </row>
    <row r="208">
      <c r="B208" s="36"/>
      <c r="C208" s="36"/>
      <c r="D208" s="36"/>
    </row>
    <row r="209">
      <c r="B209" s="36"/>
      <c r="C209" s="36"/>
      <c r="D209" s="36"/>
    </row>
    <row r="210">
      <c r="B210" s="36"/>
      <c r="C210" s="36"/>
      <c r="D210" s="36"/>
    </row>
    <row r="211">
      <c r="B211" s="36"/>
      <c r="C211" s="36"/>
      <c r="D211" s="36"/>
    </row>
    <row r="212">
      <c r="B212" s="36"/>
      <c r="C212" s="36"/>
      <c r="D212" s="36"/>
    </row>
    <row r="213">
      <c r="B213" s="36"/>
      <c r="C213" s="36"/>
      <c r="D213" s="36"/>
    </row>
    <row r="214">
      <c r="B214" s="36"/>
      <c r="C214" s="36"/>
      <c r="D214" s="36"/>
    </row>
    <row r="215">
      <c r="B215" s="36"/>
      <c r="C215" s="36"/>
      <c r="D215" s="36"/>
    </row>
    <row r="216">
      <c r="B216" s="36"/>
      <c r="C216" s="36"/>
      <c r="D216" s="36"/>
    </row>
    <row r="217">
      <c r="B217" s="36"/>
      <c r="C217" s="36"/>
      <c r="D217" s="36"/>
    </row>
    <row r="218">
      <c r="B218" s="36"/>
      <c r="C218" s="36"/>
      <c r="D218" s="36"/>
    </row>
    <row r="219">
      <c r="B219" s="36"/>
      <c r="C219" s="36"/>
      <c r="D219" s="36"/>
    </row>
    <row r="220">
      <c r="B220" s="36"/>
      <c r="C220" s="36"/>
      <c r="D220" s="36"/>
    </row>
    <row r="221">
      <c r="B221" s="36"/>
      <c r="C221" s="36"/>
      <c r="D221" s="36"/>
    </row>
    <row r="222">
      <c r="B222" s="36"/>
      <c r="C222" s="36"/>
      <c r="D222" s="36"/>
    </row>
    <row r="223">
      <c r="B223" s="36"/>
      <c r="C223" s="36"/>
      <c r="D223" s="36"/>
    </row>
    <row r="224">
      <c r="B224" s="36"/>
      <c r="C224" s="36"/>
      <c r="D224" s="36"/>
    </row>
    <row r="225">
      <c r="B225" s="36"/>
      <c r="C225" s="36"/>
      <c r="D225" s="36"/>
    </row>
    <row r="226">
      <c r="B226" s="36"/>
      <c r="C226" s="36"/>
      <c r="D226" s="36"/>
    </row>
    <row r="227">
      <c r="B227" s="36"/>
      <c r="C227" s="36"/>
      <c r="D227" s="36"/>
    </row>
    <row r="228">
      <c r="B228" s="36"/>
      <c r="C228" s="36"/>
      <c r="D228" s="36"/>
    </row>
    <row r="229">
      <c r="B229" s="36"/>
      <c r="C229" s="36"/>
      <c r="D229" s="36"/>
    </row>
    <row r="230">
      <c r="B230" s="36"/>
      <c r="C230" s="36"/>
      <c r="D230" s="36"/>
    </row>
    <row r="231">
      <c r="B231" s="36"/>
      <c r="C231" s="36"/>
      <c r="D231" s="36"/>
    </row>
    <row r="232">
      <c r="B232" s="36"/>
      <c r="C232" s="36"/>
      <c r="D232" s="36"/>
    </row>
    <row r="233">
      <c r="B233" s="36"/>
      <c r="C233" s="36"/>
      <c r="D233" s="36"/>
    </row>
    <row r="234">
      <c r="B234" s="36"/>
      <c r="C234" s="36"/>
      <c r="D234" s="36"/>
    </row>
    <row r="235">
      <c r="B235" s="36"/>
      <c r="C235" s="36"/>
      <c r="D235" s="36"/>
    </row>
    <row r="236">
      <c r="B236" s="36"/>
      <c r="C236" s="36"/>
      <c r="D236" s="36"/>
    </row>
    <row r="237">
      <c r="B237" s="36"/>
      <c r="C237" s="36"/>
      <c r="D237" s="36"/>
    </row>
    <row r="238">
      <c r="B238" s="36"/>
      <c r="C238" s="36"/>
      <c r="D238" s="36"/>
    </row>
    <row r="239">
      <c r="B239" s="36"/>
      <c r="C239" s="36"/>
      <c r="D239" s="36"/>
    </row>
    <row r="240">
      <c r="B240" s="36"/>
      <c r="C240" s="36"/>
      <c r="D240" s="36"/>
    </row>
    <row r="241">
      <c r="B241" s="36"/>
      <c r="C241" s="36"/>
      <c r="D241" s="36"/>
    </row>
    <row r="242">
      <c r="B242" s="36"/>
      <c r="C242" s="36"/>
      <c r="D242" s="36"/>
    </row>
    <row r="243">
      <c r="B243" s="36"/>
      <c r="C243" s="36"/>
      <c r="D243" s="36"/>
    </row>
    <row r="244">
      <c r="B244" s="36"/>
      <c r="C244" s="36"/>
      <c r="D244" s="36"/>
    </row>
    <row r="245">
      <c r="B245" s="36"/>
      <c r="C245" s="36"/>
      <c r="D245" s="36"/>
    </row>
    <row r="246">
      <c r="B246" s="36"/>
      <c r="C246" s="36"/>
      <c r="D246" s="36"/>
    </row>
    <row r="247">
      <c r="B247" s="36"/>
      <c r="C247" s="36"/>
      <c r="D247" s="36"/>
    </row>
    <row r="248">
      <c r="B248" s="36"/>
      <c r="C248" s="36"/>
      <c r="D248" s="36"/>
    </row>
    <row r="249">
      <c r="B249" s="36"/>
      <c r="C249" s="36"/>
      <c r="D249" s="36"/>
    </row>
    <row r="250">
      <c r="B250" s="36"/>
      <c r="C250" s="36"/>
      <c r="D250" s="36"/>
    </row>
    <row r="251">
      <c r="B251" s="36"/>
      <c r="C251" s="36"/>
      <c r="D251" s="36"/>
    </row>
    <row r="252">
      <c r="B252" s="36"/>
      <c r="C252" s="36"/>
      <c r="D252" s="36"/>
    </row>
    <row r="253">
      <c r="B253" s="36"/>
      <c r="C253" s="36"/>
      <c r="D253" s="36"/>
    </row>
    <row r="254">
      <c r="B254" s="36"/>
      <c r="C254" s="36"/>
      <c r="D254" s="36"/>
    </row>
    <row r="255">
      <c r="B255" s="36"/>
      <c r="C255" s="36"/>
      <c r="D255" s="36"/>
    </row>
    <row r="256">
      <c r="B256" s="36"/>
      <c r="C256" s="36"/>
      <c r="D256" s="36"/>
    </row>
    <row r="257">
      <c r="B257" s="36"/>
      <c r="C257" s="36"/>
      <c r="D257" s="36"/>
    </row>
    <row r="258">
      <c r="B258" s="36"/>
      <c r="C258" s="36"/>
      <c r="D258" s="36"/>
    </row>
    <row r="259">
      <c r="B259" s="36"/>
      <c r="C259" s="36"/>
      <c r="D259" s="36"/>
    </row>
    <row r="260">
      <c r="B260" s="36"/>
      <c r="C260" s="36"/>
      <c r="D260" s="36"/>
    </row>
    <row r="261">
      <c r="B261" s="36"/>
      <c r="C261" s="36"/>
      <c r="D261" s="36"/>
    </row>
    <row r="262">
      <c r="B262" s="36"/>
      <c r="C262" s="36"/>
      <c r="D262" s="36"/>
    </row>
    <row r="263">
      <c r="B263" s="36"/>
      <c r="C263" s="36"/>
      <c r="D263" s="36"/>
    </row>
    <row r="264">
      <c r="B264" s="36"/>
      <c r="C264" s="36"/>
      <c r="D264" s="36"/>
    </row>
    <row r="265">
      <c r="B265" s="36"/>
      <c r="C265" s="36"/>
      <c r="D265" s="36"/>
    </row>
    <row r="266">
      <c r="B266" s="36"/>
      <c r="C266" s="36"/>
      <c r="D266" s="36"/>
    </row>
    <row r="267">
      <c r="B267" s="36"/>
      <c r="C267" s="36"/>
      <c r="D267" s="36"/>
    </row>
    <row r="268">
      <c r="B268" s="36"/>
      <c r="C268" s="36"/>
      <c r="D268" s="36"/>
    </row>
    <row r="269">
      <c r="B269" s="36"/>
      <c r="C269" s="36"/>
      <c r="D269" s="36"/>
    </row>
    <row r="270">
      <c r="B270" s="36"/>
      <c r="C270" s="36"/>
      <c r="D270" s="36"/>
    </row>
    <row r="271">
      <c r="B271" s="36"/>
      <c r="C271" s="36"/>
      <c r="D271" s="36"/>
    </row>
    <row r="272">
      <c r="B272" s="36"/>
      <c r="C272" s="36"/>
      <c r="D272" s="36"/>
    </row>
    <row r="273">
      <c r="B273" s="36"/>
      <c r="C273" s="36"/>
      <c r="D273" s="36"/>
    </row>
    <row r="274">
      <c r="B274" s="36"/>
      <c r="C274" s="36"/>
      <c r="D274" s="36"/>
    </row>
    <row r="275">
      <c r="B275" s="36"/>
      <c r="C275" s="36"/>
      <c r="D275" s="36"/>
    </row>
    <row r="276">
      <c r="B276" s="36"/>
      <c r="C276" s="36"/>
      <c r="D276" s="36"/>
    </row>
    <row r="277">
      <c r="B277" s="36"/>
      <c r="C277" s="36"/>
      <c r="D277" s="36"/>
    </row>
    <row r="278">
      <c r="B278" s="36"/>
      <c r="C278" s="36"/>
      <c r="D278" s="36"/>
    </row>
    <row r="279">
      <c r="B279" s="36"/>
      <c r="C279" s="36"/>
      <c r="D279" s="36"/>
    </row>
    <row r="280">
      <c r="B280" s="36"/>
      <c r="C280" s="36"/>
      <c r="D280" s="36"/>
    </row>
    <row r="281">
      <c r="B281" s="36"/>
      <c r="C281" s="36"/>
      <c r="D281" s="36"/>
    </row>
    <row r="282">
      <c r="B282" s="36"/>
      <c r="C282" s="36"/>
      <c r="D282" s="36"/>
    </row>
    <row r="283">
      <c r="B283" s="36"/>
      <c r="C283" s="36"/>
      <c r="D283" s="36"/>
    </row>
    <row r="284">
      <c r="B284" s="36"/>
      <c r="C284" s="36"/>
      <c r="D284" s="36"/>
    </row>
    <row r="285">
      <c r="B285" s="36"/>
      <c r="C285" s="36"/>
      <c r="D285" s="36"/>
    </row>
    <row r="286">
      <c r="B286" s="36"/>
      <c r="C286" s="36"/>
      <c r="D286" s="36"/>
    </row>
    <row r="287">
      <c r="B287" s="36"/>
      <c r="C287" s="36"/>
      <c r="D287" s="36"/>
    </row>
    <row r="288">
      <c r="B288" s="36"/>
      <c r="C288" s="36"/>
      <c r="D288" s="36"/>
    </row>
    <row r="289">
      <c r="B289" s="36"/>
      <c r="C289" s="36"/>
      <c r="D289" s="36"/>
    </row>
    <row r="290">
      <c r="B290" s="36"/>
      <c r="C290" s="36"/>
      <c r="D290" s="36"/>
    </row>
    <row r="291">
      <c r="B291" s="36"/>
      <c r="C291" s="36"/>
      <c r="D291" s="36"/>
    </row>
    <row r="292">
      <c r="B292" s="36"/>
      <c r="C292" s="36"/>
      <c r="D292" s="36"/>
    </row>
    <row r="293">
      <c r="B293" s="36"/>
      <c r="C293" s="36"/>
      <c r="D293" s="36"/>
    </row>
    <row r="294">
      <c r="B294" s="36"/>
      <c r="C294" s="36"/>
      <c r="D294" s="36"/>
    </row>
    <row r="295">
      <c r="B295" s="36"/>
      <c r="C295" s="36"/>
      <c r="D295" s="36"/>
    </row>
    <row r="296">
      <c r="B296" s="36"/>
      <c r="C296" s="36"/>
      <c r="D296" s="36"/>
    </row>
    <row r="297">
      <c r="B297" s="36"/>
      <c r="C297" s="36"/>
      <c r="D297" s="36"/>
    </row>
    <row r="298">
      <c r="B298" s="36"/>
      <c r="C298" s="36"/>
      <c r="D298" s="36"/>
    </row>
    <row r="299">
      <c r="B299" s="36"/>
      <c r="C299" s="36"/>
      <c r="D299" s="36"/>
    </row>
    <row r="300">
      <c r="B300" s="36"/>
      <c r="C300" s="36"/>
      <c r="D300" s="36"/>
    </row>
    <row r="301">
      <c r="B301" s="36"/>
      <c r="C301" s="36"/>
      <c r="D301" s="36"/>
    </row>
    <row r="302">
      <c r="B302" s="36"/>
      <c r="C302" s="36"/>
      <c r="D302" s="36"/>
    </row>
    <row r="303">
      <c r="B303" s="36"/>
      <c r="C303" s="36"/>
      <c r="D303" s="36"/>
    </row>
    <row r="304">
      <c r="B304" s="36"/>
      <c r="C304" s="36"/>
      <c r="D304" s="36"/>
    </row>
    <row r="305">
      <c r="B305" s="36"/>
      <c r="C305" s="36"/>
      <c r="D305" s="36"/>
    </row>
    <row r="306">
      <c r="B306" s="36"/>
      <c r="C306" s="36"/>
      <c r="D306" s="36"/>
    </row>
    <row r="307">
      <c r="B307" s="36"/>
      <c r="C307" s="36"/>
      <c r="D307" s="36"/>
    </row>
    <row r="308">
      <c r="B308" s="36"/>
      <c r="C308" s="36"/>
      <c r="D308" s="36"/>
    </row>
    <row r="309">
      <c r="B309" s="36"/>
      <c r="C309" s="36"/>
      <c r="D309" s="36"/>
    </row>
    <row r="310">
      <c r="B310" s="36"/>
      <c r="C310" s="36"/>
      <c r="D310" s="36"/>
    </row>
    <row r="311">
      <c r="B311" s="36"/>
      <c r="C311" s="36"/>
      <c r="D311" s="36"/>
    </row>
    <row r="312">
      <c r="B312" s="36"/>
      <c r="C312" s="36"/>
      <c r="D312" s="36"/>
    </row>
    <row r="313">
      <c r="B313" s="36"/>
      <c r="C313" s="36"/>
      <c r="D313" s="36"/>
    </row>
    <row r="314">
      <c r="B314" s="36"/>
      <c r="C314" s="36"/>
      <c r="D314" s="36"/>
    </row>
    <row r="315">
      <c r="B315" s="36"/>
      <c r="C315" s="36"/>
      <c r="D315" s="36"/>
    </row>
    <row r="316">
      <c r="B316" s="36"/>
      <c r="C316" s="36"/>
      <c r="D316" s="36"/>
    </row>
    <row r="317">
      <c r="B317" s="36"/>
      <c r="C317" s="36"/>
      <c r="D317" s="36"/>
    </row>
    <row r="318">
      <c r="B318" s="36"/>
      <c r="C318" s="36"/>
      <c r="D318" s="36"/>
    </row>
    <row r="319">
      <c r="B319" s="36"/>
      <c r="C319" s="36"/>
      <c r="D319" s="36"/>
    </row>
    <row r="320">
      <c r="B320" s="36"/>
      <c r="C320" s="36"/>
      <c r="D320" s="36"/>
    </row>
    <row r="321">
      <c r="B321" s="36"/>
      <c r="C321" s="36"/>
      <c r="D321" s="36"/>
    </row>
    <row r="322">
      <c r="B322" s="36"/>
      <c r="C322" s="36"/>
      <c r="D322" s="36"/>
    </row>
    <row r="323">
      <c r="B323" s="36"/>
      <c r="C323" s="36"/>
      <c r="D323" s="36"/>
    </row>
    <row r="324">
      <c r="B324" s="36"/>
      <c r="C324" s="36"/>
      <c r="D324" s="36"/>
    </row>
    <row r="325">
      <c r="B325" s="36"/>
      <c r="C325" s="36"/>
      <c r="D325" s="36"/>
    </row>
    <row r="326">
      <c r="B326" s="36"/>
      <c r="C326" s="36"/>
      <c r="D326" s="36"/>
    </row>
    <row r="327">
      <c r="B327" s="36"/>
      <c r="C327" s="36"/>
      <c r="D327" s="36"/>
    </row>
    <row r="328">
      <c r="B328" s="36"/>
      <c r="C328" s="36"/>
      <c r="D328" s="36"/>
    </row>
    <row r="329">
      <c r="B329" s="36"/>
      <c r="C329" s="36"/>
      <c r="D329" s="36"/>
    </row>
    <row r="330">
      <c r="B330" s="36"/>
      <c r="C330" s="36"/>
      <c r="D330" s="36"/>
    </row>
    <row r="331">
      <c r="B331" s="36"/>
      <c r="C331" s="36"/>
      <c r="D331" s="36"/>
    </row>
    <row r="332">
      <c r="B332" s="36"/>
      <c r="C332" s="36"/>
      <c r="D332" s="36"/>
    </row>
    <row r="333">
      <c r="B333" s="36"/>
      <c r="C333" s="36"/>
      <c r="D333" s="36"/>
    </row>
    <row r="334">
      <c r="B334" s="36"/>
      <c r="C334" s="36"/>
      <c r="D334" s="36"/>
    </row>
    <row r="335">
      <c r="B335" s="36"/>
      <c r="C335" s="36"/>
      <c r="D335" s="36"/>
    </row>
    <row r="336">
      <c r="B336" s="36"/>
      <c r="C336" s="36"/>
      <c r="D336" s="36"/>
    </row>
    <row r="337">
      <c r="B337" s="36"/>
      <c r="C337" s="36"/>
      <c r="D337" s="36"/>
    </row>
    <row r="338">
      <c r="B338" s="36"/>
      <c r="C338" s="36"/>
      <c r="D338" s="36"/>
    </row>
    <row r="339">
      <c r="B339" s="36"/>
      <c r="C339" s="36"/>
      <c r="D339" s="36"/>
    </row>
    <row r="340">
      <c r="B340" s="36"/>
      <c r="C340" s="36"/>
      <c r="D340" s="36"/>
    </row>
    <row r="341">
      <c r="B341" s="36"/>
      <c r="C341" s="36"/>
      <c r="D341" s="36"/>
    </row>
    <row r="342">
      <c r="B342" s="36"/>
      <c r="C342" s="36"/>
      <c r="D342" s="36"/>
    </row>
    <row r="343">
      <c r="B343" s="36"/>
      <c r="C343" s="36"/>
      <c r="D343" s="36"/>
    </row>
    <row r="344">
      <c r="B344" s="36"/>
      <c r="C344" s="36"/>
      <c r="D344" s="36"/>
    </row>
    <row r="345">
      <c r="B345" s="36"/>
      <c r="C345" s="36"/>
      <c r="D345" s="36"/>
    </row>
    <row r="346">
      <c r="B346" s="36"/>
      <c r="C346" s="36"/>
      <c r="D346" s="36"/>
    </row>
    <row r="347">
      <c r="B347" s="36"/>
      <c r="C347" s="36"/>
      <c r="D347" s="36"/>
    </row>
    <row r="348">
      <c r="B348" s="36"/>
      <c r="C348" s="36"/>
      <c r="D348" s="36"/>
    </row>
    <row r="349">
      <c r="B349" s="36"/>
      <c r="C349" s="36"/>
      <c r="D349" s="36"/>
    </row>
    <row r="350">
      <c r="B350" s="36"/>
      <c r="C350" s="36"/>
      <c r="D350" s="36"/>
    </row>
    <row r="351">
      <c r="B351" s="36"/>
      <c r="C351" s="36"/>
      <c r="D351" s="36"/>
    </row>
    <row r="352">
      <c r="B352" s="36"/>
      <c r="C352" s="36"/>
      <c r="D352" s="36"/>
    </row>
    <row r="353">
      <c r="B353" s="36"/>
      <c r="C353" s="36"/>
      <c r="D353" s="36"/>
    </row>
    <row r="354">
      <c r="B354" s="36"/>
      <c r="C354" s="36"/>
      <c r="D354" s="36"/>
    </row>
    <row r="355">
      <c r="B355" s="36"/>
      <c r="C355" s="36"/>
      <c r="D355" s="36"/>
    </row>
    <row r="356">
      <c r="B356" s="36"/>
      <c r="C356" s="36"/>
      <c r="D356" s="36"/>
    </row>
    <row r="357">
      <c r="B357" s="36"/>
      <c r="C357" s="36"/>
      <c r="D357" s="36"/>
    </row>
    <row r="358">
      <c r="B358" s="36"/>
      <c r="C358" s="36"/>
      <c r="D358" s="36"/>
    </row>
    <row r="359">
      <c r="B359" s="36"/>
      <c r="C359" s="36"/>
      <c r="D359" s="36"/>
    </row>
    <row r="360">
      <c r="B360" s="36"/>
      <c r="C360" s="36"/>
      <c r="D360" s="36"/>
    </row>
    <row r="361">
      <c r="B361" s="36"/>
      <c r="C361" s="36"/>
      <c r="D361" s="36"/>
    </row>
    <row r="362">
      <c r="B362" s="36"/>
      <c r="C362" s="36"/>
      <c r="D362" s="36"/>
    </row>
    <row r="363">
      <c r="B363" s="36"/>
      <c r="C363" s="36"/>
      <c r="D363" s="36"/>
    </row>
    <row r="364">
      <c r="B364" s="36"/>
      <c r="C364" s="36"/>
      <c r="D364" s="36"/>
    </row>
    <row r="365">
      <c r="B365" s="36"/>
      <c r="C365" s="36"/>
      <c r="D365" s="36"/>
    </row>
    <row r="366">
      <c r="B366" s="36"/>
      <c r="C366" s="36"/>
      <c r="D366" s="36"/>
    </row>
    <row r="367">
      <c r="B367" s="36"/>
      <c r="C367" s="36"/>
      <c r="D367" s="36"/>
    </row>
    <row r="368">
      <c r="B368" s="36"/>
      <c r="C368" s="36"/>
      <c r="D368" s="36"/>
    </row>
    <row r="369">
      <c r="B369" s="36"/>
      <c r="C369" s="36"/>
      <c r="D369" s="36"/>
    </row>
    <row r="370">
      <c r="B370" s="36"/>
      <c r="C370" s="36"/>
      <c r="D370" s="36"/>
    </row>
    <row r="371">
      <c r="B371" s="36"/>
      <c r="C371" s="36"/>
      <c r="D371" s="36"/>
    </row>
    <row r="372">
      <c r="B372" s="36"/>
      <c r="C372" s="36"/>
      <c r="D372" s="36"/>
    </row>
    <row r="373">
      <c r="B373" s="36"/>
      <c r="C373" s="36"/>
      <c r="D373" s="36"/>
    </row>
    <row r="374">
      <c r="B374" s="36"/>
      <c r="C374" s="36"/>
      <c r="D374" s="36"/>
    </row>
    <row r="375">
      <c r="B375" s="36"/>
      <c r="C375" s="36"/>
      <c r="D375" s="36"/>
    </row>
    <row r="376">
      <c r="B376" s="36"/>
      <c r="C376" s="36"/>
      <c r="D376" s="36"/>
    </row>
    <row r="377">
      <c r="B377" s="36"/>
      <c r="C377" s="36"/>
      <c r="D377" s="36"/>
    </row>
    <row r="378">
      <c r="B378" s="36"/>
      <c r="C378" s="36"/>
      <c r="D378" s="36"/>
    </row>
    <row r="379">
      <c r="B379" s="36"/>
      <c r="C379" s="36"/>
      <c r="D379" s="36"/>
    </row>
    <row r="380">
      <c r="B380" s="36"/>
      <c r="C380" s="36"/>
      <c r="D380" s="36"/>
    </row>
    <row r="381">
      <c r="B381" s="36"/>
      <c r="C381" s="36"/>
      <c r="D381" s="36"/>
    </row>
    <row r="382">
      <c r="B382" s="36"/>
      <c r="C382" s="36"/>
      <c r="D382" s="36"/>
    </row>
    <row r="383">
      <c r="B383" s="36"/>
      <c r="C383" s="36"/>
      <c r="D383" s="36"/>
    </row>
    <row r="384">
      <c r="B384" s="36"/>
      <c r="C384" s="36"/>
      <c r="D384" s="36"/>
    </row>
    <row r="385">
      <c r="B385" s="36"/>
      <c r="C385" s="36"/>
      <c r="D385" s="36"/>
    </row>
    <row r="386">
      <c r="B386" s="36"/>
      <c r="C386" s="36"/>
      <c r="D386" s="36"/>
    </row>
    <row r="387">
      <c r="B387" s="36"/>
      <c r="C387" s="36"/>
      <c r="D387" s="36"/>
    </row>
    <row r="388">
      <c r="B388" s="36"/>
      <c r="C388" s="36"/>
      <c r="D388" s="36"/>
    </row>
    <row r="389">
      <c r="B389" s="36"/>
      <c r="C389" s="36"/>
      <c r="D389" s="36"/>
    </row>
    <row r="390">
      <c r="B390" s="36"/>
      <c r="C390" s="36"/>
      <c r="D390" s="36"/>
    </row>
    <row r="391">
      <c r="B391" s="36"/>
      <c r="C391" s="36"/>
      <c r="D391" s="36"/>
    </row>
    <row r="392">
      <c r="B392" s="36"/>
      <c r="C392" s="36"/>
      <c r="D392" s="36"/>
    </row>
    <row r="393">
      <c r="B393" s="36"/>
      <c r="C393" s="36"/>
      <c r="D393" s="36"/>
    </row>
    <row r="394">
      <c r="B394" s="36"/>
      <c r="C394" s="36"/>
      <c r="D394" s="36"/>
    </row>
    <row r="395">
      <c r="B395" s="36"/>
      <c r="C395" s="36"/>
      <c r="D395" s="36"/>
    </row>
    <row r="396">
      <c r="B396" s="36"/>
      <c r="C396" s="36"/>
      <c r="D396" s="36"/>
    </row>
    <row r="397">
      <c r="B397" s="36"/>
      <c r="C397" s="36"/>
      <c r="D397" s="36"/>
    </row>
    <row r="398">
      <c r="B398" s="36"/>
      <c r="C398" s="36"/>
      <c r="D398" s="36"/>
    </row>
    <row r="399">
      <c r="B399" s="36"/>
      <c r="C399" s="36"/>
      <c r="D399" s="36"/>
    </row>
    <row r="400">
      <c r="B400" s="36"/>
      <c r="C400" s="36"/>
      <c r="D400" s="36"/>
    </row>
    <row r="401">
      <c r="B401" s="36"/>
      <c r="C401" s="36"/>
      <c r="D401" s="36"/>
    </row>
    <row r="402">
      <c r="B402" s="36"/>
      <c r="C402" s="36"/>
      <c r="D402" s="36"/>
    </row>
    <row r="403">
      <c r="B403" s="36"/>
      <c r="C403" s="36"/>
      <c r="D403" s="36"/>
    </row>
    <row r="404">
      <c r="B404" s="36"/>
      <c r="C404" s="36"/>
      <c r="D404" s="36"/>
    </row>
    <row r="405">
      <c r="B405" s="36"/>
      <c r="C405" s="36"/>
      <c r="D405" s="36"/>
    </row>
    <row r="406">
      <c r="B406" s="36"/>
      <c r="C406" s="36"/>
      <c r="D406" s="36"/>
    </row>
    <row r="407">
      <c r="B407" s="36"/>
      <c r="C407" s="36"/>
      <c r="D407" s="36"/>
    </row>
    <row r="408">
      <c r="B408" s="36"/>
      <c r="C408" s="36"/>
      <c r="D408" s="36"/>
    </row>
    <row r="409">
      <c r="B409" s="36"/>
      <c r="C409" s="36"/>
      <c r="D409" s="36"/>
    </row>
    <row r="410">
      <c r="B410" s="36"/>
      <c r="C410" s="36"/>
      <c r="D410" s="36"/>
    </row>
    <row r="411">
      <c r="B411" s="36"/>
      <c r="C411" s="36"/>
      <c r="D411" s="36"/>
    </row>
    <row r="412">
      <c r="B412" s="36"/>
      <c r="C412" s="36"/>
      <c r="D412" s="36"/>
    </row>
    <row r="413">
      <c r="B413" s="36"/>
      <c r="C413" s="36"/>
      <c r="D413" s="36"/>
    </row>
    <row r="414">
      <c r="B414" s="36"/>
      <c r="C414" s="36"/>
      <c r="D414" s="36"/>
    </row>
    <row r="415">
      <c r="B415" s="36"/>
      <c r="C415" s="36"/>
      <c r="D415" s="36"/>
    </row>
    <row r="416">
      <c r="B416" s="36"/>
      <c r="C416" s="36"/>
      <c r="D416" s="36"/>
    </row>
    <row r="417">
      <c r="B417" s="36"/>
      <c r="C417" s="36"/>
      <c r="D417" s="36"/>
    </row>
    <row r="418">
      <c r="B418" s="36"/>
      <c r="C418" s="36"/>
      <c r="D418" s="36"/>
    </row>
    <row r="419">
      <c r="B419" s="36"/>
      <c r="C419" s="36"/>
      <c r="D419" s="36"/>
    </row>
    <row r="420">
      <c r="B420" s="36"/>
      <c r="C420" s="36"/>
      <c r="D420" s="36"/>
    </row>
    <row r="421">
      <c r="B421" s="36"/>
      <c r="C421" s="36"/>
      <c r="D421" s="36"/>
    </row>
    <row r="422">
      <c r="B422" s="36"/>
      <c r="C422" s="36"/>
      <c r="D422" s="36"/>
    </row>
    <row r="423">
      <c r="B423" s="36"/>
      <c r="C423" s="36"/>
      <c r="D423" s="36"/>
    </row>
    <row r="424">
      <c r="B424" s="36"/>
      <c r="C424" s="36"/>
      <c r="D424" s="36"/>
    </row>
    <row r="425">
      <c r="B425" s="36"/>
      <c r="C425" s="36"/>
      <c r="D425" s="36"/>
    </row>
    <row r="426">
      <c r="B426" s="36"/>
      <c r="C426" s="36"/>
      <c r="D426" s="36"/>
    </row>
    <row r="427">
      <c r="B427" s="36"/>
      <c r="C427" s="36"/>
      <c r="D427" s="36"/>
    </row>
    <row r="428">
      <c r="B428" s="36"/>
      <c r="C428" s="36"/>
      <c r="D428" s="36"/>
    </row>
    <row r="429">
      <c r="B429" s="36"/>
      <c r="C429" s="36"/>
      <c r="D429" s="36"/>
    </row>
    <row r="430">
      <c r="B430" s="36"/>
      <c r="C430" s="36"/>
      <c r="D430" s="36"/>
    </row>
    <row r="431">
      <c r="B431" s="36"/>
      <c r="C431" s="36"/>
      <c r="D431" s="36"/>
    </row>
    <row r="432">
      <c r="B432" s="36"/>
      <c r="C432" s="36"/>
      <c r="D432" s="36"/>
    </row>
    <row r="433">
      <c r="B433" s="36"/>
      <c r="C433" s="36"/>
      <c r="D433" s="36"/>
    </row>
    <row r="434">
      <c r="B434" s="36"/>
      <c r="C434" s="36"/>
      <c r="D434" s="36"/>
    </row>
    <row r="435">
      <c r="B435" s="36"/>
      <c r="C435" s="36"/>
      <c r="D435" s="36"/>
    </row>
    <row r="436">
      <c r="B436" s="36"/>
      <c r="C436" s="36"/>
      <c r="D436" s="36"/>
    </row>
    <row r="437">
      <c r="B437" s="36"/>
      <c r="C437" s="36"/>
      <c r="D437" s="36"/>
    </row>
    <row r="438">
      <c r="B438" s="36"/>
      <c r="C438" s="36"/>
      <c r="D438" s="36"/>
    </row>
    <row r="439">
      <c r="B439" s="36"/>
      <c r="C439" s="36"/>
      <c r="D439" s="36"/>
    </row>
    <row r="440">
      <c r="B440" s="36"/>
      <c r="C440" s="36"/>
      <c r="D440" s="36"/>
    </row>
    <row r="441">
      <c r="B441" s="36"/>
      <c r="C441" s="36"/>
      <c r="D441" s="36"/>
    </row>
    <row r="442">
      <c r="B442" s="36"/>
      <c r="C442" s="36"/>
      <c r="D442" s="36"/>
    </row>
    <row r="443">
      <c r="B443" s="36"/>
      <c r="C443" s="36"/>
      <c r="D443" s="36"/>
    </row>
    <row r="444">
      <c r="B444" s="36"/>
      <c r="C444" s="36"/>
      <c r="D444" s="36"/>
    </row>
    <row r="445">
      <c r="B445" s="36"/>
      <c r="C445" s="36"/>
      <c r="D445" s="36"/>
    </row>
    <row r="446">
      <c r="B446" s="36"/>
      <c r="C446" s="36"/>
      <c r="D446" s="36"/>
    </row>
    <row r="447">
      <c r="B447" s="36"/>
      <c r="C447" s="36"/>
      <c r="D447" s="36"/>
    </row>
    <row r="448">
      <c r="B448" s="36"/>
      <c r="C448" s="36"/>
      <c r="D448" s="36"/>
    </row>
    <row r="449">
      <c r="B449" s="36"/>
      <c r="C449" s="36"/>
      <c r="D449" s="36"/>
    </row>
    <row r="450">
      <c r="B450" s="36"/>
      <c r="C450" s="36"/>
      <c r="D450" s="36"/>
    </row>
    <row r="451">
      <c r="B451" s="36"/>
      <c r="C451" s="36"/>
      <c r="D451" s="36"/>
    </row>
    <row r="452">
      <c r="B452" s="36"/>
      <c r="C452" s="36"/>
      <c r="D452" s="36"/>
    </row>
    <row r="453">
      <c r="B453" s="36"/>
      <c r="C453" s="36"/>
      <c r="D453" s="36"/>
    </row>
    <row r="454">
      <c r="B454" s="36"/>
      <c r="C454" s="36"/>
      <c r="D454" s="36"/>
    </row>
    <row r="455">
      <c r="B455" s="36"/>
      <c r="C455" s="36"/>
      <c r="D455" s="36"/>
    </row>
    <row r="456">
      <c r="B456" s="36"/>
      <c r="C456" s="36"/>
      <c r="D456" s="36"/>
    </row>
    <row r="457">
      <c r="B457" s="36"/>
      <c r="C457" s="36"/>
      <c r="D457" s="36"/>
    </row>
    <row r="458">
      <c r="B458" s="36"/>
      <c r="C458" s="36"/>
      <c r="D458" s="36"/>
    </row>
    <row r="459">
      <c r="B459" s="36"/>
      <c r="C459" s="36"/>
      <c r="D459" s="36"/>
    </row>
    <row r="460">
      <c r="B460" s="36"/>
      <c r="C460" s="36"/>
      <c r="D460" s="36"/>
    </row>
    <row r="461">
      <c r="B461" s="36"/>
      <c r="C461" s="36"/>
      <c r="D461" s="36"/>
    </row>
    <row r="462">
      <c r="B462" s="36"/>
      <c r="C462" s="36"/>
      <c r="D462" s="36"/>
    </row>
    <row r="463">
      <c r="B463" s="36"/>
      <c r="C463" s="36"/>
      <c r="D463" s="36"/>
    </row>
    <row r="464">
      <c r="B464" s="36"/>
      <c r="C464" s="36"/>
      <c r="D464" s="36"/>
    </row>
    <row r="465">
      <c r="B465" s="36"/>
      <c r="C465" s="36"/>
      <c r="D465" s="36"/>
    </row>
    <row r="466">
      <c r="B466" s="36"/>
      <c r="C466" s="36"/>
      <c r="D466" s="36"/>
    </row>
    <row r="467">
      <c r="B467" s="36"/>
      <c r="C467" s="36"/>
      <c r="D467" s="36"/>
    </row>
    <row r="468">
      <c r="B468" s="36"/>
      <c r="C468" s="36"/>
      <c r="D468" s="36"/>
    </row>
    <row r="469">
      <c r="B469" s="36"/>
      <c r="C469" s="36"/>
      <c r="D469" s="36"/>
    </row>
    <row r="470">
      <c r="B470" s="36"/>
      <c r="C470" s="36"/>
      <c r="D470" s="36"/>
    </row>
    <row r="471">
      <c r="B471" s="36"/>
      <c r="C471" s="36"/>
      <c r="D471" s="36"/>
    </row>
    <row r="472">
      <c r="B472" s="36"/>
      <c r="C472" s="36"/>
      <c r="D472" s="36"/>
    </row>
    <row r="473">
      <c r="B473" s="36"/>
      <c r="C473" s="36"/>
      <c r="D473" s="36"/>
    </row>
    <row r="474">
      <c r="B474" s="36"/>
      <c r="C474" s="36"/>
      <c r="D474" s="36"/>
    </row>
    <row r="475">
      <c r="B475" s="36"/>
      <c r="C475" s="36"/>
      <c r="D475" s="36"/>
    </row>
    <row r="476">
      <c r="B476" s="36"/>
      <c r="C476" s="36"/>
      <c r="D476" s="36"/>
    </row>
    <row r="477">
      <c r="B477" s="36"/>
      <c r="C477" s="36"/>
      <c r="D477" s="36"/>
    </row>
    <row r="478">
      <c r="B478" s="36"/>
      <c r="C478" s="36"/>
      <c r="D478" s="36"/>
    </row>
    <row r="479">
      <c r="B479" s="36"/>
      <c r="C479" s="36"/>
      <c r="D479" s="36"/>
    </row>
    <row r="480">
      <c r="B480" s="36"/>
      <c r="C480" s="36"/>
      <c r="D480" s="36"/>
    </row>
    <row r="481">
      <c r="B481" s="36"/>
      <c r="C481" s="36"/>
      <c r="D481" s="36"/>
    </row>
    <row r="482">
      <c r="B482" s="36"/>
      <c r="C482" s="36"/>
      <c r="D482" s="36"/>
    </row>
    <row r="483">
      <c r="B483" s="36"/>
      <c r="C483" s="36"/>
      <c r="D483" s="36"/>
    </row>
    <row r="484">
      <c r="B484" s="36"/>
      <c r="C484" s="36"/>
      <c r="D484" s="36"/>
    </row>
    <row r="485">
      <c r="B485" s="36"/>
      <c r="C485" s="36"/>
      <c r="D485" s="36"/>
    </row>
    <row r="486">
      <c r="B486" s="36"/>
      <c r="C486" s="36"/>
      <c r="D486" s="36"/>
    </row>
    <row r="487">
      <c r="B487" s="36"/>
      <c r="C487" s="36"/>
      <c r="D487" s="36"/>
    </row>
    <row r="488">
      <c r="B488" s="36"/>
      <c r="C488" s="36"/>
      <c r="D488" s="36"/>
    </row>
    <row r="489">
      <c r="B489" s="36"/>
      <c r="C489" s="36"/>
      <c r="D489" s="36"/>
    </row>
    <row r="490">
      <c r="B490" s="36"/>
      <c r="C490" s="36"/>
      <c r="D490" s="36"/>
    </row>
    <row r="491">
      <c r="B491" s="36"/>
      <c r="C491" s="36"/>
      <c r="D491" s="36"/>
    </row>
    <row r="492">
      <c r="B492" s="36"/>
      <c r="C492" s="36"/>
      <c r="D492" s="36"/>
    </row>
    <row r="493">
      <c r="B493" s="36"/>
      <c r="C493" s="36"/>
      <c r="D493" s="36"/>
    </row>
    <row r="494">
      <c r="B494" s="36"/>
      <c r="C494" s="36"/>
      <c r="D494" s="36"/>
    </row>
    <row r="495">
      <c r="B495" s="36"/>
      <c r="C495" s="36"/>
      <c r="D495" s="36"/>
    </row>
    <row r="496">
      <c r="B496" s="36"/>
      <c r="C496" s="36"/>
      <c r="D496" s="36"/>
    </row>
    <row r="497">
      <c r="B497" s="36"/>
      <c r="C497" s="36"/>
      <c r="D497" s="36"/>
    </row>
    <row r="498">
      <c r="B498" s="36"/>
      <c r="C498" s="36"/>
      <c r="D498" s="36"/>
    </row>
    <row r="499">
      <c r="B499" s="36"/>
      <c r="C499" s="36"/>
      <c r="D499" s="36"/>
    </row>
    <row r="500">
      <c r="B500" s="36"/>
      <c r="C500" s="36"/>
      <c r="D500" s="36"/>
    </row>
    <row r="501">
      <c r="B501" s="36"/>
      <c r="C501" s="36"/>
      <c r="D501" s="36"/>
    </row>
    <row r="502">
      <c r="B502" s="36"/>
      <c r="C502" s="36"/>
      <c r="D502" s="36"/>
    </row>
    <row r="503">
      <c r="B503" s="36"/>
      <c r="C503" s="36"/>
      <c r="D503" s="36"/>
    </row>
    <row r="504">
      <c r="B504" s="36"/>
      <c r="C504" s="36"/>
      <c r="D504" s="36"/>
    </row>
    <row r="505">
      <c r="B505" s="36"/>
      <c r="C505" s="36"/>
      <c r="D505" s="36"/>
    </row>
    <row r="506">
      <c r="B506" s="36"/>
      <c r="C506" s="36"/>
      <c r="D506" s="36"/>
    </row>
    <row r="507">
      <c r="B507" s="36"/>
      <c r="C507" s="36"/>
      <c r="D507" s="36"/>
    </row>
    <row r="508">
      <c r="B508" s="36"/>
      <c r="C508" s="36"/>
      <c r="D508" s="36"/>
    </row>
    <row r="509">
      <c r="B509" s="36"/>
      <c r="C509" s="36"/>
      <c r="D509" s="36"/>
    </row>
    <row r="510">
      <c r="B510" s="36"/>
      <c r="C510" s="36"/>
      <c r="D510" s="36"/>
    </row>
    <row r="511">
      <c r="B511" s="36"/>
      <c r="C511" s="36"/>
      <c r="D511" s="36"/>
    </row>
    <row r="512">
      <c r="B512" s="36"/>
      <c r="C512" s="36"/>
      <c r="D512" s="36"/>
    </row>
    <row r="513">
      <c r="B513" s="36"/>
      <c r="C513" s="36"/>
      <c r="D513" s="36"/>
    </row>
    <row r="514">
      <c r="B514" s="36"/>
      <c r="C514" s="36"/>
      <c r="D514" s="36"/>
    </row>
    <row r="515">
      <c r="B515" s="36"/>
      <c r="C515" s="36"/>
      <c r="D515" s="36"/>
    </row>
    <row r="516">
      <c r="B516" s="36"/>
      <c r="C516" s="36"/>
      <c r="D516" s="36"/>
    </row>
    <row r="517">
      <c r="B517" s="36"/>
      <c r="C517" s="36"/>
      <c r="D517" s="36"/>
    </row>
    <row r="518">
      <c r="B518" s="36"/>
      <c r="C518" s="36"/>
      <c r="D518" s="36"/>
    </row>
    <row r="519">
      <c r="B519" s="36"/>
      <c r="C519" s="36"/>
      <c r="D519" s="36"/>
    </row>
    <row r="520">
      <c r="B520" s="36"/>
      <c r="C520" s="36"/>
      <c r="D520" s="36"/>
    </row>
    <row r="521">
      <c r="B521" s="36"/>
      <c r="C521" s="36"/>
      <c r="D521" s="36"/>
    </row>
    <row r="522">
      <c r="B522" s="36"/>
      <c r="C522" s="36"/>
      <c r="D522" s="36"/>
    </row>
    <row r="523">
      <c r="B523" s="36"/>
      <c r="C523" s="36"/>
      <c r="D523" s="36"/>
    </row>
    <row r="524">
      <c r="B524" s="36"/>
      <c r="C524" s="36"/>
      <c r="D524" s="36"/>
    </row>
    <row r="525">
      <c r="B525" s="36"/>
      <c r="C525" s="36"/>
      <c r="D525" s="36"/>
    </row>
    <row r="526">
      <c r="B526" s="36"/>
      <c r="C526" s="36"/>
      <c r="D526" s="36"/>
    </row>
    <row r="527">
      <c r="B527" s="36"/>
      <c r="C527" s="36"/>
      <c r="D527" s="36"/>
    </row>
    <row r="528">
      <c r="B528" s="36"/>
      <c r="C528" s="36"/>
      <c r="D528" s="36"/>
    </row>
    <row r="529">
      <c r="B529" s="36"/>
      <c r="C529" s="36"/>
      <c r="D529" s="36"/>
    </row>
    <row r="530">
      <c r="B530" s="36"/>
      <c r="C530" s="36"/>
      <c r="D530" s="36"/>
    </row>
    <row r="531">
      <c r="B531" s="36"/>
      <c r="C531" s="36"/>
      <c r="D531" s="36"/>
    </row>
    <row r="532">
      <c r="B532" s="36"/>
      <c r="C532" s="36"/>
      <c r="D532" s="36"/>
    </row>
    <row r="533">
      <c r="B533" s="36"/>
      <c r="C533" s="36"/>
      <c r="D533" s="36"/>
    </row>
    <row r="534">
      <c r="B534" s="36"/>
      <c r="C534" s="36"/>
      <c r="D534" s="36"/>
    </row>
    <row r="535">
      <c r="B535" s="36"/>
      <c r="C535" s="36"/>
      <c r="D535" s="36"/>
    </row>
    <row r="536">
      <c r="B536" s="36"/>
      <c r="C536" s="36"/>
      <c r="D536" s="36"/>
    </row>
    <row r="537">
      <c r="B537" s="36"/>
      <c r="C537" s="36"/>
      <c r="D537" s="36"/>
    </row>
    <row r="538">
      <c r="B538" s="36"/>
      <c r="C538" s="36"/>
      <c r="D538" s="36"/>
    </row>
    <row r="539">
      <c r="B539" s="36"/>
      <c r="C539" s="36"/>
      <c r="D539" s="36"/>
    </row>
    <row r="540">
      <c r="B540" s="36"/>
      <c r="C540" s="36"/>
      <c r="D540" s="36"/>
    </row>
    <row r="541">
      <c r="B541" s="36"/>
      <c r="C541" s="36"/>
      <c r="D541" s="36"/>
    </row>
    <row r="542">
      <c r="B542" s="36"/>
      <c r="C542" s="36"/>
      <c r="D542" s="36"/>
    </row>
    <row r="543">
      <c r="B543" s="36"/>
      <c r="C543" s="36"/>
      <c r="D543" s="36"/>
    </row>
    <row r="544">
      <c r="B544" s="36"/>
      <c r="C544" s="36"/>
      <c r="D544" s="36"/>
    </row>
    <row r="545">
      <c r="B545" s="36"/>
      <c r="C545" s="36"/>
      <c r="D545" s="36"/>
    </row>
    <row r="546">
      <c r="B546" s="36"/>
      <c r="C546" s="36"/>
      <c r="D546" s="36"/>
    </row>
    <row r="547">
      <c r="B547" s="36"/>
      <c r="C547" s="36"/>
      <c r="D547" s="36"/>
    </row>
    <row r="548">
      <c r="B548" s="36"/>
      <c r="C548" s="36"/>
      <c r="D548" s="36"/>
    </row>
    <row r="549">
      <c r="B549" s="36"/>
      <c r="C549" s="36"/>
      <c r="D549" s="36"/>
    </row>
    <row r="550">
      <c r="B550" s="36"/>
      <c r="C550" s="36"/>
      <c r="D550" s="36"/>
    </row>
    <row r="551">
      <c r="B551" s="36"/>
      <c r="C551" s="36"/>
      <c r="D551" s="36"/>
    </row>
    <row r="552">
      <c r="B552" s="36"/>
      <c r="C552" s="36"/>
      <c r="D552" s="36"/>
    </row>
    <row r="553">
      <c r="B553" s="36"/>
      <c r="C553" s="36"/>
      <c r="D553" s="36"/>
    </row>
    <row r="554">
      <c r="B554" s="36"/>
      <c r="C554" s="36"/>
      <c r="D554" s="36"/>
    </row>
    <row r="555">
      <c r="B555" s="36"/>
      <c r="C555" s="36"/>
      <c r="D555" s="36"/>
    </row>
    <row r="556">
      <c r="B556" s="36"/>
      <c r="C556" s="36"/>
      <c r="D556" s="36"/>
    </row>
    <row r="557">
      <c r="B557" s="36"/>
      <c r="C557" s="36"/>
      <c r="D557" s="36"/>
    </row>
    <row r="558">
      <c r="B558" s="36"/>
      <c r="C558" s="36"/>
      <c r="D558" s="36"/>
    </row>
    <row r="559">
      <c r="B559" s="36"/>
      <c r="C559" s="36"/>
      <c r="D559" s="36"/>
    </row>
    <row r="560">
      <c r="B560" s="36"/>
      <c r="C560" s="36"/>
      <c r="D560" s="36"/>
    </row>
    <row r="561">
      <c r="B561" s="36"/>
      <c r="C561" s="36"/>
      <c r="D561" s="36"/>
    </row>
    <row r="562">
      <c r="B562" s="36"/>
      <c r="C562" s="36"/>
      <c r="D562" s="36"/>
    </row>
    <row r="563">
      <c r="B563" s="36"/>
      <c r="C563" s="36"/>
      <c r="D563" s="36"/>
    </row>
    <row r="564">
      <c r="B564" s="36"/>
      <c r="C564" s="36"/>
      <c r="D564" s="36"/>
    </row>
    <row r="565">
      <c r="B565" s="36"/>
      <c r="C565" s="36"/>
      <c r="D565" s="36"/>
    </row>
    <row r="566">
      <c r="B566" s="36"/>
      <c r="C566" s="36"/>
      <c r="D566" s="36"/>
    </row>
    <row r="567">
      <c r="B567" s="36"/>
      <c r="C567" s="36"/>
      <c r="D567" s="36"/>
    </row>
    <row r="568">
      <c r="B568" s="36"/>
      <c r="C568" s="36"/>
      <c r="D568" s="36"/>
    </row>
    <row r="569">
      <c r="B569" s="36"/>
      <c r="C569" s="36"/>
      <c r="D569" s="36"/>
    </row>
    <row r="570">
      <c r="B570" s="36"/>
      <c r="C570" s="36"/>
      <c r="D570" s="36"/>
    </row>
    <row r="571">
      <c r="B571" s="36"/>
      <c r="C571" s="36"/>
      <c r="D571" s="36"/>
    </row>
    <row r="572">
      <c r="B572" s="36"/>
      <c r="C572" s="36"/>
      <c r="D572" s="36"/>
    </row>
    <row r="573">
      <c r="B573" s="36"/>
      <c r="C573" s="36"/>
      <c r="D573" s="36"/>
    </row>
    <row r="574">
      <c r="B574" s="36"/>
      <c r="C574" s="36"/>
      <c r="D574" s="36"/>
    </row>
    <row r="575">
      <c r="B575" s="36"/>
      <c r="C575" s="36"/>
      <c r="D575" s="36"/>
    </row>
    <row r="576">
      <c r="B576" s="36"/>
      <c r="C576" s="36"/>
      <c r="D576" s="36"/>
    </row>
    <row r="577">
      <c r="B577" s="36"/>
      <c r="C577" s="36"/>
      <c r="D577" s="36"/>
    </row>
    <row r="578">
      <c r="B578" s="36"/>
      <c r="C578" s="36"/>
      <c r="D578" s="36"/>
    </row>
    <row r="579">
      <c r="B579" s="36"/>
      <c r="C579" s="36"/>
      <c r="D579" s="36"/>
    </row>
    <row r="580">
      <c r="B580" s="36"/>
      <c r="C580" s="36"/>
      <c r="D580" s="36"/>
    </row>
    <row r="581">
      <c r="B581" s="36"/>
      <c r="C581" s="36"/>
      <c r="D581" s="36"/>
    </row>
    <row r="582">
      <c r="B582" s="36"/>
      <c r="C582" s="36"/>
      <c r="D582" s="36"/>
    </row>
    <row r="583">
      <c r="B583" s="36"/>
      <c r="C583" s="36"/>
      <c r="D583" s="36"/>
    </row>
    <row r="584">
      <c r="B584" s="36"/>
      <c r="C584" s="36"/>
      <c r="D584" s="36"/>
    </row>
    <row r="585">
      <c r="B585" s="36"/>
      <c r="C585" s="36"/>
      <c r="D585" s="36"/>
    </row>
    <row r="586">
      <c r="B586" s="36"/>
      <c r="C586" s="36"/>
      <c r="D586" s="36"/>
    </row>
    <row r="587">
      <c r="B587" s="36"/>
      <c r="C587" s="36"/>
      <c r="D587" s="36"/>
    </row>
    <row r="588">
      <c r="B588" s="36"/>
      <c r="C588" s="36"/>
      <c r="D588" s="36"/>
    </row>
    <row r="589">
      <c r="B589" s="36"/>
      <c r="C589" s="36"/>
      <c r="D589" s="36"/>
    </row>
    <row r="590">
      <c r="B590" s="36"/>
      <c r="C590" s="36"/>
      <c r="D590" s="36"/>
    </row>
    <row r="591">
      <c r="B591" s="36"/>
      <c r="C591" s="36"/>
      <c r="D591" s="36"/>
    </row>
    <row r="592">
      <c r="B592" s="36"/>
      <c r="C592" s="36"/>
      <c r="D592" s="36"/>
    </row>
    <row r="593">
      <c r="B593" s="36"/>
      <c r="C593" s="36"/>
      <c r="D593" s="36"/>
    </row>
    <row r="594">
      <c r="B594" s="36"/>
      <c r="C594" s="36"/>
      <c r="D594" s="36"/>
    </row>
    <row r="595">
      <c r="B595" s="36"/>
      <c r="C595" s="36"/>
      <c r="D595" s="36"/>
    </row>
    <row r="596">
      <c r="B596" s="36"/>
      <c r="C596" s="36"/>
      <c r="D596" s="36"/>
    </row>
    <row r="597">
      <c r="B597" s="36"/>
      <c r="C597" s="36"/>
      <c r="D597" s="36"/>
    </row>
    <row r="598">
      <c r="B598" s="36"/>
      <c r="C598" s="36"/>
      <c r="D598" s="36"/>
    </row>
    <row r="599">
      <c r="B599" s="36"/>
      <c r="C599" s="36"/>
      <c r="D599" s="36"/>
    </row>
    <row r="600">
      <c r="B600" s="36"/>
      <c r="C600" s="36"/>
      <c r="D600" s="36"/>
    </row>
    <row r="601">
      <c r="B601" s="36"/>
      <c r="C601" s="36"/>
      <c r="D601" s="36"/>
    </row>
    <row r="602">
      <c r="B602" s="36"/>
      <c r="C602" s="36"/>
      <c r="D602" s="36"/>
    </row>
    <row r="603">
      <c r="B603" s="36"/>
      <c r="C603" s="36"/>
      <c r="D603" s="36"/>
    </row>
    <row r="604">
      <c r="B604" s="36"/>
      <c r="C604" s="36"/>
      <c r="D604" s="36"/>
    </row>
    <row r="605">
      <c r="B605" s="36"/>
      <c r="C605" s="36"/>
      <c r="D605" s="36"/>
    </row>
    <row r="606">
      <c r="B606" s="36"/>
      <c r="C606" s="36"/>
      <c r="D606" s="36"/>
    </row>
    <row r="607">
      <c r="B607" s="36"/>
      <c r="C607" s="36"/>
      <c r="D607" s="36"/>
    </row>
    <row r="608">
      <c r="B608" s="36"/>
      <c r="C608" s="36"/>
      <c r="D608" s="36"/>
    </row>
    <row r="609">
      <c r="B609" s="36"/>
      <c r="C609" s="36"/>
      <c r="D609" s="36"/>
    </row>
    <row r="610">
      <c r="B610" s="36"/>
      <c r="C610" s="36"/>
      <c r="D610" s="36"/>
    </row>
    <row r="611">
      <c r="B611" s="36"/>
      <c r="C611" s="36"/>
      <c r="D611" s="36"/>
    </row>
    <row r="612">
      <c r="B612" s="36"/>
      <c r="C612" s="36"/>
      <c r="D612" s="36"/>
    </row>
    <row r="613">
      <c r="B613" s="36"/>
      <c r="C613" s="36"/>
      <c r="D613" s="36"/>
    </row>
    <row r="614">
      <c r="B614" s="36"/>
      <c r="C614" s="36"/>
      <c r="D614" s="36"/>
    </row>
    <row r="615">
      <c r="B615" s="36"/>
      <c r="C615" s="36"/>
      <c r="D615" s="36"/>
    </row>
    <row r="616">
      <c r="B616" s="36"/>
      <c r="C616" s="36"/>
      <c r="D616" s="36"/>
    </row>
    <row r="617">
      <c r="B617" s="36"/>
      <c r="C617" s="36"/>
      <c r="D617" s="36"/>
    </row>
    <row r="618">
      <c r="B618" s="36"/>
      <c r="C618" s="36"/>
      <c r="D618" s="36"/>
    </row>
    <row r="619">
      <c r="B619" s="36"/>
      <c r="C619" s="36"/>
      <c r="D619" s="36"/>
    </row>
    <row r="620">
      <c r="B620" s="36"/>
      <c r="C620" s="36"/>
      <c r="D620" s="36"/>
    </row>
    <row r="621">
      <c r="B621" s="36"/>
      <c r="C621" s="36"/>
      <c r="D621" s="36"/>
    </row>
    <row r="622">
      <c r="B622" s="36"/>
      <c r="C622" s="36"/>
      <c r="D622" s="36"/>
    </row>
    <row r="623">
      <c r="B623" s="36"/>
      <c r="C623" s="36"/>
      <c r="D623" s="36"/>
    </row>
    <row r="624">
      <c r="B624" s="36"/>
      <c r="C624" s="36"/>
      <c r="D624" s="36"/>
    </row>
    <row r="625">
      <c r="B625" s="36"/>
      <c r="C625" s="36"/>
      <c r="D625" s="36"/>
    </row>
    <row r="626">
      <c r="B626" s="36"/>
      <c r="C626" s="36"/>
      <c r="D626" s="36"/>
    </row>
    <row r="627">
      <c r="B627" s="36"/>
      <c r="C627" s="36"/>
      <c r="D627" s="36"/>
    </row>
    <row r="628">
      <c r="B628" s="36"/>
      <c r="C628" s="36"/>
      <c r="D628" s="36"/>
    </row>
    <row r="629">
      <c r="B629" s="36"/>
      <c r="C629" s="36"/>
      <c r="D629" s="36"/>
    </row>
    <row r="630">
      <c r="B630" s="36"/>
      <c r="C630" s="36"/>
      <c r="D630" s="36"/>
    </row>
    <row r="631">
      <c r="B631" s="36"/>
      <c r="C631" s="36"/>
      <c r="D631" s="36"/>
    </row>
    <row r="632">
      <c r="B632" s="36"/>
      <c r="C632" s="36"/>
      <c r="D632" s="36"/>
    </row>
    <row r="633">
      <c r="B633" s="36"/>
      <c r="C633" s="36"/>
      <c r="D633" s="36"/>
    </row>
    <row r="634">
      <c r="B634" s="36"/>
      <c r="C634" s="36"/>
      <c r="D634" s="36"/>
    </row>
    <row r="635">
      <c r="B635" s="36"/>
      <c r="C635" s="36"/>
      <c r="D635" s="36"/>
    </row>
    <row r="636">
      <c r="B636" s="36"/>
      <c r="C636" s="36"/>
      <c r="D636" s="36"/>
    </row>
    <row r="637">
      <c r="B637" s="36"/>
      <c r="C637" s="36"/>
      <c r="D637" s="36"/>
    </row>
    <row r="638">
      <c r="B638" s="36"/>
      <c r="C638" s="36"/>
      <c r="D638" s="36"/>
    </row>
    <row r="639">
      <c r="B639" s="36"/>
      <c r="C639" s="36"/>
      <c r="D639" s="36"/>
    </row>
    <row r="640">
      <c r="B640" s="36"/>
      <c r="C640" s="36"/>
      <c r="D640" s="36"/>
    </row>
    <row r="641">
      <c r="B641" s="36"/>
      <c r="C641" s="36"/>
      <c r="D641" s="36"/>
    </row>
    <row r="642">
      <c r="B642" s="36"/>
      <c r="C642" s="36"/>
      <c r="D642" s="36"/>
    </row>
    <row r="643">
      <c r="B643" s="36"/>
      <c r="C643" s="36"/>
      <c r="D643" s="36"/>
    </row>
    <row r="644">
      <c r="B644" s="36"/>
      <c r="C644" s="36"/>
      <c r="D644" s="36"/>
    </row>
    <row r="645">
      <c r="B645" s="36"/>
      <c r="C645" s="36"/>
      <c r="D645" s="36"/>
    </row>
    <row r="646">
      <c r="B646" s="36"/>
      <c r="C646" s="36"/>
      <c r="D646" s="36"/>
    </row>
    <row r="647">
      <c r="B647" s="36"/>
      <c r="C647" s="36"/>
      <c r="D647" s="36"/>
    </row>
    <row r="648">
      <c r="B648" s="36"/>
      <c r="C648" s="36"/>
      <c r="D648" s="36"/>
    </row>
    <row r="649">
      <c r="B649" s="36"/>
      <c r="C649" s="36"/>
      <c r="D649" s="36"/>
    </row>
    <row r="650">
      <c r="B650" s="36"/>
      <c r="C650" s="36"/>
      <c r="D650" s="36"/>
    </row>
    <row r="651">
      <c r="B651" s="36"/>
      <c r="C651" s="36"/>
      <c r="D651" s="36"/>
    </row>
    <row r="652">
      <c r="B652" s="36"/>
      <c r="C652" s="36"/>
      <c r="D652" s="36"/>
    </row>
    <row r="653">
      <c r="B653" s="36"/>
      <c r="C653" s="36"/>
      <c r="D653" s="36"/>
    </row>
    <row r="654">
      <c r="B654" s="36"/>
      <c r="C654" s="36"/>
      <c r="D654" s="36"/>
    </row>
    <row r="655">
      <c r="B655" s="36"/>
      <c r="C655" s="36"/>
      <c r="D655" s="36"/>
    </row>
    <row r="656">
      <c r="B656" s="36"/>
      <c r="C656" s="36"/>
      <c r="D656" s="36"/>
    </row>
    <row r="657">
      <c r="B657" s="36"/>
      <c r="C657" s="36"/>
      <c r="D657" s="36"/>
    </row>
    <row r="658">
      <c r="B658" s="36"/>
      <c r="C658" s="36"/>
      <c r="D658" s="36"/>
    </row>
    <row r="659">
      <c r="B659" s="36"/>
      <c r="C659" s="36"/>
      <c r="D659" s="36"/>
    </row>
    <row r="660">
      <c r="B660" s="36"/>
      <c r="C660" s="36"/>
      <c r="D660" s="36"/>
    </row>
    <row r="661">
      <c r="B661" s="36"/>
      <c r="C661" s="36"/>
      <c r="D661" s="36"/>
    </row>
    <row r="662">
      <c r="B662" s="36"/>
      <c r="C662" s="36"/>
      <c r="D662" s="36"/>
    </row>
    <row r="663">
      <c r="B663" s="36"/>
      <c r="C663" s="36"/>
      <c r="D663" s="36"/>
    </row>
    <row r="664">
      <c r="B664" s="36"/>
      <c r="C664" s="36"/>
      <c r="D664" s="36"/>
    </row>
    <row r="665">
      <c r="B665" s="36"/>
      <c r="C665" s="36"/>
      <c r="D665" s="36"/>
    </row>
    <row r="666">
      <c r="B666" s="36"/>
      <c r="C666" s="36"/>
      <c r="D666" s="36"/>
    </row>
    <row r="667">
      <c r="B667" s="36"/>
      <c r="C667" s="36"/>
      <c r="D667" s="36"/>
    </row>
    <row r="668">
      <c r="B668" s="36"/>
      <c r="C668" s="36"/>
      <c r="D668" s="36"/>
    </row>
    <row r="669">
      <c r="B669" s="36"/>
      <c r="C669" s="36"/>
      <c r="D669" s="36"/>
    </row>
    <row r="670">
      <c r="B670" s="36"/>
      <c r="C670" s="36"/>
      <c r="D670" s="36"/>
    </row>
    <row r="671">
      <c r="B671" s="36"/>
      <c r="C671" s="36"/>
      <c r="D671" s="36"/>
    </row>
    <row r="672">
      <c r="B672" s="36"/>
      <c r="C672" s="36"/>
      <c r="D672" s="36"/>
    </row>
    <row r="673">
      <c r="B673" s="36"/>
      <c r="C673" s="36"/>
      <c r="D673" s="36"/>
    </row>
    <row r="674">
      <c r="B674" s="36"/>
      <c r="C674" s="36"/>
      <c r="D674" s="36"/>
    </row>
    <row r="675">
      <c r="B675" s="36"/>
      <c r="C675" s="36"/>
      <c r="D675" s="36"/>
    </row>
    <row r="676">
      <c r="B676" s="36"/>
      <c r="C676" s="36"/>
      <c r="D676" s="36"/>
    </row>
    <row r="677">
      <c r="B677" s="36"/>
      <c r="C677" s="36"/>
      <c r="D677" s="36"/>
    </row>
    <row r="678">
      <c r="B678" s="36"/>
      <c r="C678" s="36"/>
      <c r="D678" s="36"/>
    </row>
    <row r="679">
      <c r="B679" s="36"/>
      <c r="C679" s="36"/>
      <c r="D679" s="36"/>
    </row>
    <row r="680">
      <c r="B680" s="36"/>
      <c r="C680" s="36"/>
      <c r="D680" s="36"/>
    </row>
    <row r="681">
      <c r="B681" s="36"/>
      <c r="C681" s="36"/>
      <c r="D681" s="36"/>
    </row>
    <row r="682">
      <c r="B682" s="36"/>
      <c r="C682" s="36"/>
      <c r="D682" s="36"/>
    </row>
    <row r="683">
      <c r="B683" s="36"/>
      <c r="C683" s="36"/>
      <c r="D683" s="36"/>
    </row>
    <row r="684">
      <c r="B684" s="36"/>
      <c r="C684" s="36"/>
      <c r="D684" s="36"/>
    </row>
    <row r="685">
      <c r="B685" s="36"/>
      <c r="C685" s="36"/>
      <c r="D685" s="36"/>
    </row>
    <row r="686">
      <c r="B686" s="36"/>
      <c r="C686" s="36"/>
      <c r="D686" s="36"/>
    </row>
    <row r="687">
      <c r="B687" s="36"/>
      <c r="C687" s="36"/>
      <c r="D687" s="36"/>
    </row>
    <row r="688">
      <c r="B688" s="36"/>
      <c r="C688" s="36"/>
      <c r="D688" s="36"/>
    </row>
    <row r="689">
      <c r="B689" s="36"/>
      <c r="C689" s="36"/>
      <c r="D689" s="36"/>
    </row>
    <row r="690">
      <c r="B690" s="36"/>
      <c r="C690" s="36"/>
      <c r="D690" s="36"/>
    </row>
    <row r="691">
      <c r="B691" s="36"/>
      <c r="C691" s="36"/>
      <c r="D691" s="36"/>
    </row>
    <row r="692">
      <c r="B692" s="36"/>
      <c r="C692" s="36"/>
      <c r="D692" s="36"/>
    </row>
    <row r="693">
      <c r="B693" s="36"/>
      <c r="C693" s="36"/>
      <c r="D693" s="36"/>
    </row>
    <row r="694">
      <c r="B694" s="36"/>
      <c r="C694" s="36"/>
      <c r="D694" s="36"/>
    </row>
    <row r="695">
      <c r="B695" s="36"/>
      <c r="C695" s="36"/>
      <c r="D695" s="36"/>
    </row>
    <row r="696">
      <c r="B696" s="36"/>
      <c r="C696" s="36"/>
      <c r="D696" s="36"/>
    </row>
    <row r="697">
      <c r="B697" s="36"/>
      <c r="C697" s="36"/>
      <c r="D697" s="36"/>
    </row>
    <row r="698">
      <c r="B698" s="36"/>
      <c r="C698" s="36"/>
      <c r="D698" s="36"/>
    </row>
    <row r="699">
      <c r="B699" s="36"/>
      <c r="C699" s="36"/>
      <c r="D699" s="36"/>
    </row>
    <row r="700">
      <c r="B700" s="36"/>
      <c r="C700" s="36"/>
      <c r="D700" s="36"/>
    </row>
    <row r="701">
      <c r="B701" s="36"/>
      <c r="C701" s="36"/>
      <c r="D701" s="36"/>
    </row>
    <row r="702">
      <c r="B702" s="36"/>
      <c r="C702" s="36"/>
      <c r="D702" s="36"/>
    </row>
    <row r="703">
      <c r="B703" s="36"/>
      <c r="C703" s="36"/>
      <c r="D703" s="36"/>
    </row>
    <row r="704">
      <c r="B704" s="36"/>
      <c r="C704" s="36"/>
      <c r="D704" s="36"/>
    </row>
    <row r="705">
      <c r="B705" s="36"/>
      <c r="C705" s="36"/>
      <c r="D705" s="36"/>
    </row>
    <row r="706">
      <c r="B706" s="36"/>
      <c r="C706" s="36"/>
      <c r="D706" s="36"/>
    </row>
    <row r="707">
      <c r="B707" s="36"/>
      <c r="C707" s="36"/>
      <c r="D707" s="36"/>
    </row>
    <row r="708">
      <c r="B708" s="36"/>
      <c r="C708" s="36"/>
      <c r="D708" s="36"/>
    </row>
    <row r="709">
      <c r="B709" s="36"/>
      <c r="C709" s="36"/>
      <c r="D709" s="36"/>
    </row>
    <row r="710">
      <c r="B710" s="36"/>
      <c r="C710" s="36"/>
      <c r="D710" s="36"/>
    </row>
    <row r="711">
      <c r="B711" s="36"/>
      <c r="C711" s="36"/>
      <c r="D711" s="36"/>
    </row>
    <row r="712">
      <c r="B712" s="36"/>
      <c r="C712" s="36"/>
      <c r="D712" s="36"/>
    </row>
    <row r="713">
      <c r="B713" s="36"/>
      <c r="C713" s="36"/>
      <c r="D713" s="36"/>
    </row>
    <row r="714">
      <c r="B714" s="36"/>
      <c r="C714" s="36"/>
      <c r="D714" s="36"/>
    </row>
    <row r="715">
      <c r="B715" s="36"/>
      <c r="C715" s="36"/>
      <c r="D715" s="36"/>
    </row>
    <row r="716">
      <c r="B716" s="36"/>
      <c r="C716" s="36"/>
      <c r="D716" s="36"/>
    </row>
    <row r="717">
      <c r="B717" s="36"/>
      <c r="C717" s="36"/>
      <c r="D717" s="36"/>
    </row>
    <row r="718">
      <c r="B718" s="36"/>
      <c r="C718" s="36"/>
      <c r="D718" s="36"/>
    </row>
    <row r="719">
      <c r="B719" s="36"/>
      <c r="C719" s="36"/>
      <c r="D719" s="36"/>
    </row>
    <row r="720">
      <c r="B720" s="36"/>
      <c r="C720" s="36"/>
      <c r="D720" s="36"/>
    </row>
    <row r="721">
      <c r="B721" s="36"/>
      <c r="C721" s="36"/>
      <c r="D721" s="36"/>
    </row>
    <row r="722">
      <c r="B722" s="36"/>
      <c r="C722" s="36"/>
      <c r="D722" s="36"/>
    </row>
    <row r="723">
      <c r="B723" s="36"/>
      <c r="C723" s="36"/>
      <c r="D723" s="36"/>
    </row>
    <row r="724">
      <c r="B724" s="36"/>
      <c r="C724" s="36"/>
      <c r="D724" s="36"/>
    </row>
    <row r="725">
      <c r="B725" s="36"/>
      <c r="C725" s="36"/>
      <c r="D725" s="36"/>
    </row>
    <row r="726">
      <c r="B726" s="36"/>
      <c r="C726" s="36"/>
      <c r="D726" s="36"/>
    </row>
    <row r="727">
      <c r="B727" s="36"/>
      <c r="C727" s="36"/>
      <c r="D727" s="36"/>
    </row>
    <row r="728">
      <c r="B728" s="36"/>
      <c r="C728" s="36"/>
      <c r="D728" s="36"/>
    </row>
    <row r="729">
      <c r="B729" s="36"/>
      <c r="C729" s="36"/>
      <c r="D729" s="36"/>
    </row>
    <row r="730">
      <c r="B730" s="36"/>
      <c r="C730" s="36"/>
      <c r="D730" s="36"/>
    </row>
    <row r="731">
      <c r="B731" s="36"/>
      <c r="C731" s="36"/>
      <c r="D731" s="36"/>
    </row>
    <row r="732">
      <c r="B732" s="36"/>
      <c r="C732" s="36"/>
      <c r="D732" s="36"/>
    </row>
    <row r="733">
      <c r="B733" s="36"/>
      <c r="C733" s="36"/>
      <c r="D733" s="36"/>
    </row>
    <row r="734">
      <c r="B734" s="36"/>
      <c r="C734" s="36"/>
      <c r="D734" s="36"/>
    </row>
    <row r="735">
      <c r="B735" s="36"/>
      <c r="C735" s="36"/>
      <c r="D735" s="36"/>
    </row>
    <row r="736">
      <c r="B736" s="36"/>
      <c r="C736" s="36"/>
      <c r="D736" s="36"/>
    </row>
    <row r="737">
      <c r="B737" s="36"/>
      <c r="C737" s="36"/>
      <c r="D737" s="36"/>
    </row>
    <row r="738">
      <c r="B738" s="36"/>
      <c r="C738" s="36"/>
      <c r="D738" s="36"/>
    </row>
    <row r="739">
      <c r="B739" s="36"/>
      <c r="C739" s="36"/>
      <c r="D739" s="36"/>
    </row>
    <row r="740">
      <c r="B740" s="36"/>
      <c r="C740" s="36"/>
      <c r="D740" s="36"/>
    </row>
    <row r="741">
      <c r="B741" s="36"/>
      <c r="C741" s="36"/>
      <c r="D741" s="36"/>
    </row>
    <row r="742">
      <c r="B742" s="36"/>
      <c r="C742" s="36"/>
      <c r="D742" s="36"/>
    </row>
    <row r="743">
      <c r="B743" s="36"/>
      <c r="C743" s="36"/>
      <c r="D743" s="36"/>
    </row>
    <row r="744">
      <c r="B744" s="36"/>
      <c r="C744" s="36"/>
      <c r="D744" s="36"/>
    </row>
    <row r="745">
      <c r="B745" s="36"/>
      <c r="C745" s="36"/>
      <c r="D745" s="36"/>
    </row>
    <row r="746">
      <c r="B746" s="36"/>
      <c r="C746" s="36"/>
      <c r="D746" s="36"/>
    </row>
    <row r="747">
      <c r="B747" s="36"/>
      <c r="C747" s="36"/>
      <c r="D747" s="36"/>
    </row>
    <row r="748">
      <c r="B748" s="36"/>
      <c r="C748" s="36"/>
      <c r="D748" s="36"/>
    </row>
    <row r="749">
      <c r="B749" s="36"/>
      <c r="C749" s="36"/>
      <c r="D749" s="36"/>
    </row>
    <row r="750">
      <c r="B750" s="36"/>
      <c r="C750" s="36"/>
      <c r="D750" s="36"/>
    </row>
    <row r="751">
      <c r="B751" s="36"/>
      <c r="C751" s="36"/>
      <c r="D751" s="36"/>
    </row>
    <row r="752">
      <c r="B752" s="36"/>
      <c r="C752" s="36"/>
      <c r="D752" s="36"/>
    </row>
    <row r="753">
      <c r="B753" s="36"/>
      <c r="C753" s="36"/>
      <c r="D753" s="36"/>
    </row>
    <row r="754">
      <c r="B754" s="36"/>
      <c r="C754" s="36"/>
      <c r="D754" s="36"/>
    </row>
    <row r="755">
      <c r="B755" s="36"/>
      <c r="C755" s="36"/>
      <c r="D755" s="36"/>
    </row>
    <row r="756">
      <c r="B756" s="36"/>
      <c r="C756" s="36"/>
      <c r="D756" s="36"/>
    </row>
    <row r="757">
      <c r="B757" s="36"/>
      <c r="C757" s="36"/>
      <c r="D757" s="36"/>
    </row>
    <row r="758">
      <c r="B758" s="36"/>
      <c r="C758" s="36"/>
      <c r="D758" s="36"/>
    </row>
    <row r="759">
      <c r="B759" s="36"/>
      <c r="C759" s="36"/>
      <c r="D759" s="36"/>
    </row>
    <row r="760">
      <c r="B760" s="36"/>
      <c r="C760" s="36"/>
      <c r="D760" s="36"/>
    </row>
    <row r="761">
      <c r="B761" s="36"/>
      <c r="C761" s="36"/>
      <c r="D761" s="36"/>
    </row>
    <row r="762">
      <c r="B762" s="36"/>
      <c r="C762" s="36"/>
      <c r="D762" s="36"/>
    </row>
    <row r="763">
      <c r="B763" s="36"/>
      <c r="C763" s="36"/>
      <c r="D763" s="36"/>
    </row>
    <row r="764">
      <c r="B764" s="36"/>
      <c r="C764" s="36"/>
      <c r="D764" s="36"/>
    </row>
    <row r="765">
      <c r="B765" s="36"/>
      <c r="C765" s="36"/>
      <c r="D765" s="36"/>
    </row>
    <row r="766">
      <c r="B766" s="36"/>
      <c r="C766" s="36"/>
      <c r="D766" s="36"/>
    </row>
    <row r="767">
      <c r="B767" s="36"/>
      <c r="C767" s="36"/>
      <c r="D767" s="36"/>
    </row>
    <row r="768">
      <c r="B768" s="36"/>
      <c r="C768" s="36"/>
      <c r="D768" s="36"/>
    </row>
    <row r="769">
      <c r="B769" s="36"/>
      <c r="C769" s="36"/>
      <c r="D769" s="36"/>
    </row>
    <row r="770">
      <c r="B770" s="36"/>
      <c r="C770" s="36"/>
      <c r="D770" s="36"/>
    </row>
    <row r="771">
      <c r="B771" s="36"/>
      <c r="C771" s="36"/>
      <c r="D771" s="36"/>
    </row>
    <row r="772">
      <c r="B772" s="36"/>
      <c r="C772" s="36"/>
      <c r="D772" s="36"/>
    </row>
    <row r="773">
      <c r="B773" s="36"/>
      <c r="C773" s="36"/>
      <c r="D773" s="36"/>
    </row>
    <row r="774">
      <c r="B774" s="36"/>
      <c r="C774" s="36"/>
      <c r="D774" s="36"/>
    </row>
    <row r="775">
      <c r="B775" s="36"/>
      <c r="C775" s="36"/>
      <c r="D775" s="36"/>
    </row>
    <row r="776">
      <c r="B776" s="36"/>
      <c r="C776" s="36"/>
      <c r="D776" s="36"/>
    </row>
    <row r="777">
      <c r="B777" s="36"/>
      <c r="C777" s="36"/>
      <c r="D777" s="36"/>
    </row>
    <row r="778">
      <c r="B778" s="36"/>
      <c r="C778" s="36"/>
      <c r="D778" s="36"/>
    </row>
    <row r="779">
      <c r="B779" s="36"/>
      <c r="C779" s="36"/>
      <c r="D779" s="36"/>
    </row>
    <row r="780">
      <c r="B780" s="36"/>
      <c r="C780" s="36"/>
      <c r="D780" s="36"/>
    </row>
    <row r="781">
      <c r="B781" s="36"/>
      <c r="C781" s="36"/>
      <c r="D781" s="36"/>
    </row>
    <row r="782">
      <c r="B782" s="36"/>
      <c r="C782" s="36"/>
      <c r="D782" s="36"/>
    </row>
    <row r="783">
      <c r="B783" s="36"/>
      <c r="C783" s="36"/>
      <c r="D783" s="36"/>
    </row>
    <row r="784">
      <c r="B784" s="36"/>
      <c r="C784" s="36"/>
      <c r="D784" s="36"/>
    </row>
    <row r="785">
      <c r="B785" s="36"/>
      <c r="C785" s="36"/>
      <c r="D785" s="36"/>
    </row>
    <row r="786">
      <c r="B786" s="36"/>
      <c r="C786" s="36"/>
      <c r="D786" s="36"/>
    </row>
    <row r="787">
      <c r="B787" s="36"/>
      <c r="C787" s="36"/>
      <c r="D787" s="36"/>
    </row>
    <row r="788">
      <c r="B788" s="36"/>
      <c r="C788" s="36"/>
      <c r="D788" s="36"/>
    </row>
    <row r="789">
      <c r="B789" s="36"/>
      <c r="C789" s="36"/>
      <c r="D789" s="36"/>
    </row>
    <row r="790">
      <c r="B790" s="36"/>
      <c r="C790" s="36"/>
      <c r="D790" s="36"/>
    </row>
    <row r="791">
      <c r="B791" s="36"/>
      <c r="C791" s="36"/>
      <c r="D791" s="36"/>
    </row>
    <row r="792">
      <c r="B792" s="36"/>
      <c r="C792" s="36"/>
      <c r="D792" s="36"/>
    </row>
    <row r="793">
      <c r="B793" s="36"/>
      <c r="C793" s="36"/>
      <c r="D793" s="36"/>
    </row>
    <row r="794">
      <c r="B794" s="36"/>
      <c r="C794" s="36"/>
      <c r="D794" s="36"/>
    </row>
    <row r="795">
      <c r="B795" s="36"/>
      <c r="C795" s="36"/>
      <c r="D795" s="36"/>
    </row>
    <row r="796">
      <c r="B796" s="36"/>
      <c r="C796" s="36"/>
      <c r="D796" s="36"/>
    </row>
    <row r="797">
      <c r="B797" s="36"/>
      <c r="C797" s="36"/>
      <c r="D797" s="36"/>
    </row>
    <row r="798">
      <c r="B798" s="36"/>
      <c r="C798" s="36"/>
      <c r="D798" s="36"/>
    </row>
    <row r="799">
      <c r="B799" s="36"/>
      <c r="C799" s="36"/>
      <c r="D799" s="36"/>
    </row>
    <row r="800">
      <c r="B800" s="36"/>
      <c r="C800" s="36"/>
      <c r="D800" s="36"/>
    </row>
    <row r="801">
      <c r="B801" s="36"/>
      <c r="C801" s="36"/>
      <c r="D801" s="36"/>
    </row>
    <row r="802">
      <c r="B802" s="36"/>
      <c r="C802" s="36"/>
      <c r="D802" s="36"/>
    </row>
    <row r="803">
      <c r="B803" s="36"/>
      <c r="C803" s="36"/>
      <c r="D803" s="36"/>
    </row>
    <row r="804">
      <c r="B804" s="36"/>
      <c r="C804" s="36"/>
      <c r="D804" s="36"/>
    </row>
    <row r="805">
      <c r="B805" s="36"/>
      <c r="C805" s="36"/>
      <c r="D805" s="36"/>
    </row>
    <row r="806">
      <c r="B806" s="36"/>
      <c r="C806" s="36"/>
      <c r="D806" s="36"/>
    </row>
    <row r="807">
      <c r="B807" s="36"/>
      <c r="C807" s="36"/>
      <c r="D807" s="36"/>
    </row>
    <row r="808">
      <c r="B808" s="36"/>
      <c r="C808" s="36"/>
      <c r="D808" s="36"/>
    </row>
    <row r="809">
      <c r="B809" s="36"/>
      <c r="C809" s="36"/>
      <c r="D809" s="36"/>
    </row>
    <row r="810">
      <c r="B810" s="36"/>
      <c r="C810" s="36"/>
      <c r="D810" s="36"/>
    </row>
    <row r="811">
      <c r="B811" s="36"/>
      <c r="C811" s="36"/>
      <c r="D811" s="36"/>
    </row>
    <row r="812">
      <c r="B812" s="36"/>
      <c r="C812" s="36"/>
      <c r="D812" s="36"/>
    </row>
    <row r="813">
      <c r="B813" s="36"/>
      <c r="C813" s="36"/>
      <c r="D813" s="36"/>
    </row>
    <row r="814">
      <c r="B814" s="36"/>
      <c r="C814" s="36"/>
      <c r="D814" s="36"/>
    </row>
    <row r="815">
      <c r="B815" s="36"/>
      <c r="C815" s="36"/>
      <c r="D815" s="36"/>
    </row>
    <row r="816">
      <c r="B816" s="36"/>
      <c r="C816" s="36"/>
      <c r="D816" s="36"/>
    </row>
    <row r="817">
      <c r="B817" s="36"/>
      <c r="C817" s="36"/>
      <c r="D817" s="36"/>
    </row>
    <row r="818">
      <c r="B818" s="36"/>
      <c r="C818" s="36"/>
      <c r="D818" s="36"/>
    </row>
    <row r="819">
      <c r="B819" s="36"/>
      <c r="C819" s="36"/>
      <c r="D819" s="36"/>
    </row>
    <row r="820">
      <c r="B820" s="36"/>
      <c r="C820" s="36"/>
      <c r="D820" s="36"/>
    </row>
    <row r="821">
      <c r="B821" s="36"/>
      <c r="C821" s="36"/>
      <c r="D821" s="36"/>
    </row>
    <row r="822">
      <c r="B822" s="36"/>
      <c r="C822" s="36"/>
      <c r="D822" s="36"/>
    </row>
    <row r="823">
      <c r="B823" s="36"/>
      <c r="C823" s="36"/>
      <c r="D823" s="36"/>
    </row>
    <row r="824">
      <c r="B824" s="36"/>
      <c r="C824" s="36"/>
      <c r="D824" s="36"/>
    </row>
    <row r="825">
      <c r="B825" s="36"/>
      <c r="C825" s="36"/>
      <c r="D825" s="36"/>
    </row>
    <row r="826">
      <c r="B826" s="36"/>
      <c r="C826" s="36"/>
      <c r="D826" s="36"/>
    </row>
    <row r="827">
      <c r="B827" s="36"/>
      <c r="C827" s="36"/>
      <c r="D827" s="36"/>
    </row>
    <row r="828">
      <c r="B828" s="36"/>
      <c r="C828" s="36"/>
      <c r="D828" s="36"/>
    </row>
    <row r="829">
      <c r="B829" s="36"/>
      <c r="C829" s="36"/>
      <c r="D829" s="36"/>
    </row>
    <row r="830">
      <c r="B830" s="36"/>
      <c r="C830" s="36"/>
      <c r="D830" s="36"/>
    </row>
    <row r="831">
      <c r="B831" s="36"/>
      <c r="C831" s="36"/>
      <c r="D831" s="36"/>
    </row>
    <row r="832">
      <c r="B832" s="36"/>
      <c r="C832" s="36"/>
      <c r="D832" s="36"/>
    </row>
    <row r="833">
      <c r="B833" s="36"/>
      <c r="C833" s="36"/>
      <c r="D833" s="36"/>
    </row>
    <row r="834">
      <c r="B834" s="36"/>
      <c r="C834" s="36"/>
      <c r="D834" s="36"/>
    </row>
    <row r="835">
      <c r="B835" s="36"/>
      <c r="C835" s="36"/>
      <c r="D835" s="36"/>
    </row>
    <row r="836">
      <c r="B836" s="36"/>
      <c r="C836" s="36"/>
      <c r="D836" s="36"/>
    </row>
    <row r="837">
      <c r="B837" s="36"/>
      <c r="C837" s="36"/>
      <c r="D837" s="36"/>
    </row>
    <row r="838">
      <c r="B838" s="36"/>
      <c r="C838" s="36"/>
      <c r="D838" s="36"/>
    </row>
    <row r="839">
      <c r="B839" s="36"/>
      <c r="C839" s="36"/>
      <c r="D839" s="36"/>
    </row>
    <row r="840">
      <c r="B840" s="36"/>
      <c r="C840" s="36"/>
      <c r="D840" s="36"/>
    </row>
    <row r="841">
      <c r="B841" s="36"/>
      <c r="C841" s="36"/>
      <c r="D841" s="36"/>
    </row>
    <row r="842">
      <c r="B842" s="36"/>
      <c r="C842" s="36"/>
      <c r="D842" s="36"/>
    </row>
    <row r="843">
      <c r="B843" s="36"/>
      <c r="C843" s="36"/>
      <c r="D843" s="36"/>
    </row>
    <row r="844">
      <c r="B844" s="36"/>
      <c r="C844" s="36"/>
      <c r="D844" s="36"/>
    </row>
    <row r="845">
      <c r="B845" s="36"/>
      <c r="C845" s="36"/>
      <c r="D845" s="36"/>
    </row>
    <row r="846">
      <c r="B846" s="36"/>
      <c r="C846" s="36"/>
      <c r="D846" s="36"/>
    </row>
    <row r="847">
      <c r="B847" s="36"/>
      <c r="C847" s="36"/>
      <c r="D847" s="36"/>
    </row>
    <row r="848">
      <c r="B848" s="36"/>
      <c r="C848" s="36"/>
      <c r="D848" s="36"/>
    </row>
    <row r="849">
      <c r="B849" s="36"/>
      <c r="C849" s="36"/>
      <c r="D849" s="36"/>
    </row>
    <row r="850">
      <c r="B850" s="36"/>
      <c r="C850" s="36"/>
      <c r="D850" s="36"/>
    </row>
    <row r="851">
      <c r="B851" s="36"/>
      <c r="C851" s="36"/>
      <c r="D851" s="36"/>
    </row>
    <row r="852">
      <c r="B852" s="36"/>
      <c r="C852" s="36"/>
      <c r="D852" s="36"/>
    </row>
    <row r="853">
      <c r="B853" s="36"/>
      <c r="C853" s="36"/>
      <c r="D853" s="36"/>
    </row>
    <row r="854">
      <c r="B854" s="36"/>
      <c r="C854" s="36"/>
      <c r="D854" s="36"/>
    </row>
    <row r="855">
      <c r="B855" s="36"/>
      <c r="C855" s="36"/>
      <c r="D855" s="36"/>
    </row>
    <row r="856">
      <c r="B856" s="36"/>
      <c r="C856" s="36"/>
      <c r="D856" s="36"/>
    </row>
    <row r="857">
      <c r="B857" s="36"/>
      <c r="C857" s="36"/>
      <c r="D857" s="36"/>
    </row>
    <row r="858">
      <c r="B858" s="36"/>
      <c r="C858" s="36"/>
      <c r="D858" s="36"/>
    </row>
    <row r="859">
      <c r="B859" s="36"/>
      <c r="C859" s="36"/>
      <c r="D859" s="36"/>
    </row>
    <row r="860">
      <c r="B860" s="36"/>
      <c r="C860" s="36"/>
      <c r="D860" s="36"/>
    </row>
    <row r="861">
      <c r="B861" s="36"/>
      <c r="C861" s="36"/>
      <c r="D861" s="36"/>
    </row>
    <row r="862">
      <c r="B862" s="36"/>
      <c r="C862" s="36"/>
      <c r="D862" s="36"/>
    </row>
    <row r="863">
      <c r="B863" s="36"/>
      <c r="C863" s="36"/>
      <c r="D863" s="36"/>
    </row>
    <row r="864">
      <c r="B864" s="36"/>
      <c r="C864" s="36"/>
      <c r="D864" s="36"/>
    </row>
    <row r="865">
      <c r="B865" s="36"/>
      <c r="C865" s="36"/>
      <c r="D865" s="36"/>
    </row>
    <row r="866">
      <c r="B866" s="36"/>
      <c r="C866" s="36"/>
      <c r="D866" s="36"/>
    </row>
    <row r="867">
      <c r="B867" s="36"/>
      <c r="C867" s="36"/>
      <c r="D867" s="36"/>
    </row>
    <row r="868">
      <c r="B868" s="36"/>
      <c r="C868" s="36"/>
      <c r="D868" s="36"/>
    </row>
    <row r="869">
      <c r="B869" s="36"/>
      <c r="C869" s="36"/>
      <c r="D869" s="36"/>
    </row>
    <row r="870">
      <c r="B870" s="36"/>
      <c r="C870" s="36"/>
      <c r="D870" s="36"/>
    </row>
    <row r="871">
      <c r="B871" s="36"/>
      <c r="C871" s="36"/>
      <c r="D871" s="36"/>
    </row>
    <row r="872">
      <c r="B872" s="36"/>
      <c r="C872" s="36"/>
      <c r="D872" s="36"/>
    </row>
    <row r="873">
      <c r="B873" s="36"/>
      <c r="C873" s="36"/>
      <c r="D873" s="36"/>
    </row>
    <row r="874">
      <c r="B874" s="36"/>
      <c r="C874" s="36"/>
      <c r="D874" s="36"/>
    </row>
    <row r="875">
      <c r="B875" s="36"/>
      <c r="C875" s="36"/>
      <c r="D875" s="36"/>
    </row>
    <row r="876">
      <c r="B876" s="36"/>
      <c r="C876" s="36"/>
      <c r="D876" s="36"/>
    </row>
    <row r="877">
      <c r="B877" s="36"/>
      <c r="C877" s="36"/>
      <c r="D877" s="36"/>
    </row>
    <row r="878">
      <c r="B878" s="36"/>
      <c r="C878" s="36"/>
      <c r="D878" s="36"/>
    </row>
    <row r="879">
      <c r="B879" s="36"/>
      <c r="C879" s="36"/>
      <c r="D879" s="36"/>
    </row>
    <row r="880">
      <c r="B880" s="36"/>
      <c r="C880" s="36"/>
      <c r="D880" s="36"/>
    </row>
    <row r="881">
      <c r="B881" s="36"/>
      <c r="C881" s="36"/>
      <c r="D881" s="36"/>
    </row>
    <row r="882">
      <c r="B882" s="36"/>
      <c r="C882" s="36"/>
      <c r="D882" s="36"/>
    </row>
    <row r="883">
      <c r="B883" s="36"/>
      <c r="C883" s="36"/>
      <c r="D883" s="36"/>
    </row>
    <row r="884">
      <c r="B884" s="36"/>
      <c r="C884" s="36"/>
      <c r="D884" s="36"/>
    </row>
    <row r="885">
      <c r="B885" s="36"/>
      <c r="C885" s="36"/>
      <c r="D885" s="36"/>
    </row>
    <row r="886">
      <c r="B886" s="36"/>
      <c r="C886" s="36"/>
      <c r="D886" s="36"/>
    </row>
    <row r="887">
      <c r="B887" s="36"/>
      <c r="C887" s="36"/>
      <c r="D887" s="36"/>
    </row>
    <row r="888">
      <c r="B888" s="36"/>
      <c r="C888" s="36"/>
      <c r="D888" s="36"/>
    </row>
    <row r="889">
      <c r="B889" s="36"/>
      <c r="C889" s="36"/>
      <c r="D889" s="36"/>
    </row>
    <row r="890">
      <c r="B890" s="36"/>
      <c r="C890" s="36"/>
      <c r="D890" s="36"/>
    </row>
    <row r="891">
      <c r="B891" s="36"/>
      <c r="C891" s="36"/>
      <c r="D891" s="36"/>
    </row>
    <row r="892">
      <c r="B892" s="36"/>
      <c r="C892" s="36"/>
      <c r="D892" s="36"/>
    </row>
    <row r="893">
      <c r="B893" s="36"/>
      <c r="C893" s="36"/>
      <c r="D893" s="36"/>
    </row>
    <row r="894">
      <c r="B894" s="36"/>
      <c r="C894" s="36"/>
      <c r="D894" s="36"/>
    </row>
    <row r="895">
      <c r="B895" s="36"/>
      <c r="C895" s="36"/>
      <c r="D895" s="36"/>
    </row>
    <row r="896">
      <c r="B896" s="36"/>
      <c r="C896" s="36"/>
      <c r="D896" s="36"/>
    </row>
    <row r="897">
      <c r="B897" s="36"/>
      <c r="C897" s="36"/>
      <c r="D897" s="36"/>
    </row>
    <row r="898">
      <c r="B898" s="36"/>
      <c r="C898" s="36"/>
      <c r="D898" s="36"/>
    </row>
    <row r="899">
      <c r="B899" s="36"/>
      <c r="C899" s="36"/>
      <c r="D899" s="36"/>
    </row>
    <row r="900">
      <c r="B900" s="36"/>
      <c r="C900" s="36"/>
      <c r="D900" s="36"/>
    </row>
    <row r="901">
      <c r="B901" s="36"/>
      <c r="C901" s="36"/>
      <c r="D901" s="36"/>
    </row>
    <row r="902">
      <c r="B902" s="36"/>
      <c r="C902" s="36"/>
      <c r="D902" s="36"/>
    </row>
    <row r="903">
      <c r="B903" s="36"/>
      <c r="C903" s="36"/>
      <c r="D903" s="36"/>
    </row>
    <row r="904">
      <c r="B904" s="36"/>
      <c r="C904" s="36"/>
      <c r="D904" s="36"/>
    </row>
    <row r="905">
      <c r="B905" s="36"/>
      <c r="C905" s="36"/>
      <c r="D905" s="36"/>
    </row>
    <row r="906">
      <c r="B906" s="36"/>
      <c r="C906" s="36"/>
      <c r="D906" s="36"/>
    </row>
    <row r="907">
      <c r="B907" s="36"/>
      <c r="C907" s="36"/>
      <c r="D907" s="36"/>
    </row>
    <row r="908">
      <c r="B908" s="36"/>
      <c r="C908" s="36"/>
      <c r="D908" s="36"/>
    </row>
    <row r="909">
      <c r="B909" s="36"/>
      <c r="C909" s="36"/>
      <c r="D909" s="36"/>
    </row>
    <row r="910">
      <c r="B910" s="36"/>
      <c r="C910" s="36"/>
      <c r="D910" s="36"/>
    </row>
    <row r="911">
      <c r="B911" s="36"/>
      <c r="C911" s="36"/>
      <c r="D911" s="36"/>
    </row>
    <row r="912">
      <c r="B912" s="36"/>
      <c r="C912" s="36"/>
      <c r="D912" s="36"/>
    </row>
    <row r="913">
      <c r="B913" s="36"/>
      <c r="C913" s="36"/>
      <c r="D913" s="36"/>
    </row>
    <row r="914">
      <c r="B914" s="36"/>
      <c r="C914" s="36"/>
      <c r="D914" s="36"/>
    </row>
    <row r="915">
      <c r="B915" s="36"/>
      <c r="C915" s="36"/>
      <c r="D915" s="36"/>
    </row>
    <row r="916">
      <c r="B916" s="36"/>
      <c r="C916" s="36"/>
      <c r="D916" s="36"/>
    </row>
    <row r="917">
      <c r="B917" s="36"/>
      <c r="C917" s="36"/>
      <c r="D917" s="36"/>
    </row>
    <row r="918">
      <c r="B918" s="36"/>
      <c r="C918" s="36"/>
      <c r="D918" s="36"/>
    </row>
    <row r="919">
      <c r="B919" s="36"/>
      <c r="C919" s="36"/>
      <c r="D919" s="36"/>
    </row>
    <row r="920">
      <c r="B920" s="36"/>
      <c r="C920" s="36"/>
      <c r="D920" s="36"/>
    </row>
    <row r="921">
      <c r="B921" s="36"/>
      <c r="C921" s="36"/>
      <c r="D921" s="36"/>
    </row>
    <row r="922">
      <c r="B922" s="36"/>
      <c r="C922" s="36"/>
      <c r="D922" s="36"/>
    </row>
    <row r="923">
      <c r="B923" s="36"/>
      <c r="C923" s="36"/>
      <c r="D923" s="36"/>
    </row>
    <row r="924">
      <c r="B924" s="36"/>
      <c r="C924" s="36"/>
      <c r="D924" s="36"/>
    </row>
    <row r="925">
      <c r="B925" s="36"/>
      <c r="C925" s="36"/>
      <c r="D925" s="36"/>
    </row>
    <row r="926">
      <c r="B926" s="36"/>
      <c r="C926" s="36"/>
      <c r="D926" s="36"/>
    </row>
    <row r="927">
      <c r="B927" s="36"/>
      <c r="C927" s="36"/>
      <c r="D927" s="36"/>
    </row>
    <row r="928">
      <c r="B928" s="36"/>
      <c r="C928" s="36"/>
      <c r="D928" s="36"/>
    </row>
    <row r="929">
      <c r="B929" s="36"/>
      <c r="C929" s="36"/>
      <c r="D929" s="36"/>
    </row>
    <row r="930">
      <c r="B930" s="36"/>
      <c r="C930" s="36"/>
      <c r="D930" s="36"/>
    </row>
    <row r="931">
      <c r="B931" s="36"/>
      <c r="C931" s="36"/>
      <c r="D931" s="36"/>
    </row>
    <row r="932">
      <c r="B932" s="36"/>
      <c r="C932" s="36"/>
      <c r="D932" s="36"/>
    </row>
    <row r="933">
      <c r="B933" s="36"/>
      <c r="C933" s="36"/>
      <c r="D933" s="36"/>
    </row>
    <row r="934">
      <c r="B934" s="36"/>
      <c r="C934" s="36"/>
      <c r="D934" s="36"/>
    </row>
    <row r="935">
      <c r="B935" s="36"/>
      <c r="C935" s="36"/>
      <c r="D935" s="36"/>
    </row>
    <row r="936">
      <c r="B936" s="36"/>
      <c r="C936" s="36"/>
      <c r="D936" s="36"/>
    </row>
    <row r="937">
      <c r="B937" s="36"/>
      <c r="C937" s="36"/>
      <c r="D937" s="36"/>
    </row>
    <row r="938">
      <c r="B938" s="36"/>
      <c r="C938" s="36"/>
      <c r="D938" s="36"/>
    </row>
    <row r="939">
      <c r="B939" s="36"/>
      <c r="C939" s="36"/>
      <c r="D939" s="36"/>
    </row>
    <row r="940">
      <c r="B940" s="36"/>
      <c r="C940" s="36"/>
      <c r="D940" s="36"/>
    </row>
    <row r="941">
      <c r="B941" s="36"/>
      <c r="C941" s="36"/>
      <c r="D941" s="36"/>
    </row>
    <row r="942">
      <c r="B942" s="36"/>
      <c r="C942" s="36"/>
      <c r="D942" s="36"/>
    </row>
    <row r="943">
      <c r="B943" s="36"/>
      <c r="C943" s="36"/>
      <c r="D943" s="36"/>
    </row>
    <row r="944">
      <c r="B944" s="36"/>
      <c r="C944" s="36"/>
      <c r="D944" s="36"/>
    </row>
    <row r="945">
      <c r="B945" s="36"/>
      <c r="C945" s="36"/>
      <c r="D945" s="36"/>
    </row>
    <row r="946">
      <c r="B946" s="36"/>
      <c r="C946" s="36"/>
      <c r="D946" s="36"/>
    </row>
    <row r="947">
      <c r="B947" s="36"/>
      <c r="C947" s="36"/>
      <c r="D947" s="36"/>
    </row>
    <row r="948">
      <c r="B948" s="36"/>
      <c r="C948" s="36"/>
      <c r="D948" s="36"/>
    </row>
    <row r="949">
      <c r="B949" s="36"/>
      <c r="C949" s="36"/>
      <c r="D949" s="36"/>
    </row>
    <row r="950">
      <c r="B950" s="36"/>
      <c r="C950" s="36"/>
      <c r="D950" s="36"/>
    </row>
    <row r="951">
      <c r="B951" s="36"/>
      <c r="C951" s="36"/>
      <c r="D951" s="36"/>
    </row>
    <row r="952">
      <c r="B952" s="36"/>
      <c r="C952" s="36"/>
      <c r="D952" s="36"/>
    </row>
    <row r="953">
      <c r="B953" s="36"/>
      <c r="C953" s="36"/>
      <c r="D953" s="36"/>
    </row>
    <row r="954">
      <c r="B954" s="36"/>
      <c r="C954" s="36"/>
      <c r="D954" s="36"/>
    </row>
    <row r="955">
      <c r="B955" s="36"/>
      <c r="C955" s="36"/>
      <c r="D955" s="36"/>
    </row>
    <row r="956">
      <c r="B956" s="36"/>
      <c r="C956" s="36"/>
      <c r="D956" s="36"/>
    </row>
    <row r="957">
      <c r="B957" s="36"/>
      <c r="C957" s="36"/>
      <c r="D957" s="36"/>
    </row>
    <row r="958">
      <c r="B958" s="36"/>
      <c r="C958" s="36"/>
      <c r="D958" s="36"/>
    </row>
    <row r="959">
      <c r="B959" s="36"/>
      <c r="C959" s="36"/>
      <c r="D959" s="36"/>
    </row>
    <row r="960">
      <c r="B960" s="36"/>
      <c r="C960" s="36"/>
      <c r="D960" s="36"/>
    </row>
    <row r="961">
      <c r="B961" s="36"/>
      <c r="C961" s="36"/>
      <c r="D961" s="36"/>
    </row>
    <row r="962">
      <c r="B962" s="36"/>
      <c r="C962" s="36"/>
      <c r="D962" s="36"/>
    </row>
    <row r="963">
      <c r="B963" s="36"/>
      <c r="C963" s="36"/>
      <c r="D963" s="36"/>
    </row>
    <row r="964">
      <c r="B964" s="36"/>
      <c r="C964" s="36"/>
      <c r="D964" s="36"/>
    </row>
    <row r="965">
      <c r="B965" s="36"/>
      <c r="C965" s="36"/>
      <c r="D965" s="36"/>
    </row>
    <row r="966">
      <c r="B966" s="36"/>
      <c r="C966" s="36"/>
      <c r="D966" s="36"/>
    </row>
    <row r="967">
      <c r="B967" s="36"/>
      <c r="C967" s="36"/>
      <c r="D967" s="36"/>
    </row>
    <row r="968">
      <c r="B968" s="36"/>
      <c r="C968" s="36"/>
      <c r="D968" s="36"/>
    </row>
    <row r="969">
      <c r="B969" s="36"/>
      <c r="C969" s="36"/>
      <c r="D969" s="36"/>
    </row>
    <row r="970">
      <c r="B970" s="36"/>
      <c r="C970" s="36"/>
      <c r="D970" s="36"/>
    </row>
    <row r="971">
      <c r="B971" s="36"/>
      <c r="C971" s="36"/>
      <c r="D971" s="36"/>
    </row>
    <row r="972">
      <c r="B972" s="36"/>
      <c r="C972" s="36"/>
      <c r="D972" s="36"/>
    </row>
    <row r="973">
      <c r="B973" s="36"/>
      <c r="C973" s="36"/>
      <c r="D973" s="36"/>
    </row>
    <row r="974">
      <c r="B974" s="36"/>
      <c r="C974" s="36"/>
      <c r="D974" s="36"/>
    </row>
    <row r="975">
      <c r="B975" s="36"/>
      <c r="C975" s="36"/>
      <c r="D975" s="36"/>
    </row>
    <row r="976">
      <c r="B976" s="36"/>
      <c r="C976" s="36"/>
      <c r="D976" s="36"/>
    </row>
    <row r="977">
      <c r="B977" s="36"/>
      <c r="C977" s="36"/>
      <c r="D977" s="36"/>
    </row>
    <row r="978">
      <c r="B978" s="36"/>
      <c r="C978" s="36"/>
      <c r="D978" s="36"/>
    </row>
    <row r="979">
      <c r="B979" s="36"/>
      <c r="C979" s="36"/>
      <c r="D979" s="36"/>
    </row>
    <row r="980">
      <c r="B980" s="36"/>
      <c r="C980" s="36"/>
      <c r="D980" s="36"/>
    </row>
    <row r="981">
      <c r="B981" s="36"/>
      <c r="C981" s="36"/>
      <c r="D981" s="36"/>
    </row>
    <row r="982">
      <c r="B982" s="36"/>
      <c r="C982" s="36"/>
      <c r="D982" s="36"/>
    </row>
    <row r="983">
      <c r="B983" s="36"/>
      <c r="C983" s="36"/>
      <c r="D983" s="36"/>
    </row>
    <row r="984">
      <c r="B984" s="36"/>
      <c r="C984" s="36"/>
      <c r="D984" s="36"/>
    </row>
    <row r="985">
      <c r="B985" s="36"/>
      <c r="C985" s="36"/>
      <c r="D985" s="36"/>
    </row>
    <row r="986">
      <c r="B986" s="36"/>
      <c r="C986" s="36"/>
      <c r="D986" s="36"/>
    </row>
    <row r="987">
      <c r="B987" s="36"/>
      <c r="C987" s="36"/>
      <c r="D987" s="36"/>
    </row>
    <row r="988">
      <c r="B988" s="36"/>
      <c r="C988" s="36"/>
      <c r="D988" s="36"/>
    </row>
    <row r="989">
      <c r="B989" s="36"/>
      <c r="C989" s="36"/>
      <c r="D989" s="36"/>
    </row>
    <row r="990">
      <c r="B990" s="36"/>
      <c r="C990" s="36"/>
      <c r="D990" s="36"/>
    </row>
    <row r="991">
      <c r="B991" s="36"/>
      <c r="C991" s="36"/>
      <c r="D991" s="36"/>
    </row>
    <row r="992">
      <c r="B992" s="36"/>
      <c r="C992" s="36"/>
      <c r="D992" s="36"/>
    </row>
    <row r="993">
      <c r="B993" s="36"/>
      <c r="C993" s="36"/>
      <c r="D993" s="36"/>
    </row>
    <row r="994">
      <c r="B994" s="36"/>
      <c r="C994" s="36"/>
      <c r="D994" s="36"/>
    </row>
    <row r="995">
      <c r="B995" s="36"/>
      <c r="C995" s="36"/>
      <c r="D995" s="36"/>
    </row>
    <row r="996">
      <c r="B996" s="36"/>
      <c r="C996" s="36"/>
      <c r="D996" s="36"/>
    </row>
    <row r="997">
      <c r="B997" s="36"/>
      <c r="C997" s="36"/>
      <c r="D997" s="36"/>
    </row>
    <row r="998">
      <c r="B998" s="36"/>
      <c r="C998" s="36"/>
      <c r="D998" s="36"/>
    </row>
    <row r="999">
      <c r="B999" s="36"/>
      <c r="C999" s="36"/>
      <c r="D999" s="36"/>
    </row>
    <row r="1000">
      <c r="B1000" s="36"/>
      <c r="C1000" s="36"/>
      <c r="D1000" s="36"/>
    </row>
  </sheetData>
  <drawing r:id="rId2"/>
</worksheet>
</file>