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alaei\Downloads\"/>
    </mc:Choice>
  </mc:AlternateContent>
  <bookViews>
    <workbookView xWindow="-108" yWindow="108" windowWidth="19200" windowHeight="14760" tabRatio="934"/>
  </bookViews>
  <sheets>
    <sheet name="آتش سوزى" sheetId="1" r:id="rId1"/>
    <sheet name="باربرى" sheetId="2" r:id="rId2"/>
    <sheet name="حوادث" sheetId="3" r:id="rId3"/>
    <sheet name="حوادث راننده" sheetId="15" r:id="rId4"/>
    <sheet name="بدنه اتومبيل" sheetId="4" r:id="rId5"/>
    <sheet name="شخص ثالث و مازاد" sheetId="5" r:id="rId6"/>
    <sheet name="درمان" sheetId="6" r:id="rId7"/>
    <sheet name="كشتى" sheetId="7" r:id="rId8"/>
    <sheet name="هواپيما" sheetId="8" r:id="rId9"/>
    <sheet name="مهندسى" sheetId="9" r:id="rId10"/>
    <sheet name="پول" sheetId="10" r:id="rId11"/>
    <sheet name="مسئوليت" sheetId="16" r:id="rId12"/>
    <sheet name="اعتبار" sheetId="18" r:id="rId13"/>
    <sheet name="نفت و انرژی" sheetId="17" r:id="rId14"/>
    <sheet name="ساير انواع" sheetId="11" r:id="rId15"/>
    <sheet name="جمع غير زندگى" sheetId="12" r:id="rId16"/>
    <sheet name="زندگى(عمر)" sheetId="13" r:id="rId17"/>
    <sheet name="صنعت بيمه كشور" sheetId="14"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Print_Area" localSheetId="0">'آتش سوزى'!$A$1:$S$52</definedName>
    <definedName name="_xlnm.Print_Area" localSheetId="12">اعتبار!$A$1:$S$53</definedName>
    <definedName name="_xlnm.Print_Area" localSheetId="1">باربرى!$A$1:$S$52</definedName>
    <definedName name="_xlnm.Print_Area" localSheetId="4">'بدنه اتومبيل'!$A$1:$S$52</definedName>
    <definedName name="_xlnm.Print_Area" localSheetId="10">پول!$A$1:$Q$52</definedName>
    <definedName name="_xlnm.Print_Area" localSheetId="15">'جمع غير زندگى'!$A$1:$S$53</definedName>
    <definedName name="_xlnm.Print_Area" localSheetId="2">حوادث!$A$1:$S$52</definedName>
    <definedName name="_xlnm.Print_Area" localSheetId="3">'حوادث راننده'!$A$1:$T$53</definedName>
    <definedName name="_xlnm.Print_Area" localSheetId="6">درمان!$A$1:$S$52</definedName>
    <definedName name="_xlnm.Print_Area" localSheetId="16">'زندگى(عمر)'!$A$1:$Q$52</definedName>
    <definedName name="_xlnm.Print_Area" localSheetId="14">'ساير انواع'!$A$1:$S$53</definedName>
    <definedName name="_xlnm.Print_Area" localSheetId="5">'شخص ثالث و مازاد'!$A$1:$AA$52</definedName>
    <definedName name="_xlnm.Print_Area" localSheetId="17">'صنعت بيمه كشور'!$A$1:$S$52</definedName>
    <definedName name="_xlnm.Print_Area" localSheetId="7">كشتى!$A$1:$Q$52</definedName>
    <definedName name="_xlnm.Print_Area" localSheetId="11">مسئوليت!$A$1:$T$54</definedName>
    <definedName name="_xlnm.Print_Area" localSheetId="9">مهندسى!$A$1:$S$53</definedName>
    <definedName name="_xlnm.Print_Area" localSheetId="13">'نفت و انرژی'!$A$1:$Q$52</definedName>
    <definedName name="_xlnm.Print_Area" localSheetId="8">هواپيما!$A$1:$Q$52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1" i="13" l="1"/>
  <c r="C41" i="13"/>
  <c r="D40" i="13"/>
  <c r="C40" i="13"/>
  <c r="D39" i="13"/>
  <c r="C39" i="13"/>
  <c r="D38" i="13"/>
  <c r="C38" i="13"/>
  <c r="D37" i="13"/>
  <c r="C37" i="13"/>
  <c r="D36" i="13"/>
  <c r="C36" i="13"/>
  <c r="D35" i="13"/>
  <c r="C35" i="13"/>
  <c r="D34" i="13"/>
  <c r="C34" i="13"/>
  <c r="D33" i="13"/>
  <c r="C33" i="13"/>
  <c r="D32" i="13"/>
  <c r="C32" i="13"/>
  <c r="D31" i="13"/>
  <c r="C31" i="13"/>
  <c r="D30" i="13"/>
  <c r="C30" i="13"/>
  <c r="D29" i="13"/>
  <c r="C29" i="13"/>
  <c r="D28" i="13"/>
  <c r="C28"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D7" i="13"/>
  <c r="C7" i="13"/>
  <c r="C6" i="13"/>
  <c r="D6" i="13"/>
  <c r="J30" i="11"/>
  <c r="I30" i="11"/>
  <c r="H30" i="11"/>
  <c r="G30" i="11"/>
  <c r="F30" i="11"/>
  <c r="E30" i="11"/>
  <c r="D30" i="11"/>
  <c r="C30" i="11"/>
  <c r="B30" i="11"/>
  <c r="A30" i="11"/>
  <c r="D7" i="11"/>
  <c r="D41" i="11"/>
  <c r="C41" i="11"/>
  <c r="D40" i="11"/>
  <c r="C40" i="11"/>
  <c r="D39" i="11"/>
  <c r="C39" i="11"/>
  <c r="D38" i="11"/>
  <c r="C38" i="11"/>
  <c r="D37" i="11"/>
  <c r="C37" i="11"/>
  <c r="D36" i="11"/>
  <c r="C36" i="11"/>
  <c r="D35" i="11"/>
  <c r="C35" i="11"/>
  <c r="D34" i="11"/>
  <c r="C34" i="11"/>
  <c r="D33" i="11"/>
  <c r="C33" i="11"/>
  <c r="D32" i="11"/>
  <c r="C32" i="11"/>
  <c r="D31" i="11"/>
  <c r="C31" i="11"/>
  <c r="D29" i="11"/>
  <c r="C29" i="11"/>
  <c r="D28" i="11"/>
  <c r="C28" i="11"/>
  <c r="D27" i="11"/>
  <c r="C27" i="11"/>
  <c r="D26" i="11"/>
  <c r="C26" i="11"/>
  <c r="D25" i="11"/>
  <c r="C25" i="11"/>
  <c r="D24" i="11"/>
  <c r="C24" i="11"/>
  <c r="D23" i="11"/>
  <c r="C23" i="11"/>
  <c r="D22" i="11"/>
  <c r="C22" i="11"/>
  <c r="D21" i="11"/>
  <c r="C21" i="11"/>
  <c r="D20" i="11"/>
  <c r="C20" i="11"/>
  <c r="D19" i="11"/>
  <c r="C19" i="11"/>
  <c r="D18" i="11"/>
  <c r="C18" i="11"/>
  <c r="D17" i="11"/>
  <c r="C17" i="11"/>
  <c r="D16" i="11"/>
  <c r="C16" i="11"/>
  <c r="D15" i="11"/>
  <c r="C15" i="11"/>
  <c r="D14" i="11"/>
  <c r="C14" i="11"/>
  <c r="D13" i="11"/>
  <c r="C13" i="11"/>
  <c r="D12" i="11"/>
  <c r="C12" i="11"/>
  <c r="D11" i="11"/>
  <c r="C11" i="11"/>
  <c r="D10" i="11"/>
  <c r="C10" i="11"/>
  <c r="D9" i="11"/>
  <c r="C9" i="11"/>
  <c r="D8" i="11"/>
  <c r="C8" i="11"/>
  <c r="C7" i="11"/>
  <c r="C6" i="11"/>
  <c r="D6" i="11"/>
  <c r="D40" i="17"/>
  <c r="C40" i="17"/>
  <c r="D41" i="17"/>
  <c r="C41" i="17"/>
  <c r="D39" i="17"/>
  <c r="C39" i="17"/>
  <c r="D38" i="17"/>
  <c r="C38" i="17"/>
  <c r="D37" i="17"/>
  <c r="C37" i="17"/>
  <c r="D36" i="17"/>
  <c r="C36" i="17"/>
  <c r="D35" i="17"/>
  <c r="C35" i="17"/>
  <c r="D34" i="17"/>
  <c r="C34" i="17"/>
  <c r="D33" i="17"/>
  <c r="C33" i="17"/>
  <c r="D32" i="17"/>
  <c r="C32" i="17"/>
  <c r="D31" i="17"/>
  <c r="C31" i="17"/>
  <c r="C30" i="17"/>
  <c r="D30" i="17"/>
  <c r="I28" i="18" l="1"/>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C24" i="18"/>
  <c r="D24" i="18"/>
  <c r="D41" i="16"/>
  <c r="C41" i="16"/>
  <c r="D40" i="16"/>
  <c r="C40" i="16"/>
  <c r="D39" i="16"/>
  <c r="C39" i="16"/>
  <c r="D38" i="16"/>
  <c r="C38" i="16"/>
  <c r="D37" i="16"/>
  <c r="C37" i="16"/>
  <c r="D36" i="16"/>
  <c r="C36" i="16"/>
  <c r="D35" i="16"/>
  <c r="C35" i="16"/>
  <c r="D34" i="16"/>
  <c r="C34" i="16"/>
  <c r="D33" i="16"/>
  <c r="C33" i="16"/>
  <c r="D32" i="16"/>
  <c r="C32" i="16"/>
  <c r="D31" i="16"/>
  <c r="C31" i="16"/>
  <c r="D30" i="16"/>
  <c r="C30" i="16"/>
  <c r="D29" i="16"/>
  <c r="C29" i="16"/>
  <c r="D28" i="16"/>
  <c r="C28" i="16"/>
  <c r="D27" i="16"/>
  <c r="C27" i="16"/>
  <c r="D26" i="16"/>
  <c r="C26" i="16"/>
  <c r="D25" i="16"/>
  <c r="C25" i="16"/>
  <c r="D24" i="16"/>
  <c r="C24" i="16"/>
  <c r="D23" i="16"/>
  <c r="C23" i="16"/>
  <c r="D22" i="16"/>
  <c r="C22" i="16"/>
  <c r="D21" i="16"/>
  <c r="C21" i="16"/>
  <c r="D19" i="16"/>
  <c r="C19" i="16"/>
  <c r="D18" i="16"/>
  <c r="C18" i="16"/>
  <c r="D17" i="16"/>
  <c r="C17" i="16"/>
  <c r="D16" i="16"/>
  <c r="C16" i="16"/>
  <c r="D15" i="16"/>
  <c r="C15" i="16"/>
  <c r="D14" i="16"/>
  <c r="C14" i="16"/>
  <c r="D13" i="16"/>
  <c r="C13" i="16"/>
  <c r="D12" i="16"/>
  <c r="C12" i="16"/>
  <c r="D11" i="16"/>
  <c r="C11" i="16"/>
  <c r="C10" i="16"/>
  <c r="D10" i="16"/>
  <c r="H41" i="10"/>
  <c r="G41" i="10"/>
  <c r="H40" i="10"/>
  <c r="G40" i="10"/>
  <c r="H39" i="10"/>
  <c r="G39" i="10"/>
  <c r="H38" i="10"/>
  <c r="G38" i="10"/>
  <c r="H37" i="10"/>
  <c r="G37" i="10"/>
  <c r="H32" i="10"/>
  <c r="G32" i="10"/>
  <c r="H31" i="10"/>
  <c r="G31" i="10"/>
  <c r="H30" i="10"/>
  <c r="G30" i="10"/>
  <c r="H29" i="10"/>
  <c r="G29" i="10"/>
  <c r="H28" i="10"/>
  <c r="G28" i="10"/>
  <c r="H27" i="10"/>
  <c r="G27" i="10"/>
  <c r="H26" i="10"/>
  <c r="G26" i="10"/>
  <c r="H25" i="10"/>
  <c r="G25" i="10"/>
  <c r="H24" i="10"/>
  <c r="G24" i="10"/>
  <c r="H23" i="10"/>
  <c r="G23" i="10"/>
  <c r="H22" i="10"/>
  <c r="G22"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8" i="10"/>
  <c r="G8" i="10"/>
  <c r="H7" i="10"/>
  <c r="G7" i="10"/>
  <c r="H6" i="10"/>
  <c r="G6" i="10"/>
  <c r="D41" i="10"/>
  <c r="C41" i="10"/>
  <c r="D40" i="10"/>
  <c r="C40" i="10"/>
  <c r="D39" i="10"/>
  <c r="C39" i="10"/>
  <c r="D38" i="10"/>
  <c r="C38" i="10"/>
  <c r="D37" i="10"/>
  <c r="C37"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B15" i="9"/>
  <c r="B10" i="9"/>
  <c r="J15" i="9"/>
  <c r="J10"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C6" i="9"/>
  <c r="D6" i="9"/>
  <c r="A23" i="8"/>
  <c r="A22" i="8"/>
  <c r="A21" i="8"/>
  <c r="A20" i="8"/>
  <c r="A19" i="8"/>
  <c r="A18" i="8"/>
  <c r="A17" i="8"/>
  <c r="A15" i="8"/>
  <c r="A14" i="8"/>
  <c r="A13" i="8"/>
  <c r="A12" i="8"/>
  <c r="A11" i="8"/>
  <c r="A10" i="8"/>
  <c r="A9" i="8"/>
  <c r="A8" i="8"/>
  <c r="A7" i="8"/>
  <c r="A6" i="8"/>
  <c r="B22" i="8"/>
  <c r="B21" i="8"/>
  <c r="B20" i="8"/>
  <c r="B14" i="8"/>
  <c r="B13" i="8"/>
  <c r="B12" i="8"/>
  <c r="B11" i="8"/>
  <c r="B10" i="8"/>
  <c r="B9" i="8"/>
  <c r="B8" i="8"/>
  <c r="B7" i="8"/>
  <c r="B6" i="8"/>
  <c r="G23" i="8"/>
  <c r="G22" i="8"/>
  <c r="G21" i="8"/>
  <c r="G20" i="8"/>
  <c r="G19" i="8"/>
  <c r="G18" i="8"/>
  <c r="G17" i="8"/>
  <c r="G15" i="8"/>
  <c r="G14" i="8"/>
  <c r="G13" i="8"/>
  <c r="C13" i="8" s="1"/>
  <c r="G12" i="8"/>
  <c r="G11" i="8"/>
  <c r="G10" i="8"/>
  <c r="G9" i="8"/>
  <c r="G8" i="8"/>
  <c r="G7" i="8"/>
  <c r="G6" i="8"/>
  <c r="H22" i="8"/>
  <c r="H21" i="8"/>
  <c r="H20" i="8"/>
  <c r="H14" i="8"/>
  <c r="H13" i="8"/>
  <c r="H12" i="8"/>
  <c r="H11" i="8"/>
  <c r="H10" i="8"/>
  <c r="H9" i="8"/>
  <c r="H8" i="8"/>
  <c r="H7" i="8"/>
  <c r="H6" i="8"/>
  <c r="D41" i="8"/>
  <c r="C41" i="8"/>
  <c r="D40" i="8"/>
  <c r="C40" i="8"/>
  <c r="D39" i="8"/>
  <c r="C39" i="8"/>
  <c r="D38" i="8"/>
  <c r="C38" i="8"/>
  <c r="D37" i="8"/>
  <c r="C37" i="8"/>
  <c r="D36" i="8"/>
  <c r="C36" i="8"/>
  <c r="D35" i="8"/>
  <c r="C35" i="8"/>
  <c r="D34" i="8"/>
  <c r="C34" i="8"/>
  <c r="D33" i="8"/>
  <c r="C33" i="8"/>
  <c r="D32" i="8"/>
  <c r="C32" i="8"/>
  <c r="D31" i="8"/>
  <c r="C31" i="8"/>
  <c r="D30" i="8"/>
  <c r="C30" i="8"/>
  <c r="D29" i="8"/>
  <c r="C29" i="8"/>
  <c r="D28" i="8"/>
  <c r="C28" i="8"/>
  <c r="D27" i="8"/>
  <c r="C27" i="8"/>
  <c r="D26" i="8"/>
  <c r="C26" i="8"/>
  <c r="D25" i="8"/>
  <c r="C25" i="8"/>
  <c r="D24" i="8"/>
  <c r="C24" i="8"/>
  <c r="D23" i="8"/>
  <c r="C23" i="8"/>
  <c r="D22" i="8"/>
  <c r="C22" i="8"/>
  <c r="D21" i="8"/>
  <c r="C21" i="8"/>
  <c r="D20" i="8"/>
  <c r="C20" i="8"/>
  <c r="D19" i="8"/>
  <c r="C19" i="8"/>
  <c r="D18" i="8"/>
  <c r="C18" i="8"/>
  <c r="D17" i="8"/>
  <c r="C17" i="8"/>
  <c r="D16" i="8"/>
  <c r="C16" i="8"/>
  <c r="D15" i="8"/>
  <c r="C15" i="8"/>
  <c r="D14" i="8"/>
  <c r="C14" i="8"/>
  <c r="D13" i="8"/>
  <c r="D12" i="8"/>
  <c r="C12" i="8"/>
  <c r="D11" i="8"/>
  <c r="C11" i="8"/>
  <c r="D10" i="8"/>
  <c r="C10" i="8"/>
  <c r="D9" i="8"/>
  <c r="C9" i="8"/>
  <c r="D8" i="8"/>
  <c r="C8" i="8"/>
  <c r="D7" i="8"/>
  <c r="C7" i="8"/>
  <c r="C6" i="8"/>
  <c r="D6" i="8"/>
  <c r="A25" i="7"/>
  <c r="A23" i="7"/>
  <c r="A22" i="7"/>
  <c r="A21" i="7"/>
  <c r="A20" i="7"/>
  <c r="A19" i="7"/>
  <c r="A18" i="7"/>
  <c r="A17" i="7"/>
  <c r="A14" i="7"/>
  <c r="A13" i="7"/>
  <c r="A11" i="7"/>
  <c r="A10" i="7"/>
  <c r="A9" i="7"/>
  <c r="A8" i="7"/>
  <c r="A7" i="7"/>
  <c r="A6" i="7"/>
  <c r="B23" i="7"/>
  <c r="B22" i="7"/>
  <c r="B21" i="7"/>
  <c r="B20" i="7"/>
  <c r="B19" i="7"/>
  <c r="B16" i="7"/>
  <c r="B13" i="7"/>
  <c r="B12" i="7"/>
  <c r="B11" i="7"/>
  <c r="B10" i="7"/>
  <c r="B9" i="7"/>
  <c r="B8" i="7"/>
  <c r="B7" i="7"/>
  <c r="B6" i="7"/>
  <c r="G25" i="7"/>
  <c r="G23" i="7"/>
  <c r="G22" i="7"/>
  <c r="G21" i="7"/>
  <c r="G20" i="7"/>
  <c r="G19" i="7"/>
  <c r="G18" i="7"/>
  <c r="G17" i="7"/>
  <c r="G14" i="7"/>
  <c r="G13" i="7"/>
  <c r="G11" i="7"/>
  <c r="G10" i="7"/>
  <c r="G9" i="7"/>
  <c r="G8" i="7"/>
  <c r="G7" i="7"/>
  <c r="G6" i="7"/>
  <c r="H23" i="7"/>
  <c r="H22" i="7"/>
  <c r="H21" i="7"/>
  <c r="H20" i="7"/>
  <c r="H19" i="7"/>
  <c r="H18" i="7"/>
  <c r="H16" i="7"/>
  <c r="H13" i="7"/>
  <c r="H12" i="7"/>
  <c r="H11" i="7"/>
  <c r="H10" i="7"/>
  <c r="H9" i="7"/>
  <c r="H8" i="7"/>
  <c r="H7" i="7"/>
  <c r="H6"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C6" i="7"/>
  <c r="D6" i="7"/>
  <c r="A42" i="6"/>
  <c r="A22" i="6"/>
  <c r="A21" i="6"/>
  <c r="B42" i="6"/>
  <c r="I42" i="6"/>
  <c r="I22" i="6"/>
  <c r="I21"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D25" i="6"/>
  <c r="C25" i="6"/>
  <c r="D24" i="6"/>
  <c r="C24" i="6"/>
  <c r="D23" i="6"/>
  <c r="C23" i="6"/>
  <c r="D22" i="6"/>
  <c r="C22" i="6"/>
  <c r="C21" i="6"/>
  <c r="D21" i="6"/>
  <c r="J21" i="6"/>
  <c r="B42" i="5"/>
  <c r="I42" i="5"/>
  <c r="J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C6" i="5"/>
  <c r="D6" i="5"/>
  <c r="A13" i="4"/>
  <c r="A1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C6" i="4"/>
  <c r="D6" i="4"/>
  <c r="I13" i="4"/>
  <c r="I12" i="4"/>
  <c r="J42" i="4"/>
  <c r="A19" i="15"/>
  <c r="I21" i="15"/>
  <c r="I19" i="15"/>
  <c r="I18" i="15"/>
  <c r="A18" i="15"/>
  <c r="D41" i="15"/>
  <c r="C41" i="15"/>
  <c r="D40" i="15"/>
  <c r="C40" i="15"/>
  <c r="D39" i="15"/>
  <c r="C39" i="15"/>
  <c r="D38" i="15"/>
  <c r="C38" i="15"/>
  <c r="D37" i="15"/>
  <c r="C37" i="15"/>
  <c r="D36" i="15"/>
  <c r="C36" i="15"/>
  <c r="D35" i="15"/>
  <c r="C35" i="15"/>
  <c r="D34" i="15"/>
  <c r="C34" i="15"/>
  <c r="D33" i="15"/>
  <c r="C33" i="15"/>
  <c r="D32" i="15"/>
  <c r="C32" i="15"/>
  <c r="D31" i="15"/>
  <c r="C31" i="15"/>
  <c r="D30" i="15"/>
  <c r="C30" i="15"/>
  <c r="D29" i="15"/>
  <c r="C29" i="15"/>
  <c r="D28" i="15"/>
  <c r="C28" i="15"/>
  <c r="D27" i="15"/>
  <c r="C27" i="15"/>
  <c r="D26" i="15"/>
  <c r="C26" i="15"/>
  <c r="D25" i="15"/>
  <c r="C25" i="15"/>
  <c r="D24" i="15"/>
  <c r="C24" i="15"/>
  <c r="D23" i="15"/>
  <c r="C23" i="15"/>
  <c r="D21" i="15"/>
  <c r="C21" i="15"/>
  <c r="D19" i="15"/>
  <c r="C19" i="15"/>
  <c r="C18" i="15"/>
  <c r="D18" i="15"/>
  <c r="B11" i="3" l="1"/>
  <c r="I41" i="3"/>
  <c r="J13" i="3"/>
  <c r="J12" i="3"/>
  <c r="J11" i="3"/>
  <c r="A15" i="3"/>
  <c r="A14" i="3"/>
  <c r="A13" i="3"/>
  <c r="A12" i="3"/>
  <c r="A11" i="3"/>
  <c r="A10" i="3"/>
  <c r="A9" i="3"/>
  <c r="A8" i="3"/>
  <c r="A7" i="3"/>
  <c r="B9" i="3"/>
  <c r="B8" i="3"/>
  <c r="B7" i="3"/>
  <c r="I15" i="3"/>
  <c r="I14" i="3"/>
  <c r="I13" i="3"/>
  <c r="I12" i="3"/>
  <c r="I11" i="3"/>
  <c r="I10" i="3"/>
  <c r="I9" i="3"/>
  <c r="I8" i="3"/>
  <c r="I7" i="3"/>
  <c r="J9" i="3"/>
  <c r="J8" i="3"/>
  <c r="J7" i="3"/>
  <c r="A6" i="3"/>
  <c r="B6" i="3"/>
  <c r="I6"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C41" i="3"/>
  <c r="D41" i="3"/>
  <c r="C6" i="1" l="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A22" i="12" l="1"/>
  <c r="B22" i="12"/>
  <c r="I22" i="12"/>
  <c r="H22" i="12"/>
  <c r="G22" i="12"/>
  <c r="F22" i="12"/>
  <c r="E22" i="12"/>
  <c r="D22" i="12"/>
  <c r="C22" i="12"/>
  <c r="J22" i="12"/>
  <c r="J40" i="12"/>
  <c r="I40" i="12"/>
  <c r="B40" i="12"/>
  <c r="D40" i="12" s="1"/>
  <c r="A40" i="12"/>
  <c r="C40" i="12" s="1"/>
  <c r="J39" i="12"/>
  <c r="I39" i="12"/>
  <c r="B39" i="12"/>
  <c r="D39" i="12" s="1"/>
  <c r="A39" i="12"/>
  <c r="C39" i="12" s="1"/>
  <c r="J38" i="12"/>
  <c r="I38" i="12"/>
  <c r="B38" i="12"/>
  <c r="A38" i="12"/>
  <c r="C38" i="12" s="1"/>
  <c r="J37" i="12"/>
  <c r="I37" i="12"/>
  <c r="B37" i="12"/>
  <c r="A37" i="12"/>
  <c r="C37" i="12" s="1"/>
  <c r="B36" i="12"/>
  <c r="A36" i="12"/>
  <c r="B35" i="12"/>
  <c r="A35" i="12"/>
  <c r="B34" i="12"/>
  <c r="A34" i="12"/>
  <c r="B33" i="12"/>
  <c r="A33" i="12"/>
  <c r="J32" i="12"/>
  <c r="I32" i="12"/>
  <c r="B32" i="12"/>
  <c r="A32" i="12"/>
  <c r="C32" i="12" s="1"/>
  <c r="J31" i="12"/>
  <c r="I31" i="12"/>
  <c r="B31" i="12"/>
  <c r="A31" i="12"/>
  <c r="C31" i="12" s="1"/>
  <c r="J30" i="12"/>
  <c r="I30" i="12"/>
  <c r="B30" i="12"/>
  <c r="J29" i="12"/>
  <c r="I29" i="12"/>
  <c r="B29" i="12"/>
  <c r="D29" i="12" s="1"/>
  <c r="A29" i="12"/>
  <c r="C29" i="12" s="1"/>
  <c r="J28" i="12"/>
  <c r="I28" i="12"/>
  <c r="B28" i="12"/>
  <c r="D28" i="12" s="1"/>
  <c r="A28" i="12"/>
  <c r="C28" i="12" s="1"/>
  <c r="J27" i="12"/>
  <c r="I27" i="12"/>
  <c r="B27" i="12"/>
  <c r="D27" i="12" s="1"/>
  <c r="A27" i="12"/>
  <c r="J26" i="12"/>
  <c r="I26" i="12"/>
  <c r="B26" i="12"/>
  <c r="D26" i="12" s="1"/>
  <c r="A26" i="12"/>
  <c r="C26" i="12" s="1"/>
  <c r="J25" i="12"/>
  <c r="I25" i="12"/>
  <c r="B25" i="12"/>
  <c r="D25" i="12" s="1"/>
  <c r="A25" i="12"/>
  <c r="C25" i="12" s="1"/>
  <c r="J24" i="12"/>
  <c r="I24" i="12"/>
  <c r="B24" i="12"/>
  <c r="D24" i="12" s="1"/>
  <c r="A24" i="12"/>
  <c r="C24" i="12" s="1"/>
  <c r="J23" i="12"/>
  <c r="I23" i="12"/>
  <c r="B23" i="12"/>
  <c r="A23" i="12"/>
  <c r="J21" i="12"/>
  <c r="I21" i="12"/>
  <c r="B21" i="12"/>
  <c r="D21" i="12" s="1"/>
  <c r="A21" i="12"/>
  <c r="C21" i="12" s="1"/>
  <c r="B7" i="12"/>
  <c r="A7" i="12"/>
  <c r="D37" i="12" l="1"/>
  <c r="D38" i="12"/>
  <c r="D30" i="12"/>
  <c r="D31" i="12"/>
  <c r="D32" i="12"/>
  <c r="D23" i="12"/>
  <c r="C27" i="12"/>
  <c r="C23" i="12"/>
  <c r="H41" i="14"/>
  <c r="G41" i="14"/>
  <c r="A37" i="14"/>
  <c r="B37" i="14"/>
  <c r="I37" i="14"/>
  <c r="C37" i="14" s="1"/>
  <c r="J37" i="14"/>
  <c r="D37" i="14" s="1"/>
  <c r="A38" i="14"/>
  <c r="B38" i="14"/>
  <c r="I38" i="14"/>
  <c r="C38" i="14" s="1"/>
  <c r="J38" i="14"/>
  <c r="D38" i="14" s="1"/>
  <c r="A39" i="14"/>
  <c r="B39" i="14"/>
  <c r="I39" i="14"/>
  <c r="C39" i="14" s="1"/>
  <c r="J39" i="14"/>
  <c r="D39" i="14" s="1"/>
  <c r="A40" i="14"/>
  <c r="B40" i="14"/>
  <c r="I40" i="14"/>
  <c r="C40" i="14" s="1"/>
  <c r="J40" i="14"/>
  <c r="D40" i="14" s="1"/>
  <c r="I41" i="1"/>
  <c r="I41" i="12" s="1"/>
  <c r="J41" i="1"/>
  <c r="J41" i="12" s="1"/>
  <c r="A41" i="1"/>
  <c r="B41" i="1"/>
  <c r="B41" i="12" s="1"/>
  <c r="D41" i="12" s="1"/>
  <c r="G49" i="13"/>
  <c r="C49" i="13" s="1"/>
  <c r="H49" i="13"/>
  <c r="D49" i="13" s="1"/>
  <c r="G49" i="17"/>
  <c r="H49" i="17"/>
  <c r="I49" i="16"/>
  <c r="C49" i="16" s="1"/>
  <c r="J49" i="16"/>
  <c r="D49" i="16" s="1"/>
  <c r="I49" i="9"/>
  <c r="C49" i="9" s="1"/>
  <c r="J49" i="9"/>
  <c r="D49" i="9" s="1"/>
  <c r="G49" i="8"/>
  <c r="C49" i="8" s="1"/>
  <c r="H49" i="8"/>
  <c r="D49" i="8" s="1"/>
  <c r="G49" i="7"/>
  <c r="C49" i="7" s="1"/>
  <c r="H49" i="7"/>
  <c r="D49" i="7" s="1"/>
  <c r="I49" i="6"/>
  <c r="C49" i="6" s="1"/>
  <c r="J49" i="6"/>
  <c r="D49" i="6" s="1"/>
  <c r="C49" i="5"/>
  <c r="D49" i="5"/>
  <c r="I49" i="4"/>
  <c r="C49" i="4" s="1"/>
  <c r="J49" i="4"/>
  <c r="D49" i="4" s="1"/>
  <c r="I49" i="15"/>
  <c r="C49" i="15" s="1"/>
  <c r="J49" i="15"/>
  <c r="D49" i="15" s="1"/>
  <c r="I49" i="3"/>
  <c r="C49" i="3" s="1"/>
  <c r="J49" i="3"/>
  <c r="D49" i="3" s="1"/>
  <c r="I49" i="2"/>
  <c r="C49" i="2" s="1"/>
  <c r="J49" i="2"/>
  <c r="D49" i="2" s="1"/>
  <c r="I49" i="1"/>
  <c r="J49" i="1"/>
  <c r="D41" i="1" l="1"/>
  <c r="A41" i="12"/>
  <c r="C41" i="12" s="1"/>
  <c r="J41" i="14"/>
  <c r="I41" i="14"/>
  <c r="B41" i="14"/>
  <c r="C41" i="1"/>
  <c r="C51" i="11"/>
  <c r="C49" i="10"/>
  <c r="D49" i="10"/>
  <c r="C49" i="11"/>
  <c r="D49" i="11"/>
  <c r="C49" i="17"/>
  <c r="D49" i="17"/>
  <c r="C49" i="18"/>
  <c r="D49" i="18"/>
  <c r="A41" i="14" l="1"/>
  <c r="H51" i="14"/>
  <c r="G51" i="14"/>
  <c r="F51" i="14"/>
  <c r="E51" i="14"/>
  <c r="H50" i="14"/>
  <c r="G50" i="14"/>
  <c r="F50" i="14"/>
  <c r="E50" i="14"/>
  <c r="H49" i="14"/>
  <c r="G49" i="14"/>
  <c r="F49" i="14"/>
  <c r="E49" i="14"/>
  <c r="H48" i="14"/>
  <c r="G48" i="14"/>
  <c r="F48" i="14"/>
  <c r="E48" i="14"/>
  <c r="H47" i="14"/>
  <c r="G47" i="14"/>
  <c r="F47" i="14"/>
  <c r="E47" i="14"/>
  <c r="H46" i="14"/>
  <c r="G46" i="14"/>
  <c r="F46" i="14"/>
  <c r="E46" i="14"/>
  <c r="H45" i="14"/>
  <c r="G45" i="14"/>
  <c r="F45" i="14"/>
  <c r="E45" i="14"/>
  <c r="H44" i="14"/>
  <c r="G44" i="14"/>
  <c r="F44" i="14"/>
  <c r="E44" i="14"/>
  <c r="H43" i="14"/>
  <c r="G43" i="14"/>
  <c r="F43" i="14"/>
  <c r="E43" i="14"/>
  <c r="H42" i="14"/>
  <c r="G42" i="14"/>
  <c r="F42" i="14"/>
  <c r="E42" i="14"/>
  <c r="G42" i="13"/>
  <c r="H42" i="13"/>
  <c r="B42" i="13"/>
  <c r="B43" i="9"/>
  <c r="A43" i="7"/>
  <c r="B43" i="7"/>
  <c r="J51" i="12"/>
  <c r="J51" i="14" s="1"/>
  <c r="I51" i="12"/>
  <c r="I51" i="14" s="1"/>
  <c r="B51" i="12"/>
  <c r="D51" i="12" s="1"/>
  <c r="D51" i="14" s="1"/>
  <c r="A51" i="12"/>
  <c r="C51" i="12" s="1"/>
  <c r="C51" i="14" s="1"/>
  <c r="J50" i="12"/>
  <c r="J50" i="14" s="1"/>
  <c r="I50" i="12"/>
  <c r="I50" i="14" s="1"/>
  <c r="B50" i="12"/>
  <c r="B50" i="14" s="1"/>
  <c r="A50" i="12"/>
  <c r="A50" i="14" s="1"/>
  <c r="J49" i="12"/>
  <c r="J49" i="14" s="1"/>
  <c r="I49" i="12"/>
  <c r="I49" i="14" s="1"/>
  <c r="B49" i="12"/>
  <c r="B49" i="14" s="1"/>
  <c r="A49" i="12"/>
  <c r="A49" i="14" s="1"/>
  <c r="J48" i="12"/>
  <c r="J48" i="14" s="1"/>
  <c r="I48" i="12"/>
  <c r="I48" i="14" s="1"/>
  <c r="B48" i="12"/>
  <c r="B48" i="14" s="1"/>
  <c r="A48" i="12"/>
  <c r="A48" i="14" s="1"/>
  <c r="J47" i="12"/>
  <c r="J47" i="14" s="1"/>
  <c r="I47" i="12"/>
  <c r="I47" i="14" s="1"/>
  <c r="B47" i="12"/>
  <c r="A47" i="12"/>
  <c r="A47" i="14" s="1"/>
  <c r="J46" i="12"/>
  <c r="J46" i="14" s="1"/>
  <c r="I46" i="12"/>
  <c r="I46" i="14" s="1"/>
  <c r="B46" i="12"/>
  <c r="B46" i="14" s="1"/>
  <c r="A46" i="12"/>
  <c r="J45" i="12"/>
  <c r="J45" i="14" s="1"/>
  <c r="I45" i="12"/>
  <c r="I45" i="14" s="1"/>
  <c r="B45" i="12"/>
  <c r="B45" i="14" s="1"/>
  <c r="A45" i="12"/>
  <c r="J44" i="12"/>
  <c r="J44" i="14" s="1"/>
  <c r="I44" i="12"/>
  <c r="I44" i="14" s="1"/>
  <c r="B44" i="12"/>
  <c r="A44" i="12"/>
  <c r="J43" i="12"/>
  <c r="J43" i="14" s="1"/>
  <c r="I43" i="12"/>
  <c r="I43" i="14" s="1"/>
  <c r="B43" i="12"/>
  <c r="A43" i="12"/>
  <c r="I42" i="11"/>
  <c r="J42" i="11"/>
  <c r="A42" i="11"/>
  <c r="B42" i="11"/>
  <c r="G42" i="17"/>
  <c r="H42" i="17"/>
  <c r="A42" i="17"/>
  <c r="B42" i="17"/>
  <c r="I42" i="18"/>
  <c r="J42" i="18"/>
  <c r="A42" i="18"/>
  <c r="B42" i="18"/>
  <c r="I42" i="16"/>
  <c r="J42" i="16"/>
  <c r="A42" i="16"/>
  <c r="B42" i="16"/>
  <c r="G42" i="10"/>
  <c r="H42" i="10"/>
  <c r="A42" i="10"/>
  <c r="B42" i="10"/>
  <c r="I42" i="9"/>
  <c r="J42" i="9"/>
  <c r="A42" i="9"/>
  <c r="B42" i="9"/>
  <c r="G42" i="8"/>
  <c r="H42" i="8"/>
  <c r="A42" i="8"/>
  <c r="B42" i="8"/>
  <c r="G42" i="7"/>
  <c r="H42" i="7"/>
  <c r="A42" i="7"/>
  <c r="B42" i="7"/>
  <c r="J42" i="6"/>
  <c r="A42" i="5"/>
  <c r="I42" i="4"/>
  <c r="A42" i="4"/>
  <c r="B42" i="4"/>
  <c r="I42" i="15"/>
  <c r="J42" i="15"/>
  <c r="A42" i="15"/>
  <c r="B42" i="15"/>
  <c r="I42" i="3"/>
  <c r="A42" i="3"/>
  <c r="B42" i="3"/>
  <c r="C42" i="3"/>
  <c r="D42" i="3"/>
  <c r="I42" i="2"/>
  <c r="J42" i="2"/>
  <c r="D42" i="2"/>
  <c r="A42" i="2"/>
  <c r="B42" i="2"/>
  <c r="D51" i="1"/>
  <c r="C51" i="1"/>
  <c r="D50" i="1"/>
  <c r="C50" i="1"/>
  <c r="D49" i="1"/>
  <c r="C49" i="1"/>
  <c r="D48" i="1"/>
  <c r="C48" i="1"/>
  <c r="D47" i="1"/>
  <c r="C47" i="1"/>
  <c r="D46" i="1"/>
  <c r="C46" i="1"/>
  <c r="D45" i="1"/>
  <c r="C45" i="1"/>
  <c r="D44" i="1"/>
  <c r="C44" i="1"/>
  <c r="C42" i="1"/>
  <c r="A42" i="1"/>
  <c r="A42" i="12" s="1"/>
  <c r="A42" i="14" s="1"/>
  <c r="B42" i="1"/>
  <c r="D42" i="1" s="1"/>
  <c r="I42" i="1"/>
  <c r="I42" i="12" s="1"/>
  <c r="J42" i="1"/>
  <c r="J42" i="12" s="1"/>
  <c r="J42" i="14" s="1"/>
  <c r="C43" i="12" l="1"/>
  <c r="C43" i="14" s="1"/>
  <c r="C44" i="12"/>
  <c r="C44" i="14" s="1"/>
  <c r="C45" i="12"/>
  <c r="C45" i="14" s="1"/>
  <c r="C46" i="12"/>
  <c r="C46" i="14" s="1"/>
  <c r="D43" i="12"/>
  <c r="D43" i="14" s="1"/>
  <c r="D44" i="12"/>
  <c r="D44" i="14" s="1"/>
  <c r="D47" i="12"/>
  <c r="D47" i="14" s="1"/>
  <c r="B42" i="12"/>
  <c r="B42" i="14" s="1"/>
  <c r="C42" i="12"/>
  <c r="C42" i="14" s="1"/>
  <c r="I42" i="14"/>
  <c r="B43" i="14"/>
  <c r="B44" i="14"/>
  <c r="A43" i="14"/>
  <c r="A44" i="14"/>
  <c r="A45" i="14"/>
  <c r="A46" i="14"/>
  <c r="B47" i="14"/>
  <c r="A51" i="14"/>
  <c r="B51" i="14"/>
  <c r="C50" i="12"/>
  <c r="C50" i="14" s="1"/>
  <c r="C49" i="12"/>
  <c r="C49" i="14" s="1"/>
  <c r="C48" i="12"/>
  <c r="C48" i="14" s="1"/>
  <c r="C47" i="12"/>
  <c r="C47" i="14" s="1"/>
  <c r="D50" i="12"/>
  <c r="D50" i="14" s="1"/>
  <c r="D49" i="12"/>
  <c r="D49" i="14" s="1"/>
  <c r="D48" i="12"/>
  <c r="D48" i="14" s="1"/>
  <c r="D46" i="12"/>
  <c r="D46" i="14" s="1"/>
  <c r="D45" i="12"/>
  <c r="D45" i="14" s="1"/>
  <c r="A36" i="14"/>
  <c r="A35" i="14"/>
  <c r="A34" i="14"/>
  <c r="A33" i="14"/>
  <c r="B36" i="14"/>
  <c r="B35" i="14"/>
  <c r="B34" i="14"/>
  <c r="B33" i="14"/>
  <c r="D42" i="12" l="1"/>
  <c r="D42" i="14" s="1"/>
  <c r="D44" i="13"/>
  <c r="C43" i="13"/>
  <c r="C44" i="13"/>
  <c r="C45" i="13"/>
  <c r="C46" i="13"/>
  <c r="C47" i="13"/>
  <c r="C48" i="13"/>
  <c r="C50" i="13"/>
  <c r="C51" i="13"/>
  <c r="D43" i="13"/>
  <c r="D45" i="13"/>
  <c r="D46" i="13"/>
  <c r="D47" i="13"/>
  <c r="D48" i="13"/>
  <c r="D51" i="13"/>
  <c r="C43" i="11" l="1"/>
  <c r="C44" i="11"/>
  <c r="C45" i="11"/>
  <c r="C46" i="11"/>
  <c r="C47" i="11"/>
  <c r="C48" i="11"/>
  <c r="C50" i="11"/>
  <c r="D43" i="11"/>
  <c r="D44" i="11"/>
  <c r="D45" i="11"/>
  <c r="D46" i="11"/>
  <c r="D47" i="11"/>
  <c r="D48" i="11"/>
  <c r="D50" i="11"/>
  <c r="D51" i="11"/>
  <c r="C43" i="17"/>
  <c r="C44" i="17"/>
  <c r="C45" i="17"/>
  <c r="C46" i="17"/>
  <c r="C47" i="17"/>
  <c r="C48" i="17"/>
  <c r="C50" i="17"/>
  <c r="C51" i="17"/>
  <c r="D43" i="17"/>
  <c r="D44" i="17"/>
  <c r="D45" i="17"/>
  <c r="D46" i="17"/>
  <c r="D47" i="17"/>
  <c r="D48" i="17"/>
  <c r="D50" i="17"/>
  <c r="D51" i="17"/>
  <c r="C43" i="18"/>
  <c r="C44" i="18"/>
  <c r="C45" i="18"/>
  <c r="C46" i="18"/>
  <c r="C47" i="18"/>
  <c r="C48" i="18"/>
  <c r="C50" i="18"/>
  <c r="C51" i="18"/>
  <c r="D43" i="18"/>
  <c r="D44" i="18"/>
  <c r="D45" i="18"/>
  <c r="D46" i="18"/>
  <c r="D47" i="18"/>
  <c r="D48" i="18"/>
  <c r="D50" i="18"/>
  <c r="D51" i="18"/>
  <c r="C43" i="16" l="1"/>
  <c r="C44" i="16"/>
  <c r="C45" i="16"/>
  <c r="C46" i="16"/>
  <c r="C47" i="16"/>
  <c r="C48" i="16"/>
  <c r="C50" i="16"/>
  <c r="C51" i="16"/>
  <c r="D43" i="16"/>
  <c r="D44" i="16"/>
  <c r="D45" i="16"/>
  <c r="D46" i="16"/>
  <c r="D47" i="16"/>
  <c r="D48" i="16"/>
  <c r="D50" i="16"/>
  <c r="D51" i="16"/>
  <c r="C43" i="10"/>
  <c r="D43" i="10"/>
  <c r="D42" i="10"/>
  <c r="D44" i="10"/>
  <c r="D45" i="10"/>
  <c r="D46" i="10"/>
  <c r="D47" i="10"/>
  <c r="D48" i="10"/>
  <c r="D50" i="10"/>
  <c r="D51" i="10"/>
  <c r="C44" i="10"/>
  <c r="C45" i="10"/>
  <c r="C46" i="10"/>
  <c r="C47" i="10"/>
  <c r="C48" i="10"/>
  <c r="C50" i="10"/>
  <c r="C51" i="10"/>
  <c r="C43" i="9"/>
  <c r="C44" i="9"/>
  <c r="C45" i="9"/>
  <c r="C46" i="9"/>
  <c r="C47" i="9"/>
  <c r="C48" i="9"/>
  <c r="C50" i="9"/>
  <c r="C51" i="9"/>
  <c r="D43" i="9"/>
  <c r="D44" i="9"/>
  <c r="D45" i="9"/>
  <c r="D46" i="9"/>
  <c r="D47" i="9"/>
  <c r="D48" i="9"/>
  <c r="D50" i="9"/>
  <c r="D51" i="9"/>
  <c r="C43" i="8" l="1"/>
  <c r="C44" i="8"/>
  <c r="C45" i="8"/>
  <c r="C46" i="8"/>
  <c r="C47" i="8"/>
  <c r="C48" i="8"/>
  <c r="C50" i="8"/>
  <c r="C51" i="8"/>
  <c r="D43" i="8"/>
  <c r="D44" i="8"/>
  <c r="D45" i="8"/>
  <c r="D46" i="8"/>
  <c r="D47" i="8"/>
  <c r="D48" i="8"/>
  <c r="D50" i="8"/>
  <c r="D51" i="8"/>
  <c r="C43" i="7" l="1"/>
  <c r="C44" i="7"/>
  <c r="C45" i="7"/>
  <c r="C46" i="7"/>
  <c r="C47" i="7"/>
  <c r="C48" i="7"/>
  <c r="C50" i="7"/>
  <c r="C51" i="7"/>
  <c r="D43" i="7"/>
  <c r="D44" i="7"/>
  <c r="D45" i="7"/>
  <c r="D46" i="7"/>
  <c r="D47" i="7"/>
  <c r="D48" i="7"/>
  <c r="D50" i="7"/>
  <c r="D51" i="7"/>
  <c r="D51" i="6" l="1"/>
  <c r="C43" i="6"/>
  <c r="C44" i="6"/>
  <c r="C45" i="6"/>
  <c r="C46" i="6"/>
  <c r="C47" i="6"/>
  <c r="C48" i="6"/>
  <c r="C50" i="6"/>
  <c r="C51" i="6"/>
  <c r="D43" i="6"/>
  <c r="D44" i="6"/>
  <c r="D45" i="6"/>
  <c r="D46" i="6"/>
  <c r="D47" i="6"/>
  <c r="D48" i="6"/>
  <c r="D50" i="6"/>
  <c r="C43" i="5"/>
  <c r="C44" i="5"/>
  <c r="C45" i="5"/>
  <c r="C46" i="5"/>
  <c r="C47" i="5"/>
  <c r="C48" i="5"/>
  <c r="C50" i="5"/>
  <c r="C51" i="5"/>
  <c r="D43" i="5"/>
  <c r="D44" i="5"/>
  <c r="D45" i="5"/>
  <c r="D46" i="5"/>
  <c r="D47" i="5"/>
  <c r="D48" i="5"/>
  <c r="D50" i="5"/>
  <c r="D51" i="5"/>
  <c r="C45" i="4" l="1"/>
  <c r="C44" i="4"/>
  <c r="C46" i="4"/>
  <c r="C47" i="4"/>
  <c r="C48" i="4"/>
  <c r="C50" i="4"/>
  <c r="C51" i="4"/>
  <c r="D44" i="4"/>
  <c r="D45" i="4"/>
  <c r="D46" i="4"/>
  <c r="D47" i="4"/>
  <c r="D48" i="4"/>
  <c r="D50" i="4"/>
  <c r="D51" i="4"/>
  <c r="C43" i="4"/>
  <c r="D43" i="4"/>
  <c r="C47" i="15" l="1"/>
  <c r="C48" i="15"/>
  <c r="C50" i="15"/>
  <c r="C51" i="15"/>
  <c r="D47" i="15"/>
  <c r="D48" i="15"/>
  <c r="D50" i="15"/>
  <c r="D51" i="15"/>
  <c r="C46" i="15"/>
  <c r="D46" i="15"/>
  <c r="C45" i="15"/>
  <c r="D45" i="15"/>
  <c r="C44" i="15"/>
  <c r="D44" i="15"/>
  <c r="C43" i="15"/>
  <c r="D43" i="15"/>
  <c r="C44" i="3" l="1"/>
  <c r="D44" i="3"/>
  <c r="C45" i="3"/>
  <c r="D45" i="3"/>
  <c r="C46" i="3"/>
  <c r="D46" i="3"/>
  <c r="C47" i="3"/>
  <c r="D47" i="3"/>
  <c r="C48" i="3"/>
  <c r="D48" i="3"/>
  <c r="C50" i="3"/>
  <c r="D50" i="3"/>
  <c r="C51" i="3"/>
  <c r="D51" i="3"/>
  <c r="C43" i="3" l="1"/>
  <c r="D43" i="3"/>
  <c r="C51" i="2"/>
  <c r="D51" i="2"/>
  <c r="C50" i="2"/>
  <c r="D50" i="2"/>
  <c r="C48" i="2" l="1"/>
  <c r="D48" i="2"/>
  <c r="C47" i="2"/>
  <c r="D47" i="2"/>
  <c r="C46" i="2"/>
  <c r="D46" i="2"/>
  <c r="C45" i="2"/>
  <c r="D45" i="2"/>
  <c r="C44" i="2"/>
  <c r="D44" i="2"/>
  <c r="C43" i="2"/>
  <c r="D43" i="2"/>
  <c r="C43" i="1"/>
  <c r="D43" i="1"/>
  <c r="J6" i="18" l="1"/>
  <c r="J20" i="6"/>
  <c r="J20" i="12" s="1"/>
  <c r="I20" i="6"/>
  <c r="I20" i="12" s="1"/>
  <c r="H20" i="6"/>
  <c r="G20" i="6"/>
  <c r="J19" i="6"/>
  <c r="J19" i="12" s="1"/>
  <c r="I19" i="6"/>
  <c r="I19" i="12" s="1"/>
  <c r="H19" i="6"/>
  <c r="F19" i="6" s="1"/>
  <c r="D19" i="6" s="1"/>
  <c r="G19" i="6"/>
  <c r="E19" i="6" s="1"/>
  <c r="J18" i="6"/>
  <c r="J18" i="12" s="1"/>
  <c r="I18" i="6"/>
  <c r="I18" i="12" s="1"/>
  <c r="H18" i="6"/>
  <c r="F18" i="6" s="1"/>
  <c r="D18" i="6" s="1"/>
  <c r="G18" i="6"/>
  <c r="E18" i="6" s="1"/>
  <c r="J17" i="6"/>
  <c r="J17" i="12" s="1"/>
  <c r="I17" i="6"/>
  <c r="I17" i="12" s="1"/>
  <c r="H17" i="6"/>
  <c r="F17" i="6" s="1"/>
  <c r="D17" i="6" s="1"/>
  <c r="G17" i="6"/>
  <c r="E17" i="6" s="1"/>
  <c r="J16" i="6"/>
  <c r="J16" i="12" s="1"/>
  <c r="I16" i="6"/>
  <c r="I16" i="12" s="1"/>
  <c r="H16" i="6"/>
  <c r="F16" i="6" s="1"/>
  <c r="D16" i="6" s="1"/>
  <c r="G16" i="6"/>
  <c r="E16" i="6" s="1"/>
  <c r="C16" i="6" s="1"/>
  <c r="J15" i="6"/>
  <c r="J15" i="12" s="1"/>
  <c r="I15" i="6"/>
  <c r="I15" i="12" s="1"/>
  <c r="H15" i="6"/>
  <c r="F15" i="6" s="1"/>
  <c r="D15" i="6" s="1"/>
  <c r="G15" i="6"/>
  <c r="E15" i="6" s="1"/>
  <c r="J14" i="6"/>
  <c r="J14" i="12" s="1"/>
  <c r="I14" i="6"/>
  <c r="I14" i="12" s="1"/>
  <c r="H14" i="6"/>
  <c r="F14" i="6" s="1"/>
  <c r="D14" i="6" s="1"/>
  <c r="G14" i="6"/>
  <c r="E14" i="6" s="1"/>
  <c r="J13" i="6"/>
  <c r="J13" i="12" s="1"/>
  <c r="I13" i="6"/>
  <c r="I13" i="12" s="1"/>
  <c r="H13" i="6"/>
  <c r="F13" i="6" s="1"/>
  <c r="D13" i="6" s="1"/>
  <c r="G13" i="6"/>
  <c r="E13" i="6" s="1"/>
  <c r="J12" i="6"/>
  <c r="J12" i="12" s="1"/>
  <c r="I12" i="6"/>
  <c r="I12" i="12" s="1"/>
  <c r="H12" i="6"/>
  <c r="F12" i="6" s="1"/>
  <c r="D12" i="6" s="1"/>
  <c r="G12" i="6"/>
  <c r="E12" i="6" s="1"/>
  <c r="J11" i="6"/>
  <c r="J11" i="12" s="1"/>
  <c r="I11" i="6"/>
  <c r="I11" i="12" s="1"/>
  <c r="H11" i="6"/>
  <c r="F11" i="6" s="1"/>
  <c r="D11" i="6" s="1"/>
  <c r="G11" i="6"/>
  <c r="E11" i="6" s="1"/>
  <c r="J10" i="6"/>
  <c r="J10" i="12" s="1"/>
  <c r="I10" i="6"/>
  <c r="I10" i="12" s="1"/>
  <c r="H10" i="6"/>
  <c r="F10" i="6" s="1"/>
  <c r="D10" i="6" s="1"/>
  <c r="G10" i="6"/>
  <c r="E10" i="6" s="1"/>
  <c r="J9" i="6"/>
  <c r="J9" i="12" s="1"/>
  <c r="I9" i="6"/>
  <c r="I9" i="12" s="1"/>
  <c r="H9" i="6"/>
  <c r="F9" i="6" s="1"/>
  <c r="D9" i="6" s="1"/>
  <c r="G9" i="6"/>
  <c r="E9" i="6" s="1"/>
  <c r="C9" i="6" s="1"/>
  <c r="J8" i="6"/>
  <c r="I8" i="6"/>
  <c r="I8" i="12" s="1"/>
  <c r="J7" i="6"/>
  <c r="I7" i="6"/>
  <c r="H72" i="14"/>
  <c r="G72" i="14"/>
  <c r="F72" i="14"/>
  <c r="E72" i="14"/>
  <c r="H71" i="14"/>
  <c r="G71" i="14"/>
  <c r="H70" i="14"/>
  <c r="G70" i="14"/>
  <c r="H69" i="14"/>
  <c r="G69" i="14"/>
  <c r="H68" i="14"/>
  <c r="G68" i="14"/>
  <c r="H67" i="14"/>
  <c r="G67" i="14"/>
  <c r="H66" i="14"/>
  <c r="G66" i="14"/>
  <c r="M55" i="11"/>
  <c r="N55" i="11"/>
  <c r="O55" i="11"/>
  <c r="P55" i="11"/>
  <c r="R55" i="11"/>
  <c r="M56" i="11"/>
  <c r="N56" i="11"/>
  <c r="O56" i="11"/>
  <c r="P56" i="11"/>
  <c r="Q56" i="11"/>
  <c r="R56" i="11"/>
  <c r="M57" i="11"/>
  <c r="N57" i="11"/>
  <c r="O57" i="11"/>
  <c r="P57" i="11"/>
  <c r="Q57" i="11"/>
  <c r="R57" i="11"/>
  <c r="A58" i="11"/>
  <c r="B58" i="11"/>
  <c r="M59" i="11"/>
  <c r="N59" i="11"/>
  <c r="O59" i="11"/>
  <c r="P59" i="11"/>
  <c r="Q59" i="11"/>
  <c r="R59" i="11"/>
  <c r="M60" i="11"/>
  <c r="N60" i="11"/>
  <c r="O60" i="11"/>
  <c r="P60" i="11"/>
  <c r="Q60" i="11"/>
  <c r="R60" i="11"/>
  <c r="N61" i="11"/>
  <c r="O61" i="11"/>
  <c r="P61" i="11"/>
  <c r="Q61" i="11"/>
  <c r="R61" i="11"/>
  <c r="M62" i="11"/>
  <c r="N62" i="11"/>
  <c r="O62" i="11"/>
  <c r="P62" i="11"/>
  <c r="Q62" i="11"/>
  <c r="R62" i="11"/>
  <c r="M63" i="11"/>
  <c r="N63" i="11"/>
  <c r="O63" i="11"/>
  <c r="P63" i="11"/>
  <c r="H64" i="11"/>
  <c r="M64" i="11"/>
  <c r="N64" i="11"/>
  <c r="O64" i="11"/>
  <c r="P64" i="11"/>
  <c r="Q64" i="11"/>
  <c r="R64" i="11"/>
  <c r="M65" i="11"/>
  <c r="N65" i="11"/>
  <c r="O65" i="11"/>
  <c r="P65" i="11"/>
  <c r="A66" i="11"/>
  <c r="B66" i="11"/>
  <c r="A67" i="11"/>
  <c r="B67" i="11"/>
  <c r="G68" i="11"/>
  <c r="H68" i="11"/>
  <c r="M68" i="11"/>
  <c r="N68" i="11"/>
  <c r="O68" i="11"/>
  <c r="P68" i="11"/>
  <c r="G69" i="11"/>
  <c r="H69" i="11"/>
  <c r="K69" i="11"/>
  <c r="L69" i="11"/>
  <c r="M69" i="11"/>
  <c r="N69" i="11"/>
  <c r="O69" i="11"/>
  <c r="P69" i="11"/>
  <c r="G70" i="11"/>
  <c r="A70" i="11" s="1"/>
  <c r="H70" i="11"/>
  <c r="L70" i="11"/>
  <c r="M70" i="11"/>
  <c r="N70" i="11"/>
  <c r="O70" i="11"/>
  <c r="P70" i="11"/>
  <c r="E71" i="11"/>
  <c r="F71" i="11"/>
  <c r="K71" i="11"/>
  <c r="L71" i="11"/>
  <c r="M71" i="11"/>
  <c r="N71" i="11"/>
  <c r="O71" i="11"/>
  <c r="P71" i="11"/>
  <c r="Q71" i="11"/>
  <c r="R71" i="11"/>
  <c r="E72" i="11"/>
  <c r="F72" i="11"/>
  <c r="K72" i="11"/>
  <c r="L72" i="11"/>
  <c r="M72" i="11"/>
  <c r="N72" i="11"/>
  <c r="O72" i="11"/>
  <c r="P72" i="11"/>
  <c r="Q72" i="11"/>
  <c r="R72" i="11"/>
  <c r="E73" i="11"/>
  <c r="F73" i="11"/>
  <c r="K73" i="11"/>
  <c r="L73" i="11"/>
  <c r="N73" i="11"/>
  <c r="O73" i="11"/>
  <c r="P73" i="11"/>
  <c r="Q73" i="11"/>
  <c r="R73" i="11"/>
  <c r="G8" i="6" l="1"/>
  <c r="E8" i="6" s="1"/>
  <c r="C8" i="6" s="1"/>
  <c r="F20" i="6"/>
  <c r="H20" i="12"/>
  <c r="E20" i="6"/>
  <c r="G20" i="12"/>
  <c r="G7" i="6"/>
  <c r="I7" i="12"/>
  <c r="C7" i="12" s="1"/>
  <c r="H8" i="6"/>
  <c r="D8" i="6" s="1"/>
  <c r="J8" i="12"/>
  <c r="H7" i="6"/>
  <c r="F7" i="6" s="1"/>
  <c r="J7" i="12"/>
  <c r="D7" i="12" s="1"/>
  <c r="F8" i="6"/>
  <c r="C10" i="6"/>
  <c r="C11" i="6"/>
  <c r="C12" i="6"/>
  <c r="C13" i="6"/>
  <c r="C14" i="6"/>
  <c r="C17" i="6"/>
  <c r="C18" i="6"/>
  <c r="C19" i="6"/>
  <c r="D7" i="6"/>
  <c r="C15" i="6"/>
  <c r="E7" i="6"/>
  <c r="C7" i="6" s="1"/>
  <c r="B73" i="11"/>
  <c r="B72" i="11"/>
  <c r="B71" i="11"/>
  <c r="A69" i="11"/>
  <c r="A68" i="11"/>
  <c r="A65" i="11"/>
  <c r="A64" i="11"/>
  <c r="B63" i="11"/>
  <c r="B61" i="11"/>
  <c r="A60" i="11"/>
  <c r="A59" i="11"/>
  <c r="A57" i="11"/>
  <c r="A56" i="11"/>
  <c r="B55" i="11"/>
  <c r="A73" i="11"/>
  <c r="A72" i="11"/>
  <c r="A71" i="11"/>
  <c r="B70" i="11"/>
  <c r="B69" i="11"/>
  <c r="B68" i="11"/>
  <c r="B65" i="11"/>
  <c r="B64" i="11"/>
  <c r="A63" i="11"/>
  <c r="A61" i="11"/>
  <c r="B60" i="11"/>
  <c r="B59" i="11"/>
  <c r="B57" i="11"/>
  <c r="B56" i="11"/>
  <c r="A55" i="11"/>
  <c r="A62" i="11"/>
  <c r="B62" i="11"/>
  <c r="C20" i="6" l="1"/>
  <c r="C20" i="12" s="1"/>
  <c r="E20" i="12"/>
  <c r="D20" i="6"/>
  <c r="D20" i="12" s="1"/>
  <c r="F20" i="12"/>
  <c r="I60" i="12"/>
  <c r="J60" i="12"/>
  <c r="J62" i="12" l="1"/>
  <c r="J61" i="12"/>
  <c r="I62" i="12"/>
  <c r="I61" i="12"/>
  <c r="R32" i="11"/>
  <c r="C42" i="2"/>
  <c r="T35" i="14"/>
  <c r="V35" i="14" s="1"/>
  <c r="T33" i="14"/>
  <c r="V33" i="14" s="1"/>
  <c r="C42" i="13"/>
  <c r="E71" i="14" s="1"/>
  <c r="E68" i="14"/>
  <c r="E67" i="14"/>
  <c r="D42" i="13"/>
  <c r="F71" i="14" s="1"/>
  <c r="F69" i="14"/>
  <c r="F68" i="14"/>
  <c r="F67" i="14"/>
  <c r="D42" i="11"/>
  <c r="U42" i="14"/>
  <c r="U36" i="14"/>
  <c r="T52" i="14"/>
  <c r="T42" i="14"/>
  <c r="T36" i="14"/>
  <c r="T36" i="5"/>
  <c r="T52" i="5"/>
  <c r="U36" i="5"/>
  <c r="V36" i="5" s="1"/>
  <c r="U52" i="5"/>
  <c r="K32" i="3"/>
  <c r="M32" i="3"/>
  <c r="O32" i="3"/>
  <c r="Q32" i="3"/>
  <c r="Q33" i="15"/>
  <c r="R36" i="3"/>
  <c r="R36" i="2"/>
  <c r="R36" i="1"/>
  <c r="R36" i="15"/>
  <c r="R36" i="4"/>
  <c r="P36" i="3"/>
  <c r="P36" i="2"/>
  <c r="P36" i="1"/>
  <c r="P36" i="15"/>
  <c r="P36" i="4"/>
  <c r="N36" i="3"/>
  <c r="N36" i="2"/>
  <c r="N36" i="1"/>
  <c r="N36" i="15"/>
  <c r="N36" i="4"/>
  <c r="L36" i="3"/>
  <c r="L36" i="2"/>
  <c r="L36" i="1"/>
  <c r="L36" i="15"/>
  <c r="L36" i="4"/>
  <c r="Q36" i="3"/>
  <c r="Q36" i="2"/>
  <c r="Q36" i="1"/>
  <c r="Q36" i="15"/>
  <c r="Q36" i="4"/>
  <c r="O36" i="3"/>
  <c r="O36" i="2"/>
  <c r="O36" i="1"/>
  <c r="O36" i="15"/>
  <c r="O36" i="4"/>
  <c r="M36" i="3"/>
  <c r="M36" i="2"/>
  <c r="M36" i="1"/>
  <c r="M36" i="15"/>
  <c r="M36" i="4"/>
  <c r="K36" i="3"/>
  <c r="K36" i="2"/>
  <c r="K36" i="1"/>
  <c r="K36" i="15"/>
  <c r="K36" i="4"/>
  <c r="R35" i="3"/>
  <c r="R35" i="2"/>
  <c r="R35" i="1"/>
  <c r="R35" i="15"/>
  <c r="R35" i="4"/>
  <c r="P35" i="3"/>
  <c r="P35" i="2"/>
  <c r="P35" i="1"/>
  <c r="P35" i="15"/>
  <c r="P35" i="4"/>
  <c r="N35" i="3"/>
  <c r="N35" i="2"/>
  <c r="N35" i="1"/>
  <c r="N35" i="15"/>
  <c r="N35" i="4"/>
  <c r="L35" i="3"/>
  <c r="L35" i="2"/>
  <c r="L35" i="1"/>
  <c r="L35" i="15"/>
  <c r="L35" i="4"/>
  <c r="Q35" i="3"/>
  <c r="Q35" i="2"/>
  <c r="Q35" i="1"/>
  <c r="Q35" i="15"/>
  <c r="Q35" i="4"/>
  <c r="O35" i="3"/>
  <c r="O35" i="2"/>
  <c r="O35" i="1"/>
  <c r="O35" i="15"/>
  <c r="O35" i="4"/>
  <c r="M35" i="3"/>
  <c r="M35" i="2"/>
  <c r="M35" i="1"/>
  <c r="M35" i="15"/>
  <c r="M35" i="4"/>
  <c r="K35" i="3"/>
  <c r="K35" i="2"/>
  <c r="K35" i="1"/>
  <c r="K35" i="15"/>
  <c r="K35" i="4"/>
  <c r="R34" i="3"/>
  <c r="R34" i="2"/>
  <c r="R34" i="1"/>
  <c r="R34" i="15"/>
  <c r="R34" i="4"/>
  <c r="P34" i="3"/>
  <c r="P34" i="2"/>
  <c r="P34" i="1"/>
  <c r="P34" i="15"/>
  <c r="P34" i="4"/>
  <c r="N34" i="3"/>
  <c r="N34" i="2"/>
  <c r="N34" i="1"/>
  <c r="N34" i="15"/>
  <c r="N34" i="4"/>
  <c r="L34" i="3"/>
  <c r="L34" i="2"/>
  <c r="L34" i="1"/>
  <c r="L34" i="15"/>
  <c r="L34" i="4"/>
  <c r="Q34" i="3"/>
  <c r="Q34" i="2"/>
  <c r="Q34" i="1"/>
  <c r="Q34" i="15"/>
  <c r="Q34" i="4"/>
  <c r="O34" i="3"/>
  <c r="O34" i="2"/>
  <c r="O34" i="1"/>
  <c r="O34" i="15"/>
  <c r="O34" i="4"/>
  <c r="M34" i="3"/>
  <c r="M34" i="2"/>
  <c r="M34" i="1"/>
  <c r="M34" i="15"/>
  <c r="M34" i="4"/>
  <c r="K34" i="3"/>
  <c r="K34" i="2"/>
  <c r="K34" i="1"/>
  <c r="K34" i="15"/>
  <c r="K34" i="4"/>
  <c r="R33" i="3"/>
  <c r="R33" i="2"/>
  <c r="R33" i="1"/>
  <c r="R33" i="15"/>
  <c r="R33" i="4"/>
  <c r="P33" i="3"/>
  <c r="P33" i="2"/>
  <c r="P33" i="1"/>
  <c r="P33" i="15"/>
  <c r="P33" i="4"/>
  <c r="N33" i="3"/>
  <c r="N33" i="2"/>
  <c r="N33" i="1"/>
  <c r="N33" i="15"/>
  <c r="N33" i="4"/>
  <c r="L33" i="3"/>
  <c r="L33" i="2"/>
  <c r="L33" i="1"/>
  <c r="L33" i="15"/>
  <c r="L33" i="4"/>
  <c r="Q33" i="3"/>
  <c r="Q33" i="2"/>
  <c r="Q33" i="1"/>
  <c r="Q33" i="4"/>
  <c r="O33" i="3"/>
  <c r="O33" i="2"/>
  <c r="O33" i="1"/>
  <c r="O33" i="15"/>
  <c r="O33" i="4"/>
  <c r="M33" i="3"/>
  <c r="M33" i="2"/>
  <c r="M33" i="1"/>
  <c r="M33" i="15"/>
  <c r="M33" i="4"/>
  <c r="K33" i="3"/>
  <c r="K33" i="2"/>
  <c r="K33" i="1"/>
  <c r="K33" i="15"/>
  <c r="K33" i="4"/>
  <c r="H23" i="14"/>
  <c r="D23" i="14" s="1"/>
  <c r="G23" i="14"/>
  <c r="C23" i="14" s="1"/>
  <c r="H22" i="14"/>
  <c r="D22" i="14" s="1"/>
  <c r="P22" i="12"/>
  <c r="P22" i="14" s="1"/>
  <c r="G22" i="14"/>
  <c r="C22" i="14" s="1"/>
  <c r="O22" i="12"/>
  <c r="O22" i="14" s="1"/>
  <c r="H21" i="14"/>
  <c r="D21" i="14" s="1"/>
  <c r="G21" i="14"/>
  <c r="C21" i="14" s="1"/>
  <c r="H20" i="14"/>
  <c r="D20" i="14" s="1"/>
  <c r="R20" i="12"/>
  <c r="P20" i="12"/>
  <c r="P20" i="14" s="1"/>
  <c r="N20" i="12"/>
  <c r="N20" i="14" s="1"/>
  <c r="L20" i="12"/>
  <c r="L20" i="14" s="1"/>
  <c r="G20" i="14"/>
  <c r="C20" i="14" s="1"/>
  <c r="Q20" i="12"/>
  <c r="Q20" i="14" s="1"/>
  <c r="O20" i="12"/>
  <c r="O20" i="14" s="1"/>
  <c r="M20" i="12"/>
  <c r="M20" i="14" s="1"/>
  <c r="K20" i="12"/>
  <c r="H19" i="14"/>
  <c r="D19" i="14" s="1"/>
  <c r="L19" i="12"/>
  <c r="L19" i="14" s="1"/>
  <c r="G19" i="14"/>
  <c r="C19" i="14" s="1"/>
  <c r="K19" i="12"/>
  <c r="K19" i="14" s="1"/>
  <c r="H18" i="14"/>
  <c r="D18" i="14" s="1"/>
  <c r="L18" i="12"/>
  <c r="L18" i="14" s="1"/>
  <c r="G18" i="14"/>
  <c r="C18" i="14" s="1"/>
  <c r="K18" i="12"/>
  <c r="K18" i="14" s="1"/>
  <c r="H17" i="14"/>
  <c r="D17" i="14" s="1"/>
  <c r="L17" i="12"/>
  <c r="L17" i="14" s="1"/>
  <c r="G17" i="14"/>
  <c r="C17" i="14" s="1"/>
  <c r="K17" i="12"/>
  <c r="K17" i="14" s="1"/>
  <c r="H16" i="14"/>
  <c r="D16" i="14" s="1"/>
  <c r="R16" i="12"/>
  <c r="P16" i="12"/>
  <c r="N16" i="12"/>
  <c r="N16" i="14" s="1"/>
  <c r="L16" i="12"/>
  <c r="L16" i="14" s="1"/>
  <c r="G16" i="14"/>
  <c r="C16" i="14" s="1"/>
  <c r="Q16" i="12"/>
  <c r="O16" i="12"/>
  <c r="O16" i="14" s="1"/>
  <c r="M16" i="12"/>
  <c r="M16" i="14" s="1"/>
  <c r="K16" i="12"/>
  <c r="K16" i="14" s="1"/>
  <c r="H15" i="14"/>
  <c r="D15" i="14" s="1"/>
  <c r="R15" i="12"/>
  <c r="P15" i="12"/>
  <c r="P15" i="14" s="1"/>
  <c r="N15" i="12"/>
  <c r="N15" i="14" s="1"/>
  <c r="L15" i="12"/>
  <c r="G15" i="14"/>
  <c r="C15" i="14" s="1"/>
  <c r="Q15" i="12"/>
  <c r="Q15" i="14" s="1"/>
  <c r="O15" i="12"/>
  <c r="O15" i="14" s="1"/>
  <c r="M15" i="12"/>
  <c r="K15" i="12"/>
  <c r="K15" i="14" s="1"/>
  <c r="H14" i="14"/>
  <c r="D14" i="14" s="1"/>
  <c r="R14" i="12"/>
  <c r="P14" i="12"/>
  <c r="N14" i="12"/>
  <c r="N14" i="14" s="1"/>
  <c r="L14" i="12"/>
  <c r="L14" i="14" s="1"/>
  <c r="G14" i="14"/>
  <c r="C14" i="14" s="1"/>
  <c r="Q14" i="12"/>
  <c r="O14" i="12"/>
  <c r="O14" i="14" s="1"/>
  <c r="M14" i="12"/>
  <c r="M14" i="14" s="1"/>
  <c r="K14" i="12"/>
  <c r="K14" i="14" s="1"/>
  <c r="H13" i="14"/>
  <c r="D13" i="14" s="1"/>
  <c r="R13" i="12"/>
  <c r="P13" i="12"/>
  <c r="P13" i="14" s="1"/>
  <c r="N13" i="12"/>
  <c r="N13" i="14" s="1"/>
  <c r="L13" i="12"/>
  <c r="G13" i="14"/>
  <c r="C13" i="14" s="1"/>
  <c r="Q13" i="12"/>
  <c r="Q13" i="14" s="1"/>
  <c r="O13" i="12"/>
  <c r="O13" i="14" s="1"/>
  <c r="M13" i="12"/>
  <c r="K13" i="12"/>
  <c r="K13" i="14" s="1"/>
  <c r="H12" i="14"/>
  <c r="D12" i="14" s="1"/>
  <c r="G12" i="14"/>
  <c r="C12" i="14" s="1"/>
  <c r="Q12" i="12"/>
  <c r="Q12" i="14" s="1"/>
  <c r="O12" i="12"/>
  <c r="O12" i="14" s="1"/>
  <c r="H11" i="14"/>
  <c r="D11" i="14" s="1"/>
  <c r="P11" i="12"/>
  <c r="P11" i="14" s="1"/>
  <c r="G11" i="14"/>
  <c r="C11" i="14" s="1"/>
  <c r="Q11" i="12"/>
  <c r="Q11" i="14" s="1"/>
  <c r="O11" i="12"/>
  <c r="O11" i="14" s="1"/>
  <c r="H10" i="14"/>
  <c r="D10" i="14" s="1"/>
  <c r="P10" i="12"/>
  <c r="P10" i="14" s="1"/>
  <c r="G10" i="14"/>
  <c r="C10" i="14" s="1"/>
  <c r="Q10" i="12"/>
  <c r="Q10" i="14" s="1"/>
  <c r="O10" i="12"/>
  <c r="O10" i="14" s="1"/>
  <c r="M10" i="12"/>
  <c r="M10" i="14" s="1"/>
  <c r="H9" i="14"/>
  <c r="D9" i="14" s="1"/>
  <c r="R9" i="12"/>
  <c r="P9" i="12"/>
  <c r="P9" i="14" s="1"/>
  <c r="N9" i="12"/>
  <c r="L9" i="12"/>
  <c r="L9" i="14" s="1"/>
  <c r="G9" i="14"/>
  <c r="C9" i="14" s="1"/>
  <c r="Q9" i="12"/>
  <c r="Q9" i="14" s="1"/>
  <c r="O9" i="12"/>
  <c r="M9" i="12"/>
  <c r="M9" i="14" s="1"/>
  <c r="K9" i="12"/>
  <c r="K9" i="14" s="1"/>
  <c r="H8" i="14"/>
  <c r="D8" i="14" s="1"/>
  <c r="R8" i="12"/>
  <c r="P8" i="12"/>
  <c r="P8" i="14" s="1"/>
  <c r="N8" i="12"/>
  <c r="N8" i="14" s="1"/>
  <c r="L8" i="12"/>
  <c r="L8" i="14" s="1"/>
  <c r="G8" i="14"/>
  <c r="C8" i="14" s="1"/>
  <c r="Q8" i="12"/>
  <c r="Q8" i="14" s="1"/>
  <c r="O8" i="12"/>
  <c r="O8" i="14" s="1"/>
  <c r="M8" i="12"/>
  <c r="M8" i="14" s="1"/>
  <c r="K8" i="12"/>
  <c r="H7" i="14"/>
  <c r="D7" i="14" s="1"/>
  <c r="R7" i="12"/>
  <c r="P7" i="12"/>
  <c r="P7" i="14" s="1"/>
  <c r="N7" i="12"/>
  <c r="L7" i="12"/>
  <c r="L7" i="14" s="1"/>
  <c r="G7" i="14"/>
  <c r="C7" i="14" s="1"/>
  <c r="Q7" i="12"/>
  <c r="Q7" i="14" s="1"/>
  <c r="O7" i="12"/>
  <c r="M7" i="12"/>
  <c r="M7" i="14" s="1"/>
  <c r="K7" i="12"/>
  <c r="K7" i="14" s="1"/>
  <c r="H6" i="14"/>
  <c r="D6" i="14" s="1"/>
  <c r="R6" i="12"/>
  <c r="P6" i="12"/>
  <c r="P6" i="14" s="1"/>
  <c r="N6" i="12"/>
  <c r="N6" i="14" s="1"/>
  <c r="L6" i="12"/>
  <c r="L6" i="14" s="1"/>
  <c r="G6" i="14"/>
  <c r="C6" i="14" s="1"/>
  <c r="Q6" i="12"/>
  <c r="Q6" i="14" s="1"/>
  <c r="O6" i="12"/>
  <c r="O6" i="14" s="1"/>
  <c r="M6" i="12"/>
  <c r="K6" i="12"/>
  <c r="K6" i="14" s="1"/>
  <c r="B9" i="18"/>
  <c r="A9" i="18"/>
  <c r="B8" i="18"/>
  <c r="A8" i="18"/>
  <c r="B7" i="18"/>
  <c r="A7" i="18"/>
  <c r="B6" i="18"/>
  <c r="A6" i="18"/>
  <c r="D23" i="18"/>
  <c r="C23" i="18"/>
  <c r="D22" i="18"/>
  <c r="C22" i="18"/>
  <c r="D21" i="18"/>
  <c r="C21" i="18"/>
  <c r="D20" i="18"/>
  <c r="C20" i="18"/>
  <c r="D19" i="18"/>
  <c r="C19" i="18"/>
  <c r="D18" i="18"/>
  <c r="C18" i="18"/>
  <c r="D17" i="18"/>
  <c r="C17" i="18"/>
  <c r="D16" i="18"/>
  <c r="C16" i="18"/>
  <c r="D15" i="18"/>
  <c r="C15" i="18"/>
  <c r="D14" i="18"/>
  <c r="C14" i="18"/>
  <c r="D13" i="18"/>
  <c r="C13" i="18"/>
  <c r="D12" i="18"/>
  <c r="C12" i="18"/>
  <c r="D11" i="18"/>
  <c r="C11" i="18"/>
  <c r="D10" i="18"/>
  <c r="C10" i="18"/>
  <c r="J23" i="18"/>
  <c r="I23" i="18"/>
  <c r="J22" i="18"/>
  <c r="B22" i="18" s="1"/>
  <c r="I22" i="18"/>
  <c r="A22" i="18" s="1"/>
  <c r="J21" i="18"/>
  <c r="I21" i="18"/>
  <c r="J20" i="18"/>
  <c r="B20" i="18" s="1"/>
  <c r="I20" i="18"/>
  <c r="J19" i="18"/>
  <c r="I19" i="18"/>
  <c r="J18" i="18"/>
  <c r="B18" i="18" s="1"/>
  <c r="I18" i="18"/>
  <c r="J17" i="18"/>
  <c r="I17" i="18"/>
  <c r="J16" i="18"/>
  <c r="B16" i="18" s="1"/>
  <c r="I16" i="18"/>
  <c r="J15" i="18"/>
  <c r="I15" i="18"/>
  <c r="J14" i="18"/>
  <c r="B14" i="18" s="1"/>
  <c r="I14" i="18"/>
  <c r="J13" i="18"/>
  <c r="I13" i="18"/>
  <c r="J12" i="18"/>
  <c r="B12" i="18" s="1"/>
  <c r="I12" i="18"/>
  <c r="J11" i="18"/>
  <c r="I11" i="18"/>
  <c r="J10" i="18"/>
  <c r="B10" i="18" s="1"/>
  <c r="I10" i="18"/>
  <c r="J9" i="18"/>
  <c r="I9" i="18"/>
  <c r="J8" i="18"/>
  <c r="I8" i="18"/>
  <c r="J7" i="18"/>
  <c r="I7" i="18"/>
  <c r="I6" i="18"/>
  <c r="R36" i="16"/>
  <c r="P36" i="16"/>
  <c r="N36" i="16"/>
  <c r="L36" i="16"/>
  <c r="Q36" i="16"/>
  <c r="O36" i="16"/>
  <c r="M36" i="16"/>
  <c r="K36" i="16"/>
  <c r="R35" i="16"/>
  <c r="P35" i="16"/>
  <c r="N35" i="16"/>
  <c r="L35" i="16"/>
  <c r="Q35" i="16"/>
  <c r="O35" i="16"/>
  <c r="M35" i="16"/>
  <c r="K35" i="16"/>
  <c r="R34" i="16"/>
  <c r="P34" i="16"/>
  <c r="N34" i="16"/>
  <c r="L34" i="16"/>
  <c r="Q34" i="16"/>
  <c r="O34" i="16"/>
  <c r="M34" i="16"/>
  <c r="K34" i="16"/>
  <c r="R33" i="16"/>
  <c r="P33" i="16"/>
  <c r="N33" i="16"/>
  <c r="L33" i="16"/>
  <c r="Q33" i="16"/>
  <c r="O33" i="16"/>
  <c r="M33" i="16"/>
  <c r="K33" i="16"/>
  <c r="J9" i="16"/>
  <c r="I9" i="16"/>
  <c r="J8" i="16"/>
  <c r="I8" i="16"/>
  <c r="J7" i="16"/>
  <c r="I7" i="16"/>
  <c r="J6" i="16"/>
  <c r="I6" i="16"/>
  <c r="L36" i="9"/>
  <c r="K36" i="9"/>
  <c r="J6" i="6"/>
  <c r="I6" i="6"/>
  <c r="K30" i="5"/>
  <c r="M30" i="5"/>
  <c r="O30" i="5"/>
  <c r="Q30" i="5"/>
  <c r="Q96" i="5" s="1"/>
  <c r="L30" i="5"/>
  <c r="N30" i="5"/>
  <c r="P30" i="5"/>
  <c r="R30" i="5"/>
  <c r="R97" i="5" s="1"/>
  <c r="K31" i="5"/>
  <c r="O31" i="5"/>
  <c r="Q31" i="5"/>
  <c r="L31" i="5"/>
  <c r="N31" i="5"/>
  <c r="P31" i="5"/>
  <c r="R31" i="5"/>
  <c r="K32" i="5"/>
  <c r="M32" i="5"/>
  <c r="O32" i="5"/>
  <c r="L32" i="5"/>
  <c r="N32" i="5"/>
  <c r="P32" i="5"/>
  <c r="R32" i="5"/>
  <c r="K33" i="5"/>
  <c r="M33" i="5"/>
  <c r="O33" i="5"/>
  <c r="Q33" i="5"/>
  <c r="L33" i="5"/>
  <c r="N33" i="5"/>
  <c r="P33" i="5"/>
  <c r="R33" i="5"/>
  <c r="K34" i="5"/>
  <c r="M34" i="5"/>
  <c r="O34" i="5"/>
  <c r="Q34" i="5"/>
  <c r="L34" i="5"/>
  <c r="N34" i="5"/>
  <c r="P34" i="5"/>
  <c r="R34" i="5"/>
  <c r="K35" i="5"/>
  <c r="M35" i="5"/>
  <c r="O35" i="5"/>
  <c r="Q35" i="5"/>
  <c r="L35" i="5"/>
  <c r="N35" i="5"/>
  <c r="P35" i="5"/>
  <c r="R35" i="5"/>
  <c r="K36" i="5"/>
  <c r="M36" i="5"/>
  <c r="O36" i="5"/>
  <c r="Q36" i="5"/>
  <c r="L36" i="5"/>
  <c r="N36" i="5"/>
  <c r="P36" i="5"/>
  <c r="R36" i="5"/>
  <c r="L35" i="6"/>
  <c r="J35" i="7"/>
  <c r="J35" i="8"/>
  <c r="L35" i="9"/>
  <c r="J35" i="10"/>
  <c r="L35" i="18"/>
  <c r="J35" i="17"/>
  <c r="L35" i="11"/>
  <c r="N35" i="6"/>
  <c r="L35" i="7"/>
  <c r="L35" i="8"/>
  <c r="N35" i="9"/>
  <c r="L35" i="10"/>
  <c r="N35" i="18"/>
  <c r="L35" i="17"/>
  <c r="N35" i="11"/>
  <c r="P35" i="6"/>
  <c r="N35" i="7"/>
  <c r="N35" i="8"/>
  <c r="P35" i="9"/>
  <c r="N35" i="10"/>
  <c r="P35" i="18"/>
  <c r="N35" i="17"/>
  <c r="P35" i="11"/>
  <c r="R35" i="6"/>
  <c r="P35" i="7"/>
  <c r="P35" i="8"/>
  <c r="R35" i="9"/>
  <c r="P35" i="10"/>
  <c r="H35" i="10" s="1"/>
  <c r="R35" i="18"/>
  <c r="P35" i="17"/>
  <c r="R35" i="11"/>
  <c r="J35" i="13"/>
  <c r="L35" i="13"/>
  <c r="N35" i="13"/>
  <c r="P35" i="13"/>
  <c r="R34" i="6"/>
  <c r="P34" i="6"/>
  <c r="N34" i="6"/>
  <c r="L34" i="6"/>
  <c r="J34" i="7"/>
  <c r="J34" i="8"/>
  <c r="L34" i="9"/>
  <c r="J34" i="10"/>
  <c r="L34" i="18"/>
  <c r="J34" i="17"/>
  <c r="L34" i="11"/>
  <c r="L34" i="7"/>
  <c r="L34" i="8"/>
  <c r="N34" i="9"/>
  <c r="L34" i="10"/>
  <c r="N34" i="18"/>
  <c r="L34" i="17"/>
  <c r="N34" i="11"/>
  <c r="N34" i="7"/>
  <c r="N34" i="8"/>
  <c r="P34" i="9"/>
  <c r="N34" i="10"/>
  <c r="P34" i="18"/>
  <c r="N34" i="17"/>
  <c r="P34" i="11"/>
  <c r="P34" i="7"/>
  <c r="P34" i="8"/>
  <c r="R34" i="9"/>
  <c r="P34" i="10"/>
  <c r="H34" i="10" s="1"/>
  <c r="R34" i="18"/>
  <c r="P34" i="17"/>
  <c r="R34" i="11"/>
  <c r="J34" i="13"/>
  <c r="L34" i="13"/>
  <c r="N34" i="13"/>
  <c r="P34" i="13"/>
  <c r="R33" i="6"/>
  <c r="P33" i="6"/>
  <c r="N33" i="6"/>
  <c r="L33" i="6"/>
  <c r="J33" i="7"/>
  <c r="J33" i="8"/>
  <c r="L33" i="9"/>
  <c r="J33" i="10"/>
  <c r="L33" i="18"/>
  <c r="J33" i="17"/>
  <c r="L33" i="11"/>
  <c r="L33" i="7"/>
  <c r="L33" i="8"/>
  <c r="N33" i="9"/>
  <c r="L33" i="10"/>
  <c r="N33" i="18"/>
  <c r="L33" i="17"/>
  <c r="N33" i="11"/>
  <c r="N33" i="7"/>
  <c r="N33" i="8"/>
  <c r="P33" i="9"/>
  <c r="N33" i="10"/>
  <c r="P33" i="18"/>
  <c r="N33" i="17"/>
  <c r="P33" i="11"/>
  <c r="P33" i="7"/>
  <c r="P33" i="8"/>
  <c r="R33" i="9"/>
  <c r="P33" i="10"/>
  <c r="H33" i="10" s="1"/>
  <c r="R33" i="18"/>
  <c r="P33" i="17"/>
  <c r="R33" i="11"/>
  <c r="J33" i="13"/>
  <c r="L33" i="13"/>
  <c r="N33" i="13"/>
  <c r="P33" i="13"/>
  <c r="L32" i="13"/>
  <c r="N32" i="13"/>
  <c r="P32" i="13"/>
  <c r="R31" i="11"/>
  <c r="L30" i="11"/>
  <c r="L30" i="12" s="1"/>
  <c r="L30" i="14" s="1"/>
  <c r="R30" i="11"/>
  <c r="L30" i="13"/>
  <c r="H29" i="14"/>
  <c r="D29" i="14" s="1"/>
  <c r="L29" i="11"/>
  <c r="L29" i="12" s="1"/>
  <c r="L29" i="14" s="1"/>
  <c r="N29" i="11"/>
  <c r="N29" i="12" s="1"/>
  <c r="P29" i="11"/>
  <c r="P29" i="12" s="1"/>
  <c r="P29" i="14" s="1"/>
  <c r="R29" i="11"/>
  <c r="R29" i="12" s="1"/>
  <c r="K35" i="6"/>
  <c r="I35" i="7"/>
  <c r="I35" i="8"/>
  <c r="K35" i="9"/>
  <c r="I35" i="10"/>
  <c r="K35" i="18"/>
  <c r="K35" i="11"/>
  <c r="M35" i="6"/>
  <c r="K35" i="7"/>
  <c r="K35" i="8"/>
  <c r="M35" i="9"/>
  <c r="K35" i="10"/>
  <c r="M35" i="18"/>
  <c r="K35" i="17"/>
  <c r="O35" i="6"/>
  <c r="M35" i="7"/>
  <c r="M35" i="8"/>
  <c r="O35" i="9"/>
  <c r="M35" i="10"/>
  <c r="O35" i="18"/>
  <c r="M35" i="17"/>
  <c r="O35" i="11"/>
  <c r="Q35" i="6"/>
  <c r="O35" i="7"/>
  <c r="O35" i="8"/>
  <c r="Q35" i="9"/>
  <c r="O35" i="10"/>
  <c r="G35" i="10" s="1"/>
  <c r="Q35" i="18"/>
  <c r="O35" i="17"/>
  <c r="Q35" i="11"/>
  <c r="I35" i="13"/>
  <c r="K35" i="13"/>
  <c r="M35" i="13"/>
  <c r="O35" i="13"/>
  <c r="K34" i="6"/>
  <c r="I34" i="7"/>
  <c r="I34" i="8"/>
  <c r="K34" i="9"/>
  <c r="I34" i="10"/>
  <c r="K34" i="18"/>
  <c r="K34" i="11"/>
  <c r="M34" i="6"/>
  <c r="K34" i="7"/>
  <c r="K34" i="8"/>
  <c r="M34" i="9"/>
  <c r="K34" i="10"/>
  <c r="M34" i="18"/>
  <c r="K34" i="17"/>
  <c r="M34" i="11"/>
  <c r="O34" i="6"/>
  <c r="M34" i="7"/>
  <c r="M34" i="8"/>
  <c r="O34" i="9"/>
  <c r="M34" i="10"/>
  <c r="O34" i="18"/>
  <c r="M34" i="17"/>
  <c r="O34" i="11"/>
  <c r="Q34" i="6"/>
  <c r="O34" i="7"/>
  <c r="O34" i="8"/>
  <c r="Q34" i="9"/>
  <c r="O34" i="10"/>
  <c r="G34" i="10" s="1"/>
  <c r="Q34" i="18"/>
  <c r="O34" i="17"/>
  <c r="Q34" i="11"/>
  <c r="I34" i="13"/>
  <c r="K34" i="13"/>
  <c r="M34" i="13"/>
  <c r="O34" i="13"/>
  <c r="K33" i="6"/>
  <c r="I33" i="7"/>
  <c r="I33" i="8"/>
  <c r="K33" i="9"/>
  <c r="I33" i="10"/>
  <c r="K33" i="18"/>
  <c r="I33" i="17"/>
  <c r="K33" i="11"/>
  <c r="M33" i="6"/>
  <c r="K33" i="7"/>
  <c r="K33" i="8"/>
  <c r="M33" i="9"/>
  <c r="K33" i="10"/>
  <c r="M33" i="18"/>
  <c r="K33" i="17"/>
  <c r="M33" i="11"/>
  <c r="O33" i="6"/>
  <c r="M33" i="7"/>
  <c r="M33" i="8"/>
  <c r="O33" i="9"/>
  <c r="M33" i="10"/>
  <c r="O33" i="18"/>
  <c r="M33" i="17"/>
  <c r="O33" i="11"/>
  <c r="Q33" i="6"/>
  <c r="O33" i="7"/>
  <c r="O33" i="8"/>
  <c r="Q33" i="9"/>
  <c r="O33" i="10"/>
  <c r="G33" i="10" s="1"/>
  <c r="Q33" i="18"/>
  <c r="O33" i="17"/>
  <c r="Q33" i="11"/>
  <c r="I33" i="13"/>
  <c r="K33" i="13"/>
  <c r="M33" i="13"/>
  <c r="O33" i="13"/>
  <c r="K32" i="11"/>
  <c r="Q32" i="11"/>
  <c r="K32" i="13"/>
  <c r="M32" i="13"/>
  <c r="O32" i="13"/>
  <c r="Q31" i="11"/>
  <c r="K30" i="11"/>
  <c r="Q30" i="11"/>
  <c r="K30" i="13"/>
  <c r="K29" i="11"/>
  <c r="K29" i="12" s="1"/>
  <c r="K29" i="14" s="1"/>
  <c r="M29" i="11"/>
  <c r="M29" i="12" s="1"/>
  <c r="O29" i="11"/>
  <c r="O29" i="12" s="1"/>
  <c r="O29" i="14" s="1"/>
  <c r="Q29" i="11"/>
  <c r="Q29" i="12" s="1"/>
  <c r="Q29" i="14" s="1"/>
  <c r="H28" i="14"/>
  <c r="D28" i="14" s="1"/>
  <c r="L28" i="11"/>
  <c r="L28" i="12" s="1"/>
  <c r="L28" i="14" s="1"/>
  <c r="N28" i="11"/>
  <c r="N28" i="12" s="1"/>
  <c r="N28" i="14" s="1"/>
  <c r="P28" i="11"/>
  <c r="P28" i="12" s="1"/>
  <c r="P28" i="14" s="1"/>
  <c r="R28" i="11"/>
  <c r="R28" i="12" s="1"/>
  <c r="K28" i="11"/>
  <c r="K28" i="12" s="1"/>
  <c r="K28" i="14" s="1"/>
  <c r="M28" i="11"/>
  <c r="M28" i="12" s="1"/>
  <c r="M28" i="14" s="1"/>
  <c r="O28" i="11"/>
  <c r="O28" i="12" s="1"/>
  <c r="O28" i="14" s="1"/>
  <c r="Q28" i="11"/>
  <c r="Q28" i="12" s="1"/>
  <c r="Q28" i="14" s="1"/>
  <c r="K26" i="11"/>
  <c r="L26" i="11"/>
  <c r="K27" i="11"/>
  <c r="Q27" i="11"/>
  <c r="H27" i="14"/>
  <c r="D27" i="14" s="1"/>
  <c r="L27" i="11"/>
  <c r="R27" i="11"/>
  <c r="K36" i="6"/>
  <c r="I36" i="7"/>
  <c r="I36" i="8"/>
  <c r="I36" i="10"/>
  <c r="K36" i="18"/>
  <c r="I36" i="17"/>
  <c r="K36" i="11"/>
  <c r="M36" i="6"/>
  <c r="K36" i="7"/>
  <c r="K36" i="8"/>
  <c r="M36" i="9"/>
  <c r="K36" i="10"/>
  <c r="M36" i="18"/>
  <c r="K36" i="17"/>
  <c r="M36" i="11"/>
  <c r="O36" i="6"/>
  <c r="M36" i="7"/>
  <c r="M36" i="8"/>
  <c r="O36" i="9"/>
  <c r="M36" i="10"/>
  <c r="O36" i="18"/>
  <c r="M36" i="17"/>
  <c r="O36" i="11"/>
  <c r="Q36" i="6"/>
  <c r="O36" i="7"/>
  <c r="O36" i="8"/>
  <c r="Q36" i="9"/>
  <c r="O36" i="10"/>
  <c r="G36" i="10" s="1"/>
  <c r="Q36" i="18"/>
  <c r="O36" i="17"/>
  <c r="Q36" i="11"/>
  <c r="I36" i="13"/>
  <c r="K36" i="13"/>
  <c r="M36" i="13"/>
  <c r="O36" i="13"/>
  <c r="L36" i="6"/>
  <c r="J36" i="7"/>
  <c r="J36" i="8"/>
  <c r="J36" i="10"/>
  <c r="L36" i="18"/>
  <c r="J36" i="17"/>
  <c r="L36" i="11"/>
  <c r="N36" i="6"/>
  <c r="L36" i="7"/>
  <c r="L36" i="8"/>
  <c r="N36" i="9"/>
  <c r="L36" i="10"/>
  <c r="N36" i="18"/>
  <c r="L36" i="17"/>
  <c r="N36" i="11"/>
  <c r="P36" i="6"/>
  <c r="N36" i="7"/>
  <c r="N36" i="8"/>
  <c r="P36" i="9"/>
  <c r="N36" i="10"/>
  <c r="P36" i="18"/>
  <c r="N36" i="17"/>
  <c r="P36" i="11"/>
  <c r="R36" i="6"/>
  <c r="P36" i="7"/>
  <c r="P36" i="8"/>
  <c r="R36" i="9"/>
  <c r="P36" i="10"/>
  <c r="H36" i="10" s="1"/>
  <c r="R36" i="18"/>
  <c r="P36" i="17"/>
  <c r="R36" i="11"/>
  <c r="J36" i="13"/>
  <c r="L36" i="13"/>
  <c r="N36" i="13"/>
  <c r="P36" i="13"/>
  <c r="U21" i="14"/>
  <c r="K22" i="11"/>
  <c r="M22" i="11"/>
  <c r="M22" i="12" s="1"/>
  <c r="M22" i="14" s="1"/>
  <c r="Q22" i="11"/>
  <c r="Q22" i="12" s="1"/>
  <c r="Q22" i="14" s="1"/>
  <c r="L22" i="11"/>
  <c r="L22" i="12" s="1"/>
  <c r="N22" i="11"/>
  <c r="N22" i="12" s="1"/>
  <c r="N22" i="14" s="1"/>
  <c r="R22" i="11"/>
  <c r="R22" i="12" s="1"/>
  <c r="U22" i="14"/>
  <c r="U23" i="14"/>
  <c r="K24" i="11"/>
  <c r="O24" i="3"/>
  <c r="H24" i="14"/>
  <c r="D24" i="14" s="1"/>
  <c r="L24" i="11"/>
  <c r="U24" i="14"/>
  <c r="G25" i="14"/>
  <c r="C25" i="14" s="1"/>
  <c r="K25" i="11"/>
  <c r="Q25" i="11"/>
  <c r="L25" i="11"/>
  <c r="R25" i="11"/>
  <c r="Q99" i="5"/>
  <c r="Q98" i="5"/>
  <c r="Q97" i="5"/>
  <c r="Q95" i="5"/>
  <c r="Q94" i="5"/>
  <c r="Q93" i="5"/>
  <c r="Q92" i="5"/>
  <c r="Q91" i="5"/>
  <c r="Q90" i="5"/>
  <c r="Q89" i="5"/>
  <c r="Q88" i="5"/>
  <c r="Q87" i="5"/>
  <c r="Q86" i="5"/>
  <c r="Q85" i="5"/>
  <c r="Q84" i="5"/>
  <c r="Q83" i="5"/>
  <c r="Q82" i="5"/>
  <c r="Q81" i="5"/>
  <c r="Q80" i="5"/>
  <c r="Q79" i="5"/>
  <c r="Q78" i="5"/>
  <c r="Q77" i="5"/>
  <c r="Q76" i="5"/>
  <c r="Q75" i="5"/>
  <c r="Q74" i="5"/>
  <c r="Q73" i="5"/>
  <c r="R101" i="5"/>
  <c r="R98" i="5"/>
  <c r="R96" i="5"/>
  <c r="R95" i="5"/>
  <c r="R94" i="5"/>
  <c r="R93" i="5"/>
  <c r="R92" i="5"/>
  <c r="R91" i="5"/>
  <c r="R90" i="5"/>
  <c r="R89" i="5"/>
  <c r="R88" i="5"/>
  <c r="R87" i="5"/>
  <c r="R86" i="5"/>
  <c r="R85" i="5"/>
  <c r="R84" i="5"/>
  <c r="R83" i="5"/>
  <c r="R82" i="5"/>
  <c r="R81" i="5"/>
  <c r="R80" i="5"/>
  <c r="R79" i="5"/>
  <c r="R78" i="5"/>
  <c r="R77" i="5"/>
  <c r="R76" i="5"/>
  <c r="R75" i="5"/>
  <c r="R74" i="5"/>
  <c r="R73" i="5"/>
  <c r="U20" i="14"/>
  <c r="U19" i="14"/>
  <c r="U18" i="14"/>
  <c r="U18" i="5"/>
  <c r="U19" i="5"/>
  <c r="U20" i="5"/>
  <c r="U21" i="5"/>
  <c r="U22" i="5"/>
  <c r="U23" i="5"/>
  <c r="U24" i="5"/>
  <c r="I32" i="17"/>
  <c r="K32" i="17"/>
  <c r="M32" i="17"/>
  <c r="O32" i="17"/>
  <c r="I31" i="17"/>
  <c r="K31" i="17"/>
  <c r="M31" i="17"/>
  <c r="O31" i="17"/>
  <c r="I30" i="17"/>
  <c r="K30" i="17"/>
  <c r="M30" i="17"/>
  <c r="O30" i="17"/>
  <c r="J32" i="17"/>
  <c r="L32" i="17"/>
  <c r="N32" i="17"/>
  <c r="P32" i="17"/>
  <c r="J31" i="17"/>
  <c r="L31" i="17"/>
  <c r="N31" i="17"/>
  <c r="P31" i="17"/>
  <c r="J30" i="17"/>
  <c r="L30" i="17"/>
  <c r="N30" i="17"/>
  <c r="P30" i="17"/>
  <c r="K21" i="6"/>
  <c r="L21" i="6"/>
  <c r="M21" i="6"/>
  <c r="M21" i="11" s="1"/>
  <c r="N21" i="6"/>
  <c r="N21" i="11" s="1"/>
  <c r="O21" i="6"/>
  <c r="O21" i="11" s="1"/>
  <c r="P21" i="6"/>
  <c r="P21" i="11" s="1"/>
  <c r="Q21" i="6"/>
  <c r="R21" i="6"/>
  <c r="K23" i="6"/>
  <c r="K23" i="11" s="1"/>
  <c r="L23" i="6"/>
  <c r="L23" i="11" s="1"/>
  <c r="L23" i="12" s="1"/>
  <c r="L23" i="14" s="1"/>
  <c r="M23" i="6"/>
  <c r="M23" i="11" s="1"/>
  <c r="M23" i="3"/>
  <c r="M23" i="15"/>
  <c r="N23" i="6"/>
  <c r="N23" i="11" s="1"/>
  <c r="N23" i="3"/>
  <c r="N23" i="15"/>
  <c r="O23" i="6"/>
  <c r="O23" i="11" s="1"/>
  <c r="O23" i="3"/>
  <c r="O23" i="15"/>
  <c r="P23" i="6"/>
  <c r="P23" i="11" s="1"/>
  <c r="P23" i="3"/>
  <c r="P23" i="15"/>
  <c r="Q23" i="6"/>
  <c r="R23" i="6"/>
  <c r="R23" i="11" s="1"/>
  <c r="M24" i="6"/>
  <c r="M24" i="11" s="1"/>
  <c r="N24" i="6"/>
  <c r="N24" i="11" s="1"/>
  <c r="O24" i="6"/>
  <c r="O24" i="11" s="1"/>
  <c r="P24" i="6"/>
  <c r="P24" i="11" s="1"/>
  <c r="Q24" i="6"/>
  <c r="Q24" i="11" s="1"/>
  <c r="R24" i="6"/>
  <c r="O24" i="9"/>
  <c r="H26" i="14"/>
  <c r="D26" i="14" s="1"/>
  <c r="H31" i="14"/>
  <c r="D31" i="14" s="1"/>
  <c r="L30" i="15"/>
  <c r="M17" i="1"/>
  <c r="M35" i="11"/>
  <c r="P32" i="11"/>
  <c r="P32" i="12" s="1"/>
  <c r="P32" i="14" s="1"/>
  <c r="O32" i="11"/>
  <c r="N32" i="11"/>
  <c r="M32" i="11"/>
  <c r="L32" i="11"/>
  <c r="G32" i="14"/>
  <c r="C32" i="14" s="1"/>
  <c r="P31" i="11"/>
  <c r="P31" i="12" s="1"/>
  <c r="P31" i="14" s="1"/>
  <c r="O31" i="11"/>
  <c r="N31" i="11"/>
  <c r="N31" i="3"/>
  <c r="M31" i="11"/>
  <c r="M31" i="12" s="1"/>
  <c r="M31" i="14" s="1"/>
  <c r="M31" i="3"/>
  <c r="L31" i="11"/>
  <c r="L31" i="3"/>
  <c r="K31" i="11"/>
  <c r="K31" i="3"/>
  <c r="G31" i="14"/>
  <c r="C31" i="14" s="1"/>
  <c r="P30" i="11"/>
  <c r="P30" i="12" s="1"/>
  <c r="P30" i="14" s="1"/>
  <c r="O30" i="11"/>
  <c r="N30" i="11"/>
  <c r="N30" i="3"/>
  <c r="L30" i="7"/>
  <c r="M30" i="11"/>
  <c r="M30" i="3"/>
  <c r="K30" i="7"/>
  <c r="H30" i="14"/>
  <c r="D30" i="14" s="1"/>
  <c r="P27" i="11"/>
  <c r="P27" i="12" s="1"/>
  <c r="P27" i="14" s="1"/>
  <c r="O27" i="11"/>
  <c r="O27" i="12" s="1"/>
  <c r="O27" i="14" s="1"/>
  <c r="N27" i="11"/>
  <c r="N27" i="3"/>
  <c r="M27" i="11"/>
  <c r="M27" i="3"/>
  <c r="R26" i="11"/>
  <c r="R26" i="12" s="1"/>
  <c r="Q26" i="11"/>
  <c r="Q26" i="12" s="1"/>
  <c r="Q26" i="14" s="1"/>
  <c r="P26" i="11"/>
  <c r="P26" i="3"/>
  <c r="P26" i="12"/>
  <c r="P26" i="14" s="1"/>
  <c r="O26" i="11"/>
  <c r="O26" i="3"/>
  <c r="N26" i="11"/>
  <c r="N26" i="3"/>
  <c r="M26" i="11"/>
  <c r="M26" i="3"/>
  <c r="P25" i="11"/>
  <c r="P25" i="12" s="1"/>
  <c r="P25" i="14" s="1"/>
  <c r="O25" i="11"/>
  <c r="O25" i="12" s="1"/>
  <c r="O25" i="14" s="1"/>
  <c r="N25" i="11"/>
  <c r="N25" i="3"/>
  <c r="M25" i="11"/>
  <c r="M25" i="3"/>
  <c r="N24" i="3"/>
  <c r="N24" i="12" s="1"/>
  <c r="N24" i="14" s="1"/>
  <c r="M24" i="3"/>
  <c r="I34" i="17"/>
  <c r="J30" i="10"/>
  <c r="M30" i="10"/>
  <c r="P30" i="10"/>
  <c r="L11" i="16"/>
  <c r="K11" i="16"/>
  <c r="K11" i="12" s="1"/>
  <c r="K11" i="14" s="1"/>
  <c r="L10" i="16"/>
  <c r="K10" i="16"/>
  <c r="L12" i="16"/>
  <c r="K12" i="16"/>
  <c r="K12" i="12" s="1"/>
  <c r="K12" i="14" s="1"/>
  <c r="K22" i="3"/>
  <c r="K22" i="12" s="1"/>
  <c r="K22" i="14" s="1"/>
  <c r="R27" i="3"/>
  <c r="R27" i="12" s="1"/>
  <c r="Q27" i="3"/>
  <c r="L27" i="3"/>
  <c r="K27" i="3"/>
  <c r="L26" i="3"/>
  <c r="L26" i="12" s="1"/>
  <c r="L26" i="14" s="1"/>
  <c r="K26" i="3"/>
  <c r="R25" i="3"/>
  <c r="Q25" i="3"/>
  <c r="L25" i="3"/>
  <c r="L25" i="12" s="1"/>
  <c r="L25" i="14" s="1"/>
  <c r="K25" i="3"/>
  <c r="K25" i="12"/>
  <c r="K25" i="14" s="1"/>
  <c r="L24" i="3"/>
  <c r="K24" i="3"/>
  <c r="L23" i="3"/>
  <c r="L23" i="15"/>
  <c r="K23" i="3"/>
  <c r="K23" i="15"/>
  <c r="L21" i="3"/>
  <c r="L21" i="15"/>
  <c r="R31" i="3"/>
  <c r="Q31" i="3"/>
  <c r="Q31" i="12" s="1"/>
  <c r="Q31" i="14" s="1"/>
  <c r="R30" i="3"/>
  <c r="R30" i="6"/>
  <c r="Q30" i="3"/>
  <c r="Q30" i="6"/>
  <c r="L30" i="3"/>
  <c r="K30" i="3"/>
  <c r="O17" i="7"/>
  <c r="Q17" i="12" s="1"/>
  <c r="Q17" i="14" s="1"/>
  <c r="N17" i="11"/>
  <c r="N17" i="12" s="1"/>
  <c r="M17" i="11"/>
  <c r="R12" i="11"/>
  <c r="P12" i="11"/>
  <c r="N12" i="11"/>
  <c r="N12" i="12" s="1"/>
  <c r="N12" i="14" s="1"/>
  <c r="R11" i="11"/>
  <c r="R11" i="12" s="1"/>
  <c r="N11" i="11"/>
  <c r="N11" i="12" s="1"/>
  <c r="N11" i="14" s="1"/>
  <c r="R10" i="11"/>
  <c r="R10" i="12" s="1"/>
  <c r="N10" i="11"/>
  <c r="N10" i="12" s="1"/>
  <c r="N10" i="14" s="1"/>
  <c r="P17" i="11"/>
  <c r="P17" i="12" s="1"/>
  <c r="P17" i="14" s="1"/>
  <c r="M11" i="16"/>
  <c r="M11" i="11"/>
  <c r="M12" i="16"/>
  <c r="M12" i="11"/>
  <c r="P27" i="3"/>
  <c r="O27" i="3"/>
  <c r="P25" i="3"/>
  <c r="O25" i="3"/>
  <c r="P24" i="3"/>
  <c r="R24" i="3"/>
  <c r="Q24" i="3"/>
  <c r="R26" i="3"/>
  <c r="Q26" i="3"/>
  <c r="Q23" i="3"/>
  <c r="Q23" i="15"/>
  <c r="M21" i="3"/>
  <c r="M21" i="15"/>
  <c r="R18" i="3"/>
  <c r="R18" i="15"/>
  <c r="P18" i="15"/>
  <c r="N18" i="15"/>
  <c r="R18" i="11"/>
  <c r="Q18" i="3"/>
  <c r="Q18" i="15"/>
  <c r="Q18" i="11"/>
  <c r="P18" i="3"/>
  <c r="P18" i="11"/>
  <c r="O18" i="3"/>
  <c r="O18" i="15"/>
  <c r="O18" i="12" s="1"/>
  <c r="O18" i="14" s="1"/>
  <c r="M18" i="15"/>
  <c r="O18" i="11"/>
  <c r="N18" i="3"/>
  <c r="N18" i="11"/>
  <c r="M18" i="3"/>
  <c r="M18" i="11"/>
  <c r="R19" i="3"/>
  <c r="R19" i="15"/>
  <c r="R19" i="12" s="1"/>
  <c r="P19" i="15"/>
  <c r="P19" i="12" s="1"/>
  <c r="P19" i="14" s="1"/>
  <c r="N19" i="15"/>
  <c r="N19" i="12" s="1"/>
  <c r="N19" i="14" s="1"/>
  <c r="R19" i="11"/>
  <c r="Q19" i="3"/>
  <c r="Q19" i="15"/>
  <c r="Q19" i="11"/>
  <c r="P19" i="3"/>
  <c r="P19" i="11"/>
  <c r="O19" i="3"/>
  <c r="O19" i="15"/>
  <c r="M19" i="15"/>
  <c r="O19" i="11"/>
  <c r="O19" i="12" s="1"/>
  <c r="O19" i="14" s="1"/>
  <c r="N19" i="3"/>
  <c r="N19" i="11"/>
  <c r="M19" i="3"/>
  <c r="M19" i="11"/>
  <c r="R21" i="3"/>
  <c r="R21" i="15"/>
  <c r="P21" i="15"/>
  <c r="N21" i="15"/>
  <c r="Q21" i="3"/>
  <c r="Q21" i="15"/>
  <c r="O21" i="15"/>
  <c r="P21" i="3"/>
  <c r="O21" i="3"/>
  <c r="N21" i="3"/>
  <c r="R23" i="3"/>
  <c r="R23" i="15"/>
  <c r="P31" i="3"/>
  <c r="O31" i="3"/>
  <c r="P30" i="3"/>
  <c r="O30" i="3"/>
  <c r="O30" i="16"/>
  <c r="P17" i="7"/>
  <c r="R17" i="11"/>
  <c r="M17" i="7"/>
  <c r="O17" i="12" s="1"/>
  <c r="O17" i="14" s="1"/>
  <c r="O17" i="11"/>
  <c r="N30" i="6"/>
  <c r="B20" i="6"/>
  <c r="B20" i="12" s="1"/>
  <c r="A20" i="6"/>
  <c r="A20" i="12" s="1"/>
  <c r="B7" i="15"/>
  <c r="B7" i="16"/>
  <c r="A7" i="15"/>
  <c r="A7" i="16"/>
  <c r="B16" i="15"/>
  <c r="B16" i="6"/>
  <c r="B16" i="12" s="1"/>
  <c r="D16" i="12" s="1"/>
  <c r="A16" i="15"/>
  <c r="A16" i="6"/>
  <c r="A16" i="12" s="1"/>
  <c r="C16" i="12" s="1"/>
  <c r="B15" i="15"/>
  <c r="B15" i="6"/>
  <c r="B15" i="12" s="1"/>
  <c r="D15" i="12" s="1"/>
  <c r="A15" i="15"/>
  <c r="A15" i="6"/>
  <c r="A15" i="12" s="1"/>
  <c r="C15" i="12" s="1"/>
  <c r="B14" i="15"/>
  <c r="B14" i="6"/>
  <c r="B14" i="12" s="1"/>
  <c r="D14" i="12" s="1"/>
  <c r="A14" i="15"/>
  <c r="A14" i="6"/>
  <c r="A14" i="12" s="1"/>
  <c r="C14" i="12" s="1"/>
  <c r="B13" i="15"/>
  <c r="B13" i="6"/>
  <c r="B13" i="12" s="1"/>
  <c r="D13" i="12" s="1"/>
  <c r="A13" i="15"/>
  <c r="A13" i="6"/>
  <c r="A13" i="12" s="1"/>
  <c r="C13" i="12" s="1"/>
  <c r="B9" i="15"/>
  <c r="B9" i="6"/>
  <c r="B9" i="12" s="1"/>
  <c r="D9" i="12" s="1"/>
  <c r="B9" i="16"/>
  <c r="A9" i="15"/>
  <c r="A9" i="6"/>
  <c r="A9" i="12" s="1"/>
  <c r="C9" i="12" s="1"/>
  <c r="A9" i="16"/>
  <c r="B8" i="15"/>
  <c r="B8" i="6"/>
  <c r="B8" i="12" s="1"/>
  <c r="D8" i="12" s="1"/>
  <c r="B8" i="16"/>
  <c r="A8" i="15"/>
  <c r="A8" i="6"/>
  <c r="A8" i="12" s="1"/>
  <c r="C8" i="12" s="1"/>
  <c r="A8" i="16"/>
  <c r="B6" i="15"/>
  <c r="B6" i="6"/>
  <c r="B6" i="12" s="1"/>
  <c r="B6" i="16"/>
  <c r="A6" i="15"/>
  <c r="A6" i="6"/>
  <c r="A6" i="12" s="1"/>
  <c r="A6" i="16"/>
  <c r="B17" i="15"/>
  <c r="B17" i="6"/>
  <c r="B17" i="12" s="1"/>
  <c r="D17" i="12" s="1"/>
  <c r="A17" i="15"/>
  <c r="A17" i="6"/>
  <c r="A17" i="12" s="1"/>
  <c r="C17" i="12" s="1"/>
  <c r="B18" i="6"/>
  <c r="B18" i="12" s="1"/>
  <c r="D18" i="12" s="1"/>
  <c r="A18" i="6"/>
  <c r="A18" i="12" s="1"/>
  <c r="C18" i="12" s="1"/>
  <c r="B19" i="6"/>
  <c r="B19" i="12" s="1"/>
  <c r="D19" i="12" s="1"/>
  <c r="A19" i="6"/>
  <c r="A19" i="12" s="1"/>
  <c r="C19" i="12" s="1"/>
  <c r="B10" i="15"/>
  <c r="B10" i="6"/>
  <c r="B10" i="12" s="1"/>
  <c r="D10" i="12" s="1"/>
  <c r="B11" i="15"/>
  <c r="B11" i="6"/>
  <c r="B11" i="12" s="1"/>
  <c r="D11" i="12" s="1"/>
  <c r="B12" i="15"/>
  <c r="B12" i="6"/>
  <c r="B12" i="12" s="1"/>
  <c r="D12" i="12" s="1"/>
  <c r="A10" i="15"/>
  <c r="A10" i="6"/>
  <c r="A10" i="12" s="1"/>
  <c r="C10" i="12" s="1"/>
  <c r="A11" i="15"/>
  <c r="A11" i="6"/>
  <c r="A11" i="12" s="1"/>
  <c r="C11" i="12" s="1"/>
  <c r="A12" i="15"/>
  <c r="A12" i="6"/>
  <c r="A12" i="12" s="1"/>
  <c r="C12" i="12" s="1"/>
  <c r="R32" i="3"/>
  <c r="P32" i="3"/>
  <c r="N32" i="3"/>
  <c r="L32" i="3"/>
  <c r="L32" i="6"/>
  <c r="K32" i="6"/>
  <c r="R17" i="12"/>
  <c r="P18" i="12"/>
  <c r="P18" i="14" s="1"/>
  <c r="R18" i="12"/>
  <c r="M17" i="12"/>
  <c r="M17" i="14" s="1"/>
  <c r="K21" i="11"/>
  <c r="K21" i="12" s="1"/>
  <c r="K21" i="14" s="1"/>
  <c r="T35" i="5"/>
  <c r="V35" i="5" s="1"/>
  <c r="T33" i="5"/>
  <c r="V33" i="5" s="1"/>
  <c r="R12" i="12"/>
  <c r="L12" i="12"/>
  <c r="L12" i="14" s="1"/>
  <c r="L11" i="12"/>
  <c r="L11" i="14" s="1"/>
  <c r="T34" i="5"/>
  <c r="V34" i="5" s="1"/>
  <c r="M18" i="12"/>
  <c r="M18" i="14" s="1"/>
  <c r="Q21" i="11"/>
  <c r="Q21" i="12" s="1"/>
  <c r="Q23" i="11"/>
  <c r="Q23" i="12" s="1"/>
  <c r="T34" i="14"/>
  <c r="V34" i="14" s="1"/>
  <c r="D36" i="10" l="1"/>
  <c r="J36" i="12"/>
  <c r="D36" i="12" s="1"/>
  <c r="C35" i="10"/>
  <c r="I35" i="12"/>
  <c r="C35" i="12" s="1"/>
  <c r="D33" i="10"/>
  <c r="J33" i="12"/>
  <c r="D33" i="12" s="1"/>
  <c r="D34" i="10"/>
  <c r="J34" i="12"/>
  <c r="D34" i="12" s="1"/>
  <c r="D35" i="10"/>
  <c r="J35" i="12"/>
  <c r="D35" i="12" s="1"/>
  <c r="C36" i="10"/>
  <c r="I36" i="12"/>
  <c r="C36" i="12" s="1"/>
  <c r="C33" i="10"/>
  <c r="I33" i="12"/>
  <c r="C33" i="12" s="1"/>
  <c r="C34" i="10"/>
  <c r="I34" i="12"/>
  <c r="C34" i="12" s="1"/>
  <c r="C6" i="6"/>
  <c r="I6" i="12"/>
  <c r="C6" i="12" s="1"/>
  <c r="D6" i="6"/>
  <c r="J6" i="12"/>
  <c r="D6" i="12" s="1"/>
  <c r="Q102" i="5"/>
  <c r="Q101" i="5"/>
  <c r="Q100" i="5"/>
  <c r="R99" i="5"/>
  <c r="F70" i="14"/>
  <c r="F41" i="14"/>
  <c r="D41" i="14"/>
  <c r="Q24" i="12"/>
  <c r="Q24" i="14" s="1"/>
  <c r="R19" i="14"/>
  <c r="R27" i="14"/>
  <c r="R22" i="14"/>
  <c r="R13" i="14"/>
  <c r="R14" i="14"/>
  <c r="R15" i="14"/>
  <c r="R16" i="14"/>
  <c r="R12" i="14"/>
  <c r="R18" i="14"/>
  <c r="R17" i="14"/>
  <c r="R10" i="14"/>
  <c r="R11" i="14"/>
  <c r="J11" i="14" s="1"/>
  <c r="B11" i="14" s="1"/>
  <c r="R26" i="14"/>
  <c r="R29" i="14"/>
  <c r="R7" i="14"/>
  <c r="R9" i="14"/>
  <c r="I28" i="14"/>
  <c r="V36" i="14"/>
  <c r="J19" i="14"/>
  <c r="B19" i="14" s="1"/>
  <c r="V42" i="14"/>
  <c r="I17" i="14"/>
  <c r="I22" i="14"/>
  <c r="R30" i="12"/>
  <c r="K27" i="12"/>
  <c r="K27" i="14" s="1"/>
  <c r="L24" i="12"/>
  <c r="L24" i="14" s="1"/>
  <c r="K26" i="12"/>
  <c r="K26" i="14" s="1"/>
  <c r="Q27" i="12"/>
  <c r="Q27" i="14" s="1"/>
  <c r="M25" i="12"/>
  <c r="M25" i="14" s="1"/>
  <c r="G62" i="14"/>
  <c r="N32" i="12"/>
  <c r="N32" i="14" s="1"/>
  <c r="K32" i="12"/>
  <c r="K32" i="14" s="1"/>
  <c r="O32" i="12"/>
  <c r="O32" i="14" s="1"/>
  <c r="O31" i="12"/>
  <c r="O31" i="14" s="1"/>
  <c r="R32" i="12"/>
  <c r="L27" i="12"/>
  <c r="L27" i="14" s="1"/>
  <c r="M11" i="12"/>
  <c r="M11" i="14" s="1"/>
  <c r="I11" i="14" s="1"/>
  <c r="M12" i="12"/>
  <c r="M12" i="14" s="1"/>
  <c r="K10" i="12"/>
  <c r="K10" i="14" s="1"/>
  <c r="L10" i="12"/>
  <c r="L10" i="14" s="1"/>
  <c r="O30" i="12"/>
  <c r="O30" i="14" s="1"/>
  <c r="K23" i="12"/>
  <c r="K23" i="14" s="1"/>
  <c r="K24" i="12"/>
  <c r="K24" i="14" s="1"/>
  <c r="P24" i="12"/>
  <c r="P24" i="14" s="1"/>
  <c r="P21" i="12"/>
  <c r="P21" i="14" s="1"/>
  <c r="R100" i="5"/>
  <c r="R102" i="5"/>
  <c r="P33" i="12"/>
  <c r="P33" i="14" s="1"/>
  <c r="L36" i="12"/>
  <c r="L36" i="14" s="1"/>
  <c r="O21" i="12"/>
  <c r="O21" i="14" s="1"/>
  <c r="Q18" i="12"/>
  <c r="Q18" i="14" s="1"/>
  <c r="G63" i="14"/>
  <c r="M35" i="12"/>
  <c r="M35" i="14" s="1"/>
  <c r="H34" i="14"/>
  <c r="O36" i="12"/>
  <c r="O36" i="14" s="1"/>
  <c r="N36" i="12"/>
  <c r="N36" i="14" s="1"/>
  <c r="H64" i="14"/>
  <c r="G65" i="14"/>
  <c r="Q30" i="12"/>
  <c r="Q30" i="14" s="1"/>
  <c r="R20" i="14"/>
  <c r="R36" i="12"/>
  <c r="R6" i="14"/>
  <c r="O7" i="14"/>
  <c r="N7" i="14"/>
  <c r="K8" i="14"/>
  <c r="R8" i="14"/>
  <c r="O9" i="14"/>
  <c r="N9" i="14"/>
  <c r="J9" i="14" s="1"/>
  <c r="M13" i="14"/>
  <c r="L13" i="14"/>
  <c r="Q14" i="14"/>
  <c r="P14" i="14"/>
  <c r="M15" i="14"/>
  <c r="L15" i="14"/>
  <c r="Q16" i="14"/>
  <c r="P16" i="14"/>
  <c r="P12" i="12"/>
  <c r="P12" i="14" s="1"/>
  <c r="T25" i="5"/>
  <c r="V25" i="5" s="1"/>
  <c r="R21" i="11"/>
  <c r="N21" i="12"/>
  <c r="N21" i="14" s="1"/>
  <c r="L32" i="12"/>
  <c r="L32" i="14" s="1"/>
  <c r="R23" i="12"/>
  <c r="Q19" i="12"/>
  <c r="Q19" i="14" s="1"/>
  <c r="N18" i="12"/>
  <c r="N18" i="14" s="1"/>
  <c r="M21" i="12"/>
  <c r="M21" i="14" s="1"/>
  <c r="K30" i="12"/>
  <c r="K30" i="14" s="1"/>
  <c r="L21" i="11"/>
  <c r="L21" i="12" s="1"/>
  <c r="L21" i="14" s="1"/>
  <c r="M6" i="14"/>
  <c r="K20" i="14"/>
  <c r="E64" i="14"/>
  <c r="H36" i="14"/>
  <c r="F36" i="14" s="1"/>
  <c r="Q36" i="12"/>
  <c r="Q36" i="14" s="1"/>
  <c r="R21" i="12"/>
  <c r="M36" i="12"/>
  <c r="M36" i="14" s="1"/>
  <c r="T29" i="5"/>
  <c r="V29" i="5" s="1"/>
  <c r="P36" i="12"/>
  <c r="P36" i="14" s="1"/>
  <c r="K36" i="12"/>
  <c r="K36" i="14" s="1"/>
  <c r="Q32" i="12"/>
  <c r="Q32" i="14" s="1"/>
  <c r="N26" i="12"/>
  <c r="N26" i="14" s="1"/>
  <c r="J26" i="14" s="1"/>
  <c r="N30" i="12"/>
  <c r="N30" i="14" s="1"/>
  <c r="R31" i="12"/>
  <c r="Q25" i="12"/>
  <c r="Q25" i="14" s="1"/>
  <c r="L34" i="12"/>
  <c r="L34" i="14" s="1"/>
  <c r="T28" i="5"/>
  <c r="V28" i="5" s="1"/>
  <c r="E69" i="14"/>
  <c r="R25" i="12"/>
  <c r="K31" i="12"/>
  <c r="K31" i="14" s="1"/>
  <c r="M34" i="12"/>
  <c r="M34" i="14" s="1"/>
  <c r="L33" i="12"/>
  <c r="L33" i="14" s="1"/>
  <c r="R24" i="12"/>
  <c r="P34" i="12"/>
  <c r="P34" i="14" s="1"/>
  <c r="N35" i="12"/>
  <c r="N35" i="14" s="1"/>
  <c r="L35" i="12"/>
  <c r="L35" i="14" s="1"/>
  <c r="M27" i="12"/>
  <c r="M27" i="14" s="1"/>
  <c r="A20" i="18"/>
  <c r="M30" i="12"/>
  <c r="M30" i="14" s="1"/>
  <c r="M19" i="12"/>
  <c r="B63" i="12"/>
  <c r="B65" i="12"/>
  <c r="A65" i="12"/>
  <c r="B62" i="14"/>
  <c r="B64" i="14"/>
  <c r="B66" i="14"/>
  <c r="B68" i="14"/>
  <c r="B70" i="14"/>
  <c r="A62" i="14"/>
  <c r="A64" i="14"/>
  <c r="A66" i="14"/>
  <c r="A68" i="14"/>
  <c r="A70" i="14"/>
  <c r="J63" i="12"/>
  <c r="J65" i="12"/>
  <c r="I64" i="12"/>
  <c r="H33" i="14"/>
  <c r="M24" i="12"/>
  <c r="M24" i="14" s="1"/>
  <c r="M26" i="12"/>
  <c r="M26" i="14" s="1"/>
  <c r="P23" i="12"/>
  <c r="P23" i="14" s="1"/>
  <c r="O23" i="12"/>
  <c r="O23" i="14" s="1"/>
  <c r="N23" i="12"/>
  <c r="N23" i="14" s="1"/>
  <c r="M23" i="12"/>
  <c r="M23" i="14" s="1"/>
  <c r="Q33" i="12"/>
  <c r="Q33" i="14" s="1"/>
  <c r="A10" i="18"/>
  <c r="A12" i="18"/>
  <c r="A14" i="18"/>
  <c r="A16" i="18"/>
  <c r="A18" i="18"/>
  <c r="B62" i="12"/>
  <c r="B63" i="14"/>
  <c r="B65" i="14"/>
  <c r="B67" i="14"/>
  <c r="B69" i="14"/>
  <c r="B71" i="14"/>
  <c r="A63" i="14"/>
  <c r="A65" i="14"/>
  <c r="A67" i="14"/>
  <c r="A69" i="14"/>
  <c r="A71" i="14"/>
  <c r="J64" i="12"/>
  <c r="I63" i="12"/>
  <c r="I65" i="12"/>
  <c r="B60" i="12"/>
  <c r="B64" i="12"/>
  <c r="A64" i="12"/>
  <c r="D61" i="12"/>
  <c r="B61" i="12"/>
  <c r="N17" i="14"/>
  <c r="J17" i="14" s="1"/>
  <c r="A22" i="14"/>
  <c r="O26" i="12"/>
  <c r="O26" i="14" s="1"/>
  <c r="L31" i="12"/>
  <c r="L31" i="14" s="1"/>
  <c r="T32" i="5"/>
  <c r="V32" i="5" s="1"/>
  <c r="T31" i="5"/>
  <c r="V31" i="5" s="1"/>
  <c r="F66" i="14"/>
  <c r="E66" i="14"/>
  <c r="O33" i="12"/>
  <c r="O33" i="14" s="1"/>
  <c r="K33" i="12"/>
  <c r="K33" i="14" s="1"/>
  <c r="O34" i="12"/>
  <c r="O34" i="14" s="1"/>
  <c r="N34" i="12"/>
  <c r="N34" i="14" s="1"/>
  <c r="K35" i="12"/>
  <c r="K35" i="14" s="1"/>
  <c r="M33" i="12"/>
  <c r="M33" i="14" s="1"/>
  <c r="K34" i="12"/>
  <c r="K34" i="14" s="1"/>
  <c r="Q35" i="12"/>
  <c r="Q35" i="14" s="1"/>
  <c r="O35" i="12"/>
  <c r="O35" i="14" s="1"/>
  <c r="N33" i="12"/>
  <c r="N33" i="14" s="1"/>
  <c r="P35" i="12"/>
  <c r="M29" i="14"/>
  <c r="I29" i="14" s="1"/>
  <c r="B11" i="18"/>
  <c r="B13" i="18"/>
  <c r="B15" i="18"/>
  <c r="B17" i="18"/>
  <c r="B19" i="18"/>
  <c r="B21" i="18"/>
  <c r="B23" i="18"/>
  <c r="A11" i="18"/>
  <c r="A13" i="18"/>
  <c r="A15" i="18"/>
  <c r="A17" i="18"/>
  <c r="A19" i="18"/>
  <c r="A21" i="18"/>
  <c r="A23" i="18"/>
  <c r="R28" i="14"/>
  <c r="T19" i="5"/>
  <c r="V19" i="5" s="1"/>
  <c r="T24" i="5"/>
  <c r="V24" i="5" s="1"/>
  <c r="Q21" i="14"/>
  <c r="I71" i="14"/>
  <c r="C71" i="14"/>
  <c r="D42" i="15"/>
  <c r="C42" i="15"/>
  <c r="D42" i="4"/>
  <c r="C42" i="4"/>
  <c r="D42" i="5"/>
  <c r="C42" i="5"/>
  <c r="D42" i="6"/>
  <c r="C42" i="6"/>
  <c r="D42" i="7"/>
  <c r="C42" i="7"/>
  <c r="D42" i="8"/>
  <c r="C42" i="8"/>
  <c r="D42" i="9"/>
  <c r="C42" i="9"/>
  <c r="C42" i="10"/>
  <c r="D42" i="16"/>
  <c r="C42" i="16"/>
  <c r="D42" i="18"/>
  <c r="C42" i="18"/>
  <c r="D42" i="17"/>
  <c r="C42" i="17"/>
  <c r="C42" i="11"/>
  <c r="H25" i="14"/>
  <c r="D25" i="14" s="1"/>
  <c r="N31" i="12"/>
  <c r="L22" i="14"/>
  <c r="T18" i="5"/>
  <c r="V18" i="5" s="1"/>
  <c r="T20" i="5"/>
  <c r="V20" i="5" s="1"/>
  <c r="T21" i="5"/>
  <c r="V21" i="5" s="1"/>
  <c r="T27" i="5"/>
  <c r="V27" i="5" s="1"/>
  <c r="Q23" i="14"/>
  <c r="A17" i="14"/>
  <c r="G24" i="14"/>
  <c r="C24" i="14" s="1"/>
  <c r="G27" i="14"/>
  <c r="C27" i="14" s="1"/>
  <c r="R34" i="12"/>
  <c r="E53" i="5"/>
  <c r="N25" i="12"/>
  <c r="N27" i="12"/>
  <c r="T22" i="5"/>
  <c r="V22" i="5" s="1"/>
  <c r="T23" i="5"/>
  <c r="V23" i="5" s="1"/>
  <c r="T26" i="5"/>
  <c r="V26" i="5" s="1"/>
  <c r="M32" i="12"/>
  <c r="G28" i="14"/>
  <c r="G29" i="14"/>
  <c r="C29" i="14" s="1"/>
  <c r="Q34" i="12"/>
  <c r="N29" i="14"/>
  <c r="R33" i="12"/>
  <c r="R35" i="12"/>
  <c r="O24" i="12"/>
  <c r="I25" i="14" l="1"/>
  <c r="J16" i="14"/>
  <c r="B16" i="14" s="1"/>
  <c r="J14" i="14"/>
  <c r="E65" i="14"/>
  <c r="E70" i="14"/>
  <c r="E41" i="14"/>
  <c r="C41" i="14"/>
  <c r="R31" i="14"/>
  <c r="R21" i="14"/>
  <c r="J21" i="14" s="1"/>
  <c r="B21" i="14" s="1"/>
  <c r="R23" i="14"/>
  <c r="J23" i="14" s="1"/>
  <c r="B23" i="14" s="1"/>
  <c r="P35" i="14"/>
  <c r="R24" i="14"/>
  <c r="J24" i="14" s="1"/>
  <c r="B24" i="14" s="1"/>
  <c r="R25" i="14"/>
  <c r="R36" i="14"/>
  <c r="R32" i="14"/>
  <c r="R30" i="14"/>
  <c r="I23" i="14"/>
  <c r="I21" i="14"/>
  <c r="I26" i="14"/>
  <c r="I31" i="14"/>
  <c r="J8" i="14"/>
  <c r="B8" i="14" s="1"/>
  <c r="J6" i="14"/>
  <c r="B6" i="14" s="1"/>
  <c r="I30" i="14"/>
  <c r="I18" i="14"/>
  <c r="A18" i="14" s="1"/>
  <c r="I27" i="14"/>
  <c r="A27" i="14" s="1"/>
  <c r="I15" i="14"/>
  <c r="A15" i="14" s="1"/>
  <c r="I12" i="14"/>
  <c r="A12" i="14" s="1"/>
  <c r="J29" i="14"/>
  <c r="B29" i="14" s="1"/>
  <c r="J12" i="14"/>
  <c r="B12" i="14" s="1"/>
  <c r="I8" i="14"/>
  <c r="A8" i="14" s="1"/>
  <c r="I6" i="14"/>
  <c r="A6" i="14" s="1"/>
  <c r="J28" i="14"/>
  <c r="B28" i="14" s="1"/>
  <c r="F54" i="14" s="1"/>
  <c r="I35" i="14"/>
  <c r="C35" i="14" s="1"/>
  <c r="B17" i="14"/>
  <c r="I33" i="14"/>
  <c r="B26" i="14"/>
  <c r="I36" i="14"/>
  <c r="C36" i="14" s="1"/>
  <c r="I16" i="14"/>
  <c r="A16" i="14" s="1"/>
  <c r="B14" i="14"/>
  <c r="I14" i="14"/>
  <c r="A14" i="14" s="1"/>
  <c r="B9" i="14"/>
  <c r="J36" i="14"/>
  <c r="D36" i="14" s="1"/>
  <c r="J20" i="14"/>
  <c r="B20" i="14" s="1"/>
  <c r="A11" i="14"/>
  <c r="J32" i="14"/>
  <c r="J30" i="14"/>
  <c r="I20" i="14"/>
  <c r="A20" i="14" s="1"/>
  <c r="I13" i="14"/>
  <c r="A13" i="14" s="1"/>
  <c r="I10" i="14"/>
  <c r="A10" i="14" s="1"/>
  <c r="J7" i="14"/>
  <c r="B7" i="14" s="1"/>
  <c r="J10" i="14"/>
  <c r="B10" i="14" s="1"/>
  <c r="J18" i="14"/>
  <c r="B18" i="14" s="1"/>
  <c r="J15" i="14"/>
  <c r="B15" i="14" s="1"/>
  <c r="J13" i="14"/>
  <c r="B13" i="14" s="1"/>
  <c r="I9" i="14"/>
  <c r="A9" i="14" s="1"/>
  <c r="I7" i="14"/>
  <c r="A7" i="14" s="1"/>
  <c r="J22" i="14"/>
  <c r="B22" i="14" s="1"/>
  <c r="T22" i="14" s="1"/>
  <c r="V22" i="14" s="1"/>
  <c r="B30" i="14"/>
  <c r="D64" i="12"/>
  <c r="G33" i="14"/>
  <c r="A25" i="14"/>
  <c r="E62" i="14"/>
  <c r="A31" i="14"/>
  <c r="F63" i="14"/>
  <c r="E63" i="14"/>
  <c r="G34" i="14"/>
  <c r="F64" i="14"/>
  <c r="T30" i="5"/>
  <c r="V30" i="5" s="1"/>
  <c r="V52" i="5" s="1"/>
  <c r="H63" i="14"/>
  <c r="G36" i="14"/>
  <c r="E36" i="14" s="1"/>
  <c r="H35" i="14"/>
  <c r="F35" i="14" s="1"/>
  <c r="C65" i="14"/>
  <c r="A21" i="14"/>
  <c r="H62" i="14"/>
  <c r="G64" i="14"/>
  <c r="G26" i="14"/>
  <c r="C26" i="14" s="1"/>
  <c r="A23" i="14"/>
  <c r="D65" i="14"/>
  <c r="G35" i="14"/>
  <c r="F62" i="14"/>
  <c r="C64" i="12"/>
  <c r="D60" i="12"/>
  <c r="H65" i="14"/>
  <c r="F65" i="14"/>
  <c r="M19" i="14"/>
  <c r="I19" i="14" s="1"/>
  <c r="J59" i="12"/>
  <c r="I58" i="12"/>
  <c r="I62" i="14"/>
  <c r="J58" i="12"/>
  <c r="I56" i="12"/>
  <c r="J56" i="12"/>
  <c r="I57" i="12"/>
  <c r="J57" i="12"/>
  <c r="I59" i="12"/>
  <c r="C65" i="12"/>
  <c r="D65" i="12"/>
  <c r="C64" i="14"/>
  <c r="C33" i="14"/>
  <c r="D63" i="12"/>
  <c r="D62" i="12"/>
  <c r="A29" i="14"/>
  <c r="N31" i="14"/>
  <c r="J31" i="14" s="1"/>
  <c r="O24" i="14"/>
  <c r="R35" i="14"/>
  <c r="C28" i="14"/>
  <c r="A28" i="14" s="1"/>
  <c r="N25" i="14"/>
  <c r="J25" i="14" s="1"/>
  <c r="R34" i="14"/>
  <c r="H32" i="14"/>
  <c r="R33" i="14"/>
  <c r="Q34" i="14"/>
  <c r="M32" i="14"/>
  <c r="I32" i="14" s="1"/>
  <c r="N27" i="14"/>
  <c r="G30" i="14"/>
  <c r="C30" i="14" s="1"/>
  <c r="T20" i="14" l="1"/>
  <c r="V20" i="14" s="1"/>
  <c r="T18" i="14"/>
  <c r="V18" i="14" s="1"/>
  <c r="I34" i="14"/>
  <c r="C34" i="14" s="1"/>
  <c r="T28" i="14"/>
  <c r="V28" i="14" s="1"/>
  <c r="J33" i="14"/>
  <c r="D33" i="14" s="1"/>
  <c r="B31" i="14"/>
  <c r="T31" i="14" s="1"/>
  <c r="V31" i="14" s="1"/>
  <c r="J27" i="14"/>
  <c r="B27" i="14" s="1"/>
  <c r="T27" i="14" s="1"/>
  <c r="V27" i="14" s="1"/>
  <c r="A32" i="14"/>
  <c r="E58" i="14" s="1"/>
  <c r="J34" i="14"/>
  <c r="D34" i="14" s="1"/>
  <c r="B25" i="14"/>
  <c r="T25" i="14" s="1"/>
  <c r="V25" i="14" s="1"/>
  <c r="J35" i="14"/>
  <c r="D35" i="14" s="1"/>
  <c r="I24" i="14"/>
  <c r="A24" i="14" s="1"/>
  <c r="T24" i="14" s="1"/>
  <c r="V24" i="14" s="1"/>
  <c r="T29" i="14"/>
  <c r="V29" i="14" s="1"/>
  <c r="A19" i="14"/>
  <c r="T19" i="14" s="1"/>
  <c r="V19" i="14" s="1"/>
  <c r="E33" i="14"/>
  <c r="E59" i="14" s="1"/>
  <c r="F34" i="14"/>
  <c r="F60" i="14" s="1"/>
  <c r="E34" i="14"/>
  <c r="E60" i="14" s="1"/>
  <c r="T21" i="14"/>
  <c r="V21" i="14" s="1"/>
  <c r="C62" i="14"/>
  <c r="I65" i="14"/>
  <c r="J65" i="14"/>
  <c r="I64" i="14"/>
  <c r="A26" i="14"/>
  <c r="T26" i="14" s="1"/>
  <c r="V26" i="14" s="1"/>
  <c r="A30" i="14"/>
  <c r="T30" i="14" s="1"/>
  <c r="V30" i="14" s="1"/>
  <c r="F33" i="14"/>
  <c r="F59" i="14" s="1"/>
  <c r="T23" i="14"/>
  <c r="V23" i="14" s="1"/>
  <c r="E35" i="14"/>
  <c r="E61" i="14" s="1"/>
  <c r="D64" i="14"/>
  <c r="J64" i="14"/>
  <c r="I63" i="14"/>
  <c r="C63" i="14"/>
  <c r="J62" i="14"/>
  <c r="D62" i="14"/>
  <c r="J63" i="14"/>
  <c r="D63" i="14"/>
  <c r="F61" i="14"/>
  <c r="D32" i="14"/>
  <c r="B32" i="14" s="1"/>
  <c r="E54" i="14"/>
  <c r="T32" i="14" l="1"/>
  <c r="V32" i="14" s="1"/>
  <c r="V52" i="14" s="1"/>
  <c r="U52" i="14" s="1"/>
  <c r="F58" i="14"/>
  <c r="A60" i="12"/>
  <c r="A59" i="12"/>
  <c r="A61" i="12"/>
  <c r="A58" i="12"/>
  <c r="A57" i="12"/>
  <c r="A63" i="12"/>
  <c r="A62" i="12"/>
  <c r="C63" i="12"/>
  <c r="C61" i="12"/>
  <c r="C59" i="12"/>
  <c r="C57" i="12"/>
  <c r="C62" i="12"/>
  <c r="C60" i="12"/>
  <c r="C58" i="12"/>
  <c r="B58" i="12"/>
  <c r="B57" i="12"/>
  <c r="B59" i="12"/>
  <c r="D58" i="12"/>
  <c r="D59" i="12"/>
  <c r="D57" i="12"/>
  <c r="A56" i="12"/>
  <c r="C56" i="12"/>
  <c r="B56" i="12"/>
  <c r="D71" i="14"/>
  <c r="D56" i="12" l="1"/>
  <c r="J71" i="14"/>
  <c r="I66" i="14"/>
  <c r="I67" i="14"/>
  <c r="I68" i="14"/>
  <c r="I69" i="14"/>
  <c r="J66" i="14"/>
  <c r="J67" i="14"/>
  <c r="J68" i="14"/>
  <c r="J69" i="14"/>
  <c r="D69" i="14" l="1"/>
  <c r="D68" i="14"/>
  <c r="D67" i="14"/>
  <c r="D66" i="14"/>
  <c r="C69" i="14"/>
  <c r="C68" i="14"/>
  <c r="C67" i="14"/>
  <c r="C66" i="14"/>
  <c r="C70" i="14"/>
  <c r="I70" i="14" l="1"/>
  <c r="J70" i="14"/>
  <c r="D70" i="14"/>
  <c r="A30" i="12"/>
  <c r="C30" i="12" s="1"/>
</calcChain>
</file>

<file path=xl/comments1.xml><?xml version="1.0" encoding="utf-8"?>
<comments xmlns="http://schemas.openxmlformats.org/spreadsheetml/2006/main">
  <authors>
    <author>alaiexp</author>
  </authors>
  <commentList>
    <comment ref="S21" authorId="0" shapeId="0">
      <text>
        <r>
          <rPr>
            <b/>
            <sz val="8"/>
            <color indexed="81"/>
            <rFont val="Tahoma"/>
            <family val="2"/>
          </rPr>
          <t>alaiexp
.قبلا جزو ارقام سایر انواع می آمده است</t>
        </r>
      </text>
    </comment>
    <comment ref="S22" authorId="0" shapeId="0">
      <text>
        <r>
          <rPr>
            <b/>
            <sz val="8"/>
            <color indexed="81"/>
            <rFont val="Tahoma"/>
            <family val="2"/>
          </rPr>
          <t>alaiexp
.قبلا جزو ارقام سایر انواع می آمده است</t>
        </r>
      </text>
    </comment>
    <comment ref="S23" authorId="0" shapeId="0">
      <text>
        <r>
          <rPr>
            <b/>
            <sz val="8"/>
            <color indexed="81"/>
            <rFont val="Tahoma"/>
            <family val="2"/>
          </rPr>
          <t>alaiexp
.قبلا جزو ارقام سایر انواع می آمده است</t>
        </r>
      </text>
    </comment>
    <comment ref="S24" authorId="0" shapeId="0">
      <text>
        <r>
          <rPr>
            <b/>
            <sz val="8"/>
            <color indexed="81"/>
            <rFont val="Tahoma"/>
            <family val="2"/>
          </rPr>
          <t>alaiexp
.قبلا جزو ارقام سایر انواع می آمده است</t>
        </r>
      </text>
    </comment>
  </commentList>
</comments>
</file>

<file path=xl/comments2.xml><?xml version="1.0" encoding="utf-8"?>
<comments xmlns="http://schemas.openxmlformats.org/spreadsheetml/2006/main">
  <authors>
    <author>alaiexp</author>
  </authors>
  <commentList>
    <comment ref="Q30"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Q31"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Q32"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List>
</comments>
</file>

<file path=xl/comments3.xml><?xml version="1.0" encoding="utf-8"?>
<comments xmlns="http://schemas.openxmlformats.org/spreadsheetml/2006/main">
  <authors>
    <author>alaiexp</author>
  </authors>
  <commentList>
    <comment ref="S30"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S31"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 ref="S32" authorId="0" shapeId="0">
      <text>
        <r>
          <rPr>
            <b/>
            <sz val="8"/>
            <color indexed="81"/>
            <rFont val="Tahoma"/>
            <family val="2"/>
          </rPr>
          <t>alaiexp:</t>
        </r>
        <r>
          <rPr>
            <sz val="8"/>
            <color indexed="81"/>
            <rFont val="Tahoma"/>
            <family val="2"/>
          </rPr>
          <t xml:space="preserve">
 رشته نفت و انرژی از سال 1378 فعالیت خود را شروع کرده و ارقام ان قبلا با سه رشته آتش سوزی - مهندسی و مسئولیت ترکیب می شده است لذا رقم نفت و انرژی چون تفکیک نشده و به نوعی در این سه رشته لحاظ شده است از سال 1378 تا1380 شیت مربوط به این رشته در جمع غیر زندگی لحاظ نشد ولی به ذکر ارقام نفت وانرژی برای تصریح در فعالیت صنعت بیمه جداگانه اشاره شده است</t>
        </r>
      </text>
    </comment>
  </commentList>
</comments>
</file>

<file path=xl/sharedStrings.xml><?xml version="1.0" encoding="utf-8"?>
<sst xmlns="http://schemas.openxmlformats.org/spreadsheetml/2006/main" count="601" uniqueCount="64">
  <si>
    <t xml:space="preserve">حق بيمه </t>
  </si>
  <si>
    <t>خسارت</t>
  </si>
  <si>
    <t>بيمه ايران</t>
  </si>
  <si>
    <t>بيمه آسيا</t>
  </si>
  <si>
    <t>بيمه البرز</t>
  </si>
  <si>
    <t>بيمه دانا</t>
  </si>
  <si>
    <t>بيمه صادرات وسرمايه گذاري</t>
  </si>
  <si>
    <t>صنعت بيمه كشور</t>
  </si>
  <si>
    <t>سال</t>
  </si>
  <si>
    <t>عملكرد صنعت بيمه كشور در رشته هاي غيرزندگي</t>
  </si>
  <si>
    <t xml:space="preserve">عملكرد صنعت بيمه كشور </t>
  </si>
  <si>
    <t>عملكرد صنعت بيمه كشور در رشته  آتش سوزي</t>
  </si>
  <si>
    <t xml:space="preserve">عملكرد صنعت بيمه كشور در رشته حوادث </t>
  </si>
  <si>
    <t>عملكرد صنعت بيمه كشور در رشته  نفت و انرژی</t>
  </si>
  <si>
    <t>آمار سالهای 1368 و1370 موجود نمی باشد.</t>
  </si>
  <si>
    <t>zarib</t>
  </si>
  <si>
    <t>diff</t>
  </si>
  <si>
    <t>los ratio</t>
  </si>
  <si>
    <t>loss proportion</t>
  </si>
  <si>
    <t>رشد حق بيمه</t>
  </si>
  <si>
    <t>رشد خسارت</t>
  </si>
  <si>
    <t>بخش دولتي</t>
  </si>
  <si>
    <t>شركت هاي خصوصي</t>
  </si>
  <si>
    <t>nesbat</t>
  </si>
  <si>
    <t>حق بيمه تولیدی</t>
  </si>
  <si>
    <t>خسارت پرداختی</t>
  </si>
  <si>
    <t>عملكرد صنعت بيمه كشور در رشته شخص ثالث و مازاد</t>
  </si>
  <si>
    <t>عملكرد صنعت بيمه كشور در رشته  بدنه اتومبيل</t>
  </si>
  <si>
    <t>عملكرد صنعت بيمه كشور در رشته اعتبار</t>
  </si>
  <si>
    <t>*1368</t>
  </si>
  <si>
    <t>*</t>
  </si>
  <si>
    <t>*1361</t>
  </si>
  <si>
    <t xml:space="preserve">از سال 1389 به بعد، بازار دولتي شامل فعاليت بيمه ايران مي باشد و قبل از آن مشتمل بر فعاليت اين شركت به همراه شركت هاي بيمه  دانا ، آسيا و البرز است.  </t>
  </si>
  <si>
    <t>بخش غيردولتی</t>
  </si>
  <si>
    <t>حق بيمه توليدی</t>
  </si>
  <si>
    <t>عملكرد صنعت بيمه كشور در رشته باربري</t>
  </si>
  <si>
    <t>عملكرد صنعت بيمه كشور در رشته حوادث راننده</t>
  </si>
  <si>
    <t xml:space="preserve"> *1370</t>
  </si>
  <si>
    <t>-</t>
  </si>
  <si>
    <t>عملكرد صنعت بيمه كشور در رشته درمان</t>
  </si>
  <si>
    <t>عملكرد صنعت بيمه كشور در رشته كشتي</t>
  </si>
  <si>
    <t>عملكرد صنعت بيمه كشور در رشته هواپيما</t>
  </si>
  <si>
    <t>عملكرد صنعت بيمه كشور در رشته مهندسي</t>
  </si>
  <si>
    <t>عملكرد صنعت بيمه كشور در رشته پول</t>
  </si>
  <si>
    <t xml:space="preserve"> *1362</t>
  </si>
  <si>
    <t xml:space="preserve"> *1363</t>
  </si>
  <si>
    <t xml:space="preserve"> *1364</t>
  </si>
  <si>
    <t>آمار سالهای 64-1361  و 1368 موجود نمی باشد.</t>
  </si>
  <si>
    <t>عملكرد صنعت بيمه كشور در رشته مسئوليت</t>
  </si>
  <si>
    <t>عملكرد صنعت بيمه كشور در ساير انواع بيمه</t>
  </si>
  <si>
    <t>عملكرد صنعت بيمه كشور در رشته زندگي(عمر)</t>
  </si>
  <si>
    <t xml:space="preserve"> *1368</t>
  </si>
  <si>
    <t>توضيح: رقم منفي براي حق بيمه دريافتي نشاندهنده ميزان حق بيمه برگشتي مي باشد.</t>
  </si>
  <si>
    <t>توضيح: رقم منفي براي خسارت پرداختي نشاندهنده ميزان خسارت بازيافتي مي باشد.</t>
  </si>
  <si>
    <t>توضيح: رقم منفي براي حق بيمه دريافتي نشاندهنده حق بيمه برگشتي و براي خسارت پرداختي بيانگر خسارت بازيافتي مي باشد.</t>
  </si>
  <si>
    <t xml:space="preserve">مبالغ به ميليارد ريال </t>
  </si>
  <si>
    <t xml:space="preserve">مبالغ به میلیارد ريال </t>
  </si>
  <si>
    <t xml:space="preserve">مبالغ به میلیاردريال </t>
  </si>
  <si>
    <t>1354 -1399</t>
  </si>
  <si>
    <t>1366 -1399</t>
  </si>
  <si>
    <t>1369 -1399</t>
  </si>
  <si>
    <t>1358 -1399</t>
  </si>
  <si>
    <t>1372 -1399</t>
  </si>
  <si>
    <t>1378 -1399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</si>
</sst>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0"/>
  </numFmts>
  <fonts count="15">
    <font>
      <sz val="10"/>
      <name val="Mitra Bold Mazar"/>
      <charset val="178"/>
    </font>
    <font>
      <sz val="10"/>
      <name val="Mitra Bold Mazar"/>
      <charset val="178"/>
    </font>
    <font>
      <b/>
      <sz val="10"/>
      <name val="Mitra Bold Mazar"/>
      <charset val="178"/>
    </font>
    <font>
      <b/>
      <sz val="12"/>
      <name val="Mitra Bold Mazar"/>
      <charset val="178"/>
    </font>
    <font>
      <sz val="8"/>
      <color indexed="81"/>
      <name val="Tahoma"/>
      <family val="2"/>
    </font>
    <font>
      <b/>
      <sz val="8"/>
      <color indexed="81"/>
      <name val="Tahoma"/>
      <family val="2"/>
    </font>
    <font>
      <sz val="10"/>
      <color indexed="8"/>
      <name val="Mitra Bold Mazar"/>
      <charset val="178"/>
    </font>
    <font>
      <sz val="8"/>
      <name val="Mitra Bold Mazar"/>
      <charset val="178"/>
    </font>
    <font>
      <sz val="12"/>
      <name val="Mitra Bold Mazar"/>
      <charset val="178"/>
    </font>
    <font>
      <b/>
      <sz val="18"/>
      <name val="Mitra Bold Mazar"/>
      <charset val="178"/>
    </font>
    <font>
      <b/>
      <sz val="16"/>
      <name val="Mitra Bold Mazar"/>
      <charset val="178"/>
    </font>
    <font>
      <sz val="14"/>
      <name val="Mitra Bold Mazar"/>
      <charset val="178"/>
    </font>
    <font>
      <b/>
      <sz val="14"/>
      <name val="Mitra Bold Mazar"/>
      <charset val="178"/>
    </font>
    <font>
      <sz val="13"/>
      <name val="Mitra Bold Mazar"/>
      <charset val="178"/>
    </font>
    <font>
      <sz val="10"/>
      <color theme="4" tint="0.79998168889431442"/>
      <name val="Mitra Bold Mazar"/>
      <charset val="178"/>
    </font>
  </fonts>
  <fills count="3">
    <fill>
      <patternFill patternType="none"/>
    </fill>
    <fill>
      <patternFill patternType="gray125"/>
    </fill>
    <fill>
      <patternFill patternType="solid">
        <fgColor indexed="9"/>
        <bgColor indexed="64"/>
      </patternFill>
    </fill>
  </fills>
  <borders count="67">
    <border>
      <left/>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1">
    <xf numFmtId="0" fontId="0" fillId="0" borderId="0">
      <alignment horizontal="right" indent="1"/>
    </xf>
  </cellStyleXfs>
  <cellXfs count="590">
    <xf numFmtId="0" fontId="0" fillId="0" borderId="0" xfId="0">
      <alignment horizontal="right" indent="1"/>
    </xf>
    <xf numFmtId="0" fontId="0" fillId="0" borderId="0" xfId="0" applyBorder="1">
      <alignment horizontal="right" indent="1"/>
    </xf>
    <xf numFmtId="0" fontId="0" fillId="2" borderId="0" xfId="0" applyFill="1">
      <alignment horizontal="right" indent="1"/>
    </xf>
    <xf numFmtId="0" fontId="0" fillId="0" borderId="0" xfId="0" applyBorder="1" applyAlignment="1">
      <alignment horizontal="center"/>
    </xf>
    <xf numFmtId="0" fontId="0" fillId="0" borderId="0" xfId="0" applyBorder="1" applyAlignment="1">
      <alignment horizontal="right" indent="1"/>
    </xf>
    <xf numFmtId="3" fontId="0" fillId="0" borderId="1" xfId="0" applyNumberFormat="1" applyBorder="1" applyAlignment="1">
      <alignment horizontal="right" vertical="center" indent="1"/>
    </xf>
    <xf numFmtId="3" fontId="0" fillId="0" borderId="2" xfId="0" applyNumberFormat="1" applyBorder="1" applyAlignment="1">
      <alignment horizontal="right" vertical="center" indent="1"/>
    </xf>
    <xf numFmtId="3" fontId="0" fillId="0" borderId="3" xfId="0" applyNumberFormat="1" applyBorder="1" applyAlignment="1">
      <alignment horizontal="right" vertical="center" indent="1"/>
    </xf>
    <xf numFmtId="3" fontId="0" fillId="0" borderId="4" xfId="0" applyNumberFormat="1" applyBorder="1" applyAlignment="1">
      <alignment horizontal="right" vertical="center" indent="1"/>
    </xf>
    <xf numFmtId="3" fontId="0" fillId="0" borderId="5" xfId="0" applyNumberFormat="1" applyBorder="1" applyAlignment="1">
      <alignment horizontal="right" vertical="center" indent="1"/>
    </xf>
    <xf numFmtId="3" fontId="0" fillId="0" borderId="6" xfId="0" applyNumberFormat="1" applyBorder="1" applyAlignment="1">
      <alignment horizontal="right" vertical="center" indent="1"/>
    </xf>
    <xf numFmtId="3" fontId="0" fillId="0" borderId="7" xfId="0" applyNumberFormat="1" applyBorder="1" applyAlignment="1">
      <alignment horizontal="right" vertical="center" indent="1"/>
    </xf>
    <xf numFmtId="3" fontId="0" fillId="0" borderId="8" xfId="0" applyNumberFormat="1" applyBorder="1" applyAlignment="1">
      <alignment horizontal="right" vertical="center" indent="1"/>
    </xf>
    <xf numFmtId="3" fontId="0" fillId="0" borderId="9" xfId="0" applyNumberFormat="1" applyBorder="1" applyAlignment="1">
      <alignment horizontal="right" vertical="center" indent="1"/>
    </xf>
    <xf numFmtId="3" fontId="0" fillId="0" borderId="10" xfId="0" applyNumberFormat="1" applyBorder="1" applyAlignment="1">
      <alignment horizontal="right" vertical="center" indent="1"/>
    </xf>
    <xf numFmtId="3" fontId="0" fillId="0" borderId="11" xfId="0" applyNumberFormat="1" applyBorder="1" applyAlignment="1">
      <alignment horizontal="right" vertical="center" indent="1"/>
    </xf>
    <xf numFmtId="3" fontId="0" fillId="0" borderId="12" xfId="0" applyNumberFormat="1" applyBorder="1" applyAlignment="1">
      <alignment horizontal="right" vertical="center" indent="1"/>
    </xf>
    <xf numFmtId="3" fontId="0" fillId="0" borderId="13" xfId="0" applyNumberFormat="1" applyBorder="1" applyAlignment="1">
      <alignment horizontal="right" vertical="center" indent="1"/>
    </xf>
    <xf numFmtId="3" fontId="0" fillId="0" borderId="15" xfId="0" applyNumberFormat="1" applyBorder="1" applyAlignment="1">
      <alignment horizontal="right" vertical="center" indent="1"/>
    </xf>
    <xf numFmtId="3" fontId="0" fillId="0" borderId="16" xfId="0" applyNumberFormat="1" applyBorder="1" applyAlignment="1">
      <alignment horizontal="right" vertical="center" indent="1"/>
    </xf>
    <xf numFmtId="3" fontId="0" fillId="2" borderId="9" xfId="0" applyNumberFormat="1" applyFill="1" applyBorder="1" applyAlignment="1">
      <alignment horizontal="right" vertical="center" indent="1"/>
    </xf>
    <xf numFmtId="3" fontId="0" fillId="2" borderId="7" xfId="0" applyNumberFormat="1" applyFill="1" applyBorder="1" applyAlignment="1">
      <alignment horizontal="right" vertical="center" indent="1"/>
    </xf>
    <xf numFmtId="3" fontId="0" fillId="2" borderId="13" xfId="0" applyNumberFormat="1" applyFill="1" applyBorder="1" applyAlignment="1">
      <alignment horizontal="right" vertical="center" indent="1"/>
    </xf>
    <xf numFmtId="3" fontId="0" fillId="2" borderId="11" xfId="0" applyNumberFormat="1" applyFill="1" applyBorder="1" applyAlignment="1">
      <alignment horizontal="right" vertical="center" indent="1"/>
    </xf>
    <xf numFmtId="3" fontId="0" fillId="0" borderId="5" xfId="0" applyNumberFormat="1" applyBorder="1" applyAlignment="1">
      <alignment horizontal="right" indent="1"/>
    </xf>
    <xf numFmtId="3" fontId="0" fillId="0" borderId="2" xfId="0" applyNumberFormat="1" applyBorder="1" applyAlignment="1">
      <alignment horizontal="right" indent="1"/>
    </xf>
    <xf numFmtId="3" fontId="0" fillId="0" borderId="3" xfId="0" applyNumberFormat="1" applyBorder="1" applyAlignment="1">
      <alignment horizontal="right" indent="1"/>
    </xf>
    <xf numFmtId="3" fontId="0" fillId="2" borderId="2" xfId="0" applyNumberFormat="1" applyFill="1" applyBorder="1" applyAlignment="1">
      <alignment horizontal="right" indent="1"/>
    </xf>
    <xf numFmtId="3" fontId="0" fillId="2" borderId="3" xfId="0" applyNumberFormat="1" applyFill="1" applyBorder="1" applyAlignment="1">
      <alignment horizontal="right" indent="1"/>
    </xf>
    <xf numFmtId="3" fontId="0" fillId="0" borderId="13" xfId="0" applyNumberFormat="1" applyBorder="1" applyAlignment="1">
      <alignment horizontal="right" indent="1"/>
    </xf>
    <xf numFmtId="3" fontId="0" fillId="0" borderId="11" xfId="0" applyNumberFormat="1" applyBorder="1" applyAlignment="1">
      <alignment horizontal="right" indent="1"/>
    </xf>
    <xf numFmtId="3" fontId="0" fillId="0" borderId="16" xfId="0" applyNumberFormat="1" applyBorder="1" applyAlignment="1">
      <alignment horizontal="right" indent="1"/>
    </xf>
    <xf numFmtId="3" fontId="0" fillId="2" borderId="13" xfId="0" applyNumberFormat="1" applyFill="1" applyBorder="1" applyAlignment="1">
      <alignment horizontal="right" indent="1"/>
    </xf>
    <xf numFmtId="3" fontId="0" fillId="2" borderId="11" xfId="0" applyNumberFormat="1" applyFill="1" applyBorder="1" applyAlignment="1">
      <alignment horizontal="right" indent="1"/>
    </xf>
    <xf numFmtId="3" fontId="0" fillId="2" borderId="15" xfId="0" applyNumberFormat="1" applyFill="1" applyBorder="1" applyAlignment="1">
      <alignment horizontal="right" indent="1"/>
    </xf>
    <xf numFmtId="3" fontId="0" fillId="2" borderId="16" xfId="0" applyNumberFormat="1" applyFill="1" applyBorder="1" applyAlignment="1">
      <alignment horizontal="right" indent="1"/>
    </xf>
    <xf numFmtId="3" fontId="0" fillId="0" borderId="15" xfId="0" applyNumberFormat="1" applyBorder="1" applyAlignment="1">
      <alignment horizontal="right" indent="1"/>
    </xf>
    <xf numFmtId="3" fontId="0" fillId="2" borderId="2" xfId="0" applyNumberFormat="1" applyFill="1" applyBorder="1" applyAlignment="1">
      <alignment horizontal="right" vertical="center" indent="1"/>
    </xf>
    <xf numFmtId="3" fontId="0" fillId="2" borderId="3" xfId="0" applyNumberFormat="1" applyFill="1" applyBorder="1" applyAlignment="1">
      <alignment horizontal="right" vertical="center" indent="1"/>
    </xf>
    <xf numFmtId="0" fontId="2" fillId="2" borderId="17" xfId="0" applyFont="1" applyFill="1" applyBorder="1" applyAlignment="1">
      <alignment horizontal="center" vertical="center"/>
    </xf>
    <xf numFmtId="0" fontId="2" fillId="2" borderId="14" xfId="0" applyFont="1" applyFill="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3" fontId="0" fillId="2" borderId="15" xfId="0" applyNumberFormat="1" applyFill="1" applyBorder="1" applyAlignment="1">
      <alignment horizontal="right" vertical="center" indent="1"/>
    </xf>
    <xf numFmtId="3" fontId="0" fillId="2" borderId="16" xfId="0" applyNumberFormat="1" applyFill="1" applyBorder="1" applyAlignment="1">
      <alignment horizontal="right" vertical="center" indent="1"/>
    </xf>
    <xf numFmtId="165" fontId="0" fillId="0" borderId="2" xfId="0" applyNumberFormat="1" applyBorder="1" applyAlignment="1">
      <alignment horizontal="right" indent="1"/>
    </xf>
    <xf numFmtId="3" fontId="0" fillId="0" borderId="22" xfId="0" applyNumberFormat="1" applyBorder="1" applyAlignment="1">
      <alignment horizontal="right" indent="1"/>
    </xf>
    <xf numFmtId="3" fontId="0" fillId="0" borderId="23" xfId="0" applyNumberFormat="1" applyBorder="1" applyAlignment="1">
      <alignment horizontal="right" indent="1"/>
    </xf>
    <xf numFmtId="3" fontId="0" fillId="0" borderId="24" xfId="0" applyNumberFormat="1" applyBorder="1" applyAlignment="1">
      <alignment horizontal="right" indent="1"/>
    </xf>
    <xf numFmtId="165" fontId="0" fillId="2" borderId="2" xfId="0" applyNumberFormat="1" applyFill="1" applyBorder="1" applyAlignment="1">
      <alignment horizontal="right" vertical="center" indent="1"/>
    </xf>
    <xf numFmtId="165" fontId="0" fillId="2" borderId="3" xfId="0" applyNumberFormat="1" applyFill="1" applyBorder="1" applyAlignment="1">
      <alignment horizontal="right" vertical="center" indent="1"/>
    </xf>
    <xf numFmtId="165" fontId="0" fillId="0" borderId="2" xfId="0" applyNumberFormat="1" applyBorder="1" applyAlignment="1">
      <alignment horizontal="right" vertical="center" indent="1"/>
    </xf>
    <xf numFmtId="4" fontId="0" fillId="0" borderId="3" xfId="0" applyNumberFormat="1" applyBorder="1" applyAlignment="1">
      <alignment horizontal="right" vertical="center" indent="1"/>
    </xf>
    <xf numFmtId="4" fontId="0" fillId="2" borderId="2" xfId="0" applyNumberFormat="1" applyFill="1" applyBorder="1" applyAlignment="1">
      <alignment horizontal="right" vertical="center" indent="1"/>
    </xf>
    <xf numFmtId="0" fontId="0" fillId="0" borderId="0" xfId="0" applyAlignment="1">
      <alignment horizontal="right" indent="15"/>
    </xf>
    <xf numFmtId="0" fontId="0" fillId="0" borderId="0" xfId="0" applyAlignment="1"/>
    <xf numFmtId="165" fontId="0" fillId="0" borderId="15" xfId="0" applyNumberFormat="1" applyBorder="1" applyAlignment="1">
      <alignment horizontal="right" vertical="center" indent="1"/>
    </xf>
    <xf numFmtId="165" fontId="0" fillId="0" borderId="3" xfId="0" applyNumberFormat="1" applyBorder="1" applyAlignment="1">
      <alignment horizontal="right" vertical="center" indent="1"/>
    </xf>
    <xf numFmtId="165" fontId="0" fillId="0" borderId="3" xfId="0" applyNumberFormat="1" applyBorder="1" applyAlignment="1">
      <alignment horizontal="right" indent="1"/>
    </xf>
    <xf numFmtId="3" fontId="0" fillId="0" borderId="22" xfId="0" applyNumberFormat="1" applyBorder="1" applyAlignment="1">
      <alignment horizontal="right" vertical="center" indent="1"/>
    </xf>
    <xf numFmtId="3" fontId="0" fillId="0" borderId="23" xfId="0" applyNumberFormat="1" applyBorder="1" applyAlignment="1">
      <alignment horizontal="right" vertical="center" indent="1"/>
    </xf>
    <xf numFmtId="3" fontId="0" fillId="0" borderId="24" xfId="0" applyNumberFormat="1" applyBorder="1" applyAlignment="1">
      <alignment horizontal="right" vertical="center" indent="1"/>
    </xf>
    <xf numFmtId="3" fontId="0" fillId="0" borderId="25" xfId="0" applyNumberFormat="1" applyBorder="1" applyAlignment="1">
      <alignment horizontal="right" vertical="center" indent="1"/>
    </xf>
    <xf numFmtId="3" fontId="0" fillId="0" borderId="26" xfId="0" applyNumberFormat="1" applyBorder="1" applyAlignment="1">
      <alignment horizontal="right" vertical="center" indent="1"/>
    </xf>
    <xf numFmtId="3" fontId="0" fillId="0" borderId="27" xfId="0" applyNumberFormat="1" applyBorder="1" applyAlignment="1">
      <alignment horizontal="right" vertical="center" indent="1"/>
    </xf>
    <xf numFmtId="3" fontId="0" fillId="2" borderId="1" xfId="0" applyNumberFormat="1" applyFill="1" applyBorder="1" applyAlignment="1">
      <alignment horizontal="right" vertical="center" indent="1"/>
    </xf>
    <xf numFmtId="165" fontId="0" fillId="0" borderId="4" xfId="0" applyNumberFormat="1" applyBorder="1" applyAlignment="1">
      <alignment horizontal="right" vertical="center" indent="1"/>
    </xf>
    <xf numFmtId="165" fontId="0" fillId="0" borderId="27" xfId="0" applyNumberFormat="1" applyBorder="1" applyAlignment="1">
      <alignment horizontal="right" vertical="center" indent="1"/>
    </xf>
    <xf numFmtId="4" fontId="0" fillId="0" borderId="16" xfId="0" applyNumberFormat="1" applyBorder="1" applyAlignment="1">
      <alignment horizontal="right" vertical="center" indent="1"/>
    </xf>
    <xf numFmtId="4" fontId="0" fillId="2" borderId="3" xfId="0" applyNumberFormat="1" applyFill="1" applyBorder="1" applyAlignment="1">
      <alignment horizontal="right" indent="1"/>
    </xf>
    <xf numFmtId="3" fontId="6" fillId="0" borderId="2" xfId="0" applyNumberFormat="1" applyFont="1" applyBorder="1" applyAlignment="1">
      <alignment horizontal="right" indent="1"/>
    </xf>
    <xf numFmtId="165" fontId="0" fillId="0" borderId="15" xfId="0" applyNumberFormat="1" applyBorder="1" applyAlignment="1">
      <alignment horizontal="right" indent="1"/>
    </xf>
    <xf numFmtId="4" fontId="0" fillId="2" borderId="16" xfId="0" applyNumberFormat="1" applyFill="1" applyBorder="1" applyAlignment="1">
      <alignment horizontal="right" indent="1"/>
    </xf>
    <xf numFmtId="165" fontId="0" fillId="0" borderId="28" xfId="0" applyNumberFormat="1" applyBorder="1" applyAlignment="1">
      <alignment horizontal="right" vertical="center" indent="1"/>
    </xf>
    <xf numFmtId="3" fontId="0" fillId="0" borderId="28" xfId="0" applyNumberFormat="1" applyBorder="1" applyAlignment="1">
      <alignment horizontal="right" vertical="center" indent="1"/>
    </xf>
    <xf numFmtId="3" fontId="0" fillId="0" borderId="29" xfId="0" applyNumberFormat="1" applyBorder="1" applyAlignment="1">
      <alignment horizontal="right" vertical="center" indent="1"/>
    </xf>
    <xf numFmtId="3" fontId="0" fillId="2" borderId="30" xfId="0" applyNumberFormat="1" applyFill="1" applyBorder="1" applyAlignment="1">
      <alignment horizontal="right" vertical="center" indent="1"/>
    </xf>
    <xf numFmtId="3" fontId="0" fillId="2" borderId="4" xfId="0" applyNumberFormat="1" applyFill="1" applyBorder="1" applyAlignment="1">
      <alignment horizontal="right" vertical="center" indent="1"/>
    </xf>
    <xf numFmtId="3" fontId="0" fillId="2" borderId="6" xfId="0" applyNumberFormat="1" applyFill="1" applyBorder="1" applyAlignment="1">
      <alignment horizontal="right" vertical="center" indent="1"/>
    </xf>
    <xf numFmtId="3" fontId="0" fillId="2" borderId="8" xfId="0" applyNumberFormat="1" applyFill="1" applyBorder="1" applyAlignment="1">
      <alignment horizontal="right" vertical="center" indent="1"/>
    </xf>
    <xf numFmtId="3" fontId="0" fillId="2" borderId="10" xfId="0" applyNumberFormat="1" applyFill="1" applyBorder="1" applyAlignment="1">
      <alignment horizontal="right" vertical="center" indent="1"/>
    </xf>
    <xf numFmtId="3" fontId="0" fillId="2" borderId="12" xfId="0" applyNumberFormat="1" applyFill="1" applyBorder="1" applyAlignment="1">
      <alignment horizontal="right" vertical="center" indent="1"/>
    </xf>
    <xf numFmtId="0" fontId="0" fillId="2" borderId="0" xfId="0" applyFill="1" applyBorder="1">
      <alignment horizontal="right" indent="1"/>
    </xf>
    <xf numFmtId="3" fontId="0" fillId="0" borderId="31" xfId="0" applyNumberFormat="1" applyBorder="1" applyAlignment="1">
      <alignment horizontal="right" vertical="center" indent="1"/>
    </xf>
    <xf numFmtId="3" fontId="0" fillId="2" borderId="31" xfId="0" applyNumberFormat="1" applyFill="1" applyBorder="1" applyAlignment="1">
      <alignment horizontal="right" vertical="center" indent="1"/>
    </xf>
    <xf numFmtId="3" fontId="0" fillId="0" borderId="32" xfId="0" applyNumberFormat="1" applyBorder="1" applyAlignment="1">
      <alignment horizontal="right" vertical="center" indent="1"/>
    </xf>
    <xf numFmtId="0" fontId="0" fillId="0" borderId="0" xfId="0" applyBorder="1" applyAlignment="1">
      <alignment horizontal="left"/>
    </xf>
    <xf numFmtId="3" fontId="0" fillId="0" borderId="0" xfId="0" applyNumberFormat="1" applyBorder="1" applyAlignment="1">
      <alignment horizontal="right" indent="1"/>
    </xf>
    <xf numFmtId="3" fontId="0" fillId="0" borderId="32" xfId="0" applyNumberFormat="1" applyBorder="1" applyAlignment="1">
      <alignment horizontal="right" indent="1"/>
    </xf>
    <xf numFmtId="0" fontId="0" fillId="0" borderId="33" xfId="0" applyBorder="1">
      <alignment horizontal="right" indent="1"/>
    </xf>
    <xf numFmtId="3" fontId="0" fillId="0" borderId="28" xfId="0" applyNumberFormat="1" applyBorder="1" applyAlignment="1">
      <alignment horizontal="right" indent="1"/>
    </xf>
    <xf numFmtId="3" fontId="0" fillId="2" borderId="34" xfId="0" applyNumberFormat="1" applyFill="1" applyBorder="1" applyAlignment="1">
      <alignment horizontal="right" indent="1" shrinkToFit="1"/>
    </xf>
    <xf numFmtId="3" fontId="0" fillId="2" borderId="28" xfId="0" applyNumberFormat="1" applyFill="1" applyBorder="1" applyAlignment="1">
      <alignment horizontal="right" indent="1" shrinkToFit="1"/>
    </xf>
    <xf numFmtId="3" fontId="0" fillId="0" borderId="1" xfId="0" applyNumberFormat="1" applyBorder="1" applyAlignment="1">
      <alignment horizontal="right" indent="1"/>
    </xf>
    <xf numFmtId="3" fontId="0" fillId="2" borderId="35" xfId="0" applyNumberFormat="1" applyFill="1" applyBorder="1" applyAlignment="1">
      <alignment horizontal="right" indent="1" shrinkToFit="1"/>
    </xf>
    <xf numFmtId="3" fontId="0" fillId="2" borderId="3" xfId="0" applyNumberFormat="1" applyFill="1" applyBorder="1" applyAlignment="1">
      <alignment horizontal="right" indent="1" shrinkToFit="1"/>
    </xf>
    <xf numFmtId="3" fontId="0" fillId="0" borderId="0" xfId="0" applyNumberFormat="1" applyBorder="1" applyAlignment="1">
      <alignment horizontal="right" vertical="center" indent="1"/>
    </xf>
    <xf numFmtId="3" fontId="0" fillId="0" borderId="27" xfId="0" applyNumberFormat="1" applyBorder="1" applyAlignment="1">
      <alignment horizontal="right" indent="1"/>
    </xf>
    <xf numFmtId="3" fontId="0" fillId="0" borderId="4" xfId="0" applyNumberFormat="1" applyBorder="1" applyAlignment="1">
      <alignment horizontal="right" indent="1"/>
    </xf>
    <xf numFmtId="3" fontId="0" fillId="2" borderId="28" xfId="0" applyNumberFormat="1" applyFill="1" applyBorder="1" applyAlignment="1">
      <alignment horizontal="right" vertical="center" indent="1"/>
    </xf>
    <xf numFmtId="3" fontId="0" fillId="2" borderId="28" xfId="0" applyNumberFormat="1" applyFill="1" applyBorder="1" applyAlignment="1">
      <alignment horizontal="right" indent="1"/>
    </xf>
    <xf numFmtId="3" fontId="0" fillId="2" borderId="0" xfId="0" applyNumberFormat="1" applyFill="1" applyBorder="1" applyAlignment="1">
      <alignment horizontal="right" indent="1"/>
    </xf>
    <xf numFmtId="3" fontId="0" fillId="2" borderId="32" xfId="0" applyNumberFormat="1" applyFill="1" applyBorder="1" applyAlignment="1">
      <alignment horizontal="right" indent="1"/>
    </xf>
    <xf numFmtId="3" fontId="0" fillId="2" borderId="32" xfId="0" applyNumberFormat="1" applyFill="1" applyBorder="1" applyAlignment="1">
      <alignment horizontal="right" vertical="center" indent="1"/>
    </xf>
    <xf numFmtId="0" fontId="0" fillId="2" borderId="0" xfId="0" applyFill="1" applyBorder="1" applyAlignment="1">
      <alignment horizontal="left"/>
    </xf>
    <xf numFmtId="3" fontId="0" fillId="2" borderId="0" xfId="0" applyNumberFormat="1" applyFill="1" applyBorder="1" applyAlignment="1">
      <alignment horizontal="right" vertical="center" indent="1"/>
    </xf>
    <xf numFmtId="3" fontId="0" fillId="2" borderId="29" xfId="0" applyNumberFormat="1" applyFill="1" applyBorder="1" applyAlignment="1">
      <alignment horizontal="right" vertical="center" indent="1"/>
    </xf>
    <xf numFmtId="3" fontId="0" fillId="2" borderId="27" xfId="0" applyNumberFormat="1" applyFill="1" applyBorder="1" applyAlignment="1">
      <alignment horizontal="right" vertical="center" indent="1"/>
    </xf>
    <xf numFmtId="1" fontId="0" fillId="2" borderId="2" xfId="0" applyNumberFormat="1" applyFill="1" applyBorder="1" applyAlignment="1">
      <alignment horizontal="right" vertical="center" indent="1"/>
    </xf>
    <xf numFmtId="1" fontId="0" fillId="0" borderId="2" xfId="0" applyNumberFormat="1" applyBorder="1" applyAlignment="1">
      <alignment horizontal="right" vertical="center" indent="1"/>
    </xf>
    <xf numFmtId="1" fontId="0" fillId="0" borderId="3" xfId="0" applyNumberFormat="1" applyBorder="1" applyAlignment="1">
      <alignment horizontal="right" vertical="center" indent="1"/>
    </xf>
    <xf numFmtId="0" fontId="0" fillId="0" borderId="2" xfId="0" applyNumberFormat="1" applyBorder="1" applyAlignment="1">
      <alignment horizontal="right" vertical="center" indent="1"/>
    </xf>
    <xf numFmtId="0" fontId="0" fillId="0" borderId="3" xfId="0" applyNumberFormat="1" applyBorder="1" applyAlignment="1">
      <alignment horizontal="right" vertical="center" indent="1"/>
    </xf>
    <xf numFmtId="0" fontId="0" fillId="2" borderId="2" xfId="0" applyNumberFormat="1" applyFill="1" applyBorder="1" applyAlignment="1">
      <alignment horizontal="right" vertical="center" indent="1"/>
    </xf>
    <xf numFmtId="0" fontId="0" fillId="2" borderId="3" xfId="0" applyNumberFormat="1" applyFill="1" applyBorder="1" applyAlignment="1">
      <alignment horizontal="right" vertical="center" indent="1"/>
    </xf>
    <xf numFmtId="0" fontId="0" fillId="0" borderId="28" xfId="0" applyNumberFormat="1" applyBorder="1" applyAlignment="1">
      <alignment horizontal="right" vertical="center" indent="1"/>
    </xf>
    <xf numFmtId="3" fontId="0" fillId="0" borderId="3" xfId="0" applyNumberFormat="1" applyFill="1" applyBorder="1" applyAlignment="1">
      <alignment horizontal="right" vertical="center" indent="1"/>
    </xf>
    <xf numFmtId="0" fontId="0" fillId="0" borderId="2" xfId="0" applyNumberFormat="1" applyFill="1" applyBorder="1" applyAlignment="1">
      <alignment horizontal="right" vertical="center" indent="1"/>
    </xf>
    <xf numFmtId="0" fontId="0" fillId="0" borderId="3" xfId="0" applyNumberFormat="1" applyFill="1" applyBorder="1" applyAlignment="1">
      <alignment horizontal="right" vertical="center" indent="1"/>
    </xf>
    <xf numFmtId="3" fontId="0" fillId="0" borderId="28" xfId="0" applyNumberFormat="1" applyFill="1" applyBorder="1" applyAlignment="1">
      <alignment horizontal="right" vertical="center" indent="1"/>
    </xf>
    <xf numFmtId="3" fontId="0" fillId="0" borderId="2" xfId="0" applyNumberFormat="1" applyFill="1" applyBorder="1" applyAlignment="1">
      <alignment horizontal="right" vertical="center" indent="1"/>
    </xf>
    <xf numFmtId="3" fontId="0" fillId="0" borderId="0" xfId="0" applyNumberFormat="1">
      <alignment horizontal="right" indent="1"/>
    </xf>
    <xf numFmtId="1" fontId="0" fillId="2" borderId="3" xfId="0" applyNumberFormat="1" applyFill="1" applyBorder="1" applyAlignment="1">
      <alignment horizontal="right" vertical="center" indent="1"/>
    </xf>
    <xf numFmtId="1" fontId="0" fillId="0" borderId="28" xfId="0" applyNumberFormat="1" applyBorder="1" applyAlignment="1">
      <alignment horizontal="right" vertical="center" indent="1"/>
    </xf>
    <xf numFmtId="1" fontId="0" fillId="0" borderId="9" xfId="0" applyNumberFormat="1" applyBorder="1" applyAlignment="1">
      <alignment horizontal="right" vertical="center" indent="1"/>
    </xf>
    <xf numFmtId="1" fontId="0" fillId="0" borderId="7" xfId="0" applyNumberFormat="1" applyBorder="1" applyAlignment="1">
      <alignment horizontal="right" vertical="center" indent="1"/>
    </xf>
    <xf numFmtId="1" fontId="0" fillId="0" borderId="13" xfId="0" applyNumberFormat="1" applyBorder="1" applyAlignment="1">
      <alignment horizontal="right" vertical="center" indent="1"/>
    </xf>
    <xf numFmtId="1" fontId="0" fillId="0" borderId="11" xfId="0" applyNumberFormat="1" applyBorder="1" applyAlignment="1">
      <alignment horizontal="right" vertical="center" indent="1"/>
    </xf>
    <xf numFmtId="1" fontId="0" fillId="2" borderId="13" xfId="0" applyNumberFormat="1" applyFill="1" applyBorder="1" applyAlignment="1">
      <alignment horizontal="right" vertical="center" indent="1"/>
    </xf>
    <xf numFmtId="164" fontId="0" fillId="0" borderId="2" xfId="0" applyNumberFormat="1" applyFill="1" applyBorder="1" applyAlignment="1">
      <alignment horizontal="right" vertical="center" indent="1"/>
    </xf>
    <xf numFmtId="1" fontId="0" fillId="0" borderId="11" xfId="0" applyNumberFormat="1" applyFill="1" applyBorder="1" applyAlignment="1">
      <alignment horizontal="right" vertical="center" indent="1"/>
    </xf>
    <xf numFmtId="2" fontId="0" fillId="0" borderId="0" xfId="0" applyNumberFormat="1">
      <alignment horizontal="right" indent="1"/>
    </xf>
    <xf numFmtId="3" fontId="0" fillId="0" borderId="9" xfId="0" applyNumberFormat="1" applyBorder="1" applyAlignment="1">
      <alignment horizontal="right" indent="1"/>
    </xf>
    <xf numFmtId="2" fontId="0" fillId="0" borderId="0" xfId="0" applyNumberFormat="1" applyBorder="1">
      <alignment horizontal="right" indent="1"/>
    </xf>
    <xf numFmtId="3" fontId="0" fillId="0" borderId="7" xfId="0" applyNumberFormat="1" applyBorder="1" applyAlignment="1">
      <alignment horizontal="right" indent="1"/>
    </xf>
    <xf numFmtId="3" fontId="0" fillId="2" borderId="9" xfId="0" applyNumberFormat="1" applyFill="1" applyBorder="1" applyAlignment="1">
      <alignment horizontal="right" indent="1"/>
    </xf>
    <xf numFmtId="3" fontId="0" fillId="2" borderId="7" xfId="0" applyNumberFormat="1" applyFill="1" applyBorder="1" applyAlignment="1">
      <alignment horizontal="right" indent="1"/>
    </xf>
    <xf numFmtId="3" fontId="0" fillId="0" borderId="29" xfId="0" applyNumberFormat="1" applyBorder="1" applyAlignment="1">
      <alignment horizontal="right" indent="1"/>
    </xf>
    <xf numFmtId="3" fontId="0" fillId="2" borderId="37" xfId="0" applyNumberFormat="1" applyFill="1" applyBorder="1" applyAlignment="1">
      <alignment horizontal="right" indent="1" shrinkToFit="1"/>
    </xf>
    <xf numFmtId="3" fontId="0" fillId="2" borderId="11" xfId="0" applyNumberFormat="1" applyFill="1" applyBorder="1" applyAlignment="1">
      <alignment horizontal="right" indent="1" shrinkToFit="1"/>
    </xf>
    <xf numFmtId="3" fontId="0" fillId="0" borderId="38" xfId="0" applyNumberFormat="1" applyBorder="1" applyAlignment="1">
      <alignment horizontal="right" indent="1"/>
    </xf>
    <xf numFmtId="3" fontId="0" fillId="0" borderId="12" xfId="0" applyNumberFormat="1" applyBorder="1" applyAlignment="1">
      <alignment horizontal="right" indent="1"/>
    </xf>
    <xf numFmtId="0" fontId="0" fillId="0" borderId="36" xfId="0" applyBorder="1">
      <alignment horizontal="right" indent="1"/>
    </xf>
    <xf numFmtId="3" fontId="0" fillId="0" borderId="37" xfId="0" applyNumberFormat="1" applyBorder="1" applyAlignment="1">
      <alignment horizontal="right" vertical="center" indent="1"/>
    </xf>
    <xf numFmtId="3" fontId="0" fillId="2" borderId="37" xfId="0" applyNumberFormat="1" applyFill="1" applyBorder="1" applyAlignment="1">
      <alignment horizontal="right" vertical="center" indent="1"/>
    </xf>
    <xf numFmtId="3" fontId="0" fillId="2" borderId="29" xfId="0" applyNumberFormat="1" applyFill="1" applyBorder="1" applyAlignment="1">
      <alignment horizontal="right" indent="1"/>
    </xf>
    <xf numFmtId="3" fontId="0" fillId="2" borderId="38" xfId="0" applyNumberFormat="1" applyFill="1" applyBorder="1" applyAlignment="1">
      <alignment horizontal="right" indent="1"/>
    </xf>
    <xf numFmtId="1" fontId="0" fillId="0" borderId="9" xfId="0" applyNumberFormat="1" applyBorder="1" applyAlignment="1">
      <alignment horizontal="right" indent="1"/>
    </xf>
    <xf numFmtId="3" fontId="0" fillId="2" borderId="38" xfId="0" applyNumberFormat="1" applyFill="1" applyBorder="1" applyAlignment="1">
      <alignment horizontal="right" vertical="center" indent="1"/>
    </xf>
    <xf numFmtId="3" fontId="0" fillId="0" borderId="39" xfId="0" applyNumberFormat="1" applyBorder="1" applyAlignment="1">
      <alignment horizontal="right" vertical="center" indent="1"/>
    </xf>
    <xf numFmtId="3" fontId="0" fillId="0" borderId="6" xfId="0" applyNumberFormat="1" applyBorder="1" applyAlignment="1">
      <alignment horizontal="right" indent="1"/>
    </xf>
    <xf numFmtId="3" fontId="0" fillId="0" borderId="18" xfId="0" applyNumberFormat="1" applyBorder="1" applyAlignment="1">
      <alignment horizontal="right" indent="1"/>
    </xf>
    <xf numFmtId="164" fontId="0" fillId="0" borderId="0" xfId="0" applyNumberFormat="1">
      <alignment horizontal="right" indent="1"/>
    </xf>
    <xf numFmtId="2" fontId="3" fillId="0" borderId="0" xfId="0" applyNumberFormat="1" applyFont="1">
      <alignment horizontal="right" indent="1"/>
    </xf>
    <xf numFmtId="0" fontId="0" fillId="0" borderId="0" xfId="0" applyAlignment="1">
      <alignment horizontal="center"/>
    </xf>
    <xf numFmtId="3" fontId="0" fillId="0" borderId="39" xfId="0" applyNumberFormat="1" applyBorder="1" applyAlignment="1">
      <alignment horizontal="right" indent="1"/>
    </xf>
    <xf numFmtId="3" fontId="0" fillId="0" borderId="21" xfId="0" applyNumberFormat="1" applyBorder="1" applyAlignment="1">
      <alignment horizontal="right" indent="1"/>
    </xf>
    <xf numFmtId="3" fontId="0" fillId="0" borderId="18" xfId="0" applyNumberFormat="1" applyBorder="1" applyAlignment="1">
      <alignment horizontal="right" vertical="center" indent="1"/>
    </xf>
    <xf numFmtId="0" fontId="0" fillId="0" borderId="27" xfId="0" applyNumberFormat="1" applyBorder="1" applyAlignment="1">
      <alignment horizontal="right" vertical="center" indent="1"/>
    </xf>
    <xf numFmtId="0" fontId="0" fillId="0" borderId="27" xfId="0" applyNumberFormat="1" applyFill="1" applyBorder="1" applyAlignment="1">
      <alignment horizontal="right" vertical="center" indent="1"/>
    </xf>
    <xf numFmtId="2" fontId="8" fillId="0" borderId="0" xfId="0" applyNumberFormat="1" applyFont="1">
      <alignment horizontal="right" indent="1"/>
    </xf>
    <xf numFmtId="0" fontId="10" fillId="0" borderId="17" xfId="0" applyFont="1" applyBorder="1" applyAlignment="1">
      <alignment horizontal="center" vertical="center"/>
    </xf>
    <xf numFmtId="0" fontId="10" fillId="0" borderId="14" xfId="0" applyFont="1" applyBorder="1" applyAlignment="1">
      <alignment horizontal="center" vertical="center"/>
    </xf>
    <xf numFmtId="0" fontId="10" fillId="2" borderId="17" xfId="0" applyFont="1" applyFill="1" applyBorder="1" applyAlignment="1">
      <alignment horizontal="center" vertical="center"/>
    </xf>
    <xf numFmtId="0" fontId="10" fillId="2" borderId="14" xfId="0" applyFont="1" applyFill="1" applyBorder="1" applyAlignment="1">
      <alignment horizontal="center" vertical="center"/>
    </xf>
    <xf numFmtId="0" fontId="12" fillId="0" borderId="43" xfId="0" applyFont="1" applyBorder="1" applyAlignment="1">
      <alignment horizontal="center"/>
    </xf>
    <xf numFmtId="0" fontId="12" fillId="0" borderId="20" xfId="0" applyFont="1" applyBorder="1" applyAlignment="1">
      <alignment horizontal="center"/>
    </xf>
    <xf numFmtId="3" fontId="0" fillId="2" borderId="29" xfId="0" applyNumberFormat="1" applyFill="1" applyBorder="1" applyAlignment="1">
      <alignment horizontal="right" indent="1" shrinkToFit="1"/>
    </xf>
    <xf numFmtId="3" fontId="0" fillId="2" borderId="7" xfId="0" applyNumberFormat="1" applyFill="1" applyBorder="1" applyAlignment="1">
      <alignment horizontal="right" indent="1" shrinkToFit="1"/>
    </xf>
    <xf numFmtId="0" fontId="12" fillId="0" borderId="19" xfId="0" applyFont="1" applyBorder="1" applyAlignment="1">
      <alignment horizontal="center" vertical="center"/>
    </xf>
    <xf numFmtId="0" fontId="12" fillId="0" borderId="20" xfId="0" applyFont="1" applyBorder="1" applyAlignment="1">
      <alignment horizontal="center" vertical="center"/>
    </xf>
    <xf numFmtId="3" fontId="13" fillId="0" borderId="15" xfId="0" applyNumberFormat="1" applyFont="1" applyBorder="1" applyAlignment="1">
      <alignment horizontal="right" vertical="center" indent="1"/>
    </xf>
    <xf numFmtId="3" fontId="13" fillId="0" borderId="16" xfId="0" applyNumberFormat="1" applyFont="1" applyBorder="1" applyAlignment="1">
      <alignment horizontal="right" vertical="center" indent="1"/>
    </xf>
    <xf numFmtId="3" fontId="13" fillId="0" borderId="2" xfId="0" applyNumberFormat="1" applyFont="1" applyBorder="1" applyAlignment="1">
      <alignment horizontal="right" vertical="center" indent="1"/>
    </xf>
    <xf numFmtId="3" fontId="13" fillId="0" borderId="3" xfId="0" applyNumberFormat="1" applyFont="1" applyBorder="1" applyAlignment="1">
      <alignment horizontal="right" vertical="center" indent="1"/>
    </xf>
    <xf numFmtId="3" fontId="13" fillId="0" borderId="45" xfId="0" applyNumberFormat="1" applyFont="1" applyBorder="1" applyAlignment="1">
      <alignment horizontal="right" indent="1"/>
    </xf>
    <xf numFmtId="3" fontId="13" fillId="0" borderId="1" xfId="0" applyNumberFormat="1" applyFont="1" applyBorder="1" applyAlignment="1">
      <alignment horizontal="right" indent="1"/>
    </xf>
    <xf numFmtId="3" fontId="13" fillId="0" borderId="32" xfId="0" applyNumberFormat="1" applyFont="1" applyBorder="1" applyAlignment="1">
      <alignment horizontal="right" indent="1"/>
    </xf>
    <xf numFmtId="3" fontId="13" fillId="0" borderId="3" xfId="0" applyNumberFormat="1" applyFont="1" applyBorder="1" applyAlignment="1">
      <alignment horizontal="right" indent="1"/>
    </xf>
    <xf numFmtId="3" fontId="13" fillId="0" borderId="38" xfId="0" applyNumberFormat="1" applyFont="1" applyBorder="1" applyAlignment="1">
      <alignment horizontal="right" indent="1"/>
    </xf>
    <xf numFmtId="3" fontId="13" fillId="0" borderId="13" xfId="0" applyNumberFormat="1" applyFont="1" applyBorder="1" applyAlignment="1">
      <alignment horizontal="right" vertical="center" indent="1"/>
    </xf>
    <xf numFmtId="3" fontId="13" fillId="0" borderId="11" xfId="0" applyNumberFormat="1" applyFont="1" applyBorder="1" applyAlignment="1">
      <alignment horizontal="right" vertical="center" indent="1"/>
    </xf>
    <xf numFmtId="3" fontId="13" fillId="0" borderId="32" xfId="0" applyNumberFormat="1" applyFont="1" applyBorder="1" applyAlignment="1">
      <alignment horizontal="right" vertical="center" indent="1"/>
    </xf>
    <xf numFmtId="3" fontId="13" fillId="0" borderId="7" xfId="0" applyNumberFormat="1" applyFont="1" applyBorder="1" applyAlignment="1">
      <alignment horizontal="right" vertical="center" indent="1"/>
    </xf>
    <xf numFmtId="0" fontId="12" fillId="0" borderId="46" xfId="0" applyFont="1" applyBorder="1" applyAlignment="1">
      <alignment horizontal="center"/>
    </xf>
    <xf numFmtId="0" fontId="12" fillId="0" borderId="17" xfId="0" applyFont="1" applyBorder="1" applyAlignment="1">
      <alignment horizontal="center" vertical="center"/>
    </xf>
    <xf numFmtId="0" fontId="12" fillId="0" borderId="14" xfId="0" applyFont="1" applyBorder="1" applyAlignment="1">
      <alignment horizontal="center" vertical="center"/>
    </xf>
    <xf numFmtId="0" fontId="12" fillId="0" borderId="43" xfId="0" applyFont="1" applyBorder="1" applyAlignment="1">
      <alignment horizontal="center" vertical="center"/>
    </xf>
    <xf numFmtId="3" fontId="13" fillId="0" borderId="28" xfId="0" applyNumberFormat="1" applyFont="1" applyBorder="1" applyAlignment="1">
      <alignment horizontal="right" vertical="center" indent="1"/>
    </xf>
    <xf numFmtId="3" fontId="13" fillId="0" borderId="37" xfId="0" applyNumberFormat="1" applyFont="1" applyBorder="1" applyAlignment="1">
      <alignment horizontal="right" vertical="center" indent="1"/>
    </xf>
    <xf numFmtId="0" fontId="12" fillId="0" borderId="18" xfId="0" applyFont="1" applyBorder="1" applyAlignment="1">
      <alignment horizontal="center" vertical="center"/>
    </xf>
    <xf numFmtId="0" fontId="0" fillId="0" borderId="29" xfId="0" applyBorder="1">
      <alignment horizontal="right" indent="1"/>
    </xf>
    <xf numFmtId="0" fontId="0" fillId="0" borderId="32" xfId="0" applyBorder="1">
      <alignment horizontal="right" indent="1"/>
    </xf>
    <xf numFmtId="0" fontId="12" fillId="0" borderId="42" xfId="0" applyFont="1" applyBorder="1" applyAlignment="1">
      <alignment horizontal="center" vertical="center"/>
    </xf>
    <xf numFmtId="0" fontId="12" fillId="0" borderId="20" xfId="0" applyFont="1" applyFill="1" applyBorder="1" applyAlignment="1">
      <alignment horizontal="center" vertical="center"/>
    </xf>
    <xf numFmtId="3" fontId="13" fillId="0" borderId="31" xfId="0" applyNumberFormat="1" applyFont="1" applyBorder="1" applyAlignment="1">
      <alignment horizontal="right" vertical="center" indent="1"/>
    </xf>
    <xf numFmtId="3" fontId="13" fillId="0" borderId="1" xfId="0" applyNumberFormat="1" applyFont="1" applyBorder="1" applyAlignment="1">
      <alignment horizontal="right" vertical="center" indent="1"/>
    </xf>
    <xf numFmtId="3" fontId="13" fillId="0" borderId="45" xfId="0" applyNumberFormat="1" applyFont="1" applyBorder="1" applyAlignment="1">
      <alignment horizontal="right" vertical="center" indent="1"/>
    </xf>
    <xf numFmtId="3" fontId="13" fillId="0" borderId="13" xfId="0" applyNumberFormat="1" applyFont="1" applyBorder="1" applyAlignment="1">
      <alignment horizontal="right" indent="1"/>
    </xf>
    <xf numFmtId="0" fontId="12" fillId="0" borderId="18" xfId="0" applyFont="1" applyBorder="1" applyAlignment="1">
      <alignment horizontal="center"/>
    </xf>
    <xf numFmtId="3" fontId="13" fillId="0" borderId="9" xfId="0" applyNumberFormat="1" applyFont="1" applyBorder="1" applyAlignment="1">
      <alignment horizontal="right" vertical="center" indent="1"/>
    </xf>
    <xf numFmtId="0" fontId="12" fillId="0" borderId="21" xfId="0" applyFont="1" applyBorder="1" applyAlignment="1">
      <alignment horizontal="center" vertical="center"/>
    </xf>
    <xf numFmtId="0" fontId="12" fillId="0" borderId="50" xfId="0" applyFont="1" applyBorder="1" applyAlignment="1">
      <alignment horizontal="center" vertical="center"/>
    </xf>
    <xf numFmtId="0" fontId="12" fillId="0" borderId="51" xfId="0" applyFont="1" applyBorder="1" applyAlignment="1">
      <alignment horizontal="center" vertical="center"/>
    </xf>
    <xf numFmtId="0" fontId="12" fillId="0" borderId="50" xfId="0" applyFont="1" applyBorder="1" applyAlignment="1">
      <alignment horizontal="center"/>
    </xf>
    <xf numFmtId="0" fontId="7" fillId="0" borderId="0" xfId="0" applyFont="1" applyAlignment="1"/>
    <xf numFmtId="1" fontId="0" fillId="0" borderId="38" xfId="0" applyNumberFormat="1" applyBorder="1" applyAlignment="1">
      <alignment horizontal="right" indent="1"/>
    </xf>
    <xf numFmtId="1" fontId="0" fillId="0" borderId="32" xfId="0" applyNumberFormat="1" applyBorder="1" applyAlignment="1">
      <alignment horizontal="right" indent="1"/>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43" xfId="0" applyFont="1" applyFill="1" applyBorder="1" applyAlignment="1">
      <alignment horizontal="center" vertical="center"/>
    </xf>
    <xf numFmtId="0" fontId="12" fillId="2" borderId="46" xfId="0" applyFont="1" applyFill="1" applyBorder="1" applyAlignment="1">
      <alignment horizontal="center" vertical="center"/>
    </xf>
    <xf numFmtId="0" fontId="12" fillId="2" borderId="18" xfId="0" applyFont="1" applyFill="1" applyBorder="1" applyAlignment="1">
      <alignment horizontal="center" vertical="center"/>
    </xf>
    <xf numFmtId="0" fontId="12" fillId="0" borderId="42" xfId="0" applyFont="1" applyFill="1" applyBorder="1" applyAlignment="1">
      <alignment horizontal="center" vertical="center"/>
    </xf>
    <xf numFmtId="0" fontId="12" fillId="2" borderId="42" xfId="0" applyFont="1" applyFill="1" applyBorder="1" applyAlignment="1">
      <alignment horizontal="center" vertical="center"/>
    </xf>
    <xf numFmtId="3" fontId="13" fillId="2" borderId="15" xfId="0" applyNumberFormat="1" applyFont="1" applyFill="1" applyBorder="1" applyAlignment="1">
      <alignment horizontal="right" vertical="center" indent="1"/>
    </xf>
    <xf numFmtId="3" fontId="13" fillId="2" borderId="16" xfId="0" applyNumberFormat="1" applyFont="1" applyFill="1" applyBorder="1" applyAlignment="1">
      <alignment horizontal="right" vertical="center" indent="1"/>
    </xf>
    <xf numFmtId="3" fontId="13" fillId="2" borderId="2" xfId="0" applyNumberFormat="1" applyFont="1" applyFill="1" applyBorder="1" applyAlignment="1">
      <alignment horizontal="right" vertical="center" indent="1"/>
    </xf>
    <xf numFmtId="3" fontId="13" fillId="2" borderId="3" xfId="0" applyNumberFormat="1" applyFont="1" applyFill="1" applyBorder="1" applyAlignment="1">
      <alignment horizontal="right" vertical="center" indent="1"/>
    </xf>
    <xf numFmtId="3" fontId="13" fillId="0" borderId="3" xfId="0" applyNumberFormat="1" applyFont="1" applyFill="1" applyBorder="1" applyAlignment="1">
      <alignment horizontal="right" vertical="center" indent="1"/>
    </xf>
    <xf numFmtId="3" fontId="13" fillId="0" borderId="2" xfId="0" applyNumberFormat="1" applyFont="1" applyFill="1" applyBorder="1" applyAlignment="1">
      <alignment horizontal="right" vertical="center" indent="1"/>
    </xf>
    <xf numFmtId="3" fontId="13" fillId="2" borderId="13" xfId="0" applyNumberFormat="1" applyFont="1" applyFill="1" applyBorder="1" applyAlignment="1">
      <alignment horizontal="right" vertical="center" indent="1"/>
    </xf>
    <xf numFmtId="3" fontId="13" fillId="2" borderId="11" xfId="0" applyNumberFormat="1" applyFont="1" applyFill="1" applyBorder="1" applyAlignment="1">
      <alignment horizontal="right" vertical="center" indent="1"/>
    </xf>
    <xf numFmtId="3" fontId="13" fillId="0" borderId="11" xfId="0" applyNumberFormat="1" applyFont="1" applyFill="1" applyBorder="1" applyAlignment="1">
      <alignment horizontal="right" vertical="center" indent="1"/>
    </xf>
    <xf numFmtId="3" fontId="13" fillId="2" borderId="32" xfId="0" applyNumberFormat="1" applyFont="1" applyFill="1" applyBorder="1" applyAlignment="1">
      <alignment horizontal="right" vertical="center" indent="1"/>
    </xf>
    <xf numFmtId="3" fontId="13" fillId="2" borderId="38" xfId="0" applyNumberFormat="1" applyFont="1" applyFill="1" applyBorder="1" applyAlignment="1">
      <alignment horizontal="right" vertical="center" indent="1"/>
    </xf>
    <xf numFmtId="0" fontId="12" fillId="0" borderId="46" xfId="0" applyFont="1" applyBorder="1" applyAlignment="1">
      <alignment horizontal="center" vertical="center"/>
    </xf>
    <xf numFmtId="0" fontId="0" fillId="0" borderId="0" xfId="0" applyAlignment="1">
      <alignment horizontal="center"/>
    </xf>
    <xf numFmtId="3" fontId="0" fillId="0" borderId="45" xfId="0" applyNumberFormat="1" applyBorder="1" applyAlignment="1">
      <alignment horizontal="right" vertical="center" indent="1"/>
    </xf>
    <xf numFmtId="3" fontId="0" fillId="2" borderId="45" xfId="0" applyNumberFormat="1" applyFill="1" applyBorder="1" applyAlignment="1">
      <alignment horizontal="right" vertical="center" indent="1"/>
    </xf>
    <xf numFmtId="0" fontId="12" fillId="0" borderId="55" xfId="0" applyFont="1" applyBorder="1" applyAlignment="1">
      <alignment horizontal="center" vertical="center"/>
    </xf>
    <xf numFmtId="0" fontId="10" fillId="0" borderId="0" xfId="0" applyFont="1" applyBorder="1" applyAlignment="1">
      <alignment horizontal="center" vertical="center"/>
    </xf>
    <xf numFmtId="0" fontId="10" fillId="2" borderId="0" xfId="0" applyFont="1" applyFill="1" applyBorder="1" applyAlignment="1">
      <alignment horizontal="center" vertical="center"/>
    </xf>
    <xf numFmtId="0" fontId="12" fillId="0" borderId="42" xfId="0" applyFont="1" applyBorder="1" applyAlignment="1">
      <alignment horizontal="center"/>
    </xf>
    <xf numFmtId="0" fontId="12" fillId="0" borderId="51" xfId="0" applyFont="1" applyBorder="1" applyAlignment="1">
      <alignment horizontal="center"/>
    </xf>
    <xf numFmtId="3" fontId="0" fillId="0" borderId="45" xfId="0" applyNumberFormat="1" applyBorder="1" applyAlignment="1">
      <alignment horizontal="right" indent="1"/>
    </xf>
    <xf numFmtId="3" fontId="0" fillId="2" borderId="45" xfId="0" applyNumberFormat="1" applyFill="1" applyBorder="1" applyAlignment="1">
      <alignment horizontal="right" indent="1"/>
    </xf>
    <xf numFmtId="0" fontId="12" fillId="0" borderId="55" xfId="0" applyFont="1" applyBorder="1" applyAlignment="1">
      <alignment horizontal="center"/>
    </xf>
    <xf numFmtId="0" fontId="12" fillId="2" borderId="55" xfId="0" applyFont="1" applyFill="1" applyBorder="1" applyAlignment="1">
      <alignment horizontal="center" vertical="center"/>
    </xf>
    <xf numFmtId="0" fontId="0" fillId="0" borderId="0" xfId="0" applyBorder="1" applyAlignment="1"/>
    <xf numFmtId="0" fontId="12" fillId="0" borderId="49" xfId="0" applyFont="1" applyBorder="1" applyAlignment="1">
      <alignment horizontal="center" vertical="center"/>
    </xf>
    <xf numFmtId="0" fontId="12" fillId="0" borderId="33" xfId="0" applyFont="1" applyBorder="1" applyAlignment="1">
      <alignment horizontal="center" vertical="center"/>
    </xf>
    <xf numFmtId="3" fontId="11" fillId="0" borderId="57" xfId="0" applyNumberFormat="1" applyFont="1" applyBorder="1" applyAlignment="1">
      <alignment horizontal="right" vertical="center" indent="1"/>
    </xf>
    <xf numFmtId="3" fontId="11" fillId="2" borderId="57" xfId="0" applyNumberFormat="1" applyFont="1" applyFill="1" applyBorder="1" applyAlignment="1">
      <alignment horizontal="right" vertical="center" indent="1"/>
    </xf>
    <xf numFmtId="3" fontId="11" fillId="0" borderId="57" xfId="0" applyNumberFormat="1" applyFont="1" applyBorder="1" applyAlignment="1">
      <alignment horizontal="right" indent="1"/>
    </xf>
    <xf numFmtId="3" fontId="11" fillId="2" borderId="57" xfId="0" applyNumberFormat="1" applyFont="1" applyFill="1" applyBorder="1" applyAlignment="1">
      <alignment horizontal="right" indent="1"/>
    </xf>
    <xf numFmtId="3" fontId="0" fillId="0" borderId="57" xfId="0" applyNumberFormat="1" applyBorder="1" applyAlignment="1">
      <alignment horizontal="right" indent="1"/>
    </xf>
    <xf numFmtId="3" fontId="0" fillId="2" borderId="57" xfId="0" applyNumberFormat="1" applyFill="1" applyBorder="1" applyAlignment="1">
      <alignment horizontal="right" indent="1"/>
    </xf>
    <xf numFmtId="3" fontId="11" fillId="0" borderId="27" xfId="0" applyNumberFormat="1" applyFont="1" applyBorder="1" applyAlignment="1">
      <alignment horizontal="right" vertical="center" indent="1"/>
    </xf>
    <xf numFmtId="0" fontId="12" fillId="0" borderId="60" xfId="0" applyFont="1" applyBorder="1" applyAlignment="1">
      <alignment horizontal="center" vertical="center"/>
    </xf>
    <xf numFmtId="1" fontId="13" fillId="0" borderId="2" xfId="0" applyNumberFormat="1" applyFont="1" applyBorder="1" applyAlignment="1">
      <alignment horizontal="right" vertical="center" indent="1"/>
    </xf>
    <xf numFmtId="1" fontId="13" fillId="0" borderId="3" xfId="0" applyNumberFormat="1" applyFont="1" applyBorder="1" applyAlignment="1">
      <alignment horizontal="right" vertical="center" indent="1"/>
    </xf>
    <xf numFmtId="0" fontId="14" fillId="0" borderId="0" xfId="0" applyFont="1">
      <alignment horizontal="right" indent="1"/>
    </xf>
    <xf numFmtId="165" fontId="13" fillId="0" borderId="15" xfId="0" applyNumberFormat="1" applyFont="1" applyBorder="1" applyAlignment="1">
      <alignment horizontal="right" vertical="center" indent="1"/>
    </xf>
    <xf numFmtId="165" fontId="13" fillId="0" borderId="16" xfId="0" applyNumberFormat="1" applyFont="1" applyBorder="1" applyAlignment="1">
      <alignment horizontal="right" vertical="center" indent="1"/>
    </xf>
    <xf numFmtId="165" fontId="13" fillId="0" borderId="2" xfId="0" applyNumberFormat="1" applyFont="1" applyBorder="1" applyAlignment="1">
      <alignment horizontal="right" vertical="center" indent="1"/>
    </xf>
    <xf numFmtId="165" fontId="13" fillId="0" borderId="3" xfId="0" applyNumberFormat="1" applyFont="1" applyBorder="1" applyAlignment="1">
      <alignment horizontal="right" vertical="center" indent="1"/>
    </xf>
    <xf numFmtId="0" fontId="12" fillId="0" borderId="13" xfId="0" applyFont="1" applyBorder="1" applyAlignment="1">
      <alignment horizontal="center" vertical="center"/>
    </xf>
    <xf numFmtId="0" fontId="12" fillId="0" borderId="11" xfId="0" applyFont="1" applyBorder="1" applyAlignment="1">
      <alignment horizontal="center" vertical="center"/>
    </xf>
    <xf numFmtId="165" fontId="13" fillId="0" borderId="31" xfId="0" applyNumberFormat="1" applyFont="1" applyBorder="1" applyAlignment="1">
      <alignment horizontal="right" vertical="center" indent="1"/>
    </xf>
    <xf numFmtId="165" fontId="13" fillId="0" borderId="1" xfId="0" applyNumberFormat="1" applyFont="1" applyBorder="1" applyAlignment="1">
      <alignment horizontal="right" vertical="center" indent="1"/>
    </xf>
    <xf numFmtId="3" fontId="11" fillId="0" borderId="27" xfId="0" applyNumberFormat="1" applyFont="1" applyBorder="1" applyAlignment="1">
      <alignment horizontal="right" indent="1"/>
    </xf>
    <xf numFmtId="0" fontId="0" fillId="0" borderId="0" xfId="0" applyAlignment="1">
      <alignment horizontal="right" vertical="center"/>
    </xf>
    <xf numFmtId="0" fontId="0" fillId="0" borderId="0" xfId="0" applyBorder="1" applyAlignment="1">
      <alignment horizontal="right" vertical="center" indent="1"/>
    </xf>
    <xf numFmtId="0" fontId="0" fillId="0" borderId="0" xfId="0" applyAlignment="1">
      <alignment horizontal="right" vertical="center" indent="1"/>
    </xf>
    <xf numFmtId="3" fontId="0" fillId="0" borderId="0" xfId="0" applyNumberFormat="1" applyBorder="1">
      <alignment horizontal="right" indent="1"/>
    </xf>
    <xf numFmtId="165" fontId="13" fillId="0" borderId="31" xfId="0" applyNumberFormat="1" applyFont="1" applyBorder="1" applyAlignment="1">
      <alignment horizontal="right" vertical="center"/>
    </xf>
    <xf numFmtId="165" fontId="13" fillId="0" borderId="1" xfId="0" applyNumberFormat="1" applyFont="1" applyBorder="1" applyAlignment="1">
      <alignment horizontal="right" vertical="center"/>
    </xf>
    <xf numFmtId="165" fontId="11" fillId="0" borderId="59" xfId="0" applyNumberFormat="1" applyFont="1" applyBorder="1" applyAlignment="1">
      <alignment horizontal="right" vertical="center" indent="1"/>
    </xf>
    <xf numFmtId="165" fontId="11" fillId="0" borderId="58" xfId="0" applyNumberFormat="1" applyFont="1" applyBorder="1" applyAlignment="1">
      <alignment horizontal="right" vertical="center" indent="1"/>
    </xf>
    <xf numFmtId="165" fontId="13" fillId="0" borderId="58" xfId="0" applyNumberFormat="1" applyFont="1" applyBorder="1" applyAlignment="1">
      <alignment horizontal="right" vertical="center"/>
    </xf>
    <xf numFmtId="165" fontId="13" fillId="0" borderId="2" xfId="0" applyNumberFormat="1" applyFont="1" applyBorder="1" applyAlignment="1">
      <alignment horizontal="right" vertical="center"/>
    </xf>
    <xf numFmtId="165" fontId="13" fillId="0" borderId="3" xfId="0" applyNumberFormat="1" applyFont="1" applyBorder="1" applyAlignment="1">
      <alignment horizontal="right" vertical="center"/>
    </xf>
    <xf numFmtId="165" fontId="11" fillId="0" borderId="27" xfId="0" applyNumberFormat="1" applyFont="1" applyBorder="1" applyAlignment="1">
      <alignment horizontal="right" vertical="center" indent="1"/>
    </xf>
    <xf numFmtId="165" fontId="11" fillId="0" borderId="57" xfId="0" applyNumberFormat="1" applyFont="1" applyBorder="1" applyAlignment="1">
      <alignment horizontal="right" vertical="center" indent="1"/>
    </xf>
    <xf numFmtId="165" fontId="13" fillId="0" borderId="57" xfId="0" applyNumberFormat="1" applyFont="1" applyBorder="1" applyAlignment="1">
      <alignment horizontal="right" vertical="center"/>
    </xf>
    <xf numFmtId="165" fontId="13" fillId="0" borderId="27" xfId="0" applyNumberFormat="1" applyFont="1" applyBorder="1" applyAlignment="1">
      <alignment horizontal="right" vertical="center"/>
    </xf>
    <xf numFmtId="165" fontId="0" fillId="0" borderId="27" xfId="0" applyNumberFormat="1" applyBorder="1">
      <alignment horizontal="right" indent="1"/>
    </xf>
    <xf numFmtId="165" fontId="0" fillId="0" borderId="57" xfId="0" applyNumberFormat="1" applyBorder="1">
      <alignment horizontal="right" indent="1"/>
    </xf>
    <xf numFmtId="3" fontId="11" fillId="0" borderId="8" xfId="0" applyNumberFormat="1" applyFont="1" applyFill="1" applyBorder="1" applyAlignment="1">
      <alignment horizontal="right" vertical="center" indent="1"/>
    </xf>
    <xf numFmtId="3" fontId="11" fillId="0" borderId="4" xfId="0" applyNumberFormat="1" applyFont="1" applyBorder="1" applyAlignment="1">
      <alignment horizontal="right" vertical="center" indent="1"/>
    </xf>
    <xf numFmtId="3" fontId="11" fillId="0" borderId="4" xfId="0" applyNumberFormat="1" applyFont="1" applyBorder="1" applyAlignment="1">
      <alignment horizontal="right" indent="1"/>
    </xf>
    <xf numFmtId="1" fontId="12" fillId="0" borderId="42" xfId="0" applyNumberFormat="1" applyFont="1" applyBorder="1" applyAlignment="1">
      <alignment horizontal="center" vertical="center"/>
    </xf>
    <xf numFmtId="1" fontId="12" fillId="0" borderId="20" xfId="0" applyNumberFormat="1" applyFont="1" applyBorder="1" applyAlignment="1">
      <alignment horizontal="center" vertical="center"/>
    </xf>
    <xf numFmtId="165" fontId="13" fillId="0" borderId="15" xfId="0" applyNumberFormat="1" applyFont="1" applyBorder="1" applyAlignment="1">
      <alignment horizontal="right" indent="1"/>
    </xf>
    <xf numFmtId="165" fontId="13" fillId="0" borderId="16" xfId="0" applyNumberFormat="1" applyFont="1" applyBorder="1" applyAlignment="1">
      <alignment horizontal="right" indent="1"/>
    </xf>
    <xf numFmtId="165" fontId="13" fillId="0" borderId="2" xfId="0" applyNumberFormat="1" applyFont="1" applyBorder="1" applyAlignment="1">
      <alignment horizontal="right" indent="1"/>
    </xf>
    <xf numFmtId="165" fontId="13" fillId="0" borderId="3" xfId="0" applyNumberFormat="1" applyFont="1" applyBorder="1" applyAlignment="1">
      <alignment horizontal="right" indent="1"/>
    </xf>
    <xf numFmtId="165" fontId="13" fillId="0" borderId="5" xfId="0" applyNumberFormat="1" applyFont="1" applyBorder="1" applyAlignment="1">
      <alignment horizontal="right" indent="1"/>
    </xf>
    <xf numFmtId="165" fontId="13" fillId="0" borderId="1" xfId="0" applyNumberFormat="1" applyFont="1" applyBorder="1" applyAlignment="1">
      <alignment horizontal="right" indent="1"/>
    </xf>
    <xf numFmtId="165" fontId="13" fillId="0" borderId="28" xfId="0" applyNumberFormat="1" applyFont="1" applyBorder="1" applyAlignment="1">
      <alignment horizontal="right" indent="1"/>
    </xf>
    <xf numFmtId="165" fontId="13" fillId="0" borderId="29" xfId="0" applyNumberFormat="1" applyFont="1" applyBorder="1" applyAlignment="1">
      <alignment horizontal="right" indent="1"/>
    </xf>
    <xf numFmtId="165" fontId="13" fillId="0" borderId="7" xfId="0" applyNumberFormat="1" applyFont="1" applyBorder="1" applyAlignment="1">
      <alignment horizontal="right" indent="1"/>
    </xf>
    <xf numFmtId="165" fontId="13" fillId="0" borderId="38" xfId="0" applyNumberFormat="1" applyFont="1" applyBorder="1" applyAlignment="1">
      <alignment horizontal="right" indent="1"/>
    </xf>
    <xf numFmtId="165" fontId="13" fillId="0" borderId="11" xfId="0" applyNumberFormat="1" applyFont="1" applyBorder="1" applyAlignment="1">
      <alignment horizontal="right" indent="1"/>
    </xf>
    <xf numFmtId="165" fontId="13" fillId="0" borderId="4" xfId="0" applyNumberFormat="1" applyFont="1" applyBorder="1" applyAlignment="1">
      <alignment horizontal="right" vertical="center" indent="1"/>
    </xf>
    <xf numFmtId="165" fontId="13" fillId="0" borderId="13" xfId="0" applyNumberFormat="1" applyFont="1" applyBorder="1" applyAlignment="1">
      <alignment horizontal="right" vertical="center" indent="1"/>
    </xf>
    <xf numFmtId="165" fontId="13" fillId="0" borderId="11" xfId="0" applyNumberFormat="1" applyFont="1" applyBorder="1" applyAlignment="1">
      <alignment horizontal="right" vertical="center" indent="1"/>
    </xf>
    <xf numFmtId="165" fontId="13" fillId="0" borderId="32" xfId="0" applyNumberFormat="1" applyFont="1" applyBorder="1" applyAlignment="1">
      <alignment horizontal="right" vertical="center" indent="1"/>
    </xf>
    <xf numFmtId="165" fontId="13" fillId="0" borderId="0" xfId="0" applyNumberFormat="1" applyFont="1" applyAlignment="1">
      <alignment horizontal="right" vertical="center" indent="1"/>
    </xf>
    <xf numFmtId="165" fontId="13" fillId="0" borderId="7" xfId="0" applyNumberFormat="1" applyFont="1" applyBorder="1" applyAlignment="1">
      <alignment horizontal="right" vertical="center" indent="1"/>
    </xf>
    <xf numFmtId="165" fontId="13" fillId="0" borderId="28" xfId="0" applyNumberFormat="1" applyFont="1" applyBorder="1" applyAlignment="1">
      <alignment horizontal="right" vertical="center" indent="1"/>
    </xf>
    <xf numFmtId="165" fontId="13" fillId="0" borderId="2" xfId="0" applyNumberFormat="1" applyFont="1" applyBorder="1">
      <alignment horizontal="right" indent="1"/>
    </xf>
    <xf numFmtId="165" fontId="13" fillId="0" borderId="4" xfId="0" applyNumberFormat="1" applyFont="1" applyBorder="1">
      <alignment horizontal="right" indent="1"/>
    </xf>
    <xf numFmtId="165" fontId="13" fillId="0" borderId="28" xfId="0" applyNumberFormat="1" applyFont="1" applyBorder="1">
      <alignment horizontal="right" indent="1"/>
    </xf>
    <xf numFmtId="165" fontId="13" fillId="0" borderId="3" xfId="0" applyNumberFormat="1" applyFont="1" applyBorder="1">
      <alignment horizontal="right" indent="1"/>
    </xf>
    <xf numFmtId="165" fontId="13" fillId="0" borderId="37" xfId="0" applyNumberFormat="1" applyFont="1" applyBorder="1">
      <alignment horizontal="right" indent="1"/>
    </xf>
    <xf numFmtId="165" fontId="13" fillId="0" borderId="11" xfId="0" applyNumberFormat="1" applyFont="1" applyBorder="1">
      <alignment horizontal="right" indent="1"/>
    </xf>
    <xf numFmtId="165" fontId="13" fillId="0" borderId="32" xfId="0" applyNumberFormat="1" applyFont="1" applyBorder="1">
      <alignment horizontal="right" indent="1"/>
    </xf>
    <xf numFmtId="165" fontId="13" fillId="0" borderId="29" xfId="0" applyNumberFormat="1" applyFont="1" applyBorder="1">
      <alignment horizontal="right" indent="1"/>
    </xf>
    <xf numFmtId="165" fontId="13" fillId="0" borderId="7" xfId="0" applyNumberFormat="1" applyFont="1" applyBorder="1">
      <alignment horizontal="right" indent="1"/>
    </xf>
    <xf numFmtId="165" fontId="13" fillId="0" borderId="0" xfId="0" applyNumberFormat="1" applyFont="1">
      <alignment horizontal="right" indent="1"/>
    </xf>
    <xf numFmtId="165" fontId="13" fillId="0" borderId="29" xfId="0" applyNumberFormat="1" applyFont="1" applyBorder="1" applyAlignment="1">
      <alignment horizontal="right" vertical="center" indent="1"/>
    </xf>
    <xf numFmtId="165" fontId="13" fillId="0" borderId="37" xfId="0" applyNumberFormat="1" applyFont="1" applyBorder="1" applyAlignment="1">
      <alignment horizontal="right" vertical="center" indent="1"/>
    </xf>
    <xf numFmtId="4" fontId="13" fillId="0" borderId="2" xfId="0" applyNumberFormat="1" applyFont="1" applyBorder="1" applyAlignment="1">
      <alignment horizontal="right" vertical="center" indent="1"/>
    </xf>
    <xf numFmtId="165" fontId="13" fillId="0" borderId="45" xfId="0" applyNumberFormat="1" applyFont="1" applyBorder="1" applyAlignment="1">
      <alignment horizontal="right" vertical="center" indent="1"/>
    </xf>
    <xf numFmtId="165" fontId="0" fillId="0" borderId="16" xfId="0" applyNumberFormat="1" applyBorder="1" applyAlignment="1">
      <alignment horizontal="right" indent="1"/>
    </xf>
    <xf numFmtId="165" fontId="0" fillId="0" borderId="22" xfId="0" applyNumberFormat="1" applyBorder="1" applyAlignment="1">
      <alignment horizontal="right" vertical="center" indent="1"/>
    </xf>
    <xf numFmtId="165" fontId="0" fillId="0" borderId="16" xfId="0" applyNumberFormat="1" applyBorder="1" applyAlignment="1">
      <alignment horizontal="right" vertical="center" indent="1"/>
    </xf>
    <xf numFmtId="165" fontId="1" fillId="0" borderId="2" xfId="0" applyNumberFormat="1" applyFont="1" applyBorder="1" applyAlignment="1">
      <alignment horizontal="right" indent="1"/>
    </xf>
    <xf numFmtId="165" fontId="1" fillId="0" borderId="3" xfId="0" applyNumberFormat="1" applyFont="1" applyBorder="1" applyAlignment="1">
      <alignment horizontal="right" indent="1"/>
    </xf>
    <xf numFmtId="165" fontId="0" fillId="0" borderId="32" xfId="0" applyNumberFormat="1" applyBorder="1" applyAlignment="1">
      <alignment horizontal="right" indent="1"/>
    </xf>
    <xf numFmtId="165" fontId="13" fillId="0" borderId="5" xfId="0" applyNumberFormat="1" applyFont="1" applyBorder="1" applyAlignment="1">
      <alignment horizontal="right" vertical="center" indent="1"/>
    </xf>
    <xf numFmtId="165" fontId="13" fillId="0" borderId="38" xfId="0" applyNumberFormat="1" applyFont="1" applyBorder="1" applyAlignment="1">
      <alignment horizontal="right" vertical="center" indent="1"/>
    </xf>
    <xf numFmtId="165" fontId="13" fillId="0" borderId="9" xfId="0" applyNumberFormat="1" applyFont="1" applyBorder="1" applyAlignment="1">
      <alignment horizontal="right" vertical="center" indent="1"/>
    </xf>
    <xf numFmtId="165" fontId="13" fillId="0" borderId="22" xfId="0" applyNumberFormat="1" applyFont="1" applyBorder="1" applyAlignment="1">
      <alignment horizontal="right" vertical="center" indent="1"/>
    </xf>
    <xf numFmtId="165" fontId="13" fillId="2" borderId="1" xfId="0" applyNumberFormat="1" applyFont="1" applyFill="1" applyBorder="1" applyAlignment="1">
      <alignment horizontal="right" vertical="center" indent="1"/>
    </xf>
    <xf numFmtId="165" fontId="13" fillId="0" borderId="13" xfId="0" applyNumberFormat="1" applyFont="1" applyBorder="1">
      <alignment horizontal="right" indent="1"/>
    </xf>
    <xf numFmtId="165" fontId="13" fillId="0" borderId="38" xfId="0" applyNumberFormat="1" applyFont="1" applyBorder="1">
      <alignment horizontal="right" indent="1"/>
    </xf>
    <xf numFmtId="165" fontId="13" fillId="0" borderId="5" xfId="0" applyNumberFormat="1" applyFont="1" applyBorder="1">
      <alignment horizontal="right" indent="1"/>
    </xf>
    <xf numFmtId="165" fontId="13" fillId="0" borderId="1" xfId="0" applyNumberFormat="1" applyFont="1" applyBorder="1">
      <alignment horizontal="right" indent="1"/>
    </xf>
    <xf numFmtId="165" fontId="13" fillId="0" borderId="45" xfId="0" applyNumberFormat="1" applyFont="1" applyBorder="1">
      <alignment horizontal="right" indent="1"/>
    </xf>
    <xf numFmtId="165" fontId="13" fillId="2" borderId="2" xfId="0" applyNumberFormat="1" applyFont="1" applyFill="1" applyBorder="1" applyAlignment="1">
      <alignment horizontal="right" vertical="center" indent="1"/>
    </xf>
    <xf numFmtId="165" fontId="13" fillId="2" borderId="3" xfId="0" applyNumberFormat="1" applyFont="1" applyFill="1" applyBorder="1" applyAlignment="1">
      <alignment horizontal="right" vertical="center" indent="1"/>
    </xf>
    <xf numFmtId="165" fontId="13" fillId="0" borderId="31" xfId="0" applyNumberFormat="1" applyFont="1" applyBorder="1">
      <alignment horizontal="right" indent="1"/>
    </xf>
    <xf numFmtId="165" fontId="13" fillId="2" borderId="5" xfId="0" applyNumberFormat="1" applyFont="1" applyFill="1" applyBorder="1" applyAlignment="1">
      <alignment horizontal="right" vertical="center" indent="1"/>
    </xf>
    <xf numFmtId="165" fontId="13" fillId="0" borderId="18" xfId="0" applyNumberFormat="1" applyFont="1" applyBorder="1">
      <alignment horizontal="right" indent="1"/>
    </xf>
    <xf numFmtId="165" fontId="13" fillId="0" borderId="9" xfId="0" applyNumberFormat="1" applyFont="1" applyBorder="1">
      <alignment horizontal="right" indent="1"/>
    </xf>
    <xf numFmtId="165" fontId="13" fillId="0" borderId="50" xfId="0" applyNumberFormat="1" applyFont="1" applyBorder="1">
      <alignment horizontal="right" indent="1"/>
    </xf>
    <xf numFmtId="165" fontId="13" fillId="0" borderId="15" xfId="0" applyNumberFormat="1" applyFont="1" applyBorder="1">
      <alignment horizontal="right" indent="1"/>
    </xf>
    <xf numFmtId="165" fontId="13" fillId="0" borderId="16" xfId="0" applyNumberFormat="1" applyFont="1" applyBorder="1">
      <alignment horizontal="right" indent="1"/>
    </xf>
    <xf numFmtId="165" fontId="13" fillId="2" borderId="2" xfId="0" applyNumberFormat="1" applyFont="1" applyFill="1" applyBorder="1">
      <alignment horizontal="right" indent="1"/>
    </xf>
    <xf numFmtId="165" fontId="13" fillId="2" borderId="3" xfId="0" applyNumberFormat="1" applyFont="1" applyFill="1" applyBorder="1">
      <alignment horizontal="right" indent="1"/>
    </xf>
    <xf numFmtId="166" fontId="13" fillId="0" borderId="15" xfId="0" applyNumberFormat="1" applyFont="1" applyBorder="1" applyAlignment="1">
      <alignment horizontal="right" vertical="center" indent="1"/>
    </xf>
    <xf numFmtId="166" fontId="13" fillId="0" borderId="2" xfId="0" applyNumberFormat="1" applyFont="1" applyBorder="1" applyAlignment="1">
      <alignment horizontal="right" vertical="center" indent="1"/>
    </xf>
    <xf numFmtId="167" fontId="13" fillId="0" borderId="2" xfId="0" applyNumberFormat="1" applyFont="1" applyBorder="1" applyAlignment="1">
      <alignment horizontal="right" vertical="center" indent="1"/>
    </xf>
    <xf numFmtId="165" fontId="13" fillId="0" borderId="18" xfId="0" applyNumberFormat="1" applyFont="1" applyBorder="1" applyAlignment="1">
      <alignment horizontal="right" vertical="center" indent="1"/>
    </xf>
    <xf numFmtId="165" fontId="13" fillId="0" borderId="27" xfId="0" applyNumberFormat="1" applyFont="1" applyBorder="1" applyAlignment="1">
      <alignment horizontal="right" vertical="center" indent="1"/>
    </xf>
    <xf numFmtId="165" fontId="13" fillId="0" borderId="50" xfId="0" applyNumberFormat="1" applyFont="1" applyBorder="1" applyAlignment="1">
      <alignment horizontal="right" vertical="center" indent="1"/>
    </xf>
    <xf numFmtId="165" fontId="13" fillId="0" borderId="6" xfId="0" applyNumberFormat="1" applyFont="1" applyBorder="1" applyAlignment="1">
      <alignment horizontal="right" vertical="center" indent="1"/>
    </xf>
    <xf numFmtId="165" fontId="13" fillId="0" borderId="51" xfId="0" applyNumberFormat="1" applyFont="1" applyBorder="1" applyAlignment="1">
      <alignment horizontal="right" vertical="center" indent="1"/>
    </xf>
    <xf numFmtId="165" fontId="13" fillId="0" borderId="10" xfId="0" applyNumberFormat="1" applyFont="1" applyBorder="1" applyAlignment="1">
      <alignment horizontal="right" vertical="center" indent="1"/>
    </xf>
    <xf numFmtId="165" fontId="13" fillId="0" borderId="6" xfId="0" applyNumberFormat="1" applyFont="1" applyBorder="1">
      <alignment horizontal="right" indent="1"/>
    </xf>
    <xf numFmtId="165" fontId="13" fillId="0" borderId="22" xfId="0" applyNumberFormat="1" applyFont="1" applyBorder="1">
      <alignment horizontal="right" indent="1"/>
    </xf>
    <xf numFmtId="165" fontId="13" fillId="0" borderId="21" xfId="0" applyNumberFormat="1" applyFont="1" applyBorder="1">
      <alignment horizontal="right" indent="1"/>
    </xf>
    <xf numFmtId="4" fontId="13" fillId="0" borderId="3" xfId="0" applyNumberFormat="1" applyFont="1" applyBorder="1" applyAlignment="1">
      <alignment horizontal="right" vertical="center" indent="1"/>
    </xf>
    <xf numFmtId="4" fontId="13" fillId="0" borderId="5" xfId="0" applyNumberFormat="1" applyFont="1" applyBorder="1" applyAlignment="1">
      <alignment horizontal="right" vertical="center" indent="1"/>
    </xf>
    <xf numFmtId="166" fontId="13" fillId="0" borderId="5" xfId="0" applyNumberFormat="1" applyFont="1" applyBorder="1" applyAlignment="1">
      <alignment horizontal="right" vertical="center" indent="1"/>
    </xf>
    <xf numFmtId="4" fontId="13" fillId="0" borderId="9" xfId="0" applyNumberFormat="1" applyFont="1" applyBorder="1" applyAlignment="1">
      <alignment horizontal="right" vertical="center" indent="1"/>
    </xf>
    <xf numFmtId="4" fontId="13" fillId="0" borderId="50" xfId="0" applyNumberFormat="1" applyFont="1" applyBorder="1" applyAlignment="1">
      <alignment horizontal="right" vertical="center" indent="1"/>
    </xf>
    <xf numFmtId="165" fontId="13" fillId="2" borderId="15" xfId="0" applyNumberFormat="1" applyFont="1" applyFill="1" applyBorder="1" applyAlignment="1">
      <alignment horizontal="right" vertical="center" indent="1"/>
    </xf>
    <xf numFmtId="165" fontId="13" fillId="2" borderId="16" xfId="0" applyNumberFormat="1" applyFont="1" applyFill="1" applyBorder="1" applyAlignment="1">
      <alignment horizontal="right" vertical="center" indent="1"/>
    </xf>
    <xf numFmtId="165" fontId="13" fillId="2" borderId="13" xfId="0" applyNumberFormat="1" applyFont="1" applyFill="1" applyBorder="1" applyAlignment="1">
      <alignment horizontal="right" vertical="center" indent="1"/>
    </xf>
    <xf numFmtId="165" fontId="13" fillId="2" borderId="7" xfId="0" applyNumberFormat="1" applyFont="1" applyFill="1" applyBorder="1" applyAlignment="1">
      <alignment horizontal="right" vertical="center" indent="1"/>
    </xf>
    <xf numFmtId="165" fontId="13" fillId="2" borderId="11" xfId="0" applyNumberFormat="1" applyFont="1" applyFill="1" applyBorder="1" applyAlignment="1">
      <alignment horizontal="right" vertical="center" indent="1"/>
    </xf>
    <xf numFmtId="165" fontId="13" fillId="2" borderId="32" xfId="0" applyNumberFormat="1" applyFont="1" applyFill="1" applyBorder="1" applyAlignment="1">
      <alignment horizontal="right" vertical="center" indent="1"/>
    </xf>
    <xf numFmtId="165" fontId="13" fillId="2" borderId="9" xfId="0" applyNumberFormat="1" applyFont="1" applyFill="1" applyBorder="1" applyAlignment="1">
      <alignment horizontal="right" vertical="center" indent="1"/>
    </xf>
    <xf numFmtId="165" fontId="13" fillId="2" borderId="0" xfId="0" applyNumberFormat="1" applyFont="1" applyFill="1" applyBorder="1" applyAlignment="1">
      <alignment horizontal="right" vertical="center" indent="1"/>
    </xf>
    <xf numFmtId="165" fontId="13" fillId="2" borderId="45" xfId="0" applyNumberFormat="1" applyFont="1" applyFill="1" applyBorder="1" applyAlignment="1">
      <alignment horizontal="right" vertical="center" indent="1"/>
    </xf>
    <xf numFmtId="165" fontId="13" fillId="0" borderId="2" xfId="0" applyNumberFormat="1" applyFont="1" applyFill="1" applyBorder="1" applyAlignment="1">
      <alignment horizontal="right" vertical="center"/>
    </xf>
    <xf numFmtId="165" fontId="13" fillId="0" borderId="3" xfId="0" applyNumberFormat="1" applyFont="1" applyFill="1" applyBorder="1" applyAlignment="1">
      <alignment horizontal="right" vertical="center"/>
    </xf>
    <xf numFmtId="165" fontId="0" fillId="0" borderId="27" xfId="0" applyNumberFormat="1" applyFill="1" applyBorder="1" applyAlignment="1">
      <alignment horizontal="right" indent="1"/>
    </xf>
    <xf numFmtId="165" fontId="0" fillId="0" borderId="57" xfId="0" applyNumberFormat="1" applyFill="1" applyBorder="1" applyAlignment="1">
      <alignment horizontal="right" indent="1"/>
    </xf>
    <xf numFmtId="165" fontId="13" fillId="0" borderId="57" xfId="0" applyNumberFormat="1" applyFont="1" applyFill="1" applyBorder="1" applyAlignment="1">
      <alignment horizontal="right" vertical="center"/>
    </xf>
    <xf numFmtId="3" fontId="0" fillId="0" borderId="27" xfId="0" applyNumberFormat="1" applyFill="1" applyBorder="1" applyAlignment="1">
      <alignment horizontal="right" indent="1"/>
    </xf>
    <xf numFmtId="3" fontId="0" fillId="0" borderId="57" xfId="0" applyNumberFormat="1" applyFill="1" applyBorder="1" applyAlignment="1">
      <alignment horizontal="right" indent="1"/>
    </xf>
    <xf numFmtId="3" fontId="0" fillId="0" borderId="4" xfId="0" applyNumberFormat="1" applyFill="1" applyBorder="1" applyAlignment="1">
      <alignment horizontal="right" indent="1"/>
    </xf>
    <xf numFmtId="1" fontId="12" fillId="0" borderId="20" xfId="0" applyNumberFormat="1" applyFont="1" applyFill="1" applyBorder="1" applyAlignment="1">
      <alignment horizontal="center" vertical="center"/>
    </xf>
    <xf numFmtId="165" fontId="13" fillId="0" borderId="13" xfId="0" applyNumberFormat="1" applyFont="1" applyFill="1" applyBorder="1" applyAlignment="1">
      <alignment horizontal="right" vertical="center"/>
    </xf>
    <xf numFmtId="165" fontId="13" fillId="0" borderId="11" xfId="0" applyNumberFormat="1" applyFont="1" applyFill="1" applyBorder="1" applyAlignment="1">
      <alignment horizontal="right" vertical="center"/>
    </xf>
    <xf numFmtId="165" fontId="0" fillId="0" borderId="10" xfId="0" applyNumberFormat="1" applyFill="1" applyBorder="1" applyAlignment="1">
      <alignment horizontal="right" indent="1"/>
    </xf>
    <xf numFmtId="165" fontId="0" fillId="0" borderId="61" xfId="0" applyNumberFormat="1" applyFill="1" applyBorder="1" applyAlignment="1">
      <alignment horizontal="right" indent="1"/>
    </xf>
    <xf numFmtId="165" fontId="13" fillId="0" borderId="61" xfId="0" applyNumberFormat="1" applyFont="1" applyFill="1" applyBorder="1" applyAlignment="1">
      <alignment horizontal="right" vertical="center"/>
    </xf>
    <xf numFmtId="3" fontId="0" fillId="0" borderId="10" xfId="0" applyNumberFormat="1" applyFill="1" applyBorder="1" applyAlignment="1">
      <alignment horizontal="right" indent="1"/>
    </xf>
    <xf numFmtId="3" fontId="0" fillId="0" borderId="61" xfId="0" applyNumberFormat="1" applyFill="1" applyBorder="1" applyAlignment="1">
      <alignment horizontal="right" indent="1"/>
    </xf>
    <xf numFmtId="3" fontId="0" fillId="0" borderId="12" xfId="0" applyNumberFormat="1" applyFill="1" applyBorder="1" applyAlignment="1">
      <alignment horizontal="right" indent="1"/>
    </xf>
    <xf numFmtId="1" fontId="12" fillId="0" borderId="46" xfId="0" applyNumberFormat="1" applyFont="1" applyFill="1" applyBorder="1" applyAlignment="1">
      <alignment horizontal="center" vertical="center"/>
    </xf>
    <xf numFmtId="165" fontId="13" fillId="0" borderId="27" xfId="0" applyNumberFormat="1" applyFont="1" applyFill="1" applyBorder="1" applyAlignment="1">
      <alignment horizontal="right" vertical="center"/>
    </xf>
    <xf numFmtId="165" fontId="13" fillId="0" borderId="57" xfId="0" applyNumberFormat="1" applyFont="1" applyFill="1" applyBorder="1" applyAlignment="1"/>
    <xf numFmtId="165" fontId="13" fillId="0" borderId="3" xfId="0" applyNumberFormat="1" applyFont="1" applyFill="1" applyBorder="1" applyAlignment="1"/>
    <xf numFmtId="165" fontId="13" fillId="0" borderId="17" xfId="0" applyNumberFormat="1" applyFont="1" applyFill="1" applyBorder="1" applyAlignment="1">
      <alignment horizontal="right" vertical="center"/>
    </xf>
    <xf numFmtId="165" fontId="13" fillId="0" borderId="14" xfId="0" applyNumberFormat="1" applyFont="1" applyFill="1" applyBorder="1" applyAlignment="1">
      <alignment horizontal="right" vertical="center"/>
    </xf>
    <xf numFmtId="165" fontId="13" fillId="0" borderId="62" xfId="0" applyNumberFormat="1" applyFont="1" applyFill="1" applyBorder="1" applyAlignment="1">
      <alignment horizontal="right" vertical="center"/>
    </xf>
    <xf numFmtId="165" fontId="0" fillId="0" borderId="62" xfId="0" applyNumberFormat="1" applyFill="1" applyBorder="1" applyAlignment="1">
      <alignment horizontal="right" indent="1"/>
    </xf>
    <xf numFmtId="165" fontId="0" fillId="0" borderId="60" xfId="0" applyNumberFormat="1" applyFill="1" applyBorder="1" applyAlignment="1">
      <alignment horizontal="right" indent="1"/>
    </xf>
    <xf numFmtId="165" fontId="13" fillId="0" borderId="60" xfId="0" applyNumberFormat="1" applyFont="1" applyFill="1" applyBorder="1" applyAlignment="1"/>
    <xf numFmtId="165" fontId="13" fillId="0" borderId="14" xfId="0" applyNumberFormat="1" applyFont="1" applyFill="1" applyBorder="1" applyAlignment="1"/>
    <xf numFmtId="3" fontId="0" fillId="0" borderId="62" xfId="0" applyNumberFormat="1" applyFill="1" applyBorder="1" applyAlignment="1">
      <alignment horizontal="right" indent="1"/>
    </xf>
    <xf numFmtId="3" fontId="0" fillId="0" borderId="60" xfId="0" applyNumberFormat="1" applyFill="1" applyBorder="1" applyAlignment="1">
      <alignment horizontal="right" indent="1"/>
    </xf>
    <xf numFmtId="3" fontId="0" fillId="0" borderId="63" xfId="0" applyNumberFormat="1" applyFill="1" applyBorder="1" applyAlignment="1">
      <alignment horizontal="right" indent="1"/>
    </xf>
    <xf numFmtId="1" fontId="12" fillId="0" borderId="44" xfId="0" applyNumberFormat="1" applyFont="1" applyFill="1" applyBorder="1" applyAlignment="1">
      <alignment horizontal="center" vertical="center"/>
    </xf>
    <xf numFmtId="165" fontId="13" fillId="0" borderId="28" xfId="0" applyNumberFormat="1" applyFont="1" applyFill="1" applyBorder="1" applyAlignment="1">
      <alignment horizontal="right"/>
    </xf>
    <xf numFmtId="165" fontId="13" fillId="0" borderId="3" xfId="0" applyNumberFormat="1" applyFont="1" applyFill="1" applyBorder="1" applyAlignment="1">
      <alignment horizontal="right"/>
    </xf>
    <xf numFmtId="165" fontId="13" fillId="0" borderId="2" xfId="0" applyNumberFormat="1" applyFont="1" applyFill="1" applyBorder="1" applyAlignment="1">
      <alignment horizontal="right"/>
    </xf>
    <xf numFmtId="165" fontId="13" fillId="0" borderId="18" xfId="0" applyNumberFormat="1" applyFont="1" applyFill="1" applyBorder="1" applyAlignment="1">
      <alignment horizontal="right"/>
    </xf>
    <xf numFmtId="3" fontId="0" fillId="0" borderId="32" xfId="0" applyNumberFormat="1" applyFill="1" applyBorder="1" applyAlignment="1">
      <alignment horizontal="right" indent="1"/>
    </xf>
    <xf numFmtId="3" fontId="0" fillId="0" borderId="3" xfId="0" applyNumberFormat="1" applyFill="1" applyBorder="1" applyAlignment="1">
      <alignment horizontal="right" indent="1"/>
    </xf>
    <xf numFmtId="3" fontId="0" fillId="0" borderId="28" xfId="0" applyNumberFormat="1" applyFill="1" applyBorder="1" applyAlignment="1">
      <alignment horizontal="right" indent="1" shrinkToFit="1"/>
    </xf>
    <xf numFmtId="3" fontId="0" fillId="0" borderId="3" xfId="0" applyNumberFormat="1" applyFill="1" applyBorder="1" applyAlignment="1">
      <alignment horizontal="right" indent="1" shrinkToFit="1"/>
    </xf>
    <xf numFmtId="0" fontId="12" fillId="0" borderId="18" xfId="0" applyFont="1" applyFill="1" applyBorder="1" applyAlignment="1">
      <alignment horizontal="center"/>
    </xf>
    <xf numFmtId="3" fontId="0" fillId="0" borderId="59" xfId="0" applyNumberFormat="1" applyFill="1" applyBorder="1" applyAlignment="1">
      <alignment horizontal="right" indent="1"/>
    </xf>
    <xf numFmtId="3" fontId="0" fillId="0" borderId="58" xfId="0" applyNumberFormat="1" applyFill="1" applyBorder="1" applyAlignment="1">
      <alignment horizontal="right" indent="1"/>
    </xf>
    <xf numFmtId="3" fontId="0" fillId="0" borderId="58" xfId="0" applyNumberFormat="1" applyFill="1" applyBorder="1" applyAlignment="1">
      <alignment horizontal="right" indent="1" shrinkToFit="1"/>
    </xf>
    <xf numFmtId="0" fontId="12" fillId="0" borderId="1" xfId="0" applyFont="1" applyFill="1" applyBorder="1" applyAlignment="1">
      <alignment horizontal="center"/>
    </xf>
    <xf numFmtId="3" fontId="0" fillId="0" borderId="57" xfId="0" applyNumberFormat="1" applyFill="1" applyBorder="1" applyAlignment="1">
      <alignment horizontal="right" indent="1" shrinkToFit="1"/>
    </xf>
    <xf numFmtId="0" fontId="12" fillId="0" borderId="3" xfId="0" applyFont="1" applyFill="1" applyBorder="1" applyAlignment="1">
      <alignment horizontal="center"/>
    </xf>
    <xf numFmtId="165" fontId="13" fillId="0" borderId="49" xfId="0" applyNumberFormat="1" applyFont="1" applyFill="1" applyBorder="1" applyAlignment="1">
      <alignment horizontal="right"/>
    </xf>
    <xf numFmtId="165" fontId="13" fillId="0" borderId="14" xfId="0" applyNumberFormat="1" applyFont="1" applyFill="1" applyBorder="1" applyAlignment="1">
      <alignment horizontal="right"/>
    </xf>
    <xf numFmtId="165" fontId="13" fillId="0" borderId="17" xfId="0" applyNumberFormat="1" applyFont="1" applyFill="1" applyBorder="1" applyAlignment="1">
      <alignment horizontal="right"/>
    </xf>
    <xf numFmtId="165" fontId="13" fillId="0" borderId="47" xfId="0" applyNumberFormat="1" applyFont="1" applyFill="1" applyBorder="1" applyAlignment="1">
      <alignment horizontal="right"/>
    </xf>
    <xf numFmtId="3" fontId="0" fillId="0" borderId="60" xfId="0" applyNumberFormat="1" applyFill="1" applyBorder="1" applyAlignment="1">
      <alignment horizontal="right" indent="1" shrinkToFit="1"/>
    </xf>
    <xf numFmtId="0" fontId="12" fillId="0" borderId="14" xfId="0" applyFont="1" applyFill="1" applyBorder="1" applyAlignment="1">
      <alignment horizontal="center"/>
    </xf>
    <xf numFmtId="165" fontId="13" fillId="0" borderId="2" xfId="0" applyNumberFormat="1" applyFont="1" applyFill="1" applyBorder="1" applyAlignment="1">
      <alignment horizontal="right" vertical="center" indent="1"/>
    </xf>
    <xf numFmtId="165" fontId="13" fillId="0" borderId="3" xfId="0" applyNumberFormat="1" applyFont="1" applyFill="1" applyBorder="1" applyAlignment="1">
      <alignment horizontal="right" vertical="center" indent="1"/>
    </xf>
    <xf numFmtId="165" fontId="13" fillId="0" borderId="28" xfId="0" applyNumberFormat="1" applyFont="1" applyFill="1" applyBorder="1" applyAlignment="1">
      <alignment horizontal="right" vertical="center" indent="1"/>
    </xf>
    <xf numFmtId="165" fontId="13" fillId="0" borderId="32" xfId="0" applyNumberFormat="1" applyFont="1" applyFill="1" applyBorder="1" applyAlignment="1">
      <alignment horizontal="right" vertical="center" indent="1"/>
    </xf>
    <xf numFmtId="3" fontId="0" fillId="0" borderId="32" xfId="0" applyNumberFormat="1" applyFill="1" applyBorder="1" applyAlignment="1">
      <alignment horizontal="right" vertical="center" indent="1"/>
    </xf>
    <xf numFmtId="0" fontId="12" fillId="0" borderId="18" xfId="0" applyFont="1" applyFill="1" applyBorder="1" applyAlignment="1">
      <alignment horizontal="center" vertical="center"/>
    </xf>
    <xf numFmtId="165" fontId="13" fillId="0" borderId="31" xfId="0" applyNumberFormat="1" applyFont="1" applyFill="1" applyBorder="1" applyAlignment="1">
      <alignment horizontal="right" vertical="center" indent="1"/>
    </xf>
    <xf numFmtId="165" fontId="13" fillId="0" borderId="1" xfId="0" applyNumberFormat="1" applyFont="1" applyFill="1" applyBorder="1" applyAlignment="1">
      <alignment horizontal="right" vertical="center" indent="1"/>
    </xf>
    <xf numFmtId="165" fontId="13" fillId="0" borderId="59" xfId="0" applyNumberFormat="1" applyFont="1" applyFill="1" applyBorder="1" applyAlignment="1">
      <alignment horizontal="right" vertical="center" indent="1"/>
    </xf>
    <xf numFmtId="165" fontId="13" fillId="0" borderId="58" xfId="0" applyNumberFormat="1" applyFont="1" applyFill="1" applyBorder="1" applyAlignment="1">
      <alignment horizontal="right" vertical="center" indent="1"/>
    </xf>
    <xf numFmtId="165" fontId="13" fillId="0" borderId="64" xfId="0" applyNumberFormat="1" applyFont="1" applyFill="1" applyBorder="1" applyAlignment="1">
      <alignment horizontal="right" vertical="center" indent="1"/>
    </xf>
    <xf numFmtId="3" fontId="0" fillId="0" borderId="0" xfId="0" applyNumberFormat="1" applyFill="1" applyBorder="1" applyAlignment="1">
      <alignment horizontal="right" vertical="center" indent="1"/>
    </xf>
    <xf numFmtId="165" fontId="13" fillId="0" borderId="27" xfId="0" applyNumberFormat="1" applyFont="1" applyFill="1" applyBorder="1" applyAlignment="1">
      <alignment horizontal="right" vertical="center" indent="1"/>
    </xf>
    <xf numFmtId="165" fontId="13" fillId="0" borderId="57" xfId="0" applyNumberFormat="1" applyFont="1" applyFill="1" applyBorder="1" applyAlignment="1">
      <alignment horizontal="right" vertical="center" indent="1"/>
    </xf>
    <xf numFmtId="165" fontId="13" fillId="0" borderId="4" xfId="0" applyNumberFormat="1" applyFont="1" applyFill="1" applyBorder="1" applyAlignment="1">
      <alignment horizontal="right" vertical="center" indent="1"/>
    </xf>
    <xf numFmtId="165" fontId="13" fillId="0" borderId="17" xfId="0" applyNumberFormat="1" applyFont="1" applyFill="1" applyBorder="1" applyAlignment="1">
      <alignment horizontal="right" vertical="center" indent="1"/>
    </xf>
    <xf numFmtId="165" fontId="13" fillId="0" borderId="14" xfId="0" applyNumberFormat="1" applyFont="1" applyFill="1" applyBorder="1" applyAlignment="1">
      <alignment horizontal="right" vertical="center" indent="1"/>
    </xf>
    <xf numFmtId="165" fontId="13" fillId="0" borderId="62" xfId="0" applyNumberFormat="1" applyFont="1" applyFill="1" applyBorder="1" applyAlignment="1">
      <alignment horizontal="right" vertical="center" indent="1"/>
    </xf>
    <xf numFmtId="165" fontId="13" fillId="0" borderId="60" xfId="0" applyNumberFormat="1" applyFont="1" applyFill="1" applyBorder="1" applyAlignment="1">
      <alignment horizontal="right" vertical="center" indent="1"/>
    </xf>
    <xf numFmtId="165" fontId="13" fillId="0" borderId="63" xfId="0" applyNumberFormat="1" applyFont="1" applyFill="1" applyBorder="1" applyAlignment="1">
      <alignment horizontal="right" vertical="center" indent="1"/>
    </xf>
    <xf numFmtId="165" fontId="13" fillId="0" borderId="17" xfId="0" applyNumberFormat="1" applyFont="1" applyFill="1" applyBorder="1">
      <alignment horizontal="right" indent="1"/>
    </xf>
    <xf numFmtId="165" fontId="13" fillId="0" borderId="14" xfId="0" applyNumberFormat="1" applyFont="1" applyFill="1" applyBorder="1">
      <alignment horizontal="right" indent="1"/>
    </xf>
    <xf numFmtId="3" fontId="0" fillId="0" borderId="33" xfId="0" applyNumberFormat="1" applyFill="1" applyBorder="1" applyAlignment="1">
      <alignment horizontal="right" vertical="center" indent="1"/>
    </xf>
    <xf numFmtId="0" fontId="12" fillId="0" borderId="44" xfId="0" applyFont="1" applyFill="1" applyBorder="1" applyAlignment="1">
      <alignment horizontal="center" vertical="center"/>
    </xf>
    <xf numFmtId="165" fontId="13" fillId="0" borderId="2" xfId="0" applyNumberFormat="1" applyFont="1" applyFill="1" applyBorder="1" applyAlignment="1">
      <alignment horizontal="right" indent="1"/>
    </xf>
    <xf numFmtId="165" fontId="13" fillId="0" borderId="3" xfId="0" applyNumberFormat="1" applyFont="1" applyFill="1" applyBorder="1" applyAlignment="1">
      <alignment horizontal="right" indent="1"/>
    </xf>
    <xf numFmtId="165" fontId="13" fillId="0" borderId="28" xfId="0" applyNumberFormat="1" applyFont="1" applyFill="1" applyBorder="1" applyAlignment="1">
      <alignment horizontal="right" indent="1"/>
    </xf>
    <xf numFmtId="165" fontId="13" fillId="0" borderId="32" xfId="0" applyNumberFormat="1" applyFont="1" applyFill="1" applyBorder="1" applyAlignment="1">
      <alignment horizontal="right" indent="1"/>
    </xf>
    <xf numFmtId="165" fontId="13" fillId="0" borderId="31" xfId="0" applyNumberFormat="1" applyFont="1" applyFill="1" applyBorder="1" applyAlignment="1">
      <alignment horizontal="right" indent="1"/>
    </xf>
    <xf numFmtId="165" fontId="13" fillId="0" borderId="1" xfId="0" applyNumberFormat="1" applyFont="1" applyFill="1" applyBorder="1" applyAlignment="1">
      <alignment horizontal="right" indent="1"/>
    </xf>
    <xf numFmtId="165" fontId="13" fillId="0" borderId="58" xfId="0" applyNumberFormat="1" applyFont="1" applyFill="1" applyBorder="1" applyAlignment="1">
      <alignment horizontal="right" indent="1"/>
    </xf>
    <xf numFmtId="165" fontId="13" fillId="0" borderId="64" xfId="0" applyNumberFormat="1" applyFont="1" applyFill="1" applyBorder="1" applyAlignment="1">
      <alignment horizontal="right" indent="1"/>
    </xf>
    <xf numFmtId="3" fontId="0" fillId="0" borderId="64" xfId="0" applyNumberFormat="1" applyFill="1" applyBorder="1" applyAlignment="1">
      <alignment horizontal="right" indent="1"/>
    </xf>
    <xf numFmtId="0" fontId="12" fillId="0" borderId="42" xfId="0" applyFont="1" applyFill="1" applyBorder="1" applyAlignment="1">
      <alignment horizontal="center"/>
    </xf>
    <xf numFmtId="165" fontId="13" fillId="0" borderId="57" xfId="0" applyNumberFormat="1" applyFont="1" applyFill="1" applyBorder="1" applyAlignment="1">
      <alignment horizontal="right" indent="1"/>
    </xf>
    <xf numFmtId="165" fontId="13" fillId="0" borderId="4" xfId="0" applyNumberFormat="1" applyFont="1" applyFill="1" applyBorder="1" applyAlignment="1">
      <alignment horizontal="right" indent="1"/>
    </xf>
    <xf numFmtId="0" fontId="12" fillId="0" borderId="20" xfId="0" applyFont="1" applyFill="1" applyBorder="1" applyAlignment="1">
      <alignment horizontal="center"/>
    </xf>
    <xf numFmtId="165" fontId="13" fillId="0" borderId="17" xfId="0" applyNumberFormat="1" applyFont="1" applyFill="1" applyBorder="1" applyAlignment="1">
      <alignment horizontal="right" indent="1"/>
    </xf>
    <xf numFmtId="165" fontId="13" fillId="0" borderId="14" xfId="0" applyNumberFormat="1" applyFont="1" applyFill="1" applyBorder="1" applyAlignment="1">
      <alignment horizontal="right" indent="1"/>
    </xf>
    <xf numFmtId="165" fontId="13" fillId="0" borderId="60" xfId="0" applyNumberFormat="1" applyFont="1" applyFill="1" applyBorder="1" applyAlignment="1">
      <alignment horizontal="right" indent="1"/>
    </xf>
    <xf numFmtId="165" fontId="13" fillId="0" borderId="63" xfId="0" applyNumberFormat="1" applyFont="1" applyFill="1" applyBorder="1" applyAlignment="1">
      <alignment horizontal="right" indent="1"/>
    </xf>
    <xf numFmtId="0" fontId="12" fillId="0" borderId="44" xfId="0" applyFont="1" applyFill="1" applyBorder="1" applyAlignment="1">
      <alignment horizontal="center"/>
    </xf>
    <xf numFmtId="3" fontId="0" fillId="0" borderId="41" xfId="0" applyNumberFormat="1" applyFill="1" applyBorder="1" applyAlignment="1">
      <alignment horizontal="right" vertical="center" indent="1"/>
    </xf>
    <xf numFmtId="3" fontId="0" fillId="0" borderId="40" xfId="0" applyNumberFormat="1" applyFill="1" applyBorder="1" applyAlignment="1">
      <alignment horizontal="right" vertical="center" indent="1"/>
    </xf>
    <xf numFmtId="0" fontId="12" fillId="0" borderId="46" xfId="0" applyFont="1" applyFill="1" applyBorder="1" applyAlignment="1">
      <alignment horizontal="center" vertical="center"/>
    </xf>
    <xf numFmtId="165" fontId="13" fillId="0" borderId="0" xfId="0" applyNumberFormat="1" applyFont="1" applyFill="1" applyBorder="1" applyAlignment="1">
      <alignment horizontal="right" vertical="center" indent="1"/>
    </xf>
    <xf numFmtId="3" fontId="0" fillId="0" borderId="53" xfId="0" applyNumberFormat="1" applyFill="1" applyBorder="1" applyAlignment="1">
      <alignment horizontal="right" vertical="center" indent="1"/>
    </xf>
    <xf numFmtId="165" fontId="13" fillId="0" borderId="13" xfId="0" applyNumberFormat="1" applyFont="1" applyFill="1" applyBorder="1" applyAlignment="1">
      <alignment horizontal="right" vertical="center" indent="1"/>
    </xf>
    <xf numFmtId="165" fontId="13" fillId="0" borderId="11" xfId="0" applyNumberFormat="1" applyFont="1" applyFill="1" applyBorder="1" applyAlignment="1">
      <alignment horizontal="right" vertical="center" indent="1"/>
    </xf>
    <xf numFmtId="165" fontId="13" fillId="0" borderId="37" xfId="0" applyNumberFormat="1" applyFont="1" applyFill="1" applyBorder="1" applyAlignment="1">
      <alignment horizontal="right" vertical="center" indent="1"/>
    </xf>
    <xf numFmtId="165" fontId="13" fillId="0" borderId="12" xfId="0" applyNumberFormat="1" applyFont="1" applyFill="1" applyBorder="1" applyAlignment="1">
      <alignment horizontal="right" vertical="center" indent="1"/>
    </xf>
    <xf numFmtId="3" fontId="0" fillId="0" borderId="59" xfId="0" applyNumberFormat="1" applyFill="1" applyBorder="1" applyAlignment="1">
      <alignment horizontal="right" vertical="center" indent="1"/>
    </xf>
    <xf numFmtId="3" fontId="0" fillId="0" borderId="58" xfId="0" applyNumberFormat="1" applyFill="1" applyBorder="1" applyAlignment="1">
      <alignment horizontal="right" vertical="center" indent="1"/>
    </xf>
    <xf numFmtId="0" fontId="12" fillId="0" borderId="1" xfId="0" applyFont="1" applyFill="1" applyBorder="1" applyAlignment="1">
      <alignment horizontal="center" vertical="center"/>
    </xf>
    <xf numFmtId="3" fontId="0" fillId="0" borderId="27" xfId="0" applyNumberFormat="1" applyFill="1" applyBorder="1" applyAlignment="1">
      <alignment horizontal="right" vertical="center" indent="1"/>
    </xf>
    <xf numFmtId="3" fontId="0" fillId="0" borderId="57" xfId="0" applyNumberFormat="1" applyFill="1" applyBorder="1" applyAlignment="1">
      <alignment horizontal="right" vertical="center" indent="1"/>
    </xf>
    <xf numFmtId="0" fontId="12" fillId="0" borderId="3" xfId="0" applyFont="1" applyFill="1" applyBorder="1" applyAlignment="1">
      <alignment horizontal="center" vertical="center"/>
    </xf>
    <xf numFmtId="165" fontId="13" fillId="0" borderId="49" xfId="0" applyNumberFormat="1" applyFont="1" applyFill="1" applyBorder="1" applyAlignment="1">
      <alignment horizontal="right" vertical="center" indent="1"/>
    </xf>
    <xf numFmtId="3" fontId="0" fillId="0" borderId="62" xfId="0" applyNumberFormat="1" applyFill="1" applyBorder="1" applyAlignment="1">
      <alignment horizontal="right" vertical="center" indent="1"/>
    </xf>
    <xf numFmtId="3" fontId="0" fillId="0" borderId="60" xfId="0" applyNumberFormat="1" applyFill="1" applyBorder="1" applyAlignment="1">
      <alignment horizontal="right" vertical="center" indent="1"/>
    </xf>
    <xf numFmtId="0" fontId="12" fillId="0" borderId="14" xfId="0" applyFont="1" applyFill="1" applyBorder="1" applyAlignment="1">
      <alignment horizontal="center" vertical="center"/>
    </xf>
    <xf numFmtId="0" fontId="0" fillId="0" borderId="32" xfId="0" applyFill="1" applyBorder="1" applyAlignment="1"/>
    <xf numFmtId="165" fontId="13" fillId="0" borderId="9" xfId="0" applyNumberFormat="1" applyFont="1" applyFill="1" applyBorder="1" applyAlignment="1">
      <alignment horizontal="right" vertical="center" indent="1"/>
    </xf>
    <xf numFmtId="0" fontId="0" fillId="0" borderId="59" xfId="0" applyFill="1" applyBorder="1" applyAlignment="1"/>
    <xf numFmtId="0" fontId="0" fillId="0" borderId="58" xfId="0" applyFill="1" applyBorder="1" applyAlignment="1"/>
    <xf numFmtId="0" fontId="0" fillId="0" borderId="27" xfId="0" applyFill="1" applyBorder="1" applyAlignment="1"/>
    <xf numFmtId="0" fontId="0" fillId="0" borderId="57" xfId="0" applyFill="1" applyBorder="1" applyAlignment="1"/>
    <xf numFmtId="165" fontId="13" fillId="0" borderId="65" xfId="0" applyNumberFormat="1" applyFont="1" applyFill="1" applyBorder="1" applyAlignment="1">
      <alignment horizontal="right" vertical="center" indent="1"/>
    </xf>
    <xf numFmtId="165" fontId="13" fillId="0" borderId="10" xfId="0" applyNumberFormat="1" applyFont="1" applyFill="1" applyBorder="1" applyAlignment="1">
      <alignment horizontal="right" vertical="center" indent="1"/>
    </xf>
    <xf numFmtId="165" fontId="13" fillId="0" borderId="61" xfId="0" applyNumberFormat="1" applyFont="1" applyFill="1" applyBorder="1" applyAlignment="1">
      <alignment horizontal="right" vertical="center" indent="1"/>
    </xf>
    <xf numFmtId="0" fontId="0" fillId="0" borderId="10" xfId="0" applyFill="1" applyBorder="1" applyAlignment="1"/>
    <xf numFmtId="0" fontId="0" fillId="0" borderId="61" xfId="0" applyFill="1" applyBorder="1" applyAlignment="1"/>
    <xf numFmtId="0" fontId="12" fillId="0" borderId="11" xfId="0" applyFont="1" applyFill="1" applyBorder="1" applyAlignment="1">
      <alignment horizontal="center" vertical="center"/>
    </xf>
    <xf numFmtId="165" fontId="13" fillId="0" borderId="45" xfId="0" applyNumberFormat="1" applyFont="1" applyFill="1" applyBorder="1" applyAlignment="1">
      <alignment horizontal="right" indent="1"/>
    </xf>
    <xf numFmtId="3" fontId="0" fillId="0" borderId="45" xfId="0" applyNumberFormat="1" applyFill="1" applyBorder="1" applyAlignment="1">
      <alignment horizontal="right" indent="1"/>
    </xf>
    <xf numFmtId="0" fontId="12" fillId="0" borderId="55" xfId="0" applyFont="1" applyFill="1" applyBorder="1" applyAlignment="1">
      <alignment horizontal="center"/>
    </xf>
    <xf numFmtId="165" fontId="13" fillId="0" borderId="13" xfId="0" applyNumberFormat="1" applyFont="1" applyFill="1" applyBorder="1" applyAlignment="1">
      <alignment horizontal="right" indent="1"/>
    </xf>
    <xf numFmtId="165" fontId="13" fillId="0" borderId="12" xfId="0" applyNumberFormat="1" applyFont="1" applyFill="1" applyBorder="1" applyAlignment="1">
      <alignment horizontal="right" indent="1"/>
    </xf>
    <xf numFmtId="165" fontId="13" fillId="0" borderId="61" xfId="0" applyNumberFormat="1" applyFont="1" applyFill="1" applyBorder="1" applyAlignment="1">
      <alignment horizontal="right" indent="1"/>
    </xf>
    <xf numFmtId="165" fontId="13" fillId="0" borderId="11" xfId="0" applyNumberFormat="1" applyFont="1" applyFill="1" applyBorder="1" applyAlignment="1">
      <alignment horizontal="right" indent="1"/>
    </xf>
    <xf numFmtId="165" fontId="13" fillId="0" borderId="59" xfId="0" applyNumberFormat="1" applyFont="1" applyFill="1" applyBorder="1" applyAlignment="1">
      <alignment horizontal="right" indent="1"/>
    </xf>
    <xf numFmtId="165" fontId="13" fillId="0" borderId="27" xfId="0" applyNumberFormat="1" applyFont="1" applyFill="1" applyBorder="1" applyAlignment="1">
      <alignment horizontal="right" indent="1"/>
    </xf>
    <xf numFmtId="165" fontId="13" fillId="0" borderId="62" xfId="0" applyNumberFormat="1" applyFont="1" applyFill="1" applyBorder="1" applyAlignment="1">
      <alignment horizontal="right" indent="1"/>
    </xf>
    <xf numFmtId="165" fontId="13" fillId="0" borderId="20" xfId="0" applyNumberFormat="1" applyFont="1" applyFill="1" applyBorder="1" applyAlignment="1">
      <alignment horizontal="right" indent="1"/>
    </xf>
    <xf numFmtId="3" fontId="0" fillId="0" borderId="38" xfId="0" applyNumberFormat="1" applyFill="1" applyBorder="1" applyAlignment="1">
      <alignment horizontal="right" indent="1"/>
    </xf>
    <xf numFmtId="0" fontId="12" fillId="0" borderId="51" xfId="0" applyFont="1" applyFill="1" applyBorder="1" applyAlignment="1">
      <alignment horizontal="center"/>
    </xf>
    <xf numFmtId="165" fontId="13" fillId="0" borderId="37" xfId="0" applyNumberFormat="1" applyFont="1" applyFill="1" applyBorder="1" applyAlignment="1">
      <alignment horizontal="right" indent="1"/>
    </xf>
    <xf numFmtId="165" fontId="13" fillId="0" borderId="18" xfId="0" applyNumberFormat="1" applyFont="1" applyFill="1" applyBorder="1" applyAlignment="1">
      <alignment horizontal="right" indent="1"/>
    </xf>
    <xf numFmtId="165" fontId="13" fillId="0" borderId="47" xfId="0" applyNumberFormat="1" applyFont="1" applyFill="1" applyBorder="1" applyAlignment="1">
      <alignment horizontal="right" indent="1"/>
    </xf>
    <xf numFmtId="165" fontId="13" fillId="0" borderId="42" xfId="0" applyNumberFormat="1" applyFont="1" applyFill="1" applyBorder="1" applyAlignment="1">
      <alignment horizontal="right" indent="1"/>
    </xf>
    <xf numFmtId="3" fontId="0" fillId="0" borderId="42" xfId="0" applyNumberFormat="1" applyFill="1" applyBorder="1" applyAlignment="1">
      <alignment horizontal="right" indent="1"/>
    </xf>
    <xf numFmtId="3" fontId="0" fillId="0" borderId="20" xfId="0" applyNumberFormat="1" applyFill="1" applyBorder="1" applyAlignment="1">
      <alignment horizontal="right" indent="1"/>
    </xf>
    <xf numFmtId="165" fontId="13" fillId="0" borderId="49" xfId="0" applyNumberFormat="1" applyFont="1" applyFill="1" applyBorder="1" applyAlignment="1">
      <alignment horizontal="right" indent="1"/>
    </xf>
    <xf numFmtId="165" fontId="13" fillId="0" borderId="44" xfId="0" applyNumberFormat="1" applyFont="1" applyFill="1" applyBorder="1" applyAlignment="1">
      <alignment horizontal="right" indent="1"/>
    </xf>
    <xf numFmtId="3" fontId="0" fillId="0" borderId="44" xfId="0" applyNumberFormat="1" applyFill="1" applyBorder="1" applyAlignment="1">
      <alignment horizontal="right" indent="1"/>
    </xf>
    <xf numFmtId="165" fontId="13" fillId="0" borderId="10" xfId="0" applyNumberFormat="1" applyFont="1" applyFill="1" applyBorder="1" applyAlignment="1">
      <alignment horizontal="right" indent="1"/>
    </xf>
    <xf numFmtId="0" fontId="12" fillId="0" borderId="11" xfId="0" applyFont="1" applyFill="1" applyBorder="1" applyAlignment="1">
      <alignment horizontal="center"/>
    </xf>
    <xf numFmtId="1" fontId="0" fillId="0" borderId="32" xfId="0" applyNumberFormat="1" applyFill="1" applyBorder="1" applyAlignment="1">
      <alignment horizontal="right" indent="1"/>
    </xf>
    <xf numFmtId="1" fontId="0" fillId="0" borderId="59" xfId="0" applyNumberFormat="1" applyFill="1" applyBorder="1" applyAlignment="1">
      <alignment horizontal="right" indent="1"/>
    </xf>
    <xf numFmtId="1" fontId="0" fillId="0" borderId="27" xfId="0" applyNumberFormat="1" applyFill="1" applyBorder="1" applyAlignment="1">
      <alignment horizontal="right" indent="1"/>
    </xf>
    <xf numFmtId="3" fontId="0" fillId="0" borderId="10" xfId="0" applyNumberFormat="1" applyFill="1" applyBorder="1" applyAlignment="1">
      <alignment horizontal="right" vertical="center" indent="1"/>
    </xf>
    <xf numFmtId="3" fontId="0" fillId="0" borderId="61" xfId="0" applyNumberFormat="1" applyFill="1" applyBorder="1" applyAlignment="1">
      <alignment horizontal="right" vertical="center" indent="1"/>
    </xf>
    <xf numFmtId="3" fontId="13" fillId="0" borderId="28" xfId="0" applyNumberFormat="1" applyFont="1" applyFill="1" applyBorder="1" applyAlignment="1">
      <alignment horizontal="right" vertical="center" indent="1"/>
    </xf>
    <xf numFmtId="3" fontId="13" fillId="0" borderId="32" xfId="0" applyNumberFormat="1" applyFont="1" applyFill="1" applyBorder="1" applyAlignment="1">
      <alignment horizontal="right" vertical="center" indent="1"/>
    </xf>
    <xf numFmtId="3" fontId="13" fillId="0" borderId="32" xfId="0" applyNumberFormat="1" applyFont="1" applyFill="1" applyBorder="1" applyAlignment="1">
      <alignment horizontal="right" indent="1"/>
    </xf>
    <xf numFmtId="3" fontId="13" fillId="0" borderId="3" xfId="0" applyNumberFormat="1" applyFont="1" applyFill="1" applyBorder="1" applyAlignment="1">
      <alignment horizontal="right" indent="1"/>
    </xf>
    <xf numFmtId="3" fontId="13" fillId="0" borderId="31" xfId="0" applyNumberFormat="1" applyFont="1" applyFill="1" applyBorder="1" applyAlignment="1">
      <alignment horizontal="right" vertical="center" indent="1"/>
    </xf>
    <xf numFmtId="3" fontId="13" fillId="0" borderId="59" xfId="0" applyNumberFormat="1" applyFont="1" applyFill="1" applyBorder="1" applyAlignment="1">
      <alignment horizontal="right" vertical="center" indent="1"/>
    </xf>
    <xf numFmtId="3" fontId="13" fillId="0" borderId="58" xfId="0" applyNumberFormat="1" applyFont="1" applyFill="1" applyBorder="1" applyAlignment="1">
      <alignment horizontal="right" vertical="center" indent="1"/>
    </xf>
    <xf numFmtId="3" fontId="13" fillId="0" borderId="58" xfId="0" applyNumberFormat="1" applyFont="1" applyFill="1" applyBorder="1" applyAlignment="1">
      <alignment horizontal="right" indent="1"/>
    </xf>
    <xf numFmtId="3" fontId="13" fillId="0" borderId="27" xfId="0" applyNumberFormat="1" applyFont="1" applyFill="1" applyBorder="1" applyAlignment="1">
      <alignment horizontal="right" vertical="center" indent="1"/>
    </xf>
    <xf numFmtId="3" fontId="13" fillId="0" borderId="57" xfId="0" applyNumberFormat="1" applyFont="1" applyFill="1" applyBorder="1" applyAlignment="1">
      <alignment horizontal="right" vertical="center" indent="1"/>
    </xf>
    <xf numFmtId="3" fontId="13" fillId="0" borderId="57" xfId="0" applyNumberFormat="1" applyFont="1" applyFill="1" applyBorder="1" applyAlignment="1">
      <alignment horizontal="right" indent="1"/>
    </xf>
    <xf numFmtId="3" fontId="13" fillId="0" borderId="17" xfId="0" applyNumberFormat="1" applyFont="1" applyFill="1" applyBorder="1" applyAlignment="1">
      <alignment horizontal="right" vertical="center" indent="1"/>
    </xf>
    <xf numFmtId="3" fontId="13" fillId="0" borderId="14" xfId="0" applyNumberFormat="1" applyFont="1" applyFill="1" applyBorder="1" applyAlignment="1">
      <alignment horizontal="right" vertical="center" indent="1"/>
    </xf>
    <xf numFmtId="3" fontId="13" fillId="0" borderId="49" xfId="0" applyNumberFormat="1" applyFont="1" applyFill="1" applyBorder="1" applyAlignment="1">
      <alignment horizontal="right" vertical="center" indent="1"/>
    </xf>
    <xf numFmtId="3" fontId="13" fillId="0" borderId="62" xfId="0" applyNumberFormat="1" applyFont="1" applyFill="1" applyBorder="1" applyAlignment="1">
      <alignment horizontal="right" vertical="center" indent="1"/>
    </xf>
    <xf numFmtId="3" fontId="13" fillId="0" borderId="60" xfId="0" applyNumberFormat="1" applyFont="1" applyFill="1" applyBorder="1" applyAlignment="1">
      <alignment horizontal="right" vertical="center" indent="1"/>
    </xf>
    <xf numFmtId="3" fontId="13" fillId="0" borderId="60" xfId="0" applyNumberFormat="1" applyFont="1" applyFill="1" applyBorder="1" applyAlignment="1">
      <alignment horizontal="right" indent="1"/>
    </xf>
    <xf numFmtId="3" fontId="13" fillId="0" borderId="14" xfId="0" applyNumberFormat="1" applyFont="1" applyFill="1" applyBorder="1" applyAlignment="1">
      <alignment horizontal="right" indent="1"/>
    </xf>
    <xf numFmtId="3" fontId="13" fillId="0" borderId="13" xfId="0" applyNumberFormat="1" applyFont="1" applyFill="1" applyBorder="1" applyAlignment="1">
      <alignment horizontal="right" vertical="center" indent="1"/>
    </xf>
    <xf numFmtId="3" fontId="13" fillId="0" borderId="37" xfId="0" applyNumberFormat="1" applyFont="1" applyFill="1" applyBorder="1" applyAlignment="1">
      <alignment horizontal="right" vertical="center" indent="1"/>
    </xf>
    <xf numFmtId="3" fontId="13" fillId="0" borderId="38" xfId="0" applyNumberFormat="1" applyFont="1" applyFill="1" applyBorder="1" applyAlignment="1">
      <alignment horizontal="right" vertical="center" indent="1"/>
    </xf>
    <xf numFmtId="3" fontId="13" fillId="0" borderId="13" xfId="0" applyNumberFormat="1" applyFont="1" applyFill="1" applyBorder="1" applyAlignment="1">
      <alignment horizontal="right" indent="1"/>
    </xf>
    <xf numFmtId="3" fontId="13" fillId="0" borderId="38" xfId="0" applyNumberFormat="1" applyFont="1" applyFill="1" applyBorder="1" applyAlignment="1">
      <alignment horizontal="right" indent="1"/>
    </xf>
    <xf numFmtId="3" fontId="0" fillId="0" borderId="13" xfId="0" applyNumberFormat="1" applyFill="1" applyBorder="1" applyAlignment="1">
      <alignment horizontal="right" vertical="center" indent="1"/>
    </xf>
    <xf numFmtId="3" fontId="0" fillId="0" borderId="38" xfId="0" applyNumberFormat="1" applyFill="1" applyBorder="1" applyAlignment="1">
      <alignment horizontal="right" vertical="center" indent="1"/>
    </xf>
    <xf numFmtId="0" fontId="9" fillId="0" borderId="0" xfId="0" applyFont="1" applyAlignment="1">
      <alignment horizontal="center" vertical="center"/>
    </xf>
    <xf numFmtId="0" fontId="0" fillId="0" borderId="33" xfId="0" applyBorder="1" applyAlignment="1">
      <alignment horizontal="left"/>
    </xf>
    <xf numFmtId="0" fontId="10" fillId="0" borderId="53" xfId="0" applyFont="1" applyBorder="1" applyAlignment="1">
      <alignment horizontal="center" vertical="center"/>
    </xf>
    <xf numFmtId="0" fontId="10" fillId="2" borderId="53" xfId="0" applyFont="1" applyFill="1" applyBorder="1" applyAlignment="1">
      <alignment horizontal="center" vertical="center"/>
    </xf>
    <xf numFmtId="0" fontId="0" fillId="0" borderId="0" xfId="0" applyAlignment="1">
      <alignment horizontal="center"/>
    </xf>
    <xf numFmtId="0" fontId="10" fillId="0" borderId="54" xfId="0" applyFont="1" applyBorder="1" applyAlignment="1">
      <alignment horizontal="center" vertical="center"/>
    </xf>
    <xf numFmtId="0" fontId="10" fillId="0" borderId="56" xfId="0" applyFont="1" applyBorder="1" applyAlignment="1">
      <alignment horizontal="center" vertical="center"/>
    </xf>
    <xf numFmtId="0" fontId="0" fillId="0" borderId="53" xfId="0" applyFont="1" applyBorder="1" applyAlignment="1">
      <alignment horizontal="right" vertical="center"/>
    </xf>
    <xf numFmtId="0" fontId="10" fillId="0" borderId="52" xfId="0" applyFont="1" applyBorder="1" applyAlignment="1">
      <alignment horizontal="center" vertical="center"/>
    </xf>
    <xf numFmtId="0" fontId="10" fillId="0" borderId="48"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0" fillId="0" borderId="0" xfId="0" applyBorder="1" applyAlignment="1">
      <alignment horizontal="right" vertical="center"/>
    </xf>
    <xf numFmtId="0" fontId="0" fillId="0" borderId="0" xfId="0" applyAlignment="1">
      <alignment horizontal="right" vertical="center"/>
    </xf>
    <xf numFmtId="0" fontId="0" fillId="0" borderId="53" xfId="0" applyBorder="1" applyAlignment="1">
      <alignment horizontal="right" vertical="center"/>
    </xf>
    <xf numFmtId="0" fontId="0" fillId="0" borderId="25" xfId="0" applyBorder="1" applyAlignment="1">
      <alignment horizontal="right" vertical="center"/>
    </xf>
    <xf numFmtId="0" fontId="0" fillId="0" borderId="66" xfId="0" applyBorder="1" applyAlignment="1">
      <alignment horizontal="right" vertical="center"/>
    </xf>
    <xf numFmtId="0" fontId="0" fillId="0" borderId="26" xfId="0" applyBorder="1" applyAlignment="1">
      <alignment horizontal="right" vertical="center"/>
    </xf>
    <xf numFmtId="0" fontId="10" fillId="0" borderId="22" xfId="0" applyFont="1" applyBorder="1" applyAlignment="1">
      <alignment horizontal="center" vertical="center"/>
    </xf>
    <xf numFmtId="0" fontId="10" fillId="0" borderId="21" xfId="0" applyFont="1" applyBorder="1" applyAlignment="1">
      <alignment horizontal="center" vertical="center"/>
    </xf>
    <xf numFmtId="0" fontId="10" fillId="2" borderId="22" xfId="0" applyFont="1" applyFill="1" applyBorder="1" applyAlignment="1">
      <alignment horizontal="center" vertical="center"/>
    </xf>
    <xf numFmtId="0" fontId="10" fillId="2" borderId="21" xfId="0" applyFont="1" applyFill="1" applyBorder="1" applyAlignment="1">
      <alignment horizontal="center" vertical="center"/>
    </xf>
    <xf numFmtId="0" fontId="0" fillId="0" borderId="0" xfId="0" applyBorder="1" applyAlignment="1">
      <alignment horizontal="left"/>
    </xf>
    <xf numFmtId="0" fontId="12" fillId="0" borderId="52" xfId="0" applyFont="1" applyBorder="1" applyAlignment="1">
      <alignment horizontal="center" vertical="center"/>
    </xf>
    <xf numFmtId="0" fontId="12" fillId="0" borderId="4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0" fillId="0" borderId="0" xfId="0" applyBorder="1" applyAlignment="1">
      <alignment horizontal="right"/>
    </xf>
    <xf numFmtId="0" fontId="0" fillId="0" borderId="6" xfId="0" applyBorder="1" applyAlignment="1">
      <alignment horizontal="right" vertical="center"/>
    </xf>
    <xf numFmtId="0" fontId="0" fillId="0" borderId="65" xfId="0" applyBorder="1" applyAlignment="1">
      <alignment horizontal="right" vertical="center"/>
    </xf>
    <xf numFmtId="0" fontId="0" fillId="0" borderId="8" xfId="0" applyBorder="1" applyAlignment="1">
      <alignment horizontal="right" vertical="center"/>
    </xf>
    <xf numFmtId="0" fontId="0" fillId="2" borderId="33" xfId="0" applyFill="1" applyBorder="1" applyAlignment="1">
      <alignment horizontal="left"/>
    </xf>
    <xf numFmtId="0" fontId="9" fillId="2" borderId="0" xfId="0" applyFont="1" applyFill="1" applyAlignment="1">
      <alignment horizontal="center" vertical="center"/>
    </xf>
    <xf numFmtId="0" fontId="12" fillId="2" borderId="52" xfId="0" applyFont="1" applyFill="1" applyBorder="1" applyAlignment="1">
      <alignment horizontal="center" vertical="center"/>
    </xf>
    <xf numFmtId="0" fontId="12" fillId="2" borderId="48"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48"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haredStrings" Target="sharedStrings.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'صنعت بيمه كشور'!$S$21:$S$42</c:f>
              <c:numCache>
                <c:formatCode>General</c:formatCode>
                <c:ptCount val="22"/>
                <c:pt idx="0">
                  <c:v>1369</c:v>
                </c:pt>
                <c:pt idx="1">
                  <c:v>1370</c:v>
                </c:pt>
                <c:pt idx="2">
                  <c:v>1371</c:v>
                </c:pt>
                <c:pt idx="3">
                  <c:v>1372</c:v>
                </c:pt>
                <c:pt idx="4">
                  <c:v>1373</c:v>
                </c:pt>
                <c:pt idx="5">
                  <c:v>1374</c:v>
                </c:pt>
                <c:pt idx="6">
                  <c:v>1375</c:v>
                </c:pt>
                <c:pt idx="7">
                  <c:v>1376</c:v>
                </c:pt>
                <c:pt idx="8">
                  <c:v>1377</c:v>
                </c:pt>
                <c:pt idx="9">
                  <c:v>1378</c:v>
                </c:pt>
                <c:pt idx="10">
                  <c:v>1379</c:v>
                </c:pt>
                <c:pt idx="11">
                  <c:v>1380</c:v>
                </c:pt>
                <c:pt idx="12">
                  <c:v>1381</c:v>
                </c:pt>
                <c:pt idx="13">
                  <c:v>1382</c:v>
                </c:pt>
                <c:pt idx="14">
                  <c:v>1383</c:v>
                </c:pt>
                <c:pt idx="15">
                  <c:v>1384</c:v>
                </c:pt>
                <c:pt idx="16">
                  <c:v>1385</c:v>
                </c:pt>
                <c:pt idx="17">
                  <c:v>1386</c:v>
                </c:pt>
                <c:pt idx="18">
                  <c:v>1387</c:v>
                </c:pt>
                <c:pt idx="19">
                  <c:v>1388</c:v>
                </c:pt>
                <c:pt idx="20">
                  <c:v>1389</c:v>
                </c:pt>
                <c:pt idx="21">
                  <c:v>1390</c:v>
                </c:pt>
              </c:numCache>
            </c:numRef>
          </c:cat>
          <c:val>
            <c:numRef>
              <c:f>'صنعت بيمه كشور'!$V$21:$V$42</c:f>
            </c:numRef>
          </c:val>
          <c:smooth val="0"/>
          <c:extLst>
            <c:ext xmlns:c16="http://schemas.microsoft.com/office/drawing/2014/chart" uri="{C3380CC4-5D6E-409C-BE32-E72D297353CC}">
              <c16:uniqueId val="{00000000-E641-4596-97DD-91ECE1056785}"/>
            </c:ext>
          </c:extLst>
        </c:ser>
        <c:dLbls>
          <c:showLegendKey val="0"/>
          <c:showVal val="0"/>
          <c:showCatName val="0"/>
          <c:showSerName val="0"/>
          <c:showPercent val="0"/>
          <c:showBubbleSize val="0"/>
        </c:dLbls>
        <c:marker val="1"/>
        <c:smooth val="0"/>
        <c:axId val="143913728"/>
        <c:axId val="143915264"/>
      </c:lineChart>
      <c:catAx>
        <c:axId val="143913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43915264"/>
        <c:crosses val="autoZero"/>
        <c:auto val="1"/>
        <c:lblAlgn val="ctr"/>
        <c:lblOffset val="100"/>
        <c:tickLblSkip val="2"/>
        <c:tickMarkSkip val="1"/>
        <c:noMultiLvlLbl val="0"/>
      </c:catAx>
      <c:valAx>
        <c:axId val="143915264"/>
        <c:scaling>
          <c:orientation val="minMax"/>
          <c:max val="5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43913728"/>
        <c:crosses val="autoZero"/>
        <c:crossBetween val="between"/>
        <c:majorUnit val="5"/>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30721003134826"/>
          <c:y val="8.3129683595760048E-2"/>
          <c:w val="0.81974921630094222"/>
          <c:h val="0.69193236640000189"/>
        </c:manualLayout>
      </c:layout>
      <c:lineChart>
        <c:grouping val="standard"/>
        <c:varyColors val="0"/>
        <c:ser>
          <c:idx val="0"/>
          <c:order val="0"/>
          <c:cat>
            <c:numRef>
              <c:f>'صنعت بيمه كشور'!$S$21:$S$42</c:f>
              <c:numCache>
                <c:formatCode>General</c:formatCode>
                <c:ptCount val="22"/>
                <c:pt idx="0">
                  <c:v>1369</c:v>
                </c:pt>
                <c:pt idx="1">
                  <c:v>1370</c:v>
                </c:pt>
                <c:pt idx="2">
                  <c:v>1371</c:v>
                </c:pt>
                <c:pt idx="3">
                  <c:v>1372</c:v>
                </c:pt>
                <c:pt idx="4">
                  <c:v>1373</c:v>
                </c:pt>
                <c:pt idx="5">
                  <c:v>1374</c:v>
                </c:pt>
                <c:pt idx="6">
                  <c:v>1375</c:v>
                </c:pt>
                <c:pt idx="7">
                  <c:v>1376</c:v>
                </c:pt>
                <c:pt idx="8">
                  <c:v>1377</c:v>
                </c:pt>
                <c:pt idx="9">
                  <c:v>1378</c:v>
                </c:pt>
                <c:pt idx="10">
                  <c:v>1379</c:v>
                </c:pt>
                <c:pt idx="11">
                  <c:v>1380</c:v>
                </c:pt>
                <c:pt idx="12">
                  <c:v>1381</c:v>
                </c:pt>
                <c:pt idx="13">
                  <c:v>1382</c:v>
                </c:pt>
                <c:pt idx="14">
                  <c:v>1383</c:v>
                </c:pt>
                <c:pt idx="15">
                  <c:v>1384</c:v>
                </c:pt>
                <c:pt idx="16">
                  <c:v>1385</c:v>
                </c:pt>
                <c:pt idx="17">
                  <c:v>1386</c:v>
                </c:pt>
                <c:pt idx="18">
                  <c:v>1387</c:v>
                </c:pt>
                <c:pt idx="19">
                  <c:v>1388</c:v>
                </c:pt>
                <c:pt idx="20">
                  <c:v>1389</c:v>
                </c:pt>
                <c:pt idx="21">
                  <c:v>1390</c:v>
                </c:pt>
              </c:numCache>
            </c:numRef>
          </c:cat>
          <c:val>
            <c:numRef>
              <c:f>'صنعت بيمه كشور'!$U$21:$U$42</c:f>
            </c:numRef>
          </c:val>
          <c:smooth val="0"/>
          <c:extLst>
            <c:ext xmlns:c16="http://schemas.microsoft.com/office/drawing/2014/chart" uri="{C3380CC4-5D6E-409C-BE32-E72D297353CC}">
              <c16:uniqueId val="{00000000-A3C9-40A8-A74B-016AE7675454}"/>
            </c:ext>
          </c:extLst>
        </c:ser>
        <c:ser>
          <c:idx val="1"/>
          <c:order val="1"/>
          <c:cat>
            <c:numRef>
              <c:f>'صنعت بيمه كشور'!$S$21:$S$42</c:f>
              <c:numCache>
                <c:formatCode>General</c:formatCode>
                <c:ptCount val="22"/>
                <c:pt idx="0">
                  <c:v>1369</c:v>
                </c:pt>
                <c:pt idx="1">
                  <c:v>1370</c:v>
                </c:pt>
                <c:pt idx="2">
                  <c:v>1371</c:v>
                </c:pt>
                <c:pt idx="3">
                  <c:v>1372</c:v>
                </c:pt>
                <c:pt idx="4">
                  <c:v>1373</c:v>
                </c:pt>
                <c:pt idx="5">
                  <c:v>1374</c:v>
                </c:pt>
                <c:pt idx="6">
                  <c:v>1375</c:v>
                </c:pt>
                <c:pt idx="7">
                  <c:v>1376</c:v>
                </c:pt>
                <c:pt idx="8">
                  <c:v>1377</c:v>
                </c:pt>
                <c:pt idx="9">
                  <c:v>1378</c:v>
                </c:pt>
                <c:pt idx="10">
                  <c:v>1379</c:v>
                </c:pt>
                <c:pt idx="11">
                  <c:v>1380</c:v>
                </c:pt>
                <c:pt idx="12">
                  <c:v>1381</c:v>
                </c:pt>
                <c:pt idx="13">
                  <c:v>1382</c:v>
                </c:pt>
                <c:pt idx="14">
                  <c:v>1383</c:v>
                </c:pt>
                <c:pt idx="15">
                  <c:v>1384</c:v>
                </c:pt>
                <c:pt idx="16">
                  <c:v>1385</c:v>
                </c:pt>
                <c:pt idx="17">
                  <c:v>1386</c:v>
                </c:pt>
                <c:pt idx="18">
                  <c:v>1387</c:v>
                </c:pt>
                <c:pt idx="19">
                  <c:v>1388</c:v>
                </c:pt>
                <c:pt idx="20">
                  <c:v>1389</c:v>
                </c:pt>
                <c:pt idx="21">
                  <c:v>1390</c:v>
                </c:pt>
              </c:numCache>
            </c:numRef>
          </c:cat>
          <c:val>
            <c:numRef>
              <c:f>'صنعت بيمه كشور'!$T$21:$T$42</c:f>
            </c:numRef>
          </c:val>
          <c:smooth val="0"/>
          <c:extLst>
            <c:ext xmlns:c16="http://schemas.microsoft.com/office/drawing/2014/chart" uri="{C3380CC4-5D6E-409C-BE32-E72D297353CC}">
              <c16:uniqueId val="{00000001-A3C9-40A8-A74B-016AE7675454}"/>
            </c:ext>
          </c:extLst>
        </c:ser>
        <c:dLbls>
          <c:showLegendKey val="0"/>
          <c:showVal val="0"/>
          <c:showCatName val="0"/>
          <c:showSerName val="0"/>
          <c:showPercent val="0"/>
          <c:showBubbleSize val="0"/>
        </c:dLbls>
        <c:marker val="1"/>
        <c:smooth val="0"/>
        <c:axId val="144558720"/>
        <c:axId val="144560512"/>
      </c:lineChart>
      <c:catAx>
        <c:axId val="144558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700" b="0" i="0" u="none" strike="noStrike" baseline="0">
                <a:solidFill>
                  <a:srgbClr val="000000"/>
                </a:solidFill>
                <a:latin typeface="Arial"/>
                <a:ea typeface="Arial"/>
                <a:cs typeface="Arial"/>
              </a:defRPr>
            </a:pPr>
            <a:endParaRPr lang="en-US"/>
          </a:p>
        </c:txPr>
        <c:crossAx val="144560512"/>
        <c:crosses val="autoZero"/>
        <c:auto val="1"/>
        <c:lblAlgn val="ctr"/>
        <c:lblOffset val="100"/>
        <c:tickLblSkip val="2"/>
        <c:tickMarkSkip val="1"/>
        <c:noMultiLvlLbl val="0"/>
      </c:catAx>
      <c:valAx>
        <c:axId val="144560512"/>
        <c:scaling>
          <c:orientation val="minMax"/>
          <c:max val="10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44558720"/>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62</xdr:row>
      <xdr:rowOff>0</xdr:rowOff>
    </xdr:from>
    <xdr:to>
      <xdr:col>8</xdr:col>
      <xdr:colOff>76200</xdr:colOff>
      <xdr:row>72</xdr:row>
      <xdr:rowOff>28576</xdr:rowOff>
    </xdr:to>
    <xdr:sp macro="" textlink="">
      <xdr:nvSpPr>
        <xdr:cNvPr id="1034" name="Text Box 1">
          <a:extLst>
            <a:ext uri="{FF2B5EF4-FFF2-40B4-BE49-F238E27FC236}">
              <a16:creationId xmlns:a16="http://schemas.microsoft.com/office/drawing/2014/main" id="{00000000-0008-0000-1100-00000A040000}"/>
            </a:ext>
          </a:extLst>
        </xdr:cNvPr>
        <xdr:cNvSpPr txBox="1">
          <a:spLocks noChangeArrowheads="1"/>
        </xdr:cNvSpPr>
      </xdr:nvSpPr>
      <xdr:spPr bwMode="auto">
        <a:xfrm>
          <a:off x="5524500" y="11944350"/>
          <a:ext cx="76200" cy="200025"/>
        </a:xfrm>
        <a:prstGeom prst="rect">
          <a:avLst/>
        </a:prstGeom>
        <a:noFill/>
        <a:ln w="9525">
          <a:noFill/>
          <a:miter lim="800000"/>
          <a:headEnd/>
          <a:tailEnd/>
        </a:ln>
      </xdr:spPr>
    </xdr:sp>
    <xdr:clientData/>
  </xdr:twoCellAnchor>
  <xdr:twoCellAnchor>
    <xdr:from>
      <xdr:col>22</xdr:col>
      <xdr:colOff>266700</xdr:colOff>
      <xdr:row>14</xdr:row>
      <xdr:rowOff>76200</xdr:rowOff>
    </xdr:from>
    <xdr:to>
      <xdr:col>27</xdr:col>
      <xdr:colOff>266700</xdr:colOff>
      <xdr:row>33</xdr:row>
      <xdr:rowOff>38100</xdr:rowOff>
    </xdr:to>
    <xdr:graphicFrame macro="">
      <xdr:nvGraphicFramePr>
        <xdr:cNvPr id="1035" name="Chart 2">
          <a:extLst>
            <a:ext uri="{FF2B5EF4-FFF2-40B4-BE49-F238E27FC236}">
              <a16:creationId xmlns:a16="http://schemas.microsoft.com/office/drawing/2014/main" id="{00000000-0008-0000-1100-00000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57150</xdr:colOff>
      <xdr:row>66</xdr:row>
      <xdr:rowOff>152400</xdr:rowOff>
    </xdr:from>
    <xdr:to>
      <xdr:col>28</xdr:col>
      <xdr:colOff>590550</xdr:colOff>
      <xdr:row>89</xdr:row>
      <xdr:rowOff>104775</xdr:rowOff>
    </xdr:to>
    <xdr:graphicFrame macro="">
      <xdr:nvGraphicFramePr>
        <xdr:cNvPr id="1036" name="Chart 3">
          <a:extLst>
            <a:ext uri="{FF2B5EF4-FFF2-40B4-BE49-F238E27FC236}">
              <a16:creationId xmlns:a16="http://schemas.microsoft.com/office/drawing/2014/main" id="{00000000-0008-0000-1100-00000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laie\yearly\1382\table\govermental%208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aei-pc\yearly\1387\&#1570;&#1605;&#1575;&#1585;%20&#1575;&#1578;&#1705;&#1575;&#1574;&#1740;%2087\1387.(&#1606;&#1607;&#1575;&#1610;&#1610;)\govermental%208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aei-pc\yearly\1388\&#1575;&#1578;&#1603;&#1575;&#1610;&#1610;%2088\govermental%208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aei-pc\yearly\1389\&#1608;&#1585;&#1608;&#1583;%20&#1575;&#1591;&#1604;&#1575;&#1593;&#1575;&#1578;\&#1662;&#1740;&#1608;&#1587;&#1578;%20&#1575;&#1604;&#1601;\&#1593;&#1605;&#1585;%208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iabadi\&#1575;&#1605;&#1608;&#1585;%20&#1605;&#1581;&#1608;&#1604;&#1607;\CHAPTER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Z:\&#1587;&#1585;&#1740;%20&#1586;&#1605;&#1575;&#1606;&#1740;\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aie\yearly\1382\table\privatal%20-%20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laie\yearly\1383\table\privatal8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laie\YEARLY\1384\privatal84p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YEARLY/1385/&#1580;&#1583;&#1608;&#1604;%20&#1582;&#1604;&#1575;&#1589;&#1607;%201381-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laie\yearly\1383\table\govermental%208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laie\yearly\1384\govermental%20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laei-pc\yearly\1390\&#1608;&#1585;&#1608;&#1583;%20&#1575;&#1591;&#1604;&#1575;&#1593;&#1575;&#1578;\&#1601;&#1589;&#1604;%204\&#1585;&#1588;&#1578;&#1607;&#8204;&#1575;&#1610;%2010%20&#1587;&#1575;&#1604;&#16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laei-pc\yearly\1390\&#1608;&#1585;&#1608;&#1583;%20&#1575;&#1591;&#1604;&#1575;&#1593;&#1575;&#1578;\&#1662;&#1740;&#1608;&#1587;&#1578;%20&#1575;&#1604;&#1601;\&#1662;&#1740;&#1608;&#1587;&#1578;%20&#1575;&#1604;&#1601;%209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Z:\YEARLY\1398\&#1587;&#1575;&#1604;&#1606;&#1575;&#1605;&#1607;%2098\&#1575;&#1705;&#1587;&#1604;&#1607;&#1575;&#1740;%20&#1587;&#1575;&#1604;&#1606;&#1575;&#1605;&#1607;%2098\&#1662;&#1740;&#1608;&#1587;&#1578;%20&#1575;&#1604;&#1601;\&#1662;&#1740;&#1608;&#1587;&#1578;%20&#1575;&#1604;&#1601;\1-&#1575;&#1740;&#1585;&#1575;&#16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aei-pc\Documents%20and%20Settings\salehi\Desktop\&#1605;&#1581;&#1575;&#1587;&#1576;&#1575;&#1578;%20&#1601;&#1575;&#1610;&#1604;%20&#1607;&#1575;&#1610;%20&#1585;&#1588;&#1578;&#1607;%20&#1575;&#1610;\branches%208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aei-pc\Documents%20and%20Settings\me-alaie\Desktop\Copy%20of%20&#1601;&#1575;&#1602;&#1583;%20&#1662;&#1608;&#1588;&#1588;%20&#1578;&#1575;8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laei-pc\yearly\1386\&#1570;&#1605;&#1575;&#1585;%20&#1575;&#1578;&#1705;&#1575;&#1574;&#1740;%2086\govermental%208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يمه ايران"/>
      <sheetName val="بيمه آسيا"/>
      <sheetName val="بيمه البرز"/>
      <sheetName val="بيمه دانا"/>
      <sheetName val="بيمه صادرات"/>
      <sheetName val="بازار دولتي"/>
      <sheetName val="ملي شده ها"/>
    </sheetNames>
    <sheetDataSet>
      <sheetData sheetId="0" refreshError="1">
        <row r="8">
          <cell r="I8">
            <v>78232986400</v>
          </cell>
          <cell r="Q8">
            <v>408069805592</v>
          </cell>
        </row>
        <row r="9">
          <cell r="I9">
            <v>45074193118</v>
          </cell>
          <cell r="Q9">
            <v>334083336315</v>
          </cell>
        </row>
        <row r="17">
          <cell r="I17">
            <v>69035412872</v>
          </cell>
          <cell r="Q17">
            <v>103318048284</v>
          </cell>
        </row>
        <row r="18">
          <cell r="I18">
            <v>73505993664</v>
          </cell>
          <cell r="Q18">
            <v>218903437736</v>
          </cell>
        </row>
        <row r="19">
          <cell r="I19">
            <v>186486452480</v>
          </cell>
          <cell r="Q19">
            <v>441714314680</v>
          </cell>
        </row>
        <row r="23">
          <cell r="I23">
            <v>1798316949284</v>
          </cell>
          <cell r="Q23">
            <v>1842230466864</v>
          </cell>
        </row>
        <row r="31">
          <cell r="I31">
            <v>432664354552</v>
          </cell>
          <cell r="Q31">
            <v>434858514024</v>
          </cell>
        </row>
        <row r="34">
          <cell r="I34">
            <v>7180511050</v>
          </cell>
          <cell r="Q34">
            <v>15351702077</v>
          </cell>
        </row>
        <row r="35">
          <cell r="I35">
            <v>40447311194</v>
          </cell>
          <cell r="Q35">
            <v>325878533314</v>
          </cell>
        </row>
        <row r="36">
          <cell r="I36">
            <v>16038558216</v>
          </cell>
          <cell r="Q36">
            <v>112900226360</v>
          </cell>
        </row>
        <row r="37">
          <cell r="I37">
            <v>3605944940</v>
          </cell>
          <cell r="Q37">
            <v>4905955172</v>
          </cell>
        </row>
        <row r="42">
          <cell r="I42">
            <v>67995306008</v>
          </cell>
          <cell r="Q42">
            <v>163304941636</v>
          </cell>
        </row>
        <row r="47">
          <cell r="I47">
            <v>6963956264</v>
          </cell>
          <cell r="Q47">
            <v>14492970904</v>
          </cell>
        </row>
        <row r="48">
          <cell r="I48">
            <v>7335982184</v>
          </cell>
          <cell r="Q48">
            <v>62723060220</v>
          </cell>
        </row>
        <row r="51">
          <cell r="I51">
            <v>146325984</v>
          </cell>
          <cell r="Q51">
            <v>84917832352</v>
          </cell>
        </row>
        <row r="57">
          <cell r="I57">
            <v>337656263914</v>
          </cell>
          <cell r="Q57">
            <v>553195681342</v>
          </cell>
        </row>
      </sheetData>
      <sheetData sheetId="1" refreshError="1">
        <row r="8">
          <cell r="I8">
            <v>94032887168</v>
          </cell>
          <cell r="Q8">
            <v>214803489744</v>
          </cell>
        </row>
        <row r="9">
          <cell r="I9">
            <v>15019483656</v>
          </cell>
          <cell r="Q9">
            <v>180078494129</v>
          </cell>
        </row>
        <row r="17">
          <cell r="I17">
            <v>12273813612</v>
          </cell>
          <cell r="Q17">
            <v>36091731268</v>
          </cell>
        </row>
        <row r="18">
          <cell r="I18">
            <v>50924621476</v>
          </cell>
          <cell r="Q18">
            <v>122502854452</v>
          </cell>
        </row>
        <row r="19">
          <cell r="I19">
            <v>146669598352</v>
          </cell>
          <cell r="Q19">
            <v>308839144456</v>
          </cell>
        </row>
        <row r="23">
          <cell r="I23">
            <v>969243794984</v>
          </cell>
          <cell r="Q23">
            <v>873626495880</v>
          </cell>
        </row>
        <row r="31">
          <cell r="I31">
            <v>37140772608</v>
          </cell>
          <cell r="Q31">
            <v>56866309328</v>
          </cell>
        </row>
        <row r="34">
          <cell r="I34">
            <v>5345235055</v>
          </cell>
          <cell r="Q34">
            <v>3470238971</v>
          </cell>
        </row>
        <row r="35">
          <cell r="I35">
            <v>0</v>
          </cell>
          <cell r="Q35">
            <v>22601622501</v>
          </cell>
        </row>
        <row r="36">
          <cell r="I36">
            <v>1793552528</v>
          </cell>
          <cell r="Q36">
            <v>133762625044</v>
          </cell>
        </row>
        <row r="37">
          <cell r="I37">
            <v>16532272</v>
          </cell>
          <cell r="Q37">
            <v>1206401292</v>
          </cell>
        </row>
        <row r="42">
          <cell r="I42">
            <v>23116544108</v>
          </cell>
          <cell r="Q42">
            <v>56239200028</v>
          </cell>
        </row>
        <row r="47">
          <cell r="I47">
            <v>7293284</v>
          </cell>
          <cell r="Q47">
            <v>1553266812</v>
          </cell>
        </row>
        <row r="48">
          <cell r="I48">
            <v>4157287864</v>
          </cell>
          <cell r="Q48">
            <v>5793920356</v>
          </cell>
        </row>
        <row r="51">
          <cell r="I51">
            <v>2519687500</v>
          </cell>
          <cell r="Q51">
            <v>38440167224</v>
          </cell>
        </row>
        <row r="57">
          <cell r="I57">
            <v>53508925620</v>
          </cell>
          <cell r="Q57">
            <v>193282959126</v>
          </cell>
        </row>
      </sheetData>
      <sheetData sheetId="2" refreshError="1">
        <row r="8">
          <cell r="I8">
            <v>9076822488</v>
          </cell>
          <cell r="Q8">
            <v>65633574876</v>
          </cell>
        </row>
        <row r="9">
          <cell r="I9">
            <v>11179758993</v>
          </cell>
          <cell r="Q9">
            <v>89896083343</v>
          </cell>
        </row>
        <row r="17">
          <cell r="I17">
            <v>3177196300</v>
          </cell>
          <cell r="Q17">
            <v>10999456304</v>
          </cell>
        </row>
        <row r="18">
          <cell r="I18">
            <v>5062977364</v>
          </cell>
          <cell r="Q18">
            <v>13897655744</v>
          </cell>
        </row>
        <row r="19">
          <cell r="I19">
            <v>22449300768</v>
          </cell>
          <cell r="Q19">
            <v>62910265172</v>
          </cell>
        </row>
        <row r="23">
          <cell r="I23">
            <v>104038955560</v>
          </cell>
          <cell r="Q23">
            <v>95895004088</v>
          </cell>
        </row>
        <row r="31">
          <cell r="I31">
            <v>30290470256</v>
          </cell>
          <cell r="Q31">
            <v>44877141248</v>
          </cell>
        </row>
        <row r="34">
          <cell r="I34">
            <v>15241883693</v>
          </cell>
          <cell r="Q34">
            <v>25257205741</v>
          </cell>
        </row>
        <row r="35">
          <cell r="I35">
            <v>6760000</v>
          </cell>
          <cell r="Q35">
            <v>2025443836</v>
          </cell>
        </row>
        <row r="36">
          <cell r="I36">
            <v>675877288</v>
          </cell>
          <cell r="Q36">
            <v>4498761116</v>
          </cell>
        </row>
        <row r="37">
          <cell r="I37">
            <v>987762248</v>
          </cell>
          <cell r="Q37">
            <v>1199637404</v>
          </cell>
        </row>
        <row r="42">
          <cell r="I42">
            <v>10294783172</v>
          </cell>
          <cell r="Q42">
            <v>19941783464</v>
          </cell>
        </row>
        <row r="47">
          <cell r="I47">
            <v>0</v>
          </cell>
          <cell r="Q47">
            <v>11000</v>
          </cell>
        </row>
        <row r="48">
          <cell r="I48">
            <v>6389556432</v>
          </cell>
          <cell r="Q48">
            <v>3364476124</v>
          </cell>
        </row>
        <row r="51">
          <cell r="I51">
            <v>0</v>
          </cell>
          <cell r="Q51">
            <v>23445496204</v>
          </cell>
        </row>
        <row r="57">
          <cell r="I57">
            <v>20380877940</v>
          </cell>
          <cell r="Q57">
            <v>35363026948</v>
          </cell>
        </row>
      </sheetData>
      <sheetData sheetId="3" refreshError="1">
        <row r="8">
          <cell r="I8">
            <v>4569387236</v>
          </cell>
          <cell r="Q8">
            <v>45355583280</v>
          </cell>
        </row>
        <row r="9">
          <cell r="I9">
            <v>4507218028</v>
          </cell>
          <cell r="Q9">
            <v>45619017575</v>
          </cell>
        </row>
        <row r="17">
          <cell r="I17">
            <v>24384438856</v>
          </cell>
          <cell r="Q17">
            <v>96455981536</v>
          </cell>
        </row>
        <row r="18">
          <cell r="I18">
            <v>9947787416</v>
          </cell>
          <cell r="Q18">
            <v>28768576796</v>
          </cell>
        </row>
        <row r="19">
          <cell r="I19">
            <v>72555251160</v>
          </cell>
          <cell r="Q19">
            <v>136335807396</v>
          </cell>
        </row>
        <row r="23">
          <cell r="I23">
            <v>249566836312</v>
          </cell>
          <cell r="Q23">
            <v>261514548672</v>
          </cell>
        </row>
        <row r="31">
          <cell r="I31">
            <v>286217866970</v>
          </cell>
          <cell r="Q31">
            <v>422488031708</v>
          </cell>
        </row>
        <row r="34">
          <cell r="I34">
            <v>753900048</v>
          </cell>
          <cell r="Q34">
            <v>5442593580</v>
          </cell>
        </row>
        <row r="35">
          <cell r="I35">
            <v>29737232</v>
          </cell>
          <cell r="Q35">
            <v>1538267056</v>
          </cell>
        </row>
        <row r="36">
          <cell r="I36">
            <v>6043662328</v>
          </cell>
          <cell r="Q36">
            <v>13688999924</v>
          </cell>
        </row>
        <row r="37">
          <cell r="I37">
            <v>13000000</v>
          </cell>
          <cell r="Q37">
            <v>310116744</v>
          </cell>
        </row>
        <row r="42">
          <cell r="I42">
            <v>9911027700</v>
          </cell>
          <cell r="Q42">
            <v>30040372748</v>
          </cell>
        </row>
        <row r="47">
          <cell r="I47">
            <v>0</v>
          </cell>
          <cell r="Q47">
            <v>0</v>
          </cell>
        </row>
        <row r="48">
          <cell r="I48">
            <v>1060927144</v>
          </cell>
          <cell r="Q48">
            <v>3000773616</v>
          </cell>
        </row>
        <row r="51">
          <cell r="I51">
            <v>293346132</v>
          </cell>
          <cell r="Q51">
            <v>18594249816</v>
          </cell>
        </row>
        <row r="57">
          <cell r="I57">
            <v>29791191094</v>
          </cell>
          <cell r="Q57">
            <v>107506660812</v>
          </cell>
        </row>
      </sheetData>
      <sheetData sheetId="4" refreshError="1"/>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دولتي"/>
      <sheetName val="بيمه ايران"/>
      <sheetName val="بيمه آسيا"/>
      <sheetName val="بيمه البرز"/>
      <sheetName val="بيمه دانا"/>
      <sheetName val="ملي شده ها"/>
    </sheetNames>
    <sheetDataSet>
      <sheetData sheetId="0" refreshError="1">
        <row r="7">
          <cell r="AD7">
            <v>345.26172061599993</v>
          </cell>
        </row>
        <row r="17">
          <cell r="AD17">
            <v>3.0471821599999998</v>
          </cell>
          <cell r="AL17">
            <v>25.666931844</v>
          </cell>
        </row>
        <row r="24">
          <cell r="AD24">
            <v>17567.489934302001</v>
          </cell>
          <cell r="AL24">
            <v>26330.407128185998</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دولتي"/>
      <sheetName val="بيمه ايران"/>
      <sheetName val="بيمه دانا"/>
      <sheetName val="خصوصي"/>
      <sheetName val="ملي شده ها"/>
    </sheetNames>
    <sheetDataSet>
      <sheetData sheetId="0" refreshError="1">
        <row r="7">
          <cell r="D7">
            <v>48.989043681341144</v>
          </cell>
        </row>
        <row r="17">
          <cell r="L17">
            <v>4.6470614640000001</v>
          </cell>
          <cell r="T17">
            <v>19.052950360000001</v>
          </cell>
        </row>
        <row r="24">
          <cell r="L24">
            <v>20130.593769158</v>
          </cell>
          <cell r="T24">
            <v>30396.774343374003</v>
          </cell>
        </row>
      </sheetData>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غیردولتی"/>
      <sheetName val="دولتی"/>
      <sheetName val="بازار (2)"/>
      <sheetName val="بازار"/>
      <sheetName val="ملی شده ها"/>
      <sheetName val="ایران"/>
      <sheetName val="دانا"/>
      <sheetName val="آسيا"/>
      <sheetName val=" البرز"/>
      <sheetName val="معلم"/>
      <sheetName val="پارسيان"/>
      <sheetName val="توسعه"/>
      <sheetName val="رازي"/>
      <sheetName val="كارآفرين"/>
      <sheetName val="سينا"/>
      <sheetName val="ملت"/>
      <sheetName val="ايران معين"/>
      <sheetName val="اميد"/>
      <sheetName val="حافظ"/>
      <sheetName val="مناطق آزاد"/>
      <sheetName val="دي"/>
      <sheetName val="سامان"/>
      <sheetName val="نوين"/>
      <sheetName val="پاسارگاد"/>
      <sheetName val="ميهن"/>
      <sheetName val="کوثر"/>
      <sheetName val="Sheet1"/>
    </sheetNames>
    <sheetDataSet>
      <sheetData sheetId="0" refreshError="1"/>
      <sheetData sheetId="1" refreshError="1">
        <row r="7">
          <cell r="D7">
            <v>29.09</v>
          </cell>
        </row>
        <row r="17">
          <cell r="L17">
            <v>5.5611806680000004</v>
          </cell>
          <cell r="T17">
            <v>18.536285367999998</v>
          </cell>
        </row>
        <row r="24">
          <cell r="L24">
            <v>17781.073394301999</v>
          </cell>
          <cell r="T24">
            <v>24277.456098699993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5">
          <cell r="K25">
            <v>0</v>
          </cell>
          <cell r="M25">
            <v>687072080</v>
          </cell>
          <cell r="N25">
            <v>0</v>
          </cell>
          <cell r="Q25">
            <v>3932145000</v>
          </cell>
          <cell r="S25">
            <v>1923342000</v>
          </cell>
          <cell r="T25">
            <v>1249645808</v>
          </cell>
          <cell r="W25">
            <v>3932145000</v>
          </cell>
          <cell r="Y25">
            <v>6712741277</v>
          </cell>
          <cell r="Z25">
            <v>1249645808</v>
          </cell>
          <cell r="AC25">
            <v>10664075596</v>
          </cell>
          <cell r="AE25">
            <v>17574569008</v>
          </cell>
          <cell r="AF25">
            <v>2931065688</v>
          </cell>
        </row>
        <row r="26">
          <cell r="K26">
            <v>0</v>
          </cell>
          <cell r="M26">
            <v>0</v>
          </cell>
          <cell r="N26">
            <v>0</v>
          </cell>
          <cell r="Q26">
            <v>555716722</v>
          </cell>
          <cell r="S26">
            <v>0</v>
          </cell>
          <cell r="T26">
            <v>0</v>
          </cell>
          <cell r="W26">
            <v>0</v>
          </cell>
          <cell r="Y26">
            <v>0</v>
          </cell>
          <cell r="Z26">
            <v>0</v>
          </cell>
          <cell r="AC26">
            <v>0</v>
          </cell>
          <cell r="AE26">
            <v>0</v>
          </cell>
          <cell r="AF26">
            <v>0</v>
          </cell>
        </row>
      </sheetData>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آتش سوزى"/>
      <sheetName val="باربرى"/>
      <sheetName val="حوادث"/>
      <sheetName val="حوادث راننده"/>
      <sheetName val="بدنه اتومبيل"/>
      <sheetName val="شخص ثالث و مازاد"/>
      <sheetName val="درمان"/>
      <sheetName val="كشتى"/>
      <sheetName val="هواپيما"/>
      <sheetName val="مهندسى"/>
      <sheetName val="پول"/>
      <sheetName val="مسئوليت"/>
      <sheetName val="اعتبار"/>
      <sheetName val="نفت و انرژی"/>
      <sheetName val="ساير انواع"/>
      <sheetName val="جمع غير زندگى"/>
      <sheetName val="زندگى(عمر)"/>
      <sheetName val="صنعت بيمه كشور"/>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E30">
            <v>0</v>
          </cell>
          <cell r="F30">
            <v>0</v>
          </cell>
          <cell r="G30">
            <v>-1650.5701120000001</v>
          </cell>
          <cell r="H30">
            <v>11742.588191999999</v>
          </cell>
        </row>
      </sheetData>
      <sheetData sheetId="13"/>
      <sheetData sheetId="14"/>
      <sheetData sheetId="15"/>
      <sheetData sheetId="16"/>
      <sheetData sheetId="1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يمه پارسيان"/>
      <sheetName val="بيمه حافظ"/>
      <sheetName val="بيمه كارآفرين"/>
      <sheetName val="بيمه رازي"/>
      <sheetName val="بيمه سينا"/>
      <sheetName val="بيمه ملت"/>
      <sheetName val="بيمه اميد"/>
      <sheetName val="بيمه توسعه"/>
      <sheetName val="بازار خصوصي"/>
      <sheetName val="بازار (صادرات در خصوصي)"/>
    </sheetNames>
    <sheetDataSet>
      <sheetData sheetId="0"/>
      <sheetData sheetId="1"/>
      <sheetData sheetId="2"/>
      <sheetData sheetId="3"/>
      <sheetData sheetId="4"/>
      <sheetData sheetId="5"/>
      <sheetData sheetId="6"/>
      <sheetData sheetId="7"/>
      <sheetData sheetId="8" refreshError="1">
        <row r="8">
          <cell r="K8">
            <v>0</v>
          </cell>
        </row>
        <row r="47">
          <cell r="K47">
            <v>0</v>
          </cell>
          <cell r="R47">
            <v>720000</v>
          </cell>
        </row>
      </sheetData>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خصوصی"/>
      <sheetName val="بيمه پارسيان"/>
      <sheetName val="بيمه كارآفرين"/>
      <sheetName val="بيمه سينا"/>
      <sheetName val="بيمه رازي"/>
      <sheetName val="بيمه ملت"/>
      <sheetName val="بيمه اميد"/>
      <sheetName val="بيمه حافظ"/>
      <sheetName val="بيمه توسعه"/>
      <sheetName val="market - hafez &amp; omid"/>
    </sheetNames>
    <sheetDataSet>
      <sheetData sheetId="0" refreshError="1">
        <row r="8">
          <cell r="K8">
            <v>102306848</v>
          </cell>
        </row>
        <row r="47">
          <cell r="J47">
            <v>343712000</v>
          </cell>
          <cell r="K47">
            <v>0</v>
          </cell>
          <cell r="Q47">
            <v>882976904</v>
          </cell>
          <cell r="R47">
            <v>343000000</v>
          </cell>
        </row>
      </sheetData>
      <sheetData sheetId="1" refreshError="1"/>
      <sheetData sheetId="2"/>
      <sheetData sheetId="3"/>
      <sheetData sheetId="4"/>
      <sheetData sheetId="5"/>
      <sheetData sheetId="6" refreshError="1"/>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arket - hafez &amp; omid"/>
      <sheetName val="بازارخصوصي"/>
      <sheetName val="بيمه پارسيان"/>
      <sheetName val="بيمه كارآفرين"/>
      <sheetName val="بيمه سينا"/>
      <sheetName val="بيمه ملت"/>
      <sheetName val="بيمه رازي"/>
      <sheetName val="بيمه حافظ"/>
      <sheetName val="دی"/>
      <sheetName val="صادرات و سرمايه گذاری"/>
      <sheetName val="سامان"/>
      <sheetName val="بيمه اميد"/>
      <sheetName val="بيمه توسعه"/>
      <sheetName val="نوين"/>
    </sheetNames>
    <sheetDataSet>
      <sheetData sheetId="0"/>
      <sheetData sheetId="1" refreshError="1">
        <row r="8">
          <cell r="J8">
            <v>43430339288</v>
          </cell>
        </row>
        <row r="59">
          <cell r="J59">
            <v>1171481863515</v>
          </cell>
          <cell r="K59">
            <v>130557887211</v>
          </cell>
          <cell r="R59">
            <v>1933693315791</v>
          </cell>
        </row>
      </sheetData>
      <sheetData sheetId="2"/>
      <sheetData sheetId="3"/>
      <sheetData sheetId="4"/>
      <sheetData sheetId="5"/>
      <sheetData sheetId="6"/>
      <sheetData sheetId="7"/>
      <sheetData sheetId="8"/>
      <sheetData sheetId="9" refreshError="1"/>
      <sheetData sheetId="10"/>
      <sheetData sheetId="11"/>
      <sheetData sheetId="12"/>
      <sheetData sheetId="1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جدول "/>
    </sheetNames>
    <sheetDataSet>
      <sheetData sheetId="0">
        <row r="11">
          <cell r="H11">
            <v>78.511978974436531</v>
          </cell>
          <cell r="I11">
            <v>75.013772307695376</v>
          </cell>
        </row>
        <row r="12">
          <cell r="H12">
            <v>67.51059940624333</v>
          </cell>
          <cell r="I12">
            <v>61.988093163456305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دولتي"/>
      <sheetName val="بيمه ايران"/>
      <sheetName val="بيمه آسيا"/>
      <sheetName val="بيمه البرز"/>
      <sheetName val="بيمه دانا"/>
      <sheetName val="بيمه صادرات"/>
      <sheetName val="ملي شده ها"/>
    </sheetNames>
    <sheetDataSet>
      <sheetData sheetId="0"/>
      <sheetData sheetId="1" refreshError="1">
        <row r="8">
          <cell r="I8">
            <v>117228554704</v>
          </cell>
          <cell r="Q8">
            <v>516886514860</v>
          </cell>
        </row>
        <row r="9">
          <cell r="I9">
            <v>30768356716</v>
          </cell>
          <cell r="Q9">
            <v>415758183152</v>
          </cell>
        </row>
        <row r="17">
          <cell r="H17">
            <v>44197038648</v>
          </cell>
          <cell r="I17">
            <v>42392898716</v>
          </cell>
          <cell r="P17">
            <v>132704270996</v>
          </cell>
          <cell r="Q17">
            <v>105415512580</v>
          </cell>
        </row>
        <row r="18">
          <cell r="H18">
            <v>91649524844</v>
          </cell>
          <cell r="I18">
            <v>79022470088</v>
          </cell>
          <cell r="P18">
            <v>348400161600</v>
          </cell>
          <cell r="Q18">
            <v>266007948092</v>
          </cell>
        </row>
        <row r="19">
          <cell r="H19">
            <v>594203803120</v>
          </cell>
          <cell r="I19">
            <v>312832284148</v>
          </cell>
          <cell r="P19">
            <v>1198487253040</v>
          </cell>
          <cell r="Q19">
            <v>737083802552</v>
          </cell>
        </row>
        <row r="23">
          <cell r="H23">
            <v>3294338092476</v>
          </cell>
          <cell r="I23">
            <v>2470669420448</v>
          </cell>
          <cell r="P23">
            <v>4009318978332</v>
          </cell>
          <cell r="Q23">
            <v>2658882473112</v>
          </cell>
        </row>
        <row r="31">
          <cell r="H31">
            <v>406662945960</v>
          </cell>
          <cell r="I31">
            <v>497846748120</v>
          </cell>
          <cell r="P31">
            <v>555754259988</v>
          </cell>
          <cell r="Q31">
            <v>580284488932</v>
          </cell>
        </row>
        <row r="34">
          <cell r="H34">
            <v>6133247568</v>
          </cell>
          <cell r="I34">
            <v>8361599088</v>
          </cell>
          <cell r="P34">
            <v>34449316812</v>
          </cell>
          <cell r="Q34">
            <v>33413423484</v>
          </cell>
        </row>
        <row r="35">
          <cell r="H35">
            <v>97782989432</v>
          </cell>
          <cell r="I35">
            <v>31695444000</v>
          </cell>
          <cell r="P35">
            <v>214081794068</v>
          </cell>
          <cell r="Q35">
            <v>255245803480</v>
          </cell>
        </row>
        <row r="36">
          <cell r="H36">
            <v>18206121320</v>
          </cell>
          <cell r="I36">
            <v>16671843304</v>
          </cell>
          <cell r="P36">
            <v>286985089008</v>
          </cell>
          <cell r="Q36">
            <v>120800587480</v>
          </cell>
        </row>
        <row r="37">
          <cell r="H37">
            <v>2892126180</v>
          </cell>
          <cell r="I37">
            <v>2704066112</v>
          </cell>
          <cell r="P37">
            <v>5526294964</v>
          </cell>
          <cell r="Q37">
            <v>7788912104</v>
          </cell>
        </row>
        <row r="42">
          <cell r="H42">
            <v>143812327920</v>
          </cell>
          <cell r="I42">
            <v>104328748396</v>
          </cell>
          <cell r="P42">
            <v>370287961032</v>
          </cell>
          <cell r="Q42">
            <v>256041655280</v>
          </cell>
        </row>
        <row r="47">
          <cell r="H47">
            <v>21722556792</v>
          </cell>
          <cell r="I47">
            <v>23984559108</v>
          </cell>
          <cell r="P47">
            <v>17344540696</v>
          </cell>
          <cell r="Q47">
            <v>24477243096</v>
          </cell>
        </row>
        <row r="48">
          <cell r="H48">
            <v>17120403036</v>
          </cell>
          <cell r="I48">
            <v>6125375820</v>
          </cell>
          <cell r="P48">
            <v>109513439244</v>
          </cell>
          <cell r="Q48">
            <v>50253556296</v>
          </cell>
        </row>
        <row r="52">
          <cell r="H52">
            <v>13572960692</v>
          </cell>
          <cell r="I52">
            <v>25029891652</v>
          </cell>
          <cell r="P52">
            <v>225486170836</v>
          </cell>
          <cell r="Q52">
            <v>283149560544</v>
          </cell>
        </row>
        <row r="58">
          <cell r="H58">
            <v>345226470776</v>
          </cell>
          <cell r="I58">
            <v>375526585738</v>
          </cell>
          <cell r="P58">
            <v>607456027710</v>
          </cell>
          <cell r="Q58">
            <v>561768799328</v>
          </cell>
        </row>
      </sheetData>
      <sheetData sheetId="2" refreshError="1">
        <row r="8">
          <cell r="I8">
            <v>56027566780</v>
          </cell>
          <cell r="Q8">
            <v>178707474024</v>
          </cell>
        </row>
        <row r="9">
          <cell r="I9">
            <v>13692137120</v>
          </cell>
          <cell r="Q9">
            <v>160617905664</v>
          </cell>
        </row>
        <row r="17">
          <cell r="H17">
            <v>22135192668</v>
          </cell>
          <cell r="I17">
            <v>17612870716</v>
          </cell>
          <cell r="P17">
            <v>63280133476</v>
          </cell>
          <cell r="Q17">
            <v>43577208000</v>
          </cell>
        </row>
        <row r="18">
          <cell r="H18">
            <v>74405127124</v>
          </cell>
          <cell r="I18">
            <v>64521775044</v>
          </cell>
          <cell r="P18">
            <v>139784115532</v>
          </cell>
          <cell r="Q18">
            <v>149958568628</v>
          </cell>
        </row>
        <row r="19">
          <cell r="H19">
            <v>397032687292</v>
          </cell>
          <cell r="I19">
            <v>234813958384</v>
          </cell>
          <cell r="P19">
            <v>472619388456</v>
          </cell>
          <cell r="Q19">
            <v>478028041432</v>
          </cell>
        </row>
        <row r="23">
          <cell r="H23">
            <v>1714563850616</v>
          </cell>
          <cell r="I23">
            <v>1352852551316</v>
          </cell>
          <cell r="P23">
            <v>1713612466804</v>
          </cell>
          <cell r="Q23">
            <v>1342265493252</v>
          </cell>
        </row>
        <row r="31">
          <cell r="H31">
            <v>42705685280</v>
          </cell>
          <cell r="I31">
            <v>53755215888</v>
          </cell>
          <cell r="P31">
            <v>70050002712</v>
          </cell>
          <cell r="Q31">
            <v>58670988448</v>
          </cell>
        </row>
        <row r="34">
          <cell r="H34">
            <v>2814854796</v>
          </cell>
          <cell r="I34">
            <v>5045686584</v>
          </cell>
          <cell r="P34">
            <v>3881547108</v>
          </cell>
          <cell r="Q34">
            <v>2830898440</v>
          </cell>
        </row>
        <row r="35">
          <cell r="H35">
            <v>853978572</v>
          </cell>
          <cell r="I35">
            <v>300000000</v>
          </cell>
          <cell r="P35">
            <v>28366741272</v>
          </cell>
          <cell r="Q35">
            <v>31109046880</v>
          </cell>
        </row>
        <row r="36">
          <cell r="H36">
            <v>18760166624</v>
          </cell>
          <cell r="I36">
            <v>6009494764</v>
          </cell>
          <cell r="P36">
            <v>12727958080</v>
          </cell>
          <cell r="Q36">
            <v>26116808456</v>
          </cell>
        </row>
        <row r="37">
          <cell r="H37">
            <v>259124700</v>
          </cell>
          <cell r="I37">
            <v>0</v>
          </cell>
          <cell r="P37">
            <v>1114576928</v>
          </cell>
          <cell r="Q37">
            <v>1079289996</v>
          </cell>
        </row>
        <row r="42">
          <cell r="H42">
            <v>44781335564</v>
          </cell>
          <cell r="I42">
            <v>33454165396</v>
          </cell>
          <cell r="P42">
            <v>109900690032</v>
          </cell>
          <cell r="Q42">
            <v>91956492464</v>
          </cell>
        </row>
        <row r="47">
          <cell r="H47">
            <v>82896020</v>
          </cell>
          <cell r="I47">
            <v>137496020</v>
          </cell>
          <cell r="P47">
            <v>1590009356</v>
          </cell>
          <cell r="Q47">
            <v>2232210000</v>
          </cell>
        </row>
        <row r="48">
          <cell r="H48">
            <v>22313644800</v>
          </cell>
          <cell r="I48">
            <v>16754339592</v>
          </cell>
          <cell r="P48">
            <v>52600108412</v>
          </cell>
          <cell r="Q48">
            <v>5267101400</v>
          </cell>
        </row>
        <row r="52">
          <cell r="H52">
            <v>1262589720</v>
          </cell>
          <cell r="I52">
            <v>826417352</v>
          </cell>
          <cell r="P52">
            <v>115226647944</v>
          </cell>
          <cell r="Q52">
            <v>59522258972</v>
          </cell>
        </row>
        <row r="58">
          <cell r="H58">
            <v>88289952782</v>
          </cell>
          <cell r="I58">
            <v>53803234522</v>
          </cell>
          <cell r="P58">
            <v>222037520064</v>
          </cell>
          <cell r="Q58">
            <v>211070480544</v>
          </cell>
        </row>
      </sheetData>
      <sheetData sheetId="3" refreshError="1">
        <row r="8">
          <cell r="I8">
            <v>26225602172</v>
          </cell>
          <cell r="Q8">
            <v>88870581276</v>
          </cell>
        </row>
        <row r="9">
          <cell r="I9">
            <v>15677307388</v>
          </cell>
          <cell r="Q9">
            <v>161303116828</v>
          </cell>
        </row>
        <row r="17">
          <cell r="H17">
            <v>8352206908</v>
          </cell>
          <cell r="I17">
            <v>4840795984</v>
          </cell>
          <cell r="P17">
            <v>26441970932</v>
          </cell>
          <cell r="Q17">
            <v>19368390700</v>
          </cell>
        </row>
        <row r="18">
          <cell r="H18">
            <v>12663109912</v>
          </cell>
          <cell r="I18">
            <v>5953353768</v>
          </cell>
          <cell r="P18">
            <v>34304300568</v>
          </cell>
          <cell r="Q18">
            <v>27640248004</v>
          </cell>
        </row>
        <row r="19">
          <cell r="H19">
            <v>96183113320</v>
          </cell>
          <cell r="I19">
            <v>59452517588</v>
          </cell>
          <cell r="P19">
            <v>146895850328</v>
          </cell>
          <cell r="Q19">
            <v>136775250972</v>
          </cell>
        </row>
        <row r="23">
          <cell r="H23">
            <v>283049579828</v>
          </cell>
          <cell r="I23">
            <v>170572955496</v>
          </cell>
          <cell r="P23">
            <v>319697173124</v>
          </cell>
          <cell r="Q23">
            <v>227770394384</v>
          </cell>
        </row>
        <row r="31">
          <cell r="H31">
            <v>57359986672</v>
          </cell>
          <cell r="I31">
            <v>45313747128</v>
          </cell>
          <cell r="P31">
            <v>101242025584</v>
          </cell>
          <cell r="Q31">
            <v>82346573556</v>
          </cell>
        </row>
        <row r="34">
          <cell r="H34">
            <v>6731285752</v>
          </cell>
          <cell r="I34">
            <v>11713590348</v>
          </cell>
          <cell r="P34">
            <v>15646833128</v>
          </cell>
          <cell r="Q34">
            <v>5716298576</v>
          </cell>
        </row>
        <row r="35">
          <cell r="H35">
            <v>3345320</v>
          </cell>
          <cell r="I35">
            <v>1003980000</v>
          </cell>
          <cell r="P35">
            <v>2540393180</v>
          </cell>
          <cell r="Q35">
            <v>1980145000</v>
          </cell>
        </row>
        <row r="36">
          <cell r="H36">
            <v>6859330116</v>
          </cell>
          <cell r="I36">
            <v>3708621220</v>
          </cell>
          <cell r="P36">
            <v>75275635336</v>
          </cell>
          <cell r="Q36">
            <v>33692682968</v>
          </cell>
        </row>
        <row r="37">
          <cell r="H37">
            <v>497614368</v>
          </cell>
          <cell r="I37">
            <v>176653356</v>
          </cell>
          <cell r="P37">
            <v>1924841288</v>
          </cell>
          <cell r="Q37">
            <v>2495661372</v>
          </cell>
        </row>
        <row r="42">
          <cell r="H42">
            <v>24388373964</v>
          </cell>
          <cell r="I42">
            <v>13559515656</v>
          </cell>
          <cell r="P42">
            <v>69394497868</v>
          </cell>
          <cell r="Q42">
            <v>36340282264</v>
          </cell>
        </row>
        <row r="47">
          <cell r="I47">
            <v>0</v>
          </cell>
          <cell r="P47">
            <v>75831000</v>
          </cell>
          <cell r="Q47">
            <v>1511000</v>
          </cell>
        </row>
        <row r="48">
          <cell r="H48">
            <v>2560260220</v>
          </cell>
          <cell r="I48">
            <v>-1021176112</v>
          </cell>
          <cell r="P48">
            <v>4282780396</v>
          </cell>
          <cell r="Q48">
            <v>3281175128</v>
          </cell>
        </row>
        <row r="52">
          <cell r="H52">
            <v>784868620</v>
          </cell>
          <cell r="I52">
            <v>0</v>
          </cell>
          <cell r="P52">
            <v>58134441036</v>
          </cell>
          <cell r="Q52">
            <v>53159248204</v>
          </cell>
        </row>
        <row r="58">
          <cell r="H58">
            <v>46023613576</v>
          </cell>
          <cell r="I58">
            <v>32550669550</v>
          </cell>
          <cell r="P58">
            <v>80761896394</v>
          </cell>
          <cell r="Q58">
            <v>57085743754</v>
          </cell>
        </row>
      </sheetData>
      <sheetData sheetId="4" refreshError="1">
        <row r="8">
          <cell r="I8">
            <v>15051206876</v>
          </cell>
          <cell r="Q8">
            <v>44242385944</v>
          </cell>
        </row>
        <row r="9">
          <cell r="I9">
            <v>2501616348</v>
          </cell>
          <cell r="Q9">
            <v>44305764820</v>
          </cell>
        </row>
        <row r="17">
          <cell r="H17">
            <v>64568784984</v>
          </cell>
          <cell r="I17">
            <v>56097609592</v>
          </cell>
          <cell r="P17">
            <v>124544726956</v>
          </cell>
          <cell r="Q17">
            <v>118912576948</v>
          </cell>
        </row>
        <row r="18">
          <cell r="H18">
            <v>12856683524</v>
          </cell>
          <cell r="I18">
            <v>14044982728</v>
          </cell>
          <cell r="P18">
            <v>32156432624</v>
          </cell>
          <cell r="Q18">
            <v>34285424172</v>
          </cell>
        </row>
        <row r="19">
          <cell r="H19">
            <v>84058119856</v>
          </cell>
          <cell r="I19">
            <v>79828888092</v>
          </cell>
          <cell r="P19">
            <v>173747504704</v>
          </cell>
          <cell r="Q19">
            <v>119369594672</v>
          </cell>
        </row>
        <row r="23">
          <cell r="H23">
            <v>530051430088</v>
          </cell>
          <cell r="I23">
            <v>445679317252</v>
          </cell>
          <cell r="P23">
            <v>413166590340</v>
          </cell>
          <cell r="Q23">
            <v>414648243212</v>
          </cell>
        </row>
        <row r="31">
          <cell r="H31">
            <v>583773005448</v>
          </cell>
          <cell r="I31">
            <v>473685004540</v>
          </cell>
          <cell r="P31">
            <v>450312747448</v>
          </cell>
          <cell r="Q31">
            <v>566167988204</v>
          </cell>
        </row>
        <row r="34">
          <cell r="H34">
            <v>1112408000</v>
          </cell>
          <cell r="I34">
            <v>2783275000</v>
          </cell>
          <cell r="P34">
            <v>5000667580</v>
          </cell>
          <cell r="Q34">
            <v>4550608744</v>
          </cell>
        </row>
        <row r="35">
          <cell r="H35">
            <v>127970068</v>
          </cell>
          <cell r="I35">
            <v>2471834200</v>
          </cell>
          <cell r="P35">
            <v>689065956</v>
          </cell>
          <cell r="Q35">
            <v>4912204100</v>
          </cell>
        </row>
        <row r="36">
          <cell r="H36">
            <v>5009340668</v>
          </cell>
          <cell r="I36">
            <v>8177581708</v>
          </cell>
          <cell r="P36">
            <v>18227743304</v>
          </cell>
          <cell r="Q36">
            <v>13033930160</v>
          </cell>
        </row>
        <row r="37">
          <cell r="H37">
            <v>44500000</v>
          </cell>
          <cell r="I37">
            <v>16626664</v>
          </cell>
          <cell r="P37">
            <v>89961772</v>
          </cell>
          <cell r="Q37">
            <v>112560296</v>
          </cell>
        </row>
        <row r="42">
          <cell r="H42">
            <v>24232576984</v>
          </cell>
          <cell r="I42">
            <v>22695936620</v>
          </cell>
          <cell r="P42">
            <v>70977996796</v>
          </cell>
          <cell r="Q42">
            <v>53987046468</v>
          </cell>
        </row>
        <row r="47">
          <cell r="H47">
            <v>307720000</v>
          </cell>
          <cell r="I47">
            <v>32000000</v>
          </cell>
          <cell r="P47">
            <v>476087272</v>
          </cell>
          <cell r="Q47">
            <v>173615000</v>
          </cell>
        </row>
        <row r="48">
          <cell r="H48">
            <v>188000356</v>
          </cell>
          <cell r="I48">
            <v>10963792</v>
          </cell>
          <cell r="P48">
            <v>2122366800</v>
          </cell>
          <cell r="Q48">
            <v>2490551172</v>
          </cell>
        </row>
        <row r="52">
          <cell r="P52">
            <v>60116744956</v>
          </cell>
          <cell r="Q52">
            <v>88061821232</v>
          </cell>
        </row>
        <row r="58">
          <cell r="H58">
            <v>125988218422</v>
          </cell>
          <cell r="I58">
            <v>41823896284</v>
          </cell>
          <cell r="P58">
            <v>111370931304</v>
          </cell>
          <cell r="Q58">
            <v>202308675634</v>
          </cell>
        </row>
      </sheetData>
      <sheetData sheetId="5" refreshError="1"/>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كل بدون حافظ واميد"/>
      <sheetName val="بازار دولتي"/>
      <sheetName val="بيمه ايران"/>
      <sheetName val="بيمه آسيا"/>
      <sheetName val="بيمه البرز"/>
      <sheetName val="بيمه دانا"/>
      <sheetName val="ملي شده ها"/>
    </sheetNames>
    <sheetDataSet>
      <sheetData sheetId="0"/>
      <sheetData sheetId="1"/>
      <sheetData sheetId="2" refreshError="1">
        <row r="7">
          <cell r="U7">
            <v>35.616329181193073</v>
          </cell>
        </row>
        <row r="8">
          <cell r="H8">
            <v>231948696084</v>
          </cell>
          <cell r="I8">
            <v>191662668692</v>
          </cell>
          <cell r="P8">
            <v>837184148840</v>
          </cell>
          <cell r="Q8">
            <v>618767151700</v>
          </cell>
        </row>
        <row r="9">
          <cell r="H9">
            <v>67018123440</v>
          </cell>
          <cell r="I9">
            <v>31119234328</v>
          </cell>
          <cell r="P9">
            <v>326999960640</v>
          </cell>
          <cell r="Q9">
            <v>445782471480</v>
          </cell>
        </row>
        <row r="17">
          <cell r="H17">
            <v>54854797696</v>
          </cell>
          <cell r="P17">
            <v>162306325968</v>
          </cell>
        </row>
        <row r="18">
          <cell r="H18">
            <v>137223112932</v>
          </cell>
          <cell r="P18">
            <v>416044144464</v>
          </cell>
        </row>
        <row r="19">
          <cell r="H19">
            <v>1131557740024</v>
          </cell>
          <cell r="P19">
            <v>1653969792952</v>
          </cell>
        </row>
        <row r="23">
          <cell r="H23">
            <v>4582179589416</v>
          </cell>
          <cell r="P23">
            <v>5267281643420</v>
          </cell>
        </row>
        <row r="31">
          <cell r="H31">
            <v>1089674542540</v>
          </cell>
          <cell r="P31">
            <v>809179295484</v>
          </cell>
        </row>
        <row r="34">
          <cell r="H34">
            <v>7194749156</v>
          </cell>
          <cell r="P34">
            <v>45427720908</v>
          </cell>
        </row>
        <row r="35">
          <cell r="H35">
            <v>46756760080</v>
          </cell>
          <cell r="P35">
            <v>203686332824</v>
          </cell>
        </row>
        <row r="36">
          <cell r="H36">
            <v>61565436236</v>
          </cell>
          <cell r="P36">
            <v>228429907868</v>
          </cell>
        </row>
        <row r="37">
          <cell r="H37">
            <v>3853284920</v>
          </cell>
          <cell r="P37">
            <v>8946133756</v>
          </cell>
        </row>
        <row r="42">
          <cell r="H42">
            <v>208906848152</v>
          </cell>
          <cell r="P42">
            <v>465520856300</v>
          </cell>
        </row>
        <row r="47">
          <cell r="H47">
            <v>6404204936</v>
          </cell>
          <cell r="P47">
            <v>4497734592</v>
          </cell>
        </row>
        <row r="48">
          <cell r="H48">
            <v>26324039312</v>
          </cell>
          <cell r="P48">
            <v>71046053176</v>
          </cell>
        </row>
        <row r="52">
          <cell r="H52">
            <v>63980749680</v>
          </cell>
          <cell r="P52">
            <v>110262458424</v>
          </cell>
        </row>
        <row r="58">
          <cell r="H58">
            <v>348903289736</v>
          </cell>
          <cell r="P58">
            <v>750941460712</v>
          </cell>
        </row>
      </sheetData>
      <sheetData sheetId="3" refreshError="1">
        <row r="7">
          <cell r="U7">
            <v>50.038759228048349</v>
          </cell>
        </row>
        <row r="8">
          <cell r="H8">
            <v>89235968688</v>
          </cell>
          <cell r="I8">
            <v>75069345252</v>
          </cell>
          <cell r="P8">
            <v>234221568268</v>
          </cell>
          <cell r="Q8">
            <v>226120007384</v>
          </cell>
        </row>
        <row r="9">
          <cell r="H9">
            <v>23252899840</v>
          </cell>
          <cell r="I9">
            <v>18471571784</v>
          </cell>
          <cell r="P9">
            <v>137791740532</v>
          </cell>
          <cell r="Q9">
            <v>167580798792</v>
          </cell>
        </row>
        <row r="17">
          <cell r="H17">
            <v>32905203408</v>
          </cell>
          <cell r="P17">
            <v>63831548100</v>
          </cell>
        </row>
        <row r="18">
          <cell r="H18">
            <v>73319245996</v>
          </cell>
          <cell r="P18">
            <v>158567508192</v>
          </cell>
        </row>
        <row r="19">
          <cell r="H19">
            <v>412124974316</v>
          </cell>
          <cell r="P19">
            <v>504806603976</v>
          </cell>
        </row>
        <row r="23">
          <cell r="H23">
            <v>1924065440516</v>
          </cell>
          <cell r="P23">
            <v>1913791718364</v>
          </cell>
        </row>
        <row r="31">
          <cell r="H31">
            <v>49679469540</v>
          </cell>
          <cell r="P31">
            <v>89764948068</v>
          </cell>
        </row>
        <row r="34">
          <cell r="H34">
            <v>773407324</v>
          </cell>
          <cell r="P34">
            <v>2453947548</v>
          </cell>
        </row>
        <row r="35">
          <cell r="H35">
            <v>142673153564</v>
          </cell>
          <cell r="P35">
            <v>55639112928</v>
          </cell>
        </row>
        <row r="36">
          <cell r="H36">
            <v>-573483964</v>
          </cell>
          <cell r="P36">
            <v>36913574580</v>
          </cell>
        </row>
        <row r="37">
          <cell r="H37">
            <v>91323000</v>
          </cell>
          <cell r="P37">
            <v>907845908</v>
          </cell>
        </row>
        <row r="42">
          <cell r="H42">
            <v>71431914616</v>
          </cell>
          <cell r="P42">
            <v>149405739788</v>
          </cell>
        </row>
        <row r="47">
          <cell r="H47">
            <v>113000000</v>
          </cell>
          <cell r="P47">
            <v>1492094216</v>
          </cell>
        </row>
        <row r="48">
          <cell r="H48">
            <v>16327811008</v>
          </cell>
          <cell r="P48">
            <v>29507345868</v>
          </cell>
        </row>
        <row r="52">
          <cell r="H52">
            <v>2040559292</v>
          </cell>
          <cell r="P52">
            <v>76532776072</v>
          </cell>
        </row>
        <row r="58">
          <cell r="H58">
            <v>95558015100</v>
          </cell>
          <cell r="P58">
            <v>251380943370</v>
          </cell>
        </row>
      </sheetData>
      <sheetData sheetId="4" refreshError="1">
        <row r="7">
          <cell r="U7">
            <v>40.483752655676767</v>
          </cell>
        </row>
        <row r="8">
          <cell r="H8">
            <v>44442073116</v>
          </cell>
          <cell r="I8">
            <v>48551418288</v>
          </cell>
          <cell r="P8">
            <v>195599284700</v>
          </cell>
          <cell r="Q8">
            <v>134310706152</v>
          </cell>
        </row>
        <row r="9">
          <cell r="H9">
            <v>15877543236</v>
          </cell>
          <cell r="I9">
            <v>20656529264</v>
          </cell>
          <cell r="P9">
            <v>156905957436</v>
          </cell>
          <cell r="Q9">
            <v>153477887576</v>
          </cell>
        </row>
        <row r="17">
          <cell r="H17">
            <v>11541410012</v>
          </cell>
          <cell r="P17">
            <v>28621924484</v>
          </cell>
        </row>
        <row r="18">
          <cell r="H18">
            <v>14675058712</v>
          </cell>
          <cell r="P18">
            <v>39805358612</v>
          </cell>
        </row>
        <row r="19">
          <cell r="H19">
            <v>139890239888</v>
          </cell>
          <cell r="P19">
            <v>184689569856</v>
          </cell>
        </row>
        <row r="23">
          <cell r="H23">
            <v>342871088036</v>
          </cell>
          <cell r="P23">
            <v>391952125108</v>
          </cell>
        </row>
        <row r="31">
          <cell r="H31">
            <v>97070576440</v>
          </cell>
          <cell r="P31">
            <v>128955192204</v>
          </cell>
        </row>
        <row r="34">
          <cell r="H34">
            <v>9871753772</v>
          </cell>
          <cell r="P34">
            <v>11659295860</v>
          </cell>
        </row>
        <row r="35">
          <cell r="H35">
            <v>25207222000</v>
          </cell>
          <cell r="P35">
            <v>6235010848</v>
          </cell>
        </row>
        <row r="36">
          <cell r="H36">
            <v>11187473468</v>
          </cell>
          <cell r="P36">
            <v>115961470224</v>
          </cell>
        </row>
        <row r="37">
          <cell r="H37">
            <v>685270920</v>
          </cell>
          <cell r="P37">
            <v>2715143940</v>
          </cell>
        </row>
        <row r="42">
          <cell r="H42">
            <v>42163032912</v>
          </cell>
          <cell r="P42">
            <v>102741883528</v>
          </cell>
        </row>
        <row r="47">
          <cell r="H47">
            <v>0</v>
          </cell>
          <cell r="P47">
            <v>99245000</v>
          </cell>
        </row>
        <row r="48">
          <cell r="H48">
            <v>610951916</v>
          </cell>
          <cell r="P48">
            <v>2622192700</v>
          </cell>
        </row>
        <row r="52">
          <cell r="H52">
            <v>363480000</v>
          </cell>
          <cell r="P52">
            <v>16417950684</v>
          </cell>
        </row>
        <row r="58">
          <cell r="H58">
            <v>52986212470</v>
          </cell>
          <cell r="P58">
            <v>90071370714</v>
          </cell>
        </row>
      </sheetData>
      <sheetData sheetId="5" refreshError="1">
        <row r="7">
          <cell r="U7">
            <v>5.3235016929144079</v>
          </cell>
        </row>
        <row r="8">
          <cell r="H8">
            <v>7796077184</v>
          </cell>
          <cell r="I8">
            <v>8939579868</v>
          </cell>
          <cell r="P8">
            <v>66572729680</v>
          </cell>
          <cell r="Q8">
            <v>60388541568</v>
          </cell>
        </row>
        <row r="9">
          <cell r="H9">
            <v>411612324</v>
          </cell>
          <cell r="I9">
            <v>1715446816</v>
          </cell>
          <cell r="P9">
            <v>38450392616</v>
          </cell>
          <cell r="Q9">
            <v>55300855700</v>
          </cell>
        </row>
        <row r="17">
          <cell r="H17">
            <v>64744785704</v>
          </cell>
          <cell r="P17">
            <v>121186822120</v>
          </cell>
        </row>
        <row r="18">
          <cell r="H18">
            <v>14834579740</v>
          </cell>
          <cell r="P18">
            <v>46339921928</v>
          </cell>
        </row>
        <row r="19">
          <cell r="H19">
            <v>94025573660</v>
          </cell>
          <cell r="P19">
            <v>161833554408</v>
          </cell>
        </row>
        <row r="23">
          <cell r="H23">
            <v>646561277640</v>
          </cell>
          <cell r="P23">
            <v>649929901112</v>
          </cell>
        </row>
        <row r="31">
          <cell r="H31">
            <v>434057928252</v>
          </cell>
          <cell r="P31">
            <v>562172582688</v>
          </cell>
        </row>
        <row r="34">
          <cell r="H34">
            <v>6304095276</v>
          </cell>
          <cell r="P34">
            <v>8834806152</v>
          </cell>
        </row>
        <row r="35">
          <cell r="H35">
            <v>0</v>
          </cell>
          <cell r="P35">
            <v>1986069920</v>
          </cell>
        </row>
        <row r="36">
          <cell r="H36">
            <v>5113103660</v>
          </cell>
          <cell r="P36">
            <v>12001149424</v>
          </cell>
        </row>
        <row r="37">
          <cell r="H37">
            <v>173800000</v>
          </cell>
          <cell r="P37">
            <v>161650000</v>
          </cell>
        </row>
        <row r="42">
          <cell r="H42">
            <v>39002728856</v>
          </cell>
          <cell r="P42">
            <v>80430261372</v>
          </cell>
        </row>
        <row r="47">
          <cell r="H47">
            <v>161555792</v>
          </cell>
          <cell r="P47">
            <v>415808196</v>
          </cell>
        </row>
        <row r="48">
          <cell r="H48">
            <v>141754956</v>
          </cell>
          <cell r="P48">
            <v>3328423540</v>
          </cell>
        </row>
        <row r="52">
          <cell r="H52">
            <v>0</v>
          </cell>
          <cell r="P52">
            <v>39189530060</v>
          </cell>
        </row>
        <row r="58">
          <cell r="H58">
            <v>165151281872</v>
          </cell>
          <cell r="P58">
            <v>230735176222</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نمودار و جداول رشته ها"/>
      <sheetName val="كمكي1"/>
      <sheetName val="كمكي2"/>
      <sheetName val="كمكي3"/>
    </sheetNames>
    <sheetDataSet>
      <sheetData sheetId="0" refreshError="1">
        <row r="12">
          <cell r="C12">
            <v>889.34832822800001</v>
          </cell>
          <cell r="DM12">
            <v>9178.7904706370009</v>
          </cell>
          <cell r="DN12">
            <v>5526.6490159890009</v>
          </cell>
        </row>
        <row r="13">
          <cell r="DM13">
            <v>12743.403716432998</v>
          </cell>
          <cell r="DN13">
            <v>7617.4101723400017</v>
          </cell>
        </row>
        <row r="14">
          <cell r="DM14">
            <v>17317.627238618999</v>
          </cell>
          <cell r="DN14">
            <v>10032.300823799002</v>
          </cell>
        </row>
        <row r="15">
          <cell r="DM15">
            <v>21529.919274113003</v>
          </cell>
          <cell r="DN15">
            <v>14534.977553633997</v>
          </cell>
        </row>
        <row r="16">
          <cell r="DM16">
            <v>26561.088595235004</v>
          </cell>
          <cell r="DN16">
            <v>16466.653568268004</v>
          </cell>
        </row>
        <row r="17">
          <cell r="DM17">
            <v>33824.090799140002</v>
          </cell>
          <cell r="DN17">
            <v>20823.504796099998</v>
          </cell>
        </row>
        <row r="18">
          <cell r="DM18">
            <v>40560.988844432002</v>
          </cell>
          <cell r="DN18">
            <v>24752.639463136005</v>
          </cell>
        </row>
        <row r="19">
          <cell r="DM19">
            <v>46438.204745907991</v>
          </cell>
          <cell r="DN19">
            <v>30753.197276684001</v>
          </cell>
        </row>
        <row r="20">
          <cell r="J20">
            <v>3352.1578469679998</v>
          </cell>
          <cell r="K20">
            <v>834.46654856400005</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sheetName val="ايران(دولتي)"/>
      <sheetName val="غیردولتی"/>
      <sheetName val="دولتی"/>
      <sheetName val="بازار (2)"/>
      <sheetName val="ملی شده ها"/>
      <sheetName val="دانا"/>
      <sheetName val="آسيا"/>
      <sheetName val=" البرز"/>
      <sheetName val="معلم"/>
      <sheetName val="پارسيان"/>
      <sheetName val="توسعه"/>
      <sheetName val="رازي"/>
      <sheetName val="كارآفرين"/>
      <sheetName val="سينا"/>
      <sheetName val="ملت"/>
      <sheetName val="ايران معين"/>
      <sheetName val="اميد"/>
      <sheetName val="حافظ"/>
      <sheetName val="دي"/>
      <sheetName val="سامان"/>
      <sheetName val="نوين"/>
      <sheetName val="پاسارگاد"/>
      <sheetName val="ميهن"/>
      <sheetName val="کوثر"/>
      <sheetName val="ما"/>
      <sheetName val="متقابل کیش"/>
      <sheetName val="آرمان"/>
      <sheetName val="مناطق آزاد"/>
    </sheetNames>
    <sheetDataSet>
      <sheetData sheetId="0" refreshError="1"/>
      <sheetData sheetId="1" refreshError="1">
        <row r="7">
          <cell r="C7">
            <v>24.777444489639848</v>
          </cell>
          <cell r="L7">
            <v>418.59190115199999</v>
          </cell>
          <cell r="T7">
            <v>1725.22522912</v>
          </cell>
        </row>
        <row r="17">
          <cell r="L17">
            <v>7.4095291120000004</v>
          </cell>
          <cell r="T17">
            <v>17.425920508000001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یران"/>
    </sheetNames>
    <sheetDataSet>
      <sheetData sheetId="0">
        <row r="6">
          <cell r="B6">
            <v>7182.3</v>
          </cell>
          <cell r="J6">
            <v>1863.7</v>
          </cell>
        </row>
        <row r="7">
          <cell r="B7">
            <v>1054.8</v>
          </cell>
          <cell r="J7">
            <v>206.2</v>
          </cell>
        </row>
        <row r="8">
          <cell r="B8">
            <v>1285.5</v>
          </cell>
          <cell r="J8">
            <v>166.7</v>
          </cell>
        </row>
        <row r="9">
          <cell r="B9">
            <v>11134.6</v>
          </cell>
          <cell r="J9">
            <v>6601.6</v>
          </cell>
        </row>
        <row r="10">
          <cell r="B10">
            <v>12597.3</v>
          </cell>
          <cell r="J10">
            <v>6156.5</v>
          </cell>
        </row>
        <row r="12">
          <cell r="B12">
            <v>24511.200000000001</v>
          </cell>
          <cell r="J12">
            <v>20351.599999999999</v>
          </cell>
        </row>
        <row r="13">
          <cell r="B13">
            <v>228.3</v>
          </cell>
          <cell r="J13">
            <v>127.7</v>
          </cell>
        </row>
        <row r="14">
          <cell r="B14">
            <v>1369.4</v>
          </cell>
          <cell r="J14">
            <v>477.2</v>
          </cell>
        </row>
        <row r="15">
          <cell r="B15">
            <v>6308.4</v>
          </cell>
          <cell r="J15">
            <v>839.8</v>
          </cell>
        </row>
        <row r="17">
          <cell r="B17">
            <v>6436.8</v>
          </cell>
          <cell r="J17">
            <v>3868.8</v>
          </cell>
        </row>
        <row r="19">
          <cell r="B19">
            <v>0</v>
          </cell>
          <cell r="J19">
            <v>0</v>
          </cell>
        </row>
        <row r="22">
          <cell r="B22">
            <v>13151.4</v>
          </cell>
          <cell r="J22">
            <v>4617.1000000000004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آتش سوزي"/>
      <sheetName val="باربري"/>
      <sheetName val="حوادث"/>
      <sheetName val="حوادث سرنشين"/>
      <sheetName val="اتومبيل"/>
      <sheetName val="شخص ثالث"/>
      <sheetName val="درماني"/>
      <sheetName val="كشتي"/>
      <sheetName val="هواپيما"/>
      <sheetName val="مهندسي"/>
      <sheetName val="پول"/>
      <sheetName val="مسئوليت"/>
      <sheetName val="اعتباري"/>
      <sheetName val="سايرانواع"/>
      <sheetName val="غيرزندگي"/>
      <sheetName val="زندگي"/>
      <sheetName val="صنعت"/>
    </sheetNames>
    <sheetDataSet>
      <sheetData sheetId="0"/>
      <sheetData sheetId="1"/>
      <sheetData sheetId="2">
        <row r="12">
          <cell r="B12">
            <v>11.422059804</v>
          </cell>
          <cell r="C12">
            <v>2.5096975879999999</v>
          </cell>
          <cell r="D12">
            <v>13.306147748000001</v>
          </cell>
          <cell r="E12">
            <v>63.038083884000002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جلسه ثالث- ميرزائي1"/>
      <sheetName val="جلسه ثالث- ميرزائي2"/>
      <sheetName val="Sheet4"/>
      <sheetName val="تا 84"/>
      <sheetName val="Sheet1"/>
      <sheetName val="Sheet3"/>
      <sheetName val="Sheet2"/>
    </sheetNames>
    <sheetDataSet>
      <sheetData sheetId="0"/>
      <sheetData sheetId="1"/>
      <sheetData sheetId="2">
        <row r="24">
          <cell r="O24">
            <v>100.82366824407281</v>
          </cell>
          <cell r="Q24">
            <v>88.595894628714561</v>
          </cell>
        </row>
        <row r="25">
          <cell r="O25">
            <v>100.35856434593167</v>
          </cell>
          <cell r="Q25">
            <v>81.962628500714089</v>
          </cell>
        </row>
      </sheetData>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بازار دولتي"/>
      <sheetName val="بيمه ايران"/>
      <sheetName val="بيمه آسيا"/>
      <sheetName val="بيمه البرز"/>
      <sheetName val="بيمه دانا"/>
      <sheetName val="ملي شده ها"/>
    </sheetNames>
    <sheetDataSet>
      <sheetData sheetId="0" refreshError="1">
        <row r="6">
          <cell r="C6">
            <v>122565792524</v>
          </cell>
        </row>
        <row r="17">
          <cell r="AD17">
            <v>3.3973808320000001</v>
          </cell>
          <cell r="AL17">
            <v>21.582445536000002</v>
          </cell>
        </row>
        <row r="24">
          <cell r="AD24">
            <v>14709.356010579997</v>
          </cell>
          <cell r="AL24">
            <v>22226.766592321004</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59"/>
  <sheetViews>
    <sheetView tabSelected="1" zoomScale="80" zoomScaleNormal="80" zoomScaleSheetLayoutView="80" workbookViewId="0">
      <selection activeCell="S4" sqref="S4:S5"/>
    </sheetView>
  </sheetViews>
  <sheetFormatPr defaultColWidth="13.88671875" defaultRowHeight="14.1" customHeight="1"/>
  <cols>
    <col min="1" max="4" width="20.6640625" customWidth="1"/>
    <col min="5" max="6" width="9.109375" hidden="1" customWidth="1"/>
    <col min="7" max="8" width="9.6640625" hidden="1" customWidth="1"/>
    <col min="9" max="10" width="20.6640625" customWidth="1"/>
    <col min="11" max="12" width="11.33203125" hidden="1" customWidth="1"/>
    <col min="13" max="14" width="9.5546875" hidden="1" customWidth="1"/>
    <col min="15" max="18" width="11.33203125" hidden="1" customWidth="1"/>
    <col min="19" max="19" width="20.6640625" customWidth="1"/>
  </cols>
  <sheetData>
    <row r="1" spans="1:29" ht="21" customHeight="1">
      <c r="A1" s="549" t="s">
        <v>11</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55</v>
      </c>
      <c r="B3" s="550"/>
      <c r="C3" s="86"/>
      <c r="D3" s="86"/>
      <c r="E3" s="86"/>
      <c r="F3" s="86"/>
      <c r="G3" s="1"/>
      <c r="H3" s="1"/>
      <c r="I3" s="1"/>
      <c r="J3" s="1"/>
      <c r="K3" s="1"/>
      <c r="L3" s="1"/>
      <c r="M3" s="1"/>
      <c r="N3" s="1"/>
      <c r="O3" s="1"/>
      <c r="P3" s="1"/>
      <c r="Q3" s="1"/>
      <c r="R3" s="1"/>
      <c r="S3" s="1"/>
      <c r="Y3" s="2"/>
      <c r="Z3" s="2"/>
      <c r="AA3" s="2"/>
      <c r="AB3" s="2"/>
      <c r="AC3" s="2"/>
    </row>
    <row r="4" spans="1:29" ht="24" customHeight="1">
      <c r="A4" s="554" t="s">
        <v>7</v>
      </c>
      <c r="B4" s="555"/>
      <c r="C4" s="554" t="s">
        <v>33</v>
      </c>
      <c r="D4" s="555"/>
      <c r="E4" s="551" t="s">
        <v>22</v>
      </c>
      <c r="F4" s="551"/>
      <c r="G4" s="551" t="s">
        <v>6</v>
      </c>
      <c r="H4" s="551"/>
      <c r="I4" s="554" t="s">
        <v>21</v>
      </c>
      <c r="J4" s="555"/>
      <c r="K4" s="551" t="s">
        <v>5</v>
      </c>
      <c r="L4" s="551"/>
      <c r="M4" s="552" t="s">
        <v>4</v>
      </c>
      <c r="N4" s="552"/>
      <c r="O4" s="551" t="s">
        <v>3</v>
      </c>
      <c r="P4" s="551"/>
      <c r="Q4" s="551" t="s">
        <v>2</v>
      </c>
      <c r="R4" s="551"/>
      <c r="S4" s="557" t="s">
        <v>8</v>
      </c>
    </row>
    <row r="5" spans="1:29" ht="24" customHeight="1" thickBot="1">
      <c r="A5" s="185" t="s">
        <v>25</v>
      </c>
      <c r="B5" s="186" t="s">
        <v>34</v>
      </c>
      <c r="C5" s="185" t="s">
        <v>25</v>
      </c>
      <c r="D5" s="186" t="s">
        <v>34</v>
      </c>
      <c r="E5" s="241" t="s">
        <v>1</v>
      </c>
      <c r="F5" s="241" t="s">
        <v>0</v>
      </c>
      <c r="G5" s="241" t="s">
        <v>1</v>
      </c>
      <c r="H5" s="241" t="s">
        <v>0</v>
      </c>
      <c r="I5" s="249" t="s">
        <v>25</v>
      </c>
      <c r="J5" s="186" t="s">
        <v>34</v>
      </c>
      <c r="K5" s="231" t="s">
        <v>1</v>
      </c>
      <c r="L5" s="231" t="s">
        <v>0</v>
      </c>
      <c r="M5" s="232" t="s">
        <v>1</v>
      </c>
      <c r="N5" s="232" t="s">
        <v>0</v>
      </c>
      <c r="O5" s="231" t="s">
        <v>1</v>
      </c>
      <c r="P5" s="231" t="s">
        <v>0</v>
      </c>
      <c r="Q5" s="231" t="s">
        <v>1</v>
      </c>
      <c r="R5" s="231" t="s">
        <v>0</v>
      </c>
      <c r="S5" s="558"/>
    </row>
    <row r="6" spans="1:29" ht="18.899999999999999" customHeight="1">
      <c r="A6" s="266">
        <v>1.246</v>
      </c>
      <c r="B6" s="267">
        <v>2.3149999999999999</v>
      </c>
      <c r="C6" s="266">
        <f t="shared" ref="C6:C39" si="0">A6-I6</f>
        <v>0</v>
      </c>
      <c r="D6" s="267">
        <f t="shared" ref="D6:D39" si="1">B6-J6</f>
        <v>0</v>
      </c>
      <c r="E6" s="268"/>
      <c r="F6" s="269"/>
      <c r="G6" s="269">
        <v>0</v>
      </c>
      <c r="H6" s="269">
        <v>0</v>
      </c>
      <c r="I6" s="270">
        <v>1.246</v>
      </c>
      <c r="J6" s="270">
        <v>2.3149999999999999</v>
      </c>
      <c r="K6" s="248">
        <v>471</v>
      </c>
      <c r="L6" s="242">
        <v>893</v>
      </c>
      <c r="M6" s="243">
        <v>11</v>
      </c>
      <c r="N6" s="243">
        <v>56</v>
      </c>
      <c r="O6" s="242">
        <v>118</v>
      </c>
      <c r="P6" s="242">
        <v>121</v>
      </c>
      <c r="Q6" s="242">
        <v>646</v>
      </c>
      <c r="R6" s="280">
        <v>1245</v>
      </c>
      <c r="S6" s="282">
        <v>1354</v>
      </c>
      <c r="T6" s="279"/>
    </row>
    <row r="7" spans="1:29" ht="18.899999999999999" customHeight="1">
      <c r="A7" s="271">
        <v>1.4359999999999999</v>
      </c>
      <c r="B7" s="272">
        <v>2.7709999999999999</v>
      </c>
      <c r="C7" s="271">
        <f t="shared" si="0"/>
        <v>0</v>
      </c>
      <c r="D7" s="272">
        <f t="shared" si="1"/>
        <v>0</v>
      </c>
      <c r="E7" s="273"/>
      <c r="F7" s="274"/>
      <c r="G7" s="274">
        <v>0</v>
      </c>
      <c r="H7" s="274">
        <v>0</v>
      </c>
      <c r="I7" s="275">
        <v>1.4359999999999999</v>
      </c>
      <c r="J7" s="275">
        <v>2.7709999999999999</v>
      </c>
      <c r="K7" s="248">
        <v>441</v>
      </c>
      <c r="L7" s="242">
        <v>1222</v>
      </c>
      <c r="M7" s="243">
        <v>22</v>
      </c>
      <c r="N7" s="243">
        <v>83</v>
      </c>
      <c r="O7" s="242">
        <v>96</v>
      </c>
      <c r="P7" s="242">
        <v>157</v>
      </c>
      <c r="Q7" s="242">
        <v>877</v>
      </c>
      <c r="R7" s="280">
        <v>1309</v>
      </c>
      <c r="S7" s="283">
        <v>1355</v>
      </c>
    </row>
    <row r="8" spans="1:29" ht="18.899999999999999" customHeight="1">
      <c r="A8" s="271">
        <v>3.47</v>
      </c>
      <c r="B8" s="272">
        <v>3.8170000000000002</v>
      </c>
      <c r="C8" s="271">
        <f t="shared" si="0"/>
        <v>0</v>
      </c>
      <c r="D8" s="272">
        <f t="shared" si="1"/>
        <v>0</v>
      </c>
      <c r="E8" s="273"/>
      <c r="F8" s="274"/>
      <c r="G8" s="274">
        <v>0</v>
      </c>
      <c r="H8" s="274">
        <v>0</v>
      </c>
      <c r="I8" s="275">
        <v>3.47</v>
      </c>
      <c r="J8" s="275">
        <v>3.8170000000000002</v>
      </c>
      <c r="K8" s="248">
        <v>1775</v>
      </c>
      <c r="L8" s="242">
        <v>1822</v>
      </c>
      <c r="M8" s="243">
        <v>53</v>
      </c>
      <c r="N8" s="243">
        <v>110</v>
      </c>
      <c r="O8" s="242">
        <v>121</v>
      </c>
      <c r="P8" s="242">
        <v>242</v>
      </c>
      <c r="Q8" s="242">
        <v>1521</v>
      </c>
      <c r="R8" s="280">
        <v>1643</v>
      </c>
      <c r="S8" s="283">
        <v>1356</v>
      </c>
    </row>
    <row r="9" spans="1:29" ht="18.899999999999999" customHeight="1">
      <c r="A9" s="271">
        <v>3.4239999999999999</v>
      </c>
      <c r="B9" s="272">
        <v>4.7789999999999999</v>
      </c>
      <c r="C9" s="271">
        <f t="shared" si="0"/>
        <v>0</v>
      </c>
      <c r="D9" s="272">
        <f t="shared" si="1"/>
        <v>0</v>
      </c>
      <c r="E9" s="273"/>
      <c r="F9" s="274"/>
      <c r="G9" s="274">
        <v>0</v>
      </c>
      <c r="H9" s="274">
        <v>0</v>
      </c>
      <c r="I9" s="275">
        <v>3.4239999999999999</v>
      </c>
      <c r="J9" s="275">
        <v>4.7789999999999999</v>
      </c>
      <c r="K9" s="248">
        <v>2887</v>
      </c>
      <c r="L9" s="242">
        <v>2345</v>
      </c>
      <c r="M9" s="243">
        <v>10</v>
      </c>
      <c r="N9" s="243">
        <v>173</v>
      </c>
      <c r="O9" s="242">
        <v>80</v>
      </c>
      <c r="P9" s="242">
        <v>208</v>
      </c>
      <c r="Q9" s="242">
        <v>447</v>
      </c>
      <c r="R9" s="280">
        <v>2053</v>
      </c>
      <c r="S9" s="283">
        <v>1357</v>
      </c>
    </row>
    <row r="10" spans="1:29" ht="18.899999999999999" customHeight="1">
      <c r="A10" s="271">
        <v>1.3919999999999999</v>
      </c>
      <c r="B10" s="272">
        <v>3.9260000000000002</v>
      </c>
      <c r="C10" s="271">
        <f t="shared" si="0"/>
        <v>0</v>
      </c>
      <c r="D10" s="272">
        <f t="shared" si="1"/>
        <v>0</v>
      </c>
      <c r="E10" s="273"/>
      <c r="F10" s="274"/>
      <c r="G10" s="274">
        <v>0</v>
      </c>
      <c r="H10" s="274">
        <v>0</v>
      </c>
      <c r="I10" s="275">
        <v>1.3919999999999999</v>
      </c>
      <c r="J10" s="275">
        <v>3.9260000000000002</v>
      </c>
      <c r="K10" s="248">
        <v>558</v>
      </c>
      <c r="L10" s="242">
        <v>1772</v>
      </c>
      <c r="M10" s="243">
        <v>30</v>
      </c>
      <c r="N10" s="243">
        <v>261</v>
      </c>
      <c r="O10" s="242">
        <v>31</v>
      </c>
      <c r="P10" s="242">
        <v>209</v>
      </c>
      <c r="Q10" s="242">
        <v>773</v>
      </c>
      <c r="R10" s="280">
        <v>1684</v>
      </c>
      <c r="S10" s="283">
        <v>1358</v>
      </c>
    </row>
    <row r="11" spans="1:29" ht="18.899999999999999" customHeight="1">
      <c r="A11" s="271">
        <v>0.56399999999999995</v>
      </c>
      <c r="B11" s="272">
        <v>3.722</v>
      </c>
      <c r="C11" s="271">
        <f t="shared" si="0"/>
        <v>0</v>
      </c>
      <c r="D11" s="272">
        <f t="shared" si="1"/>
        <v>0</v>
      </c>
      <c r="E11" s="273"/>
      <c r="F11" s="274"/>
      <c r="G11" s="274">
        <v>0</v>
      </c>
      <c r="H11" s="274">
        <v>0</v>
      </c>
      <c r="I11" s="275">
        <v>0.56399999999999995</v>
      </c>
      <c r="J11" s="275">
        <v>3.722</v>
      </c>
      <c r="K11" s="248">
        <v>206</v>
      </c>
      <c r="L11" s="242">
        <v>1533</v>
      </c>
      <c r="M11" s="243">
        <v>21</v>
      </c>
      <c r="N11" s="243">
        <v>268</v>
      </c>
      <c r="O11" s="242">
        <v>19</v>
      </c>
      <c r="P11" s="242">
        <v>213</v>
      </c>
      <c r="Q11" s="242">
        <v>318</v>
      </c>
      <c r="R11" s="280">
        <v>1708</v>
      </c>
      <c r="S11" s="283">
        <v>1359</v>
      </c>
    </row>
    <row r="12" spans="1:29" ht="18.899999999999999" customHeight="1">
      <c r="A12" s="271">
        <v>1.1140000000000001</v>
      </c>
      <c r="B12" s="272">
        <v>4.6020000000000003</v>
      </c>
      <c r="C12" s="271">
        <f t="shared" si="0"/>
        <v>0</v>
      </c>
      <c r="D12" s="272">
        <f t="shared" si="1"/>
        <v>0</v>
      </c>
      <c r="E12" s="273"/>
      <c r="F12" s="274"/>
      <c r="G12" s="274">
        <v>0</v>
      </c>
      <c r="H12" s="274">
        <v>0</v>
      </c>
      <c r="I12" s="275">
        <v>1.1140000000000001</v>
      </c>
      <c r="J12" s="275">
        <v>4.6020000000000003</v>
      </c>
      <c r="K12" s="248">
        <v>189</v>
      </c>
      <c r="L12" s="242">
        <v>625</v>
      </c>
      <c r="M12" s="243">
        <v>8</v>
      </c>
      <c r="N12" s="243">
        <v>504</v>
      </c>
      <c r="O12" s="242">
        <v>11</v>
      </c>
      <c r="P12" s="242">
        <v>769</v>
      </c>
      <c r="Q12" s="242">
        <v>906</v>
      </c>
      <c r="R12" s="280">
        <v>2704</v>
      </c>
      <c r="S12" s="283">
        <v>1360</v>
      </c>
    </row>
    <row r="13" spans="1:29" ht="18.899999999999999" customHeight="1">
      <c r="A13" s="271">
        <v>0.77</v>
      </c>
      <c r="B13" s="272">
        <v>4.5949999999999998</v>
      </c>
      <c r="C13" s="271">
        <f t="shared" si="0"/>
        <v>0</v>
      </c>
      <c r="D13" s="272">
        <f t="shared" si="1"/>
        <v>0</v>
      </c>
      <c r="E13" s="273"/>
      <c r="F13" s="274"/>
      <c r="G13" s="274">
        <v>0</v>
      </c>
      <c r="H13" s="274">
        <v>0</v>
      </c>
      <c r="I13" s="275">
        <v>0.77</v>
      </c>
      <c r="J13" s="275">
        <v>4.5949999999999998</v>
      </c>
      <c r="K13" s="248">
        <v>126</v>
      </c>
      <c r="L13" s="242">
        <v>11</v>
      </c>
      <c r="M13" s="243">
        <v>59</v>
      </c>
      <c r="N13" s="243">
        <v>701</v>
      </c>
      <c r="O13" s="242">
        <v>235</v>
      </c>
      <c r="P13" s="242">
        <v>1289</v>
      </c>
      <c r="Q13" s="242">
        <v>350</v>
      </c>
      <c r="R13" s="280">
        <v>2594</v>
      </c>
      <c r="S13" s="283">
        <v>1361</v>
      </c>
    </row>
    <row r="14" spans="1:29" ht="18.899999999999999" customHeight="1">
      <c r="A14" s="271">
        <v>1.2310000000000001</v>
      </c>
      <c r="B14" s="272">
        <v>6</v>
      </c>
      <c r="C14" s="271">
        <f t="shared" si="0"/>
        <v>0</v>
      </c>
      <c r="D14" s="272">
        <f t="shared" si="1"/>
        <v>0</v>
      </c>
      <c r="E14" s="273"/>
      <c r="F14" s="274"/>
      <c r="G14" s="274">
        <v>0</v>
      </c>
      <c r="H14" s="274">
        <v>0</v>
      </c>
      <c r="I14" s="275">
        <v>1.2310000000000001</v>
      </c>
      <c r="J14" s="275">
        <v>6</v>
      </c>
      <c r="K14" s="248">
        <v>70</v>
      </c>
      <c r="L14" s="242">
        <v>-29</v>
      </c>
      <c r="M14" s="243">
        <v>69</v>
      </c>
      <c r="N14" s="243">
        <v>898</v>
      </c>
      <c r="O14" s="242">
        <v>320</v>
      </c>
      <c r="P14" s="242">
        <v>1600</v>
      </c>
      <c r="Q14" s="242">
        <v>772</v>
      </c>
      <c r="R14" s="280">
        <v>3531</v>
      </c>
      <c r="S14" s="283">
        <v>1362</v>
      </c>
    </row>
    <row r="15" spans="1:29" ht="18.899999999999999" customHeight="1">
      <c r="A15" s="271">
        <v>1.7949999999999999</v>
      </c>
      <c r="B15" s="272">
        <v>6.1909999999999998</v>
      </c>
      <c r="C15" s="271">
        <f t="shared" si="0"/>
        <v>0</v>
      </c>
      <c r="D15" s="272">
        <f t="shared" si="1"/>
        <v>0</v>
      </c>
      <c r="E15" s="273"/>
      <c r="F15" s="274"/>
      <c r="G15" s="274">
        <v>0</v>
      </c>
      <c r="H15" s="274">
        <v>0</v>
      </c>
      <c r="I15" s="275">
        <v>1.7949999999999999</v>
      </c>
      <c r="J15" s="275">
        <v>6.1909999999999998</v>
      </c>
      <c r="K15" s="248">
        <v>68</v>
      </c>
      <c r="L15" s="242">
        <v>-21</v>
      </c>
      <c r="M15" s="243">
        <v>97</v>
      </c>
      <c r="N15" s="243">
        <v>931</v>
      </c>
      <c r="O15" s="242">
        <v>582</v>
      </c>
      <c r="P15" s="242">
        <v>1792</v>
      </c>
      <c r="Q15" s="242">
        <v>1048</v>
      </c>
      <c r="R15" s="280">
        <v>3489</v>
      </c>
      <c r="S15" s="283">
        <v>1363</v>
      </c>
    </row>
    <row r="16" spans="1:29" ht="18.899999999999999" customHeight="1">
      <c r="A16" s="271">
        <v>2.125</v>
      </c>
      <c r="B16" s="272">
        <v>7.5129999999999999</v>
      </c>
      <c r="C16" s="271">
        <f t="shared" si="0"/>
        <v>0</v>
      </c>
      <c r="D16" s="272">
        <f t="shared" si="1"/>
        <v>0</v>
      </c>
      <c r="E16" s="273"/>
      <c r="F16" s="274"/>
      <c r="G16" s="274">
        <v>0</v>
      </c>
      <c r="H16" s="274">
        <v>0</v>
      </c>
      <c r="I16" s="275">
        <v>2.125</v>
      </c>
      <c r="J16" s="275">
        <v>7.5129999999999999</v>
      </c>
      <c r="K16" s="248">
        <v>0</v>
      </c>
      <c r="L16" s="242">
        <v>-3</v>
      </c>
      <c r="M16" s="243">
        <v>408</v>
      </c>
      <c r="N16" s="243">
        <v>1118</v>
      </c>
      <c r="O16" s="242">
        <v>526</v>
      </c>
      <c r="P16" s="242">
        <v>1975</v>
      </c>
      <c r="Q16" s="242">
        <v>1191</v>
      </c>
      <c r="R16" s="280">
        <v>4423</v>
      </c>
      <c r="S16" s="283">
        <v>1364</v>
      </c>
    </row>
    <row r="17" spans="1:19" ht="18.899999999999999" customHeight="1">
      <c r="A17" s="271">
        <v>2.1104099999999999</v>
      </c>
      <c r="B17" s="272">
        <v>7.8140000000000001</v>
      </c>
      <c r="C17" s="271">
        <f t="shared" si="0"/>
        <v>0</v>
      </c>
      <c r="D17" s="272">
        <f t="shared" si="1"/>
        <v>0</v>
      </c>
      <c r="E17" s="273">
        <v>0</v>
      </c>
      <c r="F17" s="274">
        <v>0</v>
      </c>
      <c r="G17" s="274">
        <v>0</v>
      </c>
      <c r="H17" s="274">
        <v>0</v>
      </c>
      <c r="I17" s="275">
        <v>2.1104099999999999</v>
      </c>
      <c r="J17" s="275">
        <v>7.8140000000000001</v>
      </c>
      <c r="K17" s="248">
        <v>8</v>
      </c>
      <c r="L17" s="242">
        <v>0</v>
      </c>
      <c r="M17" s="243">
        <f>84.41</f>
        <v>84.41</v>
      </c>
      <c r="N17" s="243">
        <v>1175</v>
      </c>
      <c r="O17" s="242">
        <v>801</v>
      </c>
      <c r="P17" s="242">
        <v>2375</v>
      </c>
      <c r="Q17" s="242">
        <v>1217</v>
      </c>
      <c r="R17" s="280">
        <v>4264</v>
      </c>
      <c r="S17" s="283">
        <v>1365</v>
      </c>
    </row>
    <row r="18" spans="1:19" ht="18.899999999999999" customHeight="1">
      <c r="A18" s="271">
        <v>2.1749999999999998</v>
      </c>
      <c r="B18" s="272">
        <v>9.7739999999999991</v>
      </c>
      <c r="C18" s="271">
        <f t="shared" si="0"/>
        <v>0</v>
      </c>
      <c r="D18" s="272">
        <f t="shared" si="1"/>
        <v>0</v>
      </c>
      <c r="E18" s="273">
        <v>0</v>
      </c>
      <c r="F18" s="274">
        <v>0</v>
      </c>
      <c r="G18" s="274">
        <v>0</v>
      </c>
      <c r="H18" s="274">
        <v>0</v>
      </c>
      <c r="I18" s="275">
        <v>2.1749999999999998</v>
      </c>
      <c r="J18" s="275">
        <v>9.7739999999999991</v>
      </c>
      <c r="K18" s="248">
        <v>4</v>
      </c>
      <c r="L18" s="242">
        <v>-2</v>
      </c>
      <c r="M18" s="243">
        <v>121</v>
      </c>
      <c r="N18" s="243">
        <v>1609</v>
      </c>
      <c r="O18" s="242">
        <v>1058</v>
      </c>
      <c r="P18" s="242">
        <v>2891</v>
      </c>
      <c r="Q18" s="242">
        <v>992</v>
      </c>
      <c r="R18" s="280">
        <v>5276</v>
      </c>
      <c r="S18" s="283">
        <v>1366</v>
      </c>
    </row>
    <row r="19" spans="1:19" ht="18.899999999999999" customHeight="1">
      <c r="A19" s="271">
        <v>2.3849999999999998</v>
      </c>
      <c r="B19" s="272">
        <v>12.061</v>
      </c>
      <c r="C19" s="271">
        <f t="shared" si="0"/>
        <v>0</v>
      </c>
      <c r="D19" s="272">
        <f t="shared" si="1"/>
        <v>0</v>
      </c>
      <c r="E19" s="273">
        <v>0</v>
      </c>
      <c r="F19" s="274">
        <v>0</v>
      </c>
      <c r="G19" s="274">
        <v>0</v>
      </c>
      <c r="H19" s="274">
        <v>0</v>
      </c>
      <c r="I19" s="275">
        <v>2.3849999999999998</v>
      </c>
      <c r="J19" s="275">
        <v>12.061</v>
      </c>
      <c r="K19" s="248">
        <v>8</v>
      </c>
      <c r="L19" s="242">
        <v>0</v>
      </c>
      <c r="M19" s="243">
        <v>191</v>
      </c>
      <c r="N19" s="243">
        <v>1722</v>
      </c>
      <c r="O19" s="242">
        <v>954</v>
      </c>
      <c r="P19" s="242">
        <v>3544</v>
      </c>
      <c r="Q19" s="242">
        <v>1232</v>
      </c>
      <c r="R19" s="280">
        <v>6795</v>
      </c>
      <c r="S19" s="283">
        <v>1367</v>
      </c>
    </row>
    <row r="20" spans="1:19" ht="18.899999999999999" customHeight="1">
      <c r="A20" s="271">
        <v>3.8660000000000001</v>
      </c>
      <c r="B20" s="272">
        <v>13.497</v>
      </c>
      <c r="C20" s="271">
        <f t="shared" si="0"/>
        <v>0</v>
      </c>
      <c r="D20" s="272">
        <f t="shared" si="1"/>
        <v>0</v>
      </c>
      <c r="E20" s="273">
        <v>0</v>
      </c>
      <c r="F20" s="274">
        <v>0</v>
      </c>
      <c r="G20" s="274">
        <v>0</v>
      </c>
      <c r="H20" s="274">
        <v>0</v>
      </c>
      <c r="I20" s="275">
        <v>3.8660000000000001</v>
      </c>
      <c r="J20" s="275">
        <v>13.497</v>
      </c>
      <c r="K20" s="248">
        <v>31</v>
      </c>
      <c r="L20" s="242">
        <v>0</v>
      </c>
      <c r="M20" s="243">
        <v>298</v>
      </c>
      <c r="N20" s="243">
        <v>2058</v>
      </c>
      <c r="O20" s="242">
        <v>1991</v>
      </c>
      <c r="P20" s="242">
        <v>4051</v>
      </c>
      <c r="Q20" s="242">
        <v>1546</v>
      </c>
      <c r="R20" s="280">
        <v>7388</v>
      </c>
      <c r="S20" s="283">
        <v>1368</v>
      </c>
    </row>
    <row r="21" spans="1:19" ht="18.899999999999999" customHeight="1">
      <c r="A21" s="271">
        <v>9.3049999999999997</v>
      </c>
      <c r="B21" s="272">
        <v>19.067</v>
      </c>
      <c r="C21" s="271">
        <f t="shared" si="0"/>
        <v>0</v>
      </c>
      <c r="D21" s="272">
        <f t="shared" si="1"/>
        <v>0</v>
      </c>
      <c r="E21" s="273">
        <v>0</v>
      </c>
      <c r="F21" s="274">
        <v>0</v>
      </c>
      <c r="G21" s="274">
        <v>0</v>
      </c>
      <c r="H21" s="274">
        <v>0</v>
      </c>
      <c r="I21" s="275">
        <v>9.3049999999999997</v>
      </c>
      <c r="J21" s="275">
        <v>19.067</v>
      </c>
      <c r="K21" s="248">
        <v>0</v>
      </c>
      <c r="L21" s="242">
        <v>0</v>
      </c>
      <c r="M21" s="243">
        <v>1584</v>
      </c>
      <c r="N21" s="243">
        <v>3014</v>
      </c>
      <c r="O21" s="242">
        <v>3805</v>
      </c>
      <c r="P21" s="242">
        <v>5685</v>
      </c>
      <c r="Q21" s="242">
        <v>3916</v>
      </c>
      <c r="R21" s="280">
        <v>10368</v>
      </c>
      <c r="S21" s="283">
        <v>1369</v>
      </c>
    </row>
    <row r="22" spans="1:19" ht="18.899999999999999" customHeight="1">
      <c r="A22" s="271">
        <v>7.8879999999999999</v>
      </c>
      <c r="B22" s="272">
        <v>26.422999999999998</v>
      </c>
      <c r="C22" s="271">
        <f t="shared" si="0"/>
        <v>0</v>
      </c>
      <c r="D22" s="272">
        <f t="shared" si="1"/>
        <v>0</v>
      </c>
      <c r="E22" s="273">
        <v>0</v>
      </c>
      <c r="F22" s="274">
        <v>0</v>
      </c>
      <c r="G22" s="274">
        <v>0</v>
      </c>
      <c r="H22" s="274">
        <v>0</v>
      </c>
      <c r="I22" s="275">
        <v>7.8879999999999999</v>
      </c>
      <c r="J22" s="275">
        <v>26.422999999999998</v>
      </c>
      <c r="K22" s="248">
        <v>0</v>
      </c>
      <c r="L22" s="242">
        <v>0</v>
      </c>
      <c r="M22" s="243">
        <v>2065</v>
      </c>
      <c r="N22" s="243">
        <v>4394</v>
      </c>
      <c r="O22" s="242">
        <v>2799</v>
      </c>
      <c r="P22" s="242">
        <v>8297</v>
      </c>
      <c r="Q22" s="242">
        <v>3024</v>
      </c>
      <c r="R22" s="280">
        <v>13732</v>
      </c>
      <c r="S22" s="283">
        <v>1370</v>
      </c>
    </row>
    <row r="23" spans="1:19" ht="18.899999999999999" customHeight="1">
      <c r="A23" s="271">
        <v>10.028</v>
      </c>
      <c r="B23" s="272">
        <v>42.609000000000002</v>
      </c>
      <c r="C23" s="271">
        <f t="shared" si="0"/>
        <v>0</v>
      </c>
      <c r="D23" s="272">
        <f t="shared" si="1"/>
        <v>0</v>
      </c>
      <c r="E23" s="273">
        <v>0</v>
      </c>
      <c r="F23" s="274">
        <v>0</v>
      </c>
      <c r="G23" s="274">
        <v>0</v>
      </c>
      <c r="H23" s="274">
        <v>0</v>
      </c>
      <c r="I23" s="275">
        <v>10.028</v>
      </c>
      <c r="J23" s="275">
        <v>42.609000000000002</v>
      </c>
      <c r="K23" s="248">
        <v>0</v>
      </c>
      <c r="L23" s="242">
        <v>0</v>
      </c>
      <c r="M23" s="243">
        <v>594</v>
      </c>
      <c r="N23" s="243">
        <v>7682</v>
      </c>
      <c r="O23" s="242">
        <v>5300</v>
      </c>
      <c r="P23" s="242">
        <v>13352</v>
      </c>
      <c r="Q23" s="242">
        <v>4134</v>
      </c>
      <c r="R23" s="280">
        <v>21575</v>
      </c>
      <c r="S23" s="283">
        <v>1371</v>
      </c>
    </row>
    <row r="24" spans="1:19" ht="18.899999999999999" customHeight="1">
      <c r="A24" s="271">
        <v>11.271000000000001</v>
      </c>
      <c r="B24" s="272">
        <v>63.191000000000003</v>
      </c>
      <c r="C24" s="271">
        <f t="shared" si="0"/>
        <v>0</v>
      </c>
      <c r="D24" s="272">
        <f t="shared" si="1"/>
        <v>0</v>
      </c>
      <c r="E24" s="273">
        <v>0</v>
      </c>
      <c r="F24" s="274">
        <v>0</v>
      </c>
      <c r="G24" s="274">
        <v>0</v>
      </c>
      <c r="H24" s="274">
        <v>0</v>
      </c>
      <c r="I24" s="275">
        <v>11.271000000000001</v>
      </c>
      <c r="J24" s="275">
        <v>63.191000000000003</v>
      </c>
      <c r="K24" s="248">
        <v>7</v>
      </c>
      <c r="L24" s="242">
        <v>0</v>
      </c>
      <c r="M24" s="243">
        <v>587</v>
      </c>
      <c r="N24" s="243">
        <v>10022</v>
      </c>
      <c r="O24" s="242">
        <v>5248</v>
      </c>
      <c r="P24" s="242">
        <v>19292</v>
      </c>
      <c r="Q24" s="242">
        <v>5429</v>
      </c>
      <c r="R24" s="280">
        <v>33877</v>
      </c>
      <c r="S24" s="283">
        <v>1372</v>
      </c>
    </row>
    <row r="25" spans="1:19" ht="18.899999999999999" customHeight="1">
      <c r="A25" s="271">
        <v>28.850999999999999</v>
      </c>
      <c r="B25" s="272">
        <v>98.293999999999997</v>
      </c>
      <c r="C25" s="271">
        <f t="shared" si="0"/>
        <v>0</v>
      </c>
      <c r="D25" s="272">
        <f t="shared" si="1"/>
        <v>0</v>
      </c>
      <c r="E25" s="273">
        <v>0</v>
      </c>
      <c r="F25" s="274">
        <v>0</v>
      </c>
      <c r="G25" s="274">
        <v>0</v>
      </c>
      <c r="H25" s="274">
        <v>0</v>
      </c>
      <c r="I25" s="275">
        <v>28.850999999999999</v>
      </c>
      <c r="J25" s="275">
        <v>98.293999999999997</v>
      </c>
      <c r="K25" s="248">
        <v>0</v>
      </c>
      <c r="L25" s="242">
        <v>0</v>
      </c>
      <c r="M25" s="243">
        <v>2493</v>
      </c>
      <c r="N25" s="243">
        <v>14979</v>
      </c>
      <c r="O25" s="242">
        <v>14494</v>
      </c>
      <c r="P25" s="242">
        <v>28861</v>
      </c>
      <c r="Q25" s="242">
        <v>11864</v>
      </c>
      <c r="R25" s="280">
        <v>54454</v>
      </c>
      <c r="S25" s="283">
        <v>1373</v>
      </c>
    </row>
    <row r="26" spans="1:19" ht="18.899999999999999" customHeight="1">
      <c r="A26" s="271">
        <v>29.946000000000002</v>
      </c>
      <c r="B26" s="272">
        <v>137.876</v>
      </c>
      <c r="C26" s="271">
        <f t="shared" si="0"/>
        <v>0</v>
      </c>
      <c r="D26" s="272">
        <f t="shared" si="1"/>
        <v>0</v>
      </c>
      <c r="E26" s="273">
        <v>0</v>
      </c>
      <c r="F26" s="274">
        <v>0</v>
      </c>
      <c r="G26" s="274">
        <v>0</v>
      </c>
      <c r="H26" s="274">
        <v>0</v>
      </c>
      <c r="I26" s="275">
        <v>29.946000000000002</v>
      </c>
      <c r="J26" s="275">
        <v>137.876</v>
      </c>
      <c r="K26" s="248">
        <v>0</v>
      </c>
      <c r="L26" s="242">
        <v>0</v>
      </c>
      <c r="M26" s="243">
        <v>1096</v>
      </c>
      <c r="N26" s="243">
        <v>23092</v>
      </c>
      <c r="O26" s="242">
        <v>12516</v>
      </c>
      <c r="P26" s="242">
        <v>43528</v>
      </c>
      <c r="Q26" s="242">
        <v>16334</v>
      </c>
      <c r="R26" s="280">
        <v>71256</v>
      </c>
      <c r="S26" s="283">
        <v>1374</v>
      </c>
    </row>
    <row r="27" spans="1:19" ht="18.899999999999999" customHeight="1">
      <c r="A27" s="271">
        <v>46.869</v>
      </c>
      <c r="B27" s="272">
        <v>199.01400000000001</v>
      </c>
      <c r="C27" s="271">
        <f t="shared" si="0"/>
        <v>0</v>
      </c>
      <c r="D27" s="272">
        <f t="shared" si="1"/>
        <v>2.0000000000095497E-3</v>
      </c>
      <c r="E27" s="276">
        <v>0</v>
      </c>
      <c r="F27" s="275">
        <v>0</v>
      </c>
      <c r="G27" s="275">
        <v>0</v>
      </c>
      <c r="H27" s="275">
        <v>2</v>
      </c>
      <c r="I27" s="275">
        <v>46.869</v>
      </c>
      <c r="J27" s="275">
        <v>199.012</v>
      </c>
      <c r="K27" s="248">
        <v>0</v>
      </c>
      <c r="L27" s="242">
        <v>2248</v>
      </c>
      <c r="M27" s="243">
        <v>2762</v>
      </c>
      <c r="N27" s="243">
        <v>35042</v>
      </c>
      <c r="O27" s="242">
        <v>19721</v>
      </c>
      <c r="P27" s="242">
        <v>55120</v>
      </c>
      <c r="Q27" s="242">
        <v>24386</v>
      </c>
      <c r="R27" s="280">
        <v>106602</v>
      </c>
      <c r="S27" s="283">
        <v>1375</v>
      </c>
    </row>
    <row r="28" spans="1:19" ht="18.899999999999999" customHeight="1">
      <c r="A28" s="271">
        <v>80.28</v>
      </c>
      <c r="B28" s="272">
        <v>264.17200000000003</v>
      </c>
      <c r="C28" s="271">
        <f t="shared" si="0"/>
        <v>0</v>
      </c>
      <c r="D28" s="272">
        <f t="shared" si="1"/>
        <v>0</v>
      </c>
      <c r="E28" s="276">
        <v>0</v>
      </c>
      <c r="F28" s="275">
        <v>0</v>
      </c>
      <c r="G28" s="275">
        <v>0</v>
      </c>
      <c r="H28" s="275">
        <v>0</v>
      </c>
      <c r="I28" s="275">
        <v>80.28</v>
      </c>
      <c r="J28" s="275">
        <v>264.17200000000003</v>
      </c>
      <c r="K28" s="248">
        <v>88</v>
      </c>
      <c r="L28" s="242">
        <v>5365</v>
      </c>
      <c r="M28" s="243">
        <v>35237</v>
      </c>
      <c r="N28" s="243">
        <v>45531</v>
      </c>
      <c r="O28" s="242">
        <v>20750</v>
      </c>
      <c r="P28" s="242">
        <v>71611</v>
      </c>
      <c r="Q28" s="242">
        <v>24205</v>
      </c>
      <c r="R28" s="280">
        <v>141665</v>
      </c>
      <c r="S28" s="283">
        <v>1376</v>
      </c>
    </row>
    <row r="29" spans="1:19" ht="18.899999999999999" customHeight="1">
      <c r="A29" s="271">
        <v>67.272000000000006</v>
      </c>
      <c r="B29" s="272">
        <v>317.57900000000001</v>
      </c>
      <c r="C29" s="271">
        <f t="shared" si="0"/>
        <v>0</v>
      </c>
      <c r="D29" s="272">
        <f t="shared" si="1"/>
        <v>0</v>
      </c>
      <c r="E29" s="276">
        <v>0</v>
      </c>
      <c r="F29" s="275">
        <v>0</v>
      </c>
      <c r="G29" s="275">
        <v>0</v>
      </c>
      <c r="H29" s="275">
        <v>0</v>
      </c>
      <c r="I29" s="275">
        <v>67.272000000000006</v>
      </c>
      <c r="J29" s="275">
        <v>317.57900000000001</v>
      </c>
      <c r="K29" s="248">
        <v>1228</v>
      </c>
      <c r="L29" s="242">
        <v>7036</v>
      </c>
      <c r="M29" s="243">
        <v>3146</v>
      </c>
      <c r="N29" s="243">
        <v>57875</v>
      </c>
      <c r="O29" s="242">
        <v>29357</v>
      </c>
      <c r="P29" s="242">
        <v>82899</v>
      </c>
      <c r="Q29" s="242">
        <v>33541</v>
      </c>
      <c r="R29" s="280">
        <v>169769</v>
      </c>
      <c r="S29" s="283">
        <v>1377</v>
      </c>
    </row>
    <row r="30" spans="1:19" ht="18.899999999999999" customHeight="1">
      <c r="A30" s="271">
        <v>73.725859999999997</v>
      </c>
      <c r="B30" s="272">
        <v>396.661</v>
      </c>
      <c r="C30" s="271">
        <f t="shared" si="0"/>
        <v>3.6000000000058208E-4</v>
      </c>
      <c r="D30" s="272">
        <f t="shared" si="1"/>
        <v>0.12940000000003238</v>
      </c>
      <c r="E30" s="276">
        <v>0</v>
      </c>
      <c r="F30" s="275">
        <v>0</v>
      </c>
      <c r="G30" s="275">
        <v>0.36</v>
      </c>
      <c r="H30" s="275">
        <v>129.4</v>
      </c>
      <c r="I30" s="275">
        <v>73.725499999999997</v>
      </c>
      <c r="J30" s="275">
        <v>396.53159999999997</v>
      </c>
      <c r="K30" s="248">
        <v>483.9</v>
      </c>
      <c r="L30" s="242">
        <v>15001.7</v>
      </c>
      <c r="M30" s="243">
        <v>4137.6000000000004</v>
      </c>
      <c r="N30" s="243">
        <v>67477.7</v>
      </c>
      <c r="O30" s="242">
        <v>17726.599999999999</v>
      </c>
      <c r="P30" s="242">
        <v>103838.39999999999</v>
      </c>
      <c r="Q30" s="242">
        <v>51377.4</v>
      </c>
      <c r="R30" s="280">
        <v>210213.8</v>
      </c>
      <c r="S30" s="283">
        <v>1378</v>
      </c>
    </row>
    <row r="31" spans="1:19" ht="18.899999999999999" customHeight="1">
      <c r="A31" s="271">
        <v>75.911199999999994</v>
      </c>
      <c r="B31" s="272">
        <v>449.55450000000002</v>
      </c>
      <c r="C31" s="271">
        <f t="shared" si="0"/>
        <v>1.1099999999984789E-2</v>
      </c>
      <c r="D31" s="272">
        <f t="shared" si="1"/>
        <v>0.51790000000005421</v>
      </c>
      <c r="E31" s="276">
        <v>0</v>
      </c>
      <c r="F31" s="275">
        <v>0</v>
      </c>
      <c r="G31" s="275">
        <v>11.1</v>
      </c>
      <c r="H31" s="275">
        <v>517.9</v>
      </c>
      <c r="I31" s="275">
        <v>75.900100000000009</v>
      </c>
      <c r="J31" s="275">
        <v>449.03659999999996</v>
      </c>
      <c r="K31" s="248">
        <v>1284.7</v>
      </c>
      <c r="L31" s="242">
        <v>22724.799999999999</v>
      </c>
      <c r="M31" s="243">
        <v>4648.3999999999996</v>
      </c>
      <c r="N31" s="243">
        <v>47242.9</v>
      </c>
      <c r="O31" s="242">
        <v>24681.4</v>
      </c>
      <c r="P31" s="242">
        <v>110146</v>
      </c>
      <c r="Q31" s="242">
        <v>45285.599999999999</v>
      </c>
      <c r="R31" s="280">
        <v>268922.90000000002</v>
      </c>
      <c r="S31" s="283">
        <v>1379</v>
      </c>
    </row>
    <row r="32" spans="1:19" ht="18.899999999999999" customHeight="1">
      <c r="A32" s="271">
        <v>108.7317</v>
      </c>
      <c r="B32" s="272">
        <v>562.81459999999993</v>
      </c>
      <c r="C32" s="271">
        <f t="shared" si="0"/>
        <v>2.5099999999994793E-2</v>
      </c>
      <c r="D32" s="272">
        <f t="shared" si="1"/>
        <v>1.6703999999999724</v>
      </c>
      <c r="E32" s="276">
        <v>0</v>
      </c>
      <c r="F32" s="275">
        <v>0</v>
      </c>
      <c r="G32" s="275">
        <v>25.1</v>
      </c>
      <c r="H32" s="275">
        <v>1670.4</v>
      </c>
      <c r="I32" s="275">
        <v>108.70660000000001</v>
      </c>
      <c r="J32" s="275">
        <v>561.14419999999996</v>
      </c>
      <c r="K32" s="248">
        <v>6469.5</v>
      </c>
      <c r="L32" s="242">
        <v>30962.799999999999</v>
      </c>
      <c r="M32" s="243">
        <v>7166.1</v>
      </c>
      <c r="N32" s="243">
        <v>59418</v>
      </c>
      <c r="O32" s="242">
        <v>32386.400000000001</v>
      </c>
      <c r="P32" s="242">
        <v>150361.5</v>
      </c>
      <c r="Q32" s="242">
        <v>62684.6</v>
      </c>
      <c r="R32" s="280">
        <v>320401.90000000002</v>
      </c>
      <c r="S32" s="283">
        <v>1380</v>
      </c>
    </row>
    <row r="33" spans="1:19" ht="18.899999999999999" customHeight="1">
      <c r="A33" s="271">
        <v>186.36130847199999</v>
      </c>
      <c r="B33" s="272">
        <v>735.37783227799991</v>
      </c>
      <c r="C33" s="271">
        <f t="shared" si="0"/>
        <v>0.4492251799999849</v>
      </c>
      <c r="D33" s="272">
        <f t="shared" si="1"/>
        <v>1.5153787859999284</v>
      </c>
      <c r="E33" s="276">
        <v>0</v>
      </c>
      <c r="F33" s="275">
        <v>157.36455000000001</v>
      </c>
      <c r="G33" s="275">
        <v>449.22518000000002</v>
      </c>
      <c r="H33" s="275">
        <v>1358.014236</v>
      </c>
      <c r="I33" s="275">
        <v>185.91208329200001</v>
      </c>
      <c r="J33" s="275">
        <v>733.86245349199999</v>
      </c>
      <c r="K33" s="248">
        <f>'[1]بيمه دانا'!$I$8/1000000</f>
        <v>4569.3872359999996</v>
      </c>
      <c r="L33" s="242">
        <f>'[1]بيمه دانا'!$Q$8/1000000</f>
        <v>45355.583279999999</v>
      </c>
      <c r="M33" s="243">
        <f>'[1]بيمه البرز'!$I$8/1000000</f>
        <v>9076.8224879999998</v>
      </c>
      <c r="N33" s="243">
        <f>'[1]بيمه البرز'!$Q$8/1000000</f>
        <v>65633.574875999999</v>
      </c>
      <c r="O33" s="242">
        <f>'[1]بيمه آسيا'!$I$8/1000000</f>
        <v>94032.887168000001</v>
      </c>
      <c r="P33" s="242">
        <f>'[1]بيمه آسيا'!$Q$8/1000000</f>
        <v>214803.48974399999</v>
      </c>
      <c r="Q33" s="242">
        <f>'[1]بيمه ايران'!$I$8/1000000</f>
        <v>78232.986399999994</v>
      </c>
      <c r="R33" s="280">
        <f>'[1]بيمه ايران'!$Q$8/1000000</f>
        <v>408069.80559200002</v>
      </c>
      <c r="S33" s="283">
        <v>1381</v>
      </c>
    </row>
    <row r="34" spans="1:19" ht="18.899999999999999" customHeight="1">
      <c r="A34" s="271">
        <v>214.71934880800001</v>
      </c>
      <c r="B34" s="272">
        <v>896.71706474500002</v>
      </c>
      <c r="C34" s="271">
        <f t="shared" si="0"/>
        <v>0.18641827600001193</v>
      </c>
      <c r="D34" s="272">
        <f t="shared" si="1"/>
        <v>68.010108640999988</v>
      </c>
      <c r="E34" s="276">
        <v>102.306848</v>
      </c>
      <c r="F34" s="275">
        <v>66475.824940999999</v>
      </c>
      <c r="G34" s="275">
        <v>84.111428000000004</v>
      </c>
      <c r="H34" s="275">
        <v>1534.2837</v>
      </c>
      <c r="I34" s="275">
        <v>214.53293053199999</v>
      </c>
      <c r="J34" s="275">
        <v>828.70695610400003</v>
      </c>
      <c r="K34" s="248">
        <f>'[2]بيمه دانا'!$I$8/1000000</f>
        <v>15051.206876</v>
      </c>
      <c r="L34" s="242">
        <f>'[2]بيمه دانا'!$Q$8/1000000</f>
        <v>44242.385944000001</v>
      </c>
      <c r="M34" s="243">
        <f>'[2]بيمه البرز'!$I$8/1000000</f>
        <v>26225.602171999999</v>
      </c>
      <c r="N34" s="243">
        <f>'[2]بيمه البرز'!$Q$8/1000000</f>
        <v>88870.581275999997</v>
      </c>
      <c r="O34" s="242">
        <f>'[2]بيمه آسيا'!$I$8/1000000</f>
        <v>56027.566780000001</v>
      </c>
      <c r="P34" s="242">
        <f>'[2]بيمه آسيا'!$Q$8/1000000</f>
        <v>178707.474024</v>
      </c>
      <c r="Q34" s="242">
        <f>'[2]بيمه ايران'!$I$8/1000000</f>
        <v>117228.55470399999</v>
      </c>
      <c r="R34" s="280">
        <f>'[2]بيمه ايران'!$Q$8/1000000</f>
        <v>516886.51486</v>
      </c>
      <c r="S34" s="283">
        <v>1382</v>
      </c>
    </row>
    <row r="35" spans="1:19" ht="21.75" customHeight="1">
      <c r="A35" s="271">
        <v>327.82453542399998</v>
      </c>
      <c r="B35" s="272">
        <v>1200.321974428</v>
      </c>
      <c r="C35" s="271">
        <f t="shared" si="0"/>
        <v>3.6015233239999702</v>
      </c>
      <c r="D35" s="272">
        <f t="shared" si="1"/>
        <v>160.73556762399994</v>
      </c>
      <c r="E35" s="276">
        <v>3297.0136239999997</v>
      </c>
      <c r="F35" s="275">
        <v>155655.14670799999</v>
      </c>
      <c r="G35" s="275">
        <v>304.50970000000001</v>
      </c>
      <c r="H35" s="275">
        <v>5080.420916</v>
      </c>
      <c r="I35" s="275">
        <v>324.22301210000001</v>
      </c>
      <c r="J35" s="275">
        <v>1039.586406804</v>
      </c>
      <c r="K35" s="261">
        <f>'[3]بيمه دانا'!$I$8/1000000</f>
        <v>8939.5798680000007</v>
      </c>
      <c r="L35" s="244">
        <f>'[3]بيمه دانا'!$Q$8/1000000</f>
        <v>60388.541568000001</v>
      </c>
      <c r="M35" s="245">
        <f>'[3]بيمه البرز'!$I$8/1000000</f>
        <v>48551.418288000001</v>
      </c>
      <c r="N35" s="245">
        <f>'[3]بيمه البرز'!$Q$8/1000000</f>
        <v>134310.706152</v>
      </c>
      <c r="O35" s="244">
        <f>'[3]بيمه آسيا'!$I$8/1000000</f>
        <v>75069.345251999999</v>
      </c>
      <c r="P35" s="244">
        <f>'[3]بيمه آسيا'!$Q$8/1000000</f>
        <v>226120.007384</v>
      </c>
      <c r="Q35" s="244">
        <f>'[3]بيمه ايران'!$I$8/1000000</f>
        <v>191662.66869200001</v>
      </c>
      <c r="R35" s="281">
        <f>'[3]بيمه ايران'!$Q$8/1000000</f>
        <v>618767.15170000005</v>
      </c>
      <c r="S35" s="166">
        <v>1383</v>
      </c>
    </row>
    <row r="36" spans="1:19" ht="21.75" customHeight="1">
      <c r="A36" s="271">
        <v>416.99756970999999</v>
      </c>
      <c r="B36" s="272">
        <v>1651.4384843089999</v>
      </c>
      <c r="C36" s="271">
        <f t="shared" si="0"/>
        <v>43.574754637999945</v>
      </c>
      <c r="D36" s="272">
        <f t="shared" si="1"/>
        <v>317.86075282100001</v>
      </c>
      <c r="E36" s="276">
        <v>43231.509760000001</v>
      </c>
      <c r="F36" s="275">
        <v>309176.94432099996</v>
      </c>
      <c r="G36" s="275">
        <v>198.82952800000001</v>
      </c>
      <c r="H36" s="275">
        <v>5114.0469839999996</v>
      </c>
      <c r="I36" s="275">
        <v>373.42281507200005</v>
      </c>
      <c r="J36" s="275">
        <v>1333.5777314879999</v>
      </c>
      <c r="K36" s="261">
        <f>'[3]بيمه دانا'!$H$8/1000000</f>
        <v>7796.0771839999998</v>
      </c>
      <c r="L36" s="244">
        <f>'[3]بيمه دانا'!$P$8/1000000</f>
        <v>66572.729680000004</v>
      </c>
      <c r="M36" s="245">
        <f>'[3]بيمه البرز'!$H$8/1000000</f>
        <v>44442.073116</v>
      </c>
      <c r="N36" s="245">
        <f>'[3]بيمه البرز'!$P$8/1000000</f>
        <v>195599.28469999999</v>
      </c>
      <c r="O36" s="244">
        <f>'[3]بيمه آسيا'!$H$8/1000000</f>
        <v>89235.968687999994</v>
      </c>
      <c r="P36" s="244">
        <f>'[3]بيمه آسيا'!$P$8/1000000</f>
        <v>234221.568268</v>
      </c>
      <c r="Q36" s="244">
        <f>'[3]بيمه ايران'!$H$8/1000000</f>
        <v>231948.696084</v>
      </c>
      <c r="R36" s="281">
        <f>'[3]بيمه ايران'!$P$8/1000000</f>
        <v>837184.14884000004</v>
      </c>
      <c r="S36" s="166">
        <v>1384</v>
      </c>
    </row>
    <row r="37" spans="1:19" ht="18.899999999999999" customHeight="1">
      <c r="A37" s="271">
        <v>419.63718689200005</v>
      </c>
      <c r="B37" s="272">
        <v>1877.816065088</v>
      </c>
      <c r="C37" s="271">
        <f t="shared" si="0"/>
        <v>69.656387848000065</v>
      </c>
      <c r="D37" s="272">
        <f t="shared" si="1"/>
        <v>318.24432534799985</v>
      </c>
      <c r="E37" s="276"/>
      <c r="F37" s="275"/>
      <c r="G37" s="275"/>
      <c r="H37" s="275"/>
      <c r="I37" s="275">
        <v>349.98079904399998</v>
      </c>
      <c r="J37" s="275">
        <v>1559.5717397400001</v>
      </c>
      <c r="K37" s="97"/>
      <c r="L37" s="246"/>
      <c r="M37" s="247"/>
      <c r="N37" s="247"/>
      <c r="O37" s="246"/>
      <c r="P37" s="246"/>
      <c r="Q37" s="246"/>
      <c r="R37" s="98"/>
      <c r="S37" s="283">
        <v>1385</v>
      </c>
    </row>
    <row r="38" spans="1:19" ht="18.899999999999999" customHeight="1">
      <c r="A38" s="271">
        <v>448.43745095200001</v>
      </c>
      <c r="B38" s="272">
        <v>2645.8282648919999</v>
      </c>
      <c r="C38" s="271">
        <f t="shared" si="0"/>
        <v>103.17573033600002</v>
      </c>
      <c r="D38" s="272">
        <f t="shared" si="1"/>
        <v>573.78589115199975</v>
      </c>
      <c r="E38" s="277"/>
      <c r="F38" s="278"/>
      <c r="G38" s="278"/>
      <c r="H38" s="278"/>
      <c r="I38" s="275">
        <v>345.26172061599999</v>
      </c>
      <c r="J38" s="275">
        <v>2072.0423737400001</v>
      </c>
      <c r="K38" s="97"/>
      <c r="L38" s="246"/>
      <c r="M38" s="247"/>
      <c r="N38" s="247"/>
      <c r="O38" s="246"/>
      <c r="P38" s="246"/>
      <c r="Q38" s="246"/>
      <c r="R38" s="98"/>
      <c r="S38" s="283">
        <v>1386</v>
      </c>
    </row>
    <row r="39" spans="1:19" ht="18.899999999999999" customHeight="1">
      <c r="A39" s="271">
        <v>942.26632219199996</v>
      </c>
      <c r="B39" s="272">
        <v>2592.6143923479999</v>
      </c>
      <c r="C39" s="271">
        <f t="shared" si="0"/>
        <v>59.432502848000013</v>
      </c>
      <c r="D39" s="272">
        <f t="shared" si="1"/>
        <v>684.64327062400002</v>
      </c>
      <c r="E39" s="277"/>
      <c r="F39" s="278"/>
      <c r="G39" s="278"/>
      <c r="H39" s="278"/>
      <c r="I39" s="275">
        <v>882.83381934399995</v>
      </c>
      <c r="J39" s="275">
        <v>1907.9711217239999</v>
      </c>
      <c r="K39" s="97"/>
      <c r="L39" s="246"/>
      <c r="M39" s="247"/>
      <c r="N39" s="247"/>
      <c r="O39" s="246"/>
      <c r="P39" s="246"/>
      <c r="Q39" s="246"/>
      <c r="R39" s="98"/>
      <c r="S39" s="283">
        <v>1387</v>
      </c>
    </row>
    <row r="40" spans="1:19" ht="18.899999999999999" customHeight="1">
      <c r="A40" s="271">
        <v>760.24912170799996</v>
      </c>
      <c r="B40" s="272">
        <v>2915.4265848919999</v>
      </c>
      <c r="C40" s="271">
        <f>A40-I40</f>
        <v>319.95963379199998</v>
      </c>
      <c r="D40" s="272">
        <f>B40-J40</f>
        <v>1404.8301960559997</v>
      </c>
      <c r="E40" s="277"/>
      <c r="F40" s="278"/>
      <c r="G40" s="278"/>
      <c r="H40" s="278"/>
      <c r="I40" s="275">
        <v>440.28948791599998</v>
      </c>
      <c r="J40" s="275">
        <v>1510.5963888360002</v>
      </c>
      <c r="K40" s="97"/>
      <c r="L40" s="246"/>
      <c r="M40" s="247"/>
      <c r="N40" s="247"/>
      <c r="O40" s="246"/>
      <c r="P40" s="246"/>
      <c r="Q40" s="246"/>
      <c r="R40" s="98"/>
      <c r="S40" s="283">
        <v>1388</v>
      </c>
    </row>
    <row r="41" spans="1:19" ht="18.899999999999999" customHeight="1">
      <c r="A41" s="369">
        <f>'[4]نمودار و جداول رشته ها'!K20</f>
        <v>834.46654856400005</v>
      </c>
      <c r="B41" s="370">
        <f>'[4]نمودار و جداول رشته ها'!J20</f>
        <v>3352.1578469679998</v>
      </c>
      <c r="C41" s="369">
        <f>B41-J41</f>
        <v>1626.9326178479998</v>
      </c>
      <c r="D41" s="370">
        <f>A41-I41</f>
        <v>415.87464741200006</v>
      </c>
      <c r="E41" s="371"/>
      <c r="F41" s="372"/>
      <c r="G41" s="372"/>
      <c r="H41" s="372"/>
      <c r="I41" s="373">
        <f>'[5]ايران(دولتي)'!$L$7</f>
        <v>418.59190115199999</v>
      </c>
      <c r="J41" s="370">
        <f>'[5]ايران(دولتي)'!$T$7</f>
        <v>1725.22522912</v>
      </c>
      <c r="K41" s="374"/>
      <c r="L41" s="375"/>
      <c r="M41" s="375"/>
      <c r="N41" s="375"/>
      <c r="O41" s="375"/>
      <c r="P41" s="375"/>
      <c r="Q41" s="375"/>
      <c r="R41" s="376"/>
      <c r="S41" s="377">
        <v>1389</v>
      </c>
    </row>
    <row r="42" spans="1:19" ht="18.899999999999999" customHeight="1">
      <c r="A42" s="378">
        <f>945.6</f>
        <v>945.6</v>
      </c>
      <c r="B42" s="379">
        <f>4083.3</f>
        <v>4083.3</v>
      </c>
      <c r="C42" s="378">
        <f>A42-I42</f>
        <v>482.1</v>
      </c>
      <c r="D42" s="379">
        <f>B42-J42</f>
        <v>2282.7000000000003</v>
      </c>
      <c r="E42" s="380"/>
      <c r="F42" s="381"/>
      <c r="G42" s="381"/>
      <c r="H42" s="381"/>
      <c r="I42" s="382">
        <f>463.5</f>
        <v>463.5</v>
      </c>
      <c r="J42" s="379">
        <f>1800.6</f>
        <v>1800.6</v>
      </c>
      <c r="K42" s="383"/>
      <c r="L42" s="384"/>
      <c r="M42" s="384"/>
      <c r="N42" s="384"/>
      <c r="O42" s="384"/>
      <c r="P42" s="384"/>
      <c r="Q42" s="384"/>
      <c r="R42" s="385"/>
      <c r="S42" s="386">
        <v>1390</v>
      </c>
    </row>
    <row r="43" spans="1:19" ht="18.899999999999999" customHeight="1">
      <c r="A43" s="369">
        <v>1765.5</v>
      </c>
      <c r="B43" s="370">
        <v>4810.3</v>
      </c>
      <c r="C43" s="387">
        <f t="shared" ref="C43" si="2">A43-I43</f>
        <v>1053.9000000000001</v>
      </c>
      <c r="D43" s="370">
        <f t="shared" ref="D43" si="3">B43-J43</f>
        <v>2892.6000000000004</v>
      </c>
      <c r="E43" s="371"/>
      <c r="F43" s="372"/>
      <c r="G43" s="372"/>
      <c r="H43" s="372"/>
      <c r="I43" s="373">
        <v>711.6</v>
      </c>
      <c r="J43" s="370">
        <v>1917.7</v>
      </c>
      <c r="K43" s="374"/>
      <c r="L43" s="375"/>
      <c r="M43" s="375"/>
      <c r="N43" s="375"/>
      <c r="O43" s="375"/>
      <c r="P43" s="375"/>
      <c r="Q43" s="375"/>
      <c r="R43" s="376"/>
      <c r="S43" s="377">
        <v>1391</v>
      </c>
    </row>
    <row r="44" spans="1:19" ht="18.899999999999999" customHeight="1">
      <c r="A44" s="369">
        <v>1917.7</v>
      </c>
      <c r="B44" s="370">
        <v>6334.9</v>
      </c>
      <c r="C44" s="387">
        <f t="shared" ref="C44:C51" si="4">A44-I44</f>
        <v>1144</v>
      </c>
      <c r="D44" s="370">
        <f t="shared" ref="D44:D51" si="5">B44-J44</f>
        <v>3935.4999999999995</v>
      </c>
      <c r="E44" s="371"/>
      <c r="F44" s="372"/>
      <c r="G44" s="372"/>
      <c r="H44" s="372"/>
      <c r="I44" s="373">
        <v>773.7</v>
      </c>
      <c r="J44" s="370">
        <v>2399.4</v>
      </c>
      <c r="K44" s="374"/>
      <c r="L44" s="375"/>
      <c r="M44" s="375"/>
      <c r="N44" s="375"/>
      <c r="O44" s="375"/>
      <c r="P44" s="375"/>
      <c r="Q44" s="375"/>
      <c r="R44" s="376"/>
      <c r="S44" s="377">
        <v>1392</v>
      </c>
    </row>
    <row r="45" spans="1:19" ht="18.899999999999999" customHeight="1">
      <c r="A45" s="369">
        <v>3270.3</v>
      </c>
      <c r="B45" s="370">
        <v>9347.2999999999993</v>
      </c>
      <c r="C45" s="387">
        <f t="shared" si="4"/>
        <v>1938.4</v>
      </c>
      <c r="D45" s="370">
        <f t="shared" si="5"/>
        <v>5174.8999999999996</v>
      </c>
      <c r="E45" s="371"/>
      <c r="F45" s="372"/>
      <c r="G45" s="372"/>
      <c r="H45" s="372"/>
      <c r="I45" s="373">
        <v>1331.9</v>
      </c>
      <c r="J45" s="370">
        <v>4172.3999999999996</v>
      </c>
      <c r="K45" s="374"/>
      <c r="L45" s="375"/>
      <c r="M45" s="375"/>
      <c r="N45" s="375"/>
      <c r="O45" s="375"/>
      <c r="P45" s="375"/>
      <c r="Q45" s="375"/>
      <c r="R45" s="376"/>
      <c r="S45" s="377">
        <v>1393</v>
      </c>
    </row>
    <row r="46" spans="1:19" ht="18.899999999999999" customHeight="1">
      <c r="A46" s="369">
        <v>3940.2</v>
      </c>
      <c r="B46" s="370">
        <v>10803.6</v>
      </c>
      <c r="C46" s="387">
        <f t="shared" si="4"/>
        <v>2307.3999999999996</v>
      </c>
      <c r="D46" s="370">
        <f t="shared" si="5"/>
        <v>6049.7000000000007</v>
      </c>
      <c r="E46" s="371"/>
      <c r="F46" s="372"/>
      <c r="G46" s="372"/>
      <c r="H46" s="372"/>
      <c r="I46" s="373">
        <v>1632.8</v>
      </c>
      <c r="J46" s="370">
        <v>4753.8999999999996</v>
      </c>
      <c r="K46" s="374"/>
      <c r="L46" s="375"/>
      <c r="M46" s="375"/>
      <c r="N46" s="375"/>
      <c r="O46" s="375"/>
      <c r="P46" s="375"/>
      <c r="Q46" s="375"/>
      <c r="R46" s="376"/>
      <c r="S46" s="377">
        <v>1394</v>
      </c>
    </row>
    <row r="47" spans="1:19" ht="18.899999999999999" customHeight="1">
      <c r="A47" s="369">
        <v>5455.4</v>
      </c>
      <c r="B47" s="370">
        <v>11937.2</v>
      </c>
      <c r="C47" s="387">
        <f t="shared" si="4"/>
        <v>2002.5999999999995</v>
      </c>
      <c r="D47" s="370">
        <f t="shared" si="5"/>
        <v>7079.3000000000011</v>
      </c>
      <c r="E47" s="371"/>
      <c r="F47" s="372"/>
      <c r="G47" s="372"/>
      <c r="H47" s="372"/>
      <c r="I47" s="373">
        <v>3452.8</v>
      </c>
      <c r="J47" s="370">
        <v>4857.8999999999996</v>
      </c>
      <c r="K47" s="374"/>
      <c r="L47" s="375"/>
      <c r="M47" s="375"/>
      <c r="N47" s="375"/>
      <c r="O47" s="375"/>
      <c r="P47" s="375"/>
      <c r="Q47" s="375"/>
      <c r="R47" s="376"/>
      <c r="S47" s="377">
        <v>1395</v>
      </c>
    </row>
    <row r="48" spans="1:19" ht="18.899999999999999" customHeight="1">
      <c r="A48" s="369">
        <v>6689.1</v>
      </c>
      <c r="B48" s="370">
        <v>14849.1</v>
      </c>
      <c r="C48" s="387">
        <f t="shared" si="4"/>
        <v>4293.1000000000004</v>
      </c>
      <c r="D48" s="370">
        <f t="shared" si="5"/>
        <v>9036.9000000000015</v>
      </c>
      <c r="E48" s="371"/>
      <c r="F48" s="372"/>
      <c r="G48" s="372"/>
      <c r="H48" s="372"/>
      <c r="I48" s="373">
        <v>2396</v>
      </c>
      <c r="J48" s="370">
        <v>5812.2</v>
      </c>
      <c r="K48" s="374"/>
      <c r="L48" s="375"/>
      <c r="M48" s="375"/>
      <c r="N48" s="375"/>
      <c r="O48" s="375"/>
      <c r="P48" s="375"/>
      <c r="Q48" s="375"/>
      <c r="R48" s="376"/>
      <c r="S48" s="377">
        <v>1396</v>
      </c>
    </row>
    <row r="49" spans="1:19" ht="18.899999999999999" customHeight="1">
      <c r="A49" s="369">
        <v>5248.2</v>
      </c>
      <c r="B49" s="370">
        <v>20375.5</v>
      </c>
      <c r="C49" s="387">
        <f t="shared" si="4"/>
        <v>3384.5</v>
      </c>
      <c r="D49" s="370">
        <f t="shared" si="5"/>
        <v>13193.2</v>
      </c>
      <c r="E49" s="371"/>
      <c r="F49" s="372"/>
      <c r="G49" s="372"/>
      <c r="H49" s="372"/>
      <c r="I49" s="388">
        <f>[6]ایران!$J$6</f>
        <v>1863.7</v>
      </c>
      <c r="J49" s="389">
        <f>[6]ایران!$B$6</f>
        <v>7182.3</v>
      </c>
      <c r="K49" s="374"/>
      <c r="L49" s="375"/>
      <c r="M49" s="375"/>
      <c r="N49" s="375"/>
      <c r="O49" s="375"/>
      <c r="P49" s="375"/>
      <c r="Q49" s="375"/>
      <c r="R49" s="376"/>
      <c r="S49" s="377">
        <v>1397</v>
      </c>
    </row>
    <row r="50" spans="1:19" ht="18.899999999999999" customHeight="1">
      <c r="A50" s="369">
        <v>7499</v>
      </c>
      <c r="B50" s="370">
        <v>24322.5</v>
      </c>
      <c r="C50" s="387">
        <f t="shared" si="4"/>
        <v>5497.3</v>
      </c>
      <c r="D50" s="370">
        <f t="shared" si="5"/>
        <v>18218.599999999999</v>
      </c>
      <c r="E50" s="371"/>
      <c r="F50" s="372"/>
      <c r="G50" s="372"/>
      <c r="H50" s="372"/>
      <c r="I50" s="388">
        <v>2001.7</v>
      </c>
      <c r="J50" s="389">
        <v>6103.9</v>
      </c>
      <c r="K50" s="374"/>
      <c r="L50" s="375"/>
      <c r="M50" s="375"/>
      <c r="N50" s="375"/>
      <c r="O50" s="375"/>
      <c r="P50" s="375"/>
      <c r="Q50" s="375"/>
      <c r="R50" s="376"/>
      <c r="S50" s="377">
        <v>1398</v>
      </c>
    </row>
    <row r="51" spans="1:19" ht="18.899999999999999" customHeight="1" thickBot="1">
      <c r="A51" s="390">
        <v>12812.4</v>
      </c>
      <c r="B51" s="391">
        <v>37387.4</v>
      </c>
      <c r="C51" s="392">
        <f t="shared" si="4"/>
        <v>9553.4</v>
      </c>
      <c r="D51" s="391">
        <f t="shared" si="5"/>
        <v>28436.7</v>
      </c>
      <c r="E51" s="393"/>
      <c r="F51" s="394"/>
      <c r="G51" s="394"/>
      <c r="H51" s="394"/>
      <c r="I51" s="395">
        <v>3259</v>
      </c>
      <c r="J51" s="396">
        <v>8950.7000000000007</v>
      </c>
      <c r="K51" s="397"/>
      <c r="L51" s="398"/>
      <c r="M51" s="398"/>
      <c r="N51" s="398"/>
      <c r="O51" s="398"/>
      <c r="P51" s="398"/>
      <c r="Q51" s="398"/>
      <c r="R51" s="399"/>
      <c r="S51" s="400">
        <v>1399</v>
      </c>
    </row>
    <row r="52" spans="1:19" s="54" customFormat="1" ht="20.25" customHeight="1">
      <c r="A52" s="556" t="s">
        <v>32</v>
      </c>
      <c r="B52" s="556"/>
      <c r="C52" s="556"/>
      <c r="D52" s="556"/>
      <c r="E52" s="556"/>
      <c r="F52" s="556"/>
      <c r="G52" s="556"/>
      <c r="H52" s="556"/>
      <c r="I52" s="556"/>
      <c r="J52" s="556"/>
      <c r="K52" s="556"/>
      <c r="L52" s="556"/>
      <c r="M52" s="556"/>
      <c r="N52" s="556"/>
      <c r="O52" s="556"/>
      <c r="P52" s="556"/>
      <c r="Q52" s="556"/>
      <c r="R52" s="556"/>
      <c r="S52" s="556"/>
    </row>
    <row r="59" spans="1:19" ht="14.1" customHeight="1">
      <c r="G59" s="553"/>
      <c r="H59" s="553"/>
      <c r="I59" s="154"/>
      <c r="J59" s="154"/>
      <c r="K59" s="553"/>
      <c r="L59" s="553"/>
    </row>
  </sheetData>
  <mergeCells count="16">
    <mergeCell ref="G59:H59"/>
    <mergeCell ref="K59:L59"/>
    <mergeCell ref="A4:B4"/>
    <mergeCell ref="Q4:R4"/>
    <mergeCell ref="I4:J4"/>
    <mergeCell ref="C4:D4"/>
    <mergeCell ref="A52:S52"/>
    <mergeCell ref="S4:S5"/>
    <mergeCell ref="A1:S1"/>
    <mergeCell ref="A2:S2"/>
    <mergeCell ref="A3:B3"/>
    <mergeCell ref="G4:H4"/>
    <mergeCell ref="O4:P4"/>
    <mergeCell ref="M4:N4"/>
    <mergeCell ref="K4:L4"/>
    <mergeCell ref="E4:F4"/>
  </mergeCells>
  <phoneticPr fontId="0" type="noConversion"/>
  <printOptions horizontalCentered="1" verticalCentered="1"/>
  <pageMargins left="0.23622047244094491" right="0.27559055118110237" top="0.98425196850393704" bottom="0.98425196850393704" header="0.31496062992125984" footer="0.51181102362204722"/>
  <pageSetup paperSize="9" scale="49" orientation="landscape" horizontalDpi="180" verticalDpi="180" r:id="rId1"/>
  <headerFooter alignWithMargins="0"/>
  <rowBreaks count="1" manualBreakCount="1">
    <brk id="58" max="14" man="1"/>
  </rowBreaks>
  <colBreaks count="1" manualBreakCount="1">
    <brk id="19"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 customHeight="1">
      <c r="A1" s="549" t="s">
        <v>42</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73" t="s">
        <v>56</v>
      </c>
      <c r="B3" s="573"/>
      <c r="C3" s="86"/>
      <c r="D3" s="86"/>
      <c r="E3" s="86"/>
      <c r="F3" s="86"/>
      <c r="G3" s="1"/>
      <c r="H3" s="1"/>
      <c r="I3" s="1"/>
      <c r="J3" s="1"/>
      <c r="K3" s="1"/>
      <c r="L3" s="1"/>
      <c r="M3" s="1"/>
      <c r="N3" s="1"/>
      <c r="O3" s="1"/>
      <c r="P3" s="1"/>
      <c r="Q3" s="1"/>
      <c r="R3" s="1"/>
      <c r="S3" s="1"/>
      <c r="Y3" s="2"/>
      <c r="Z3" s="2"/>
      <c r="AA3" s="2"/>
      <c r="AB3" s="2"/>
      <c r="AC3" s="2"/>
    </row>
    <row r="4" spans="1:29" ht="21" customHeight="1">
      <c r="A4" s="569" t="s">
        <v>7</v>
      </c>
      <c r="B4" s="570"/>
      <c r="C4" s="569" t="s">
        <v>33</v>
      </c>
      <c r="D4" s="570"/>
      <c r="E4" s="569" t="s">
        <v>6</v>
      </c>
      <c r="F4" s="570"/>
      <c r="G4" s="569" t="s">
        <v>21</v>
      </c>
      <c r="H4" s="570"/>
      <c r="I4" s="569" t="s">
        <v>21</v>
      </c>
      <c r="J4" s="570"/>
      <c r="K4" s="576" t="s">
        <v>5</v>
      </c>
      <c r="L4" s="577"/>
      <c r="M4" s="578" t="s">
        <v>4</v>
      </c>
      <c r="N4" s="579"/>
      <c r="O4" s="576" t="s">
        <v>3</v>
      </c>
      <c r="P4" s="577"/>
      <c r="Q4" s="576" t="s">
        <v>2</v>
      </c>
      <c r="R4" s="577"/>
      <c r="S4" s="574" t="s">
        <v>8</v>
      </c>
    </row>
    <row r="5" spans="1:29" ht="21" customHeight="1" thickBot="1">
      <c r="A5" s="185" t="s">
        <v>25</v>
      </c>
      <c r="B5" s="186" t="s">
        <v>34</v>
      </c>
      <c r="C5" s="185" t="s">
        <v>25</v>
      </c>
      <c r="D5" s="186" t="s">
        <v>34</v>
      </c>
      <c r="E5" s="185" t="s">
        <v>1</v>
      </c>
      <c r="F5" s="186" t="s">
        <v>0</v>
      </c>
      <c r="G5" s="185" t="s">
        <v>25</v>
      </c>
      <c r="H5" s="186" t="s">
        <v>24</v>
      </c>
      <c r="I5" s="185" t="s">
        <v>25</v>
      </c>
      <c r="J5" s="186" t="s">
        <v>34</v>
      </c>
      <c r="K5" s="41" t="s">
        <v>1</v>
      </c>
      <c r="L5" s="42" t="s">
        <v>0</v>
      </c>
      <c r="M5" s="39" t="s">
        <v>1</v>
      </c>
      <c r="N5" s="40" t="s">
        <v>0</v>
      </c>
      <c r="O5" s="41" t="s">
        <v>1</v>
      </c>
      <c r="P5" s="42" t="s">
        <v>0</v>
      </c>
      <c r="Q5" s="41" t="s">
        <v>1</v>
      </c>
      <c r="R5" s="42" t="s">
        <v>0</v>
      </c>
      <c r="S5" s="575"/>
    </row>
    <row r="6" spans="1:29" ht="18.899999999999999" customHeight="1">
      <c r="A6" s="325">
        <v>0.08</v>
      </c>
      <c r="B6" s="254">
        <v>2.59</v>
      </c>
      <c r="C6" s="253">
        <f>A6-I6</f>
        <v>0</v>
      </c>
      <c r="D6" s="254">
        <f>B6-J6</f>
        <v>0</v>
      </c>
      <c r="E6" s="253"/>
      <c r="F6" s="254"/>
      <c r="G6" s="253">
        <v>0</v>
      </c>
      <c r="H6" s="254">
        <v>0</v>
      </c>
      <c r="I6" s="253">
        <v>0.08</v>
      </c>
      <c r="J6" s="254">
        <v>2.59</v>
      </c>
      <c r="K6" s="149">
        <v>13</v>
      </c>
      <c r="L6" s="19">
        <v>197</v>
      </c>
      <c r="M6" s="43">
        <v>0</v>
      </c>
      <c r="N6" s="44">
        <v>21</v>
      </c>
      <c r="O6" s="18">
        <v>0</v>
      </c>
      <c r="P6" s="19">
        <v>4</v>
      </c>
      <c r="Q6" s="60">
        <v>67</v>
      </c>
      <c r="R6" s="61">
        <v>2368</v>
      </c>
      <c r="S6" s="169">
        <v>1354</v>
      </c>
    </row>
    <row r="7" spans="1:29" ht="18.899999999999999" customHeight="1">
      <c r="A7" s="322">
        <v>0.33500000000000002</v>
      </c>
      <c r="B7" s="256">
        <v>5.1420000000000003</v>
      </c>
      <c r="C7" s="255">
        <f t="shared" ref="C7:C41" si="0">A7-I7</f>
        <v>0</v>
      </c>
      <c r="D7" s="256">
        <f t="shared" ref="D7:D41" si="1">B7-J7</f>
        <v>0</v>
      </c>
      <c r="E7" s="255"/>
      <c r="F7" s="256"/>
      <c r="G7" s="255">
        <v>0</v>
      </c>
      <c r="H7" s="256">
        <v>0</v>
      </c>
      <c r="I7" s="255">
        <v>0.33500000000000002</v>
      </c>
      <c r="J7" s="256">
        <v>5.1420000000000003</v>
      </c>
      <c r="K7" s="64">
        <v>76</v>
      </c>
      <c r="L7" s="7">
        <v>295</v>
      </c>
      <c r="M7" s="37">
        <v>1</v>
      </c>
      <c r="N7" s="38">
        <v>24</v>
      </c>
      <c r="O7" s="6">
        <v>3</v>
      </c>
      <c r="P7" s="7">
        <v>27</v>
      </c>
      <c r="Q7" s="6">
        <v>255</v>
      </c>
      <c r="R7" s="7">
        <v>4796</v>
      </c>
      <c r="S7" s="170">
        <v>1355</v>
      </c>
    </row>
    <row r="8" spans="1:29" ht="18.899999999999999" customHeight="1">
      <c r="A8" s="322">
        <v>0.58099999999999996</v>
      </c>
      <c r="B8" s="256">
        <v>2.6040000000000001</v>
      </c>
      <c r="C8" s="255">
        <f t="shared" si="0"/>
        <v>0</v>
      </c>
      <c r="D8" s="256">
        <f t="shared" si="1"/>
        <v>0</v>
      </c>
      <c r="E8" s="255"/>
      <c r="F8" s="256"/>
      <c r="G8" s="255">
        <v>0</v>
      </c>
      <c r="H8" s="256">
        <v>0</v>
      </c>
      <c r="I8" s="255">
        <v>0.58099999999999996</v>
      </c>
      <c r="J8" s="256">
        <v>2.6040000000000001</v>
      </c>
      <c r="K8" s="64">
        <v>177</v>
      </c>
      <c r="L8" s="7">
        <v>420</v>
      </c>
      <c r="M8" s="37">
        <v>10</v>
      </c>
      <c r="N8" s="38">
        <v>59</v>
      </c>
      <c r="O8" s="6">
        <v>5</v>
      </c>
      <c r="P8" s="7">
        <v>7</v>
      </c>
      <c r="Q8" s="6">
        <v>389</v>
      </c>
      <c r="R8" s="7">
        <v>2118</v>
      </c>
      <c r="S8" s="170">
        <v>1356</v>
      </c>
    </row>
    <row r="9" spans="1:29" ht="18.899999999999999" customHeight="1">
      <c r="A9" s="322">
        <v>0.40100000000000002</v>
      </c>
      <c r="B9" s="256">
        <v>4.5940000000000003</v>
      </c>
      <c r="C9" s="255">
        <f t="shared" si="0"/>
        <v>0</v>
      </c>
      <c r="D9" s="256">
        <f t="shared" si="1"/>
        <v>0</v>
      </c>
      <c r="E9" s="255"/>
      <c r="F9" s="256"/>
      <c r="G9" s="255">
        <v>0</v>
      </c>
      <c r="H9" s="256">
        <v>0</v>
      </c>
      <c r="I9" s="255">
        <v>0.40100000000000002</v>
      </c>
      <c r="J9" s="256">
        <v>4.5940000000000003</v>
      </c>
      <c r="K9" s="64">
        <v>61</v>
      </c>
      <c r="L9" s="7">
        <v>507</v>
      </c>
      <c r="M9" s="37">
        <v>3</v>
      </c>
      <c r="N9" s="38">
        <v>18</v>
      </c>
      <c r="O9" s="6">
        <v>9</v>
      </c>
      <c r="P9" s="7">
        <v>5</v>
      </c>
      <c r="Q9" s="6">
        <v>328</v>
      </c>
      <c r="R9" s="7">
        <v>4064</v>
      </c>
      <c r="S9" s="170">
        <v>1357</v>
      </c>
    </row>
    <row r="10" spans="1:29" ht="18.899999999999999" customHeight="1">
      <c r="A10" s="322">
        <v>0.16500000000000001</v>
      </c>
      <c r="B10" s="256">
        <f>-0.261</f>
        <v>-0.26100000000000001</v>
      </c>
      <c r="C10" s="255">
        <f t="shared" si="0"/>
        <v>0</v>
      </c>
      <c r="D10" s="256">
        <f t="shared" si="1"/>
        <v>0</v>
      </c>
      <c r="E10" s="255"/>
      <c r="F10" s="256"/>
      <c r="G10" s="255">
        <v>0</v>
      </c>
      <c r="H10" s="256">
        <v>0</v>
      </c>
      <c r="I10" s="255">
        <v>0.16500000000000001</v>
      </c>
      <c r="J10" s="256">
        <f>-0.261</f>
        <v>-0.26100000000000001</v>
      </c>
      <c r="K10" s="64">
        <v>57</v>
      </c>
      <c r="L10" s="7">
        <v>51</v>
      </c>
      <c r="M10" s="37">
        <v>5</v>
      </c>
      <c r="N10" s="38">
        <v>20</v>
      </c>
      <c r="O10" s="6">
        <v>3</v>
      </c>
      <c r="P10" s="7">
        <v>1</v>
      </c>
      <c r="Q10" s="6">
        <v>100</v>
      </c>
      <c r="R10" s="7">
        <v>-333</v>
      </c>
      <c r="S10" s="170">
        <v>1358</v>
      </c>
    </row>
    <row r="11" spans="1:29" ht="18.899999999999999" customHeight="1">
      <c r="A11" s="335">
        <v>0.34100000000000003</v>
      </c>
      <c r="B11" s="333">
        <v>0.69399999999999995</v>
      </c>
      <c r="C11" s="255">
        <f t="shared" si="0"/>
        <v>0</v>
      </c>
      <c r="D11" s="256">
        <f t="shared" si="1"/>
        <v>0</v>
      </c>
      <c r="E11" s="255"/>
      <c r="F11" s="256"/>
      <c r="G11" s="255">
        <v>0</v>
      </c>
      <c r="H11" s="256">
        <v>0</v>
      </c>
      <c r="I11" s="255">
        <v>0.34100000000000003</v>
      </c>
      <c r="J11" s="256">
        <v>0.69399999999999995</v>
      </c>
      <c r="K11" s="64">
        <v>64</v>
      </c>
      <c r="L11" s="7">
        <v>69</v>
      </c>
      <c r="M11" s="37">
        <v>2</v>
      </c>
      <c r="N11" s="38">
        <v>-1</v>
      </c>
      <c r="O11" s="6">
        <v>0</v>
      </c>
      <c r="P11" s="7">
        <v>1</v>
      </c>
      <c r="Q11" s="6">
        <v>275</v>
      </c>
      <c r="R11" s="7">
        <v>625</v>
      </c>
      <c r="S11" s="170">
        <v>1359</v>
      </c>
    </row>
    <row r="12" spans="1:29" ht="18.899999999999999" customHeight="1">
      <c r="A12" s="322">
        <v>0.26600000000000001</v>
      </c>
      <c r="B12" s="256">
        <v>0.626</v>
      </c>
      <c r="C12" s="255">
        <f t="shared" si="0"/>
        <v>0</v>
      </c>
      <c r="D12" s="256">
        <f t="shared" si="1"/>
        <v>0</v>
      </c>
      <c r="E12" s="255"/>
      <c r="F12" s="256"/>
      <c r="G12" s="255">
        <v>0</v>
      </c>
      <c r="H12" s="256">
        <v>0</v>
      </c>
      <c r="I12" s="255">
        <v>0.26600000000000001</v>
      </c>
      <c r="J12" s="256">
        <v>0.626</v>
      </c>
      <c r="K12" s="64">
        <v>16</v>
      </c>
      <c r="L12" s="7">
        <v>17</v>
      </c>
      <c r="M12" s="37">
        <v>0</v>
      </c>
      <c r="N12" s="38">
        <v>8</v>
      </c>
      <c r="O12" s="6">
        <v>0</v>
      </c>
      <c r="P12" s="7">
        <v>2</v>
      </c>
      <c r="Q12" s="6">
        <v>250</v>
      </c>
      <c r="R12" s="7">
        <v>599</v>
      </c>
      <c r="S12" s="170">
        <v>1360</v>
      </c>
    </row>
    <row r="13" spans="1:29" ht="18.899999999999999" customHeight="1">
      <c r="A13" s="322">
        <v>0.3513</v>
      </c>
      <c r="B13" s="256">
        <v>1.0336000000000001</v>
      </c>
      <c r="C13" s="255">
        <f t="shared" si="0"/>
        <v>0</v>
      </c>
      <c r="D13" s="256">
        <f t="shared" si="1"/>
        <v>0</v>
      </c>
      <c r="E13" s="255"/>
      <c r="F13" s="256"/>
      <c r="G13" s="255">
        <v>0</v>
      </c>
      <c r="H13" s="256">
        <v>0</v>
      </c>
      <c r="I13" s="255">
        <v>0.3513</v>
      </c>
      <c r="J13" s="256">
        <v>1.0336000000000001</v>
      </c>
      <c r="K13" s="64">
        <v>96</v>
      </c>
      <c r="L13" s="7">
        <v>-2</v>
      </c>
      <c r="M13" s="49">
        <v>0.3</v>
      </c>
      <c r="N13" s="38">
        <v>0.6</v>
      </c>
      <c r="O13" s="6">
        <v>0</v>
      </c>
      <c r="P13" s="7">
        <v>6</v>
      </c>
      <c r="Q13" s="6">
        <v>255</v>
      </c>
      <c r="R13" s="7">
        <v>1029</v>
      </c>
      <c r="S13" s="170">
        <v>1361</v>
      </c>
    </row>
    <row r="14" spans="1:29" ht="18.899999999999999" customHeight="1">
      <c r="A14" s="322">
        <v>0.252</v>
      </c>
      <c r="B14" s="256">
        <v>1.3360000000000001</v>
      </c>
      <c r="C14" s="255">
        <f t="shared" si="0"/>
        <v>0</v>
      </c>
      <c r="D14" s="256">
        <f t="shared" si="1"/>
        <v>0</v>
      </c>
      <c r="E14" s="255"/>
      <c r="F14" s="256"/>
      <c r="G14" s="255">
        <v>0</v>
      </c>
      <c r="H14" s="256">
        <v>0</v>
      </c>
      <c r="I14" s="255">
        <v>0.252</v>
      </c>
      <c r="J14" s="256">
        <v>1.3360000000000001</v>
      </c>
      <c r="K14" s="64">
        <v>7</v>
      </c>
      <c r="L14" s="7">
        <v>4</v>
      </c>
      <c r="M14" s="37">
        <v>21</v>
      </c>
      <c r="N14" s="38">
        <v>4</v>
      </c>
      <c r="O14" s="6">
        <v>1</v>
      </c>
      <c r="P14" s="7">
        <v>17</v>
      </c>
      <c r="Q14" s="6">
        <v>223</v>
      </c>
      <c r="R14" s="7">
        <v>1311</v>
      </c>
      <c r="S14" s="170">
        <v>1362</v>
      </c>
    </row>
    <row r="15" spans="1:29" ht="18.899999999999999" customHeight="1">
      <c r="A15" s="322">
        <v>0.22059999999999999</v>
      </c>
      <c r="B15" s="256">
        <f>-0.0991</f>
        <v>-9.9099999999999994E-2</v>
      </c>
      <c r="C15" s="255">
        <f t="shared" si="0"/>
        <v>0</v>
      </c>
      <c r="D15" s="256">
        <f t="shared" si="1"/>
        <v>0</v>
      </c>
      <c r="E15" s="255"/>
      <c r="F15" s="256"/>
      <c r="G15" s="255">
        <v>0</v>
      </c>
      <c r="H15" s="256">
        <v>0</v>
      </c>
      <c r="I15" s="255">
        <v>0.22059999999999999</v>
      </c>
      <c r="J15" s="256">
        <f>-0.0991</f>
        <v>-9.9099999999999994E-2</v>
      </c>
      <c r="K15" s="64">
        <v>4</v>
      </c>
      <c r="L15" s="57">
        <v>-0.1</v>
      </c>
      <c r="M15" s="37">
        <v>0.6</v>
      </c>
      <c r="N15" s="38">
        <v>8</v>
      </c>
      <c r="O15" s="6">
        <v>0</v>
      </c>
      <c r="P15" s="7">
        <v>27</v>
      </c>
      <c r="Q15" s="6">
        <v>216</v>
      </c>
      <c r="R15" s="7">
        <v>-134</v>
      </c>
      <c r="S15" s="170">
        <v>1363</v>
      </c>
    </row>
    <row r="16" spans="1:29" ht="18.899999999999999" customHeight="1">
      <c r="A16" s="322">
        <v>0.29330000000000001</v>
      </c>
      <c r="B16" s="256">
        <v>0.628</v>
      </c>
      <c r="C16" s="255">
        <f t="shared" si="0"/>
        <v>0</v>
      </c>
      <c r="D16" s="256">
        <f t="shared" si="1"/>
        <v>0</v>
      </c>
      <c r="E16" s="255"/>
      <c r="F16" s="256"/>
      <c r="G16" s="255">
        <v>0</v>
      </c>
      <c r="H16" s="256">
        <v>0</v>
      </c>
      <c r="I16" s="255">
        <v>0.29330000000000001</v>
      </c>
      <c r="J16" s="256">
        <v>0.628</v>
      </c>
      <c r="K16" s="64">
        <v>0</v>
      </c>
      <c r="L16" s="7">
        <v>-10</v>
      </c>
      <c r="M16" s="49">
        <v>0.3</v>
      </c>
      <c r="N16" s="38">
        <v>21</v>
      </c>
      <c r="O16" s="6">
        <v>5</v>
      </c>
      <c r="P16" s="7">
        <v>32</v>
      </c>
      <c r="Q16" s="6">
        <v>288</v>
      </c>
      <c r="R16" s="7">
        <v>585</v>
      </c>
      <c r="S16" s="170">
        <v>1364</v>
      </c>
    </row>
    <row r="17" spans="1:19" ht="18.899999999999999" customHeight="1">
      <c r="A17" s="322">
        <v>0.53700000000000003</v>
      </c>
      <c r="B17" s="256">
        <v>0.72899999999999998</v>
      </c>
      <c r="C17" s="255">
        <f t="shared" si="0"/>
        <v>0</v>
      </c>
      <c r="D17" s="256">
        <f t="shared" si="1"/>
        <v>0</v>
      </c>
      <c r="E17" s="255">
        <v>0</v>
      </c>
      <c r="F17" s="256">
        <v>0</v>
      </c>
      <c r="G17" s="255">
        <v>0</v>
      </c>
      <c r="H17" s="256">
        <v>0</v>
      </c>
      <c r="I17" s="255">
        <v>0.53700000000000003</v>
      </c>
      <c r="J17" s="256">
        <v>0.72899999999999998</v>
      </c>
      <c r="K17" s="64">
        <v>0</v>
      </c>
      <c r="L17" s="7">
        <v>-8</v>
      </c>
      <c r="M17" s="37">
        <v>7</v>
      </c>
      <c r="N17" s="38">
        <v>25</v>
      </c>
      <c r="O17" s="6">
        <v>2</v>
      </c>
      <c r="P17" s="7">
        <v>30</v>
      </c>
      <c r="Q17" s="6">
        <v>528</v>
      </c>
      <c r="R17" s="7">
        <v>682</v>
      </c>
      <c r="S17" s="170">
        <v>1365</v>
      </c>
    </row>
    <row r="18" spans="1:19" ht="18.899999999999999" customHeight="1">
      <c r="A18" s="322">
        <v>0.25900000000000001</v>
      </c>
      <c r="B18" s="256">
        <v>1.0389999999999999</v>
      </c>
      <c r="C18" s="255">
        <f t="shared" si="0"/>
        <v>0</v>
      </c>
      <c r="D18" s="256">
        <f t="shared" si="1"/>
        <v>0</v>
      </c>
      <c r="E18" s="255">
        <v>0</v>
      </c>
      <c r="F18" s="256">
        <v>0</v>
      </c>
      <c r="G18" s="255">
        <v>0</v>
      </c>
      <c r="H18" s="256">
        <v>0</v>
      </c>
      <c r="I18" s="255">
        <v>0.25900000000000001</v>
      </c>
      <c r="J18" s="256">
        <v>1.0389999999999999</v>
      </c>
      <c r="K18" s="64">
        <v>0</v>
      </c>
      <c r="L18" s="7">
        <v>0</v>
      </c>
      <c r="M18" s="37">
        <v>10</v>
      </c>
      <c r="N18" s="38">
        <v>33</v>
      </c>
      <c r="O18" s="6">
        <v>2</v>
      </c>
      <c r="P18" s="7">
        <v>34</v>
      </c>
      <c r="Q18" s="6">
        <v>247</v>
      </c>
      <c r="R18" s="7">
        <v>972</v>
      </c>
      <c r="S18" s="170">
        <v>1366</v>
      </c>
    </row>
    <row r="19" spans="1:19" ht="18.899999999999999" customHeight="1">
      <c r="A19" s="322">
        <v>0.29499999999999998</v>
      </c>
      <c r="B19" s="256">
        <v>0.99099999999999999</v>
      </c>
      <c r="C19" s="255">
        <f t="shared" si="0"/>
        <v>0</v>
      </c>
      <c r="D19" s="256">
        <f t="shared" si="1"/>
        <v>0</v>
      </c>
      <c r="E19" s="255">
        <v>0</v>
      </c>
      <c r="F19" s="256">
        <v>0</v>
      </c>
      <c r="G19" s="255">
        <v>0</v>
      </c>
      <c r="H19" s="256">
        <v>0</v>
      </c>
      <c r="I19" s="255">
        <v>0.29499999999999998</v>
      </c>
      <c r="J19" s="256">
        <v>0.99099999999999999</v>
      </c>
      <c r="K19" s="64">
        <v>0</v>
      </c>
      <c r="L19" s="7">
        <v>0</v>
      </c>
      <c r="M19" s="37">
        <v>10</v>
      </c>
      <c r="N19" s="38">
        <v>32</v>
      </c>
      <c r="O19" s="6">
        <v>2</v>
      </c>
      <c r="P19" s="7">
        <v>17</v>
      </c>
      <c r="Q19" s="6">
        <v>283</v>
      </c>
      <c r="R19" s="7">
        <v>942</v>
      </c>
      <c r="S19" s="170">
        <v>1367</v>
      </c>
    </row>
    <row r="20" spans="1:19" ht="18.899999999999999" customHeight="1">
      <c r="A20" s="322">
        <v>0.42699999999999999</v>
      </c>
      <c r="B20" s="256">
        <v>2.3679999999999999</v>
      </c>
      <c r="C20" s="255">
        <f t="shared" si="0"/>
        <v>0</v>
      </c>
      <c r="D20" s="256">
        <f t="shared" si="1"/>
        <v>0</v>
      </c>
      <c r="E20" s="255">
        <v>0</v>
      </c>
      <c r="F20" s="256">
        <v>0</v>
      </c>
      <c r="G20" s="255">
        <v>0</v>
      </c>
      <c r="H20" s="256">
        <v>0</v>
      </c>
      <c r="I20" s="255">
        <v>0.42699999999999999</v>
      </c>
      <c r="J20" s="256">
        <v>2.3679999999999999</v>
      </c>
      <c r="K20" s="64">
        <v>0</v>
      </c>
      <c r="L20" s="7">
        <v>0</v>
      </c>
      <c r="M20" s="37">
        <v>7</v>
      </c>
      <c r="N20" s="38">
        <v>59</v>
      </c>
      <c r="O20" s="6">
        <v>9</v>
      </c>
      <c r="P20" s="7">
        <v>45</v>
      </c>
      <c r="Q20" s="6">
        <v>411</v>
      </c>
      <c r="R20" s="7">
        <v>2264</v>
      </c>
      <c r="S20" s="170">
        <v>1368</v>
      </c>
    </row>
    <row r="21" spans="1:19" ht="18.899999999999999" customHeight="1">
      <c r="A21" s="322">
        <v>0.745</v>
      </c>
      <c r="B21" s="256">
        <v>2.593</v>
      </c>
      <c r="C21" s="255">
        <f t="shared" si="0"/>
        <v>0</v>
      </c>
      <c r="D21" s="256">
        <f t="shared" si="1"/>
        <v>0</v>
      </c>
      <c r="E21" s="255">
        <v>0</v>
      </c>
      <c r="F21" s="256">
        <v>0</v>
      </c>
      <c r="G21" s="255">
        <v>0</v>
      </c>
      <c r="H21" s="256">
        <v>0</v>
      </c>
      <c r="I21" s="255">
        <v>0.745</v>
      </c>
      <c r="J21" s="256">
        <v>2.593</v>
      </c>
      <c r="K21" s="64">
        <v>0</v>
      </c>
      <c r="L21" s="7">
        <v>0</v>
      </c>
      <c r="M21" s="37">
        <v>5</v>
      </c>
      <c r="N21" s="38">
        <v>63</v>
      </c>
      <c r="O21" s="6">
        <v>7</v>
      </c>
      <c r="P21" s="7">
        <v>61</v>
      </c>
      <c r="Q21" s="6">
        <v>733</v>
      </c>
      <c r="R21" s="7">
        <v>2469</v>
      </c>
      <c r="S21" s="170">
        <v>1369</v>
      </c>
    </row>
    <row r="22" spans="1:19" ht="18.899999999999999" customHeight="1">
      <c r="A22" s="322">
        <v>0.61299999999999999</v>
      </c>
      <c r="B22" s="256">
        <v>2.9249999999999998</v>
      </c>
      <c r="C22" s="255">
        <f t="shared" si="0"/>
        <v>0</v>
      </c>
      <c r="D22" s="256">
        <f t="shared" si="1"/>
        <v>0</v>
      </c>
      <c r="E22" s="255">
        <v>0</v>
      </c>
      <c r="F22" s="256">
        <v>0</v>
      </c>
      <c r="G22" s="255">
        <v>0</v>
      </c>
      <c r="H22" s="256">
        <v>0</v>
      </c>
      <c r="I22" s="255">
        <v>0.61299999999999999</v>
      </c>
      <c r="J22" s="256">
        <v>2.9249999999999998</v>
      </c>
      <c r="K22" s="64">
        <v>0</v>
      </c>
      <c r="L22" s="7">
        <v>0</v>
      </c>
      <c r="M22" s="37">
        <v>24</v>
      </c>
      <c r="N22" s="38">
        <v>202</v>
      </c>
      <c r="O22" s="6">
        <v>43</v>
      </c>
      <c r="P22" s="7">
        <v>186</v>
      </c>
      <c r="Q22" s="6">
        <v>546</v>
      </c>
      <c r="R22" s="7">
        <v>2537</v>
      </c>
      <c r="S22" s="170">
        <v>1370</v>
      </c>
    </row>
    <row r="23" spans="1:19" ht="18.899999999999999" customHeight="1">
      <c r="A23" s="255">
        <v>0.92100000000000004</v>
      </c>
      <c r="B23" s="256">
        <v>4.2939999999999996</v>
      </c>
      <c r="C23" s="255">
        <f t="shared" si="0"/>
        <v>0</v>
      </c>
      <c r="D23" s="256">
        <f t="shared" si="1"/>
        <v>0</v>
      </c>
      <c r="E23" s="255">
        <v>0</v>
      </c>
      <c r="F23" s="256">
        <v>0</v>
      </c>
      <c r="G23" s="255">
        <v>0</v>
      </c>
      <c r="H23" s="256">
        <v>0</v>
      </c>
      <c r="I23" s="255">
        <v>0.92100000000000004</v>
      </c>
      <c r="J23" s="256">
        <v>4.2939999999999996</v>
      </c>
      <c r="K23" s="64">
        <v>0</v>
      </c>
      <c r="L23" s="7">
        <v>0</v>
      </c>
      <c r="M23" s="37">
        <v>21</v>
      </c>
      <c r="N23" s="38">
        <v>286</v>
      </c>
      <c r="O23" s="6">
        <v>144</v>
      </c>
      <c r="P23" s="7">
        <v>1403</v>
      </c>
      <c r="Q23" s="6">
        <v>756</v>
      </c>
      <c r="R23" s="7">
        <v>2605</v>
      </c>
      <c r="S23" s="170">
        <v>1371</v>
      </c>
    </row>
    <row r="24" spans="1:19" ht="18.899999999999999" customHeight="1">
      <c r="A24" s="255">
        <v>5.5623500000000003</v>
      </c>
      <c r="B24" s="256">
        <v>34.652000000000001</v>
      </c>
      <c r="C24" s="255">
        <f t="shared" si="0"/>
        <v>0</v>
      </c>
      <c r="D24" s="256">
        <f t="shared" si="1"/>
        <v>0</v>
      </c>
      <c r="E24" s="255">
        <v>0</v>
      </c>
      <c r="F24" s="256">
        <v>0</v>
      </c>
      <c r="G24" s="255">
        <v>0</v>
      </c>
      <c r="H24" s="256">
        <v>0</v>
      </c>
      <c r="I24" s="255">
        <v>5.5623500000000003</v>
      </c>
      <c r="J24" s="256">
        <v>34.652000000000001</v>
      </c>
      <c r="K24" s="64">
        <v>0</v>
      </c>
      <c r="L24" s="7">
        <v>0</v>
      </c>
      <c r="M24" s="37">
        <v>26</v>
      </c>
      <c r="N24" s="38">
        <v>339</v>
      </c>
      <c r="O24" s="6">
        <f>459.35</f>
        <v>459.35</v>
      </c>
      <c r="P24" s="7">
        <v>1802</v>
      </c>
      <c r="Q24" s="6">
        <v>5077</v>
      </c>
      <c r="R24" s="7">
        <v>32511</v>
      </c>
      <c r="S24" s="170">
        <v>1372</v>
      </c>
    </row>
    <row r="25" spans="1:19" ht="18.899999999999999" customHeight="1">
      <c r="A25" s="255">
        <v>4.952</v>
      </c>
      <c r="B25" s="256">
        <v>9.6129999999999995</v>
      </c>
      <c r="C25" s="255">
        <f t="shared" si="0"/>
        <v>0</v>
      </c>
      <c r="D25" s="256">
        <f t="shared" si="1"/>
        <v>0</v>
      </c>
      <c r="E25" s="255">
        <v>0</v>
      </c>
      <c r="F25" s="256">
        <v>0</v>
      </c>
      <c r="G25" s="255">
        <v>0</v>
      </c>
      <c r="H25" s="256">
        <v>0</v>
      </c>
      <c r="I25" s="255">
        <v>4.952</v>
      </c>
      <c r="J25" s="256">
        <v>9.6129999999999995</v>
      </c>
      <c r="K25" s="64">
        <v>0</v>
      </c>
      <c r="L25" s="7">
        <v>0</v>
      </c>
      <c r="M25" s="37">
        <v>11</v>
      </c>
      <c r="N25" s="38">
        <v>594</v>
      </c>
      <c r="O25" s="6">
        <v>182</v>
      </c>
      <c r="P25" s="7">
        <v>2323</v>
      </c>
      <c r="Q25" s="6">
        <v>4759</v>
      </c>
      <c r="R25" s="7">
        <v>6696</v>
      </c>
      <c r="S25" s="170">
        <v>1373</v>
      </c>
    </row>
    <row r="26" spans="1:19" ht="18.899999999999999" customHeight="1">
      <c r="A26" s="255">
        <v>4.3319999999999999</v>
      </c>
      <c r="B26" s="256">
        <v>20.582999999999998</v>
      </c>
      <c r="C26" s="255">
        <f t="shared" si="0"/>
        <v>0</v>
      </c>
      <c r="D26" s="256">
        <f t="shared" si="1"/>
        <v>0</v>
      </c>
      <c r="E26" s="255">
        <v>0</v>
      </c>
      <c r="F26" s="256">
        <v>0</v>
      </c>
      <c r="G26" s="255">
        <v>0</v>
      </c>
      <c r="H26" s="256">
        <v>0</v>
      </c>
      <c r="I26" s="255">
        <v>4.3319999999999999</v>
      </c>
      <c r="J26" s="256">
        <v>20.582999999999998</v>
      </c>
      <c r="K26" s="64">
        <v>0</v>
      </c>
      <c r="L26" s="7">
        <v>0</v>
      </c>
      <c r="M26" s="37">
        <v>68</v>
      </c>
      <c r="N26" s="38">
        <v>106</v>
      </c>
      <c r="O26" s="6">
        <v>917</v>
      </c>
      <c r="P26" s="7">
        <v>7993</v>
      </c>
      <c r="Q26" s="6">
        <v>3347</v>
      </c>
      <c r="R26" s="7">
        <v>12484</v>
      </c>
      <c r="S26" s="170">
        <v>1374</v>
      </c>
    </row>
    <row r="27" spans="1:19" ht="18.899999999999999" customHeight="1">
      <c r="A27" s="255">
        <v>6.07</v>
      </c>
      <c r="B27" s="256">
        <v>32.136000000000003</v>
      </c>
      <c r="C27" s="255">
        <f t="shared" si="0"/>
        <v>0</v>
      </c>
      <c r="D27" s="256">
        <f t="shared" si="1"/>
        <v>0</v>
      </c>
      <c r="E27" s="255">
        <v>0</v>
      </c>
      <c r="F27" s="256">
        <v>0</v>
      </c>
      <c r="G27" s="255">
        <v>0</v>
      </c>
      <c r="H27" s="256">
        <v>0</v>
      </c>
      <c r="I27" s="255">
        <v>6.07</v>
      </c>
      <c r="J27" s="256">
        <v>32.136000000000003</v>
      </c>
      <c r="K27" s="64">
        <v>0</v>
      </c>
      <c r="L27" s="7">
        <v>0</v>
      </c>
      <c r="M27" s="37">
        <v>63</v>
      </c>
      <c r="N27" s="38">
        <v>3772</v>
      </c>
      <c r="O27" s="6">
        <v>1367</v>
      </c>
      <c r="P27" s="7">
        <v>2926</v>
      </c>
      <c r="Q27" s="6">
        <v>4640</v>
      </c>
      <c r="R27" s="7">
        <v>25438</v>
      </c>
      <c r="S27" s="170">
        <v>1375</v>
      </c>
    </row>
    <row r="28" spans="1:19" ht="18.899999999999999" customHeight="1">
      <c r="A28" s="255">
        <v>2.3359999999999999</v>
      </c>
      <c r="B28" s="256">
        <v>27.309000000000001</v>
      </c>
      <c r="C28" s="255">
        <f t="shared" si="0"/>
        <v>0</v>
      </c>
      <c r="D28" s="256">
        <f t="shared" si="1"/>
        <v>0</v>
      </c>
      <c r="E28" s="255">
        <v>0</v>
      </c>
      <c r="F28" s="256">
        <v>0</v>
      </c>
      <c r="G28" s="255">
        <v>0</v>
      </c>
      <c r="H28" s="256">
        <v>0</v>
      </c>
      <c r="I28" s="255">
        <v>2.3359999999999999</v>
      </c>
      <c r="J28" s="256">
        <v>27.309000000000001</v>
      </c>
      <c r="K28" s="64">
        <v>0</v>
      </c>
      <c r="L28" s="7">
        <v>344</v>
      </c>
      <c r="M28" s="37">
        <v>135</v>
      </c>
      <c r="N28" s="38">
        <v>3500</v>
      </c>
      <c r="O28" s="6">
        <v>55</v>
      </c>
      <c r="P28" s="7">
        <v>2772</v>
      </c>
      <c r="Q28" s="6">
        <v>2146</v>
      </c>
      <c r="R28" s="7">
        <v>20693</v>
      </c>
      <c r="S28" s="170">
        <v>1376</v>
      </c>
    </row>
    <row r="29" spans="1:19" ht="18.899999999999999" customHeight="1">
      <c r="A29" s="255">
        <v>8.7780000000000005</v>
      </c>
      <c r="B29" s="256">
        <v>24.117000000000001</v>
      </c>
      <c r="C29" s="255">
        <f t="shared" si="0"/>
        <v>0</v>
      </c>
      <c r="D29" s="256">
        <f t="shared" si="1"/>
        <v>0</v>
      </c>
      <c r="E29" s="255">
        <v>0</v>
      </c>
      <c r="F29" s="256">
        <v>0</v>
      </c>
      <c r="G29" s="255">
        <v>0</v>
      </c>
      <c r="H29" s="256">
        <v>0</v>
      </c>
      <c r="I29" s="255">
        <v>8.7780000000000005</v>
      </c>
      <c r="J29" s="256">
        <v>24.117000000000001</v>
      </c>
      <c r="K29" s="64">
        <v>1</v>
      </c>
      <c r="L29" s="7">
        <v>616</v>
      </c>
      <c r="M29" s="37">
        <v>163</v>
      </c>
      <c r="N29" s="38">
        <v>1282</v>
      </c>
      <c r="O29" s="6">
        <v>1076</v>
      </c>
      <c r="P29" s="7">
        <v>2191</v>
      </c>
      <c r="Q29" s="6">
        <v>7538</v>
      </c>
      <c r="R29" s="7">
        <v>20028</v>
      </c>
      <c r="S29" s="170">
        <v>1377</v>
      </c>
    </row>
    <row r="30" spans="1:19" ht="18.899999999999999" customHeight="1">
      <c r="A30" s="322">
        <v>6.7495000000000003</v>
      </c>
      <c r="B30" s="260">
        <v>48.473100000000002</v>
      </c>
      <c r="C30" s="255">
        <f t="shared" si="0"/>
        <v>0</v>
      </c>
      <c r="D30" s="256">
        <f t="shared" si="1"/>
        <v>0</v>
      </c>
      <c r="E30" s="324">
        <v>0</v>
      </c>
      <c r="F30" s="300">
        <v>0</v>
      </c>
      <c r="G30" s="324">
        <v>0</v>
      </c>
      <c r="H30" s="300">
        <v>0</v>
      </c>
      <c r="I30" s="255">
        <v>6.7495000000000003</v>
      </c>
      <c r="J30" s="256">
        <v>48.473100000000002</v>
      </c>
      <c r="K30" s="10">
        <v>542.20000000000005</v>
      </c>
      <c r="L30" s="11">
        <v>2513.6999999999998</v>
      </c>
      <c r="M30" s="20">
        <v>86.1</v>
      </c>
      <c r="N30" s="21">
        <v>3193.8</v>
      </c>
      <c r="O30" s="13">
        <v>512.29999999999995</v>
      </c>
      <c r="P30" s="11">
        <v>3799.2</v>
      </c>
      <c r="Q30" s="13">
        <v>5608.9</v>
      </c>
      <c r="R30" s="11">
        <v>38966.400000000001</v>
      </c>
      <c r="S30" s="187">
        <v>1378</v>
      </c>
    </row>
    <row r="31" spans="1:19" ht="18.899999999999999" customHeight="1">
      <c r="A31" s="322">
        <v>6.1108000000000002</v>
      </c>
      <c r="B31" s="256">
        <v>64.918400000000005</v>
      </c>
      <c r="C31" s="255">
        <f t="shared" si="0"/>
        <v>0</v>
      </c>
      <c r="D31" s="256">
        <f t="shared" si="1"/>
        <v>0</v>
      </c>
      <c r="E31" s="296">
        <v>0</v>
      </c>
      <c r="F31" s="297">
        <v>0</v>
      </c>
      <c r="G31" s="296">
        <v>0</v>
      </c>
      <c r="H31" s="297">
        <v>0</v>
      </c>
      <c r="I31" s="255">
        <v>6.1108000000000002</v>
      </c>
      <c r="J31" s="256">
        <v>64.918400000000005</v>
      </c>
      <c r="K31" s="14">
        <v>374.7</v>
      </c>
      <c r="L31" s="15">
        <v>3949.9</v>
      </c>
      <c r="M31" s="22">
        <v>375.8</v>
      </c>
      <c r="N31" s="23">
        <v>3730.7</v>
      </c>
      <c r="O31" s="17">
        <v>1738.8</v>
      </c>
      <c r="P31" s="15">
        <v>7857.1</v>
      </c>
      <c r="Q31" s="17">
        <v>3621.5</v>
      </c>
      <c r="R31" s="15">
        <v>49380.7</v>
      </c>
      <c r="S31" s="226">
        <v>1379</v>
      </c>
    </row>
    <row r="32" spans="1:19" ht="18.899999999999999" customHeight="1">
      <c r="A32" s="312">
        <v>10.4824</v>
      </c>
      <c r="B32" s="297">
        <v>81.615799999999993</v>
      </c>
      <c r="C32" s="296">
        <f t="shared" si="0"/>
        <v>0</v>
      </c>
      <c r="D32" s="297">
        <f t="shared" si="1"/>
        <v>0</v>
      </c>
      <c r="E32" s="296">
        <v>0</v>
      </c>
      <c r="F32" s="297">
        <v>0</v>
      </c>
      <c r="G32" s="296">
        <v>0</v>
      </c>
      <c r="H32" s="297">
        <v>0</v>
      </c>
      <c r="I32" s="255">
        <v>10.4824</v>
      </c>
      <c r="J32" s="256">
        <v>81.615799999999993</v>
      </c>
      <c r="K32" s="14">
        <v>2591.5</v>
      </c>
      <c r="L32" s="15">
        <v>15422.4</v>
      </c>
      <c r="M32" s="22">
        <v>414.8</v>
      </c>
      <c r="N32" s="23">
        <v>4263.2</v>
      </c>
      <c r="O32" s="17">
        <v>642.5</v>
      </c>
      <c r="P32" s="15">
        <v>12192.8</v>
      </c>
      <c r="Q32" s="17">
        <v>6833.6</v>
      </c>
      <c r="R32" s="15">
        <v>49737.4</v>
      </c>
      <c r="S32" s="226">
        <v>1380</v>
      </c>
    </row>
    <row r="33" spans="1:19" ht="18.899999999999999" customHeight="1">
      <c r="A33" s="304">
        <v>24.55165036</v>
      </c>
      <c r="B33" s="305">
        <v>333.501054334</v>
      </c>
      <c r="C33" s="255">
        <f t="shared" si="0"/>
        <v>0</v>
      </c>
      <c r="D33" s="256">
        <f t="shared" si="1"/>
        <v>68.650441890000025</v>
      </c>
      <c r="E33" s="302">
        <v>0</v>
      </c>
      <c r="F33" s="305">
        <v>68650.441890000002</v>
      </c>
      <c r="G33" s="302">
        <v>0</v>
      </c>
      <c r="H33" s="305">
        <v>0</v>
      </c>
      <c r="I33" s="301">
        <v>24.55165036</v>
      </c>
      <c r="J33" s="256">
        <v>264.85061244399998</v>
      </c>
      <c r="K33" s="97">
        <f>'[1]بيمه دانا'!$I$36/1000000</f>
        <v>6043.6623280000003</v>
      </c>
      <c r="L33" s="26">
        <f>'[1]بيمه دانا'!$Q$36/1000000</f>
        <v>13688.999924</v>
      </c>
      <c r="M33" s="27">
        <f>'[1]بيمه البرز'!$I$36/1000000</f>
        <v>675.87728800000002</v>
      </c>
      <c r="N33" s="28">
        <f>'[1]بيمه البرز'!$Q$36/1000000</f>
        <v>4498.7611159999997</v>
      </c>
      <c r="O33" s="25">
        <f>'[1]بيمه آسيا'!$I$36/1000000</f>
        <v>1793.5525279999999</v>
      </c>
      <c r="P33" s="26">
        <f>'[1]بيمه آسيا'!$Q$36/1000000</f>
        <v>133762.62504399999</v>
      </c>
      <c r="Q33" s="25">
        <f>'[1]بيمه ايران'!$I$36/1000000</f>
        <v>16038.558215999999</v>
      </c>
      <c r="R33" s="26">
        <f>'[1]بيمه ايران'!$Q$36/1000000</f>
        <v>112900.22636</v>
      </c>
      <c r="S33" s="170">
        <v>1381</v>
      </c>
    </row>
    <row r="34" spans="1:19" ht="18.899999999999999" customHeight="1">
      <c r="A34" s="304">
        <v>34.597540995999999</v>
      </c>
      <c r="B34" s="305">
        <v>270.29282189100002</v>
      </c>
      <c r="C34" s="301">
        <f t="shared" si="0"/>
        <v>3.0000000000001137E-2</v>
      </c>
      <c r="D34" s="256">
        <f t="shared" si="1"/>
        <v>76.648812827000029</v>
      </c>
      <c r="E34" s="302">
        <v>30</v>
      </c>
      <c r="F34" s="308">
        <v>76648.812827000002</v>
      </c>
      <c r="G34" s="302">
        <v>0</v>
      </c>
      <c r="H34" s="336">
        <v>0</v>
      </c>
      <c r="I34" s="301">
        <v>34.567540995999998</v>
      </c>
      <c r="J34" s="256">
        <v>193.64400906399999</v>
      </c>
      <c r="K34" s="97">
        <f>'[2]بيمه دانا'!$I$36/1000000</f>
        <v>8177.5817079999997</v>
      </c>
      <c r="L34" s="88">
        <f>'[2]بيمه دانا'!$Q$36/1000000</f>
        <v>13033.93016</v>
      </c>
      <c r="M34" s="27">
        <f>'[2]بيمه البرز'!$I$36/1000000</f>
        <v>3708.62122</v>
      </c>
      <c r="N34" s="102">
        <f>'[2]بيمه البرز'!$Q$36/1000000</f>
        <v>33692.682968000001</v>
      </c>
      <c r="O34" s="25">
        <f>'[2]بيمه آسيا'!$I$36/1000000</f>
        <v>6009.494764</v>
      </c>
      <c r="P34" s="88">
        <f>'[2]بيمه آسيا'!$Q$36/1000000</f>
        <v>26116.808455999999</v>
      </c>
      <c r="Q34" s="25">
        <f>'[2]بيمه ايران'!$I$36/1000000</f>
        <v>16671.843304000002</v>
      </c>
      <c r="R34" s="88">
        <f>'[2]بيمه ايران'!$Q$36/1000000</f>
        <v>120800.58748</v>
      </c>
      <c r="S34" s="170">
        <v>1382</v>
      </c>
    </row>
    <row r="35" spans="1:19" ht="18.899999999999999" customHeight="1">
      <c r="A35" s="306">
        <v>48.9589657</v>
      </c>
      <c r="B35" s="307">
        <v>453.73440466</v>
      </c>
      <c r="C35" s="313">
        <f t="shared" si="0"/>
        <v>0.12400697200000366</v>
      </c>
      <c r="D35" s="297">
        <f t="shared" si="1"/>
        <v>60.517978932000005</v>
      </c>
      <c r="E35" s="337">
        <v>124.006972</v>
      </c>
      <c r="F35" s="311">
        <v>60517.978931999998</v>
      </c>
      <c r="G35" s="337">
        <v>0</v>
      </c>
      <c r="H35" s="338">
        <v>0</v>
      </c>
      <c r="I35" s="312">
        <v>48.834958727999997</v>
      </c>
      <c r="J35" s="300">
        <v>393.21642572799999</v>
      </c>
      <c r="K35" s="150">
        <f>'[2]بيمه دانا'!$H$36/1000000</f>
        <v>5009.3406679999998</v>
      </c>
      <c r="L35" s="87">
        <f>'[2]بيمه دانا'!$P$36/1000000</f>
        <v>18227.743304</v>
      </c>
      <c r="M35" s="135">
        <f>'[2]بيمه البرز'!$H$36/1000000</f>
        <v>6859.3301160000001</v>
      </c>
      <c r="N35" s="101">
        <f>'[2]بيمه البرز'!$P$36/1000000</f>
        <v>75275.635336000007</v>
      </c>
      <c r="O35" s="132">
        <f>'[2]بيمه آسيا'!$H$36/1000000</f>
        <v>18760.166624000001</v>
      </c>
      <c r="P35" s="87">
        <f>'[2]بيمه آسيا'!$P$36/1000000</f>
        <v>12727.95808</v>
      </c>
      <c r="Q35" s="132">
        <f>'[2]بيمه ايران'!$H$36/1000000</f>
        <v>18206.121319999998</v>
      </c>
      <c r="R35" s="87">
        <f>'[2]بيمه ايران'!$P$36/1000000</f>
        <v>286985.08900799998</v>
      </c>
      <c r="S35" s="187">
        <v>1383</v>
      </c>
    </row>
    <row r="36" spans="1:19" s="1" customFormat="1" ht="18.899999999999999" customHeight="1">
      <c r="A36" s="304">
        <v>82.673450935999995</v>
      </c>
      <c r="B36" s="305">
        <v>439.93607290099999</v>
      </c>
      <c r="C36" s="255">
        <f t="shared" si="0"/>
        <v>5.3809215359999882</v>
      </c>
      <c r="D36" s="256">
        <f t="shared" si="1"/>
        <v>46.629970804999971</v>
      </c>
      <c r="E36" s="308">
        <v>5371.6345359999996</v>
      </c>
      <c r="F36" s="305">
        <v>54965.482772000003</v>
      </c>
      <c r="G36" s="304">
        <v>9.2870000000000008</v>
      </c>
      <c r="H36" s="305">
        <v>1058.1815879999999</v>
      </c>
      <c r="I36" s="301">
        <v>77.292529400000006</v>
      </c>
      <c r="J36" s="256">
        <v>393.30610209600002</v>
      </c>
      <c r="K36" s="88">
        <f>'[3]بيمه دانا'!$H$36/1000000</f>
        <v>5113.1036599999998</v>
      </c>
      <c r="L36" s="26">
        <f>'[3]بيمه دانا'!$P$36/1000000</f>
        <v>12001.149423999999</v>
      </c>
      <c r="M36" s="102">
        <f>'[3]بيمه البرز'!$H$36/1000000</f>
        <v>11187.473468</v>
      </c>
      <c r="N36" s="28">
        <f>'[3]بيمه البرز'!$P$36/1000000</f>
        <v>115961.470224</v>
      </c>
      <c r="O36" s="88">
        <f>'[3]بيمه آسيا'!$H$36/1000000</f>
        <v>-573.48396400000001</v>
      </c>
      <c r="P36" s="26">
        <f>'[3]بيمه آسيا'!$P$36/1000000</f>
        <v>36913.57458</v>
      </c>
      <c r="Q36" s="88">
        <f>'[3]بيمه ايران'!$H$36/1000000</f>
        <v>61565.436236000001</v>
      </c>
      <c r="R36" s="26">
        <f>'[3]بيمه ايران'!$P$36/1000000</f>
        <v>228429.90786800001</v>
      </c>
      <c r="S36" s="190">
        <v>1384</v>
      </c>
    </row>
    <row r="37" spans="1:19" s="1" customFormat="1" ht="18.899999999999999" customHeight="1">
      <c r="A37" s="329">
        <v>157.30970343600001</v>
      </c>
      <c r="B37" s="330">
        <v>580.81223395999996</v>
      </c>
      <c r="C37" s="315">
        <f t="shared" si="0"/>
        <v>13.423792128000002</v>
      </c>
      <c r="D37" s="260">
        <f t="shared" si="1"/>
        <v>89.641479863999962</v>
      </c>
      <c r="E37" s="331"/>
      <c r="F37" s="331"/>
      <c r="G37" s="331"/>
      <c r="H37" s="331"/>
      <c r="I37" s="315">
        <v>143.885911308</v>
      </c>
      <c r="J37" s="260">
        <v>491.170754096</v>
      </c>
      <c r="K37" s="235"/>
      <c r="L37" s="235"/>
      <c r="M37" s="236"/>
      <c r="N37" s="236"/>
      <c r="O37" s="235"/>
      <c r="P37" s="235"/>
      <c r="Q37" s="235"/>
      <c r="R37" s="235"/>
      <c r="S37" s="230">
        <v>1385</v>
      </c>
    </row>
    <row r="38" spans="1:19" s="1" customFormat="1" ht="18.899999999999999" customHeight="1">
      <c r="A38" s="304">
        <v>129.789057848</v>
      </c>
      <c r="B38" s="305">
        <v>937.47394243199994</v>
      </c>
      <c r="C38" s="298">
        <f t="shared" si="0"/>
        <v>31.362123883999999</v>
      </c>
      <c r="D38" s="256">
        <f t="shared" si="1"/>
        <v>293.20289306799998</v>
      </c>
      <c r="E38" s="308"/>
      <c r="F38" s="308"/>
      <c r="G38" s="308"/>
      <c r="H38" s="308"/>
      <c r="I38" s="298">
        <v>98.426933964</v>
      </c>
      <c r="J38" s="256">
        <v>644.27104936399996</v>
      </c>
      <c r="K38" s="88"/>
      <c r="L38" s="88"/>
      <c r="M38" s="102"/>
      <c r="N38" s="102"/>
      <c r="O38" s="88"/>
      <c r="P38" s="88"/>
      <c r="Q38" s="88"/>
      <c r="R38" s="88"/>
      <c r="S38" s="190">
        <v>1386</v>
      </c>
    </row>
    <row r="39" spans="1:19" s="1" customFormat="1" ht="18.899999999999999" customHeight="1">
      <c r="A39" s="304">
        <v>164.767559224</v>
      </c>
      <c r="B39" s="305">
        <v>761.47966022399999</v>
      </c>
      <c r="C39" s="298">
        <f t="shared" si="0"/>
        <v>33.472645927999991</v>
      </c>
      <c r="D39" s="256">
        <f t="shared" si="1"/>
        <v>151.47250890399994</v>
      </c>
      <c r="E39" s="308"/>
      <c r="F39" s="308"/>
      <c r="G39" s="308"/>
      <c r="H39" s="308"/>
      <c r="I39" s="298">
        <v>131.294913296</v>
      </c>
      <c r="J39" s="256">
        <v>610.00715132000005</v>
      </c>
      <c r="K39" s="88"/>
      <c r="L39" s="88"/>
      <c r="M39" s="102"/>
      <c r="N39" s="102"/>
      <c r="O39" s="88"/>
      <c r="P39" s="88"/>
      <c r="Q39" s="88"/>
      <c r="R39" s="88"/>
      <c r="S39" s="190">
        <v>1387</v>
      </c>
    </row>
    <row r="40" spans="1:19" s="1" customFormat="1" ht="18.899999999999999" customHeight="1">
      <c r="A40" s="304">
        <v>297.89999999999998</v>
      </c>
      <c r="B40" s="305">
        <v>1057.7</v>
      </c>
      <c r="C40" s="298">
        <f t="shared" si="0"/>
        <v>142.36839298799998</v>
      </c>
      <c r="D40" s="256">
        <f t="shared" si="1"/>
        <v>382.20155420800006</v>
      </c>
      <c r="E40" s="308"/>
      <c r="F40" s="308"/>
      <c r="G40" s="308"/>
      <c r="H40" s="308"/>
      <c r="I40" s="298">
        <v>155.53160701199999</v>
      </c>
      <c r="J40" s="256">
        <v>675.49844579199998</v>
      </c>
      <c r="K40" s="88"/>
      <c r="L40" s="88"/>
      <c r="M40" s="102"/>
      <c r="N40" s="102"/>
      <c r="O40" s="88"/>
      <c r="P40" s="88"/>
      <c r="Q40" s="88"/>
      <c r="R40" s="88"/>
      <c r="S40" s="190">
        <v>1388</v>
      </c>
    </row>
    <row r="41" spans="1:19" s="1" customFormat="1" ht="18.899999999999999" customHeight="1">
      <c r="A41" s="304">
        <v>373.89064037999998</v>
      </c>
      <c r="B41" s="305">
        <v>1256.776311008</v>
      </c>
      <c r="C41" s="298">
        <f t="shared" si="0"/>
        <v>233.17761341599999</v>
      </c>
      <c r="D41" s="256">
        <f t="shared" si="1"/>
        <v>659.86417296399998</v>
      </c>
      <c r="E41" s="308"/>
      <c r="F41" s="308"/>
      <c r="G41" s="308"/>
      <c r="H41" s="308"/>
      <c r="I41" s="298">
        <v>140.71302696399999</v>
      </c>
      <c r="J41" s="256">
        <v>596.91213804400002</v>
      </c>
      <c r="K41" s="88"/>
      <c r="L41" s="88"/>
      <c r="M41" s="102"/>
      <c r="N41" s="102"/>
      <c r="O41" s="88"/>
      <c r="P41" s="88"/>
      <c r="Q41" s="88"/>
      <c r="R41" s="88"/>
      <c r="S41" s="190">
        <v>1389</v>
      </c>
    </row>
    <row r="42" spans="1:19" s="1" customFormat="1" ht="18.899999999999999" customHeight="1">
      <c r="A42" s="448">
        <f>559.9</f>
        <v>559.9</v>
      </c>
      <c r="B42" s="447">
        <f>1498.3</f>
        <v>1498.3</v>
      </c>
      <c r="C42" s="424">
        <f t="shared" ref="C42:D51" si="2">A42-I42</f>
        <v>378.4</v>
      </c>
      <c r="D42" s="423">
        <f t="shared" si="2"/>
        <v>878.09999999999991</v>
      </c>
      <c r="E42" s="449"/>
      <c r="F42" s="449"/>
      <c r="G42" s="449"/>
      <c r="H42" s="449"/>
      <c r="I42" s="425">
        <f>181.5</f>
        <v>181.5</v>
      </c>
      <c r="J42" s="423">
        <f>620.2</f>
        <v>620.20000000000005</v>
      </c>
      <c r="K42" s="405"/>
      <c r="L42" s="405"/>
      <c r="M42" s="405"/>
      <c r="N42" s="405"/>
      <c r="O42" s="405"/>
      <c r="P42" s="405"/>
      <c r="Q42" s="405"/>
      <c r="R42" s="405"/>
      <c r="S42" s="427">
        <v>1390</v>
      </c>
    </row>
    <row r="43" spans="1:19" s="1" customFormat="1" ht="18.899999999999999" customHeight="1">
      <c r="A43" s="450">
        <v>418.9</v>
      </c>
      <c r="B43" s="453">
        <f>1552.4</f>
        <v>1552.4</v>
      </c>
      <c r="C43" s="424">
        <f t="shared" si="2"/>
        <v>133.09999999999997</v>
      </c>
      <c r="D43" s="423">
        <f t="shared" si="2"/>
        <v>842.2</v>
      </c>
      <c r="E43" s="502"/>
      <c r="F43" s="452"/>
      <c r="G43" s="452"/>
      <c r="H43" s="453"/>
      <c r="I43" s="428">
        <v>285.8</v>
      </c>
      <c r="J43" s="429">
        <v>710.2</v>
      </c>
      <c r="K43" s="410"/>
      <c r="L43" s="411"/>
      <c r="M43" s="411"/>
      <c r="N43" s="411"/>
      <c r="O43" s="411"/>
      <c r="P43" s="411"/>
      <c r="Q43" s="411"/>
      <c r="R43" s="411"/>
      <c r="S43" s="475">
        <v>1391</v>
      </c>
    </row>
    <row r="44" spans="1:19" s="1" customFormat="1" ht="18.899999999999999" customHeight="1">
      <c r="A44" s="446">
        <v>501.6</v>
      </c>
      <c r="B44" s="457">
        <v>2088.6999999999998</v>
      </c>
      <c r="C44" s="424">
        <f t="shared" si="2"/>
        <v>246.8</v>
      </c>
      <c r="D44" s="423">
        <f t="shared" si="2"/>
        <v>1270.2999999999997</v>
      </c>
      <c r="E44" s="503"/>
      <c r="F44" s="456"/>
      <c r="G44" s="456"/>
      <c r="H44" s="457"/>
      <c r="I44" s="422">
        <v>254.8</v>
      </c>
      <c r="J44" s="423">
        <v>818.4</v>
      </c>
      <c r="K44" s="374"/>
      <c r="L44" s="375"/>
      <c r="M44" s="375"/>
      <c r="N44" s="375"/>
      <c r="O44" s="375"/>
      <c r="P44" s="375"/>
      <c r="Q44" s="375"/>
      <c r="R44" s="375"/>
      <c r="S44" s="478">
        <v>1392</v>
      </c>
    </row>
    <row r="45" spans="1:19" s="1" customFormat="1" ht="18.899999999999999" customHeight="1">
      <c r="A45" s="446">
        <v>1636.5</v>
      </c>
      <c r="B45" s="457">
        <v>5112.1000000000004</v>
      </c>
      <c r="C45" s="424">
        <f t="shared" si="2"/>
        <v>828.7</v>
      </c>
      <c r="D45" s="423">
        <f t="shared" si="2"/>
        <v>3025.1000000000004</v>
      </c>
      <c r="E45" s="503"/>
      <c r="F45" s="456"/>
      <c r="G45" s="456"/>
      <c r="H45" s="457"/>
      <c r="I45" s="422">
        <v>807.8</v>
      </c>
      <c r="J45" s="423">
        <v>2087</v>
      </c>
      <c r="K45" s="374"/>
      <c r="L45" s="375"/>
      <c r="M45" s="375"/>
      <c r="N45" s="375"/>
      <c r="O45" s="375"/>
      <c r="P45" s="375"/>
      <c r="Q45" s="375"/>
      <c r="R45" s="375"/>
      <c r="S45" s="478">
        <v>1393</v>
      </c>
    </row>
    <row r="46" spans="1:19" s="1" customFormat="1" ht="18.899999999999999" customHeight="1">
      <c r="A46" s="446">
        <v>1581.9</v>
      </c>
      <c r="B46" s="457">
        <v>5266.9</v>
      </c>
      <c r="C46" s="424">
        <f t="shared" si="2"/>
        <v>881.7</v>
      </c>
      <c r="D46" s="423">
        <f t="shared" si="2"/>
        <v>3095.4999999999995</v>
      </c>
      <c r="E46" s="503"/>
      <c r="F46" s="456"/>
      <c r="G46" s="456"/>
      <c r="H46" s="457"/>
      <c r="I46" s="422">
        <v>700.2</v>
      </c>
      <c r="J46" s="423">
        <v>2171.4</v>
      </c>
      <c r="K46" s="374"/>
      <c r="L46" s="375"/>
      <c r="M46" s="375"/>
      <c r="N46" s="375"/>
      <c r="O46" s="375"/>
      <c r="P46" s="375"/>
      <c r="Q46" s="375"/>
      <c r="R46" s="375"/>
      <c r="S46" s="478">
        <v>1394</v>
      </c>
    </row>
    <row r="47" spans="1:19" s="1" customFormat="1" ht="18.899999999999999" customHeight="1">
      <c r="A47" s="446">
        <v>1792.2</v>
      </c>
      <c r="B47" s="457">
        <v>5642</v>
      </c>
      <c r="C47" s="424">
        <f t="shared" si="2"/>
        <v>1416.1</v>
      </c>
      <c r="D47" s="423">
        <f t="shared" si="2"/>
        <v>3583.9</v>
      </c>
      <c r="E47" s="503"/>
      <c r="F47" s="456"/>
      <c r="G47" s="456"/>
      <c r="H47" s="457"/>
      <c r="I47" s="422">
        <v>376.1</v>
      </c>
      <c r="J47" s="423">
        <v>2058.1</v>
      </c>
      <c r="K47" s="374"/>
      <c r="L47" s="375"/>
      <c r="M47" s="375"/>
      <c r="N47" s="375"/>
      <c r="O47" s="375"/>
      <c r="P47" s="375"/>
      <c r="Q47" s="375"/>
      <c r="R47" s="375"/>
      <c r="S47" s="478">
        <v>1395</v>
      </c>
    </row>
    <row r="48" spans="1:19" s="1" customFormat="1" ht="18.899999999999999" customHeight="1">
      <c r="A48" s="446">
        <v>2563.6</v>
      </c>
      <c r="B48" s="457">
        <v>8762.9</v>
      </c>
      <c r="C48" s="424">
        <f t="shared" si="2"/>
        <v>1156.5999999999999</v>
      </c>
      <c r="D48" s="423">
        <f t="shared" si="2"/>
        <v>4333</v>
      </c>
      <c r="E48" s="503"/>
      <c r="F48" s="456"/>
      <c r="G48" s="456"/>
      <c r="H48" s="457"/>
      <c r="I48" s="422">
        <v>1407</v>
      </c>
      <c r="J48" s="423">
        <v>4429.8999999999996</v>
      </c>
      <c r="K48" s="374"/>
      <c r="L48" s="375"/>
      <c r="M48" s="375"/>
      <c r="N48" s="375"/>
      <c r="O48" s="375"/>
      <c r="P48" s="375"/>
      <c r="Q48" s="375"/>
      <c r="R48" s="375"/>
      <c r="S48" s="478">
        <v>1396</v>
      </c>
    </row>
    <row r="49" spans="1:19" s="1" customFormat="1" ht="18.899999999999999" customHeight="1">
      <c r="A49" s="446">
        <v>2080.9</v>
      </c>
      <c r="B49" s="457">
        <v>11803.2</v>
      </c>
      <c r="C49" s="424">
        <f>A49-I49</f>
        <v>1241.1000000000001</v>
      </c>
      <c r="D49" s="423">
        <f>B49-J49</f>
        <v>5494.8000000000011</v>
      </c>
      <c r="E49" s="503"/>
      <c r="F49" s="456"/>
      <c r="G49" s="456"/>
      <c r="H49" s="457"/>
      <c r="I49" s="422">
        <f>[6]ایران!$J$15</f>
        <v>839.8</v>
      </c>
      <c r="J49" s="423">
        <f>[6]ایران!$B$15</f>
        <v>6308.4</v>
      </c>
      <c r="K49" s="374"/>
      <c r="L49" s="375"/>
      <c r="M49" s="375"/>
      <c r="N49" s="375"/>
      <c r="O49" s="375"/>
      <c r="P49" s="375"/>
      <c r="Q49" s="375"/>
      <c r="R49" s="375"/>
      <c r="S49" s="478">
        <v>1397</v>
      </c>
    </row>
    <row r="50" spans="1:19" s="1" customFormat="1" ht="18.899999999999999" customHeight="1">
      <c r="A50" s="446">
        <v>1788.2</v>
      </c>
      <c r="B50" s="457">
        <v>9758.4</v>
      </c>
      <c r="C50" s="424">
        <f t="shared" si="2"/>
        <v>1445.5</v>
      </c>
      <c r="D50" s="423">
        <f t="shared" si="2"/>
        <v>6388.5</v>
      </c>
      <c r="E50" s="503"/>
      <c r="F50" s="456"/>
      <c r="G50" s="456"/>
      <c r="H50" s="457"/>
      <c r="I50" s="422">
        <v>342.7</v>
      </c>
      <c r="J50" s="423">
        <v>3369.9</v>
      </c>
      <c r="K50" s="374"/>
      <c r="L50" s="375"/>
      <c r="M50" s="375"/>
      <c r="N50" s="375"/>
      <c r="O50" s="375"/>
      <c r="P50" s="375"/>
      <c r="Q50" s="375"/>
      <c r="R50" s="375"/>
      <c r="S50" s="478">
        <v>1398</v>
      </c>
    </row>
    <row r="51" spans="1:19" s="1" customFormat="1" ht="18.899999999999999" customHeight="1" thickBot="1">
      <c r="A51" s="459">
        <v>5727.4</v>
      </c>
      <c r="B51" s="462">
        <v>14046.4</v>
      </c>
      <c r="C51" s="479">
        <f t="shared" si="2"/>
        <v>2549.9999999999995</v>
      </c>
      <c r="D51" s="438">
        <f t="shared" si="2"/>
        <v>11214.5</v>
      </c>
      <c r="E51" s="504"/>
      <c r="F51" s="461"/>
      <c r="G51" s="461"/>
      <c r="H51" s="462"/>
      <c r="I51" s="437">
        <v>3177.4</v>
      </c>
      <c r="J51" s="438">
        <v>2831.9</v>
      </c>
      <c r="K51" s="397"/>
      <c r="L51" s="398"/>
      <c r="M51" s="398"/>
      <c r="N51" s="398"/>
      <c r="O51" s="398"/>
      <c r="P51" s="398"/>
      <c r="Q51" s="398"/>
      <c r="R51" s="398"/>
      <c r="S51" s="482">
        <v>1399</v>
      </c>
    </row>
    <row r="52" spans="1:19" s="262" customFormat="1" ht="21" customHeight="1">
      <c r="A52" s="563" t="s">
        <v>32</v>
      </c>
      <c r="B52" s="563"/>
      <c r="C52" s="563"/>
      <c r="D52" s="563"/>
      <c r="E52" s="563"/>
      <c r="F52" s="563"/>
      <c r="G52" s="563"/>
      <c r="H52" s="563"/>
      <c r="I52" s="563"/>
      <c r="J52" s="563"/>
      <c r="K52" s="563"/>
      <c r="L52" s="563"/>
      <c r="M52" s="563"/>
      <c r="N52" s="563"/>
      <c r="O52" s="563"/>
      <c r="P52" s="563"/>
      <c r="Q52" s="563"/>
      <c r="R52" s="563"/>
      <c r="S52" s="563"/>
    </row>
    <row r="53" spans="1:19" s="262" customFormat="1" ht="21" customHeight="1">
      <c r="I53" s="564" t="s">
        <v>52</v>
      </c>
      <c r="J53" s="564"/>
      <c r="K53" s="564"/>
      <c r="L53" s="564"/>
      <c r="M53" s="564"/>
      <c r="N53" s="564"/>
      <c r="O53" s="564"/>
      <c r="P53" s="564"/>
      <c r="Q53" s="564"/>
      <c r="R53" s="564"/>
      <c r="S53" s="564"/>
    </row>
  </sheetData>
  <mergeCells count="15">
    <mergeCell ref="I53:S53"/>
    <mergeCell ref="A52:S52"/>
    <mergeCell ref="A4:B4"/>
    <mergeCell ref="G4:H4"/>
    <mergeCell ref="K4:L4"/>
    <mergeCell ref="M4:N4"/>
    <mergeCell ref="O4:P4"/>
    <mergeCell ref="Q4:R4"/>
    <mergeCell ref="I4:J4"/>
    <mergeCell ref="C4:D4"/>
    <mergeCell ref="A3:B3"/>
    <mergeCell ref="S4:S5"/>
    <mergeCell ref="A1:S1"/>
    <mergeCell ref="A2:S2"/>
    <mergeCell ref="E4:F4"/>
  </mergeCells>
  <phoneticPr fontId="0" type="noConversion"/>
  <printOptions horizontalCentered="1" verticalCentered="1"/>
  <pageMargins left="0.39370078740157483" right="0.39370078740157483" top="0.82677165354330717" bottom="0.98425196850393704" header="0.51181102362204722" footer="0.51181102362204722"/>
  <pageSetup paperSize="9" scale="51" orientation="landscape" horizontalDpi="180" verticalDpi="18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zoomScale="80" zoomScaleNormal="80" zoomScaleSheetLayoutView="80" workbookViewId="0">
      <selection activeCell="Q4" sqref="Q4:Q5"/>
    </sheetView>
  </sheetViews>
  <sheetFormatPr defaultColWidth="13.88671875" defaultRowHeight="14.1" customHeight="1"/>
  <cols>
    <col min="1" max="4" width="20.6640625" customWidth="1"/>
    <col min="5" max="6" width="13.88671875" hidden="1" customWidth="1"/>
    <col min="7" max="8" width="20.6640625" customWidth="1"/>
    <col min="9" max="16" width="0" hidden="1" customWidth="1"/>
    <col min="17" max="17" width="20.6640625" customWidth="1"/>
  </cols>
  <sheetData>
    <row r="1" spans="1:25" ht="21" customHeight="1">
      <c r="A1" s="549" t="s">
        <v>43</v>
      </c>
      <c r="B1" s="549"/>
      <c r="C1" s="549"/>
      <c r="D1" s="549"/>
      <c r="E1" s="549"/>
      <c r="F1" s="549"/>
      <c r="G1" s="549"/>
      <c r="H1" s="549"/>
      <c r="I1" s="549"/>
      <c r="J1" s="549"/>
      <c r="K1" s="549"/>
      <c r="L1" s="549"/>
      <c r="M1" s="549"/>
      <c r="N1" s="549"/>
      <c r="O1" s="549"/>
      <c r="P1" s="549"/>
      <c r="Q1" s="549"/>
    </row>
    <row r="2" spans="1:25" ht="21" customHeight="1">
      <c r="A2" s="549" t="s">
        <v>58</v>
      </c>
      <c r="B2" s="549"/>
      <c r="C2" s="549"/>
      <c r="D2" s="549"/>
      <c r="E2" s="549"/>
      <c r="F2" s="549"/>
      <c r="G2" s="549"/>
      <c r="H2" s="549"/>
      <c r="I2" s="549"/>
      <c r="J2" s="549"/>
      <c r="K2" s="549"/>
      <c r="L2" s="549"/>
      <c r="M2" s="549"/>
      <c r="N2" s="549"/>
      <c r="O2" s="549"/>
      <c r="P2" s="549"/>
      <c r="Q2" s="549"/>
      <c r="U2" s="2"/>
      <c r="V2" s="2"/>
      <c r="W2" s="2"/>
      <c r="X2" s="2"/>
      <c r="Y2" s="2"/>
    </row>
    <row r="3" spans="1:25" ht="14.1" customHeight="1" thickBot="1">
      <c r="A3" s="550" t="s">
        <v>56</v>
      </c>
      <c r="B3" s="550"/>
      <c r="C3" s="86"/>
      <c r="D3" s="86"/>
      <c r="E3" s="1"/>
      <c r="F3" s="1"/>
      <c r="G3" s="1"/>
      <c r="H3" s="1"/>
      <c r="I3" s="1"/>
      <c r="J3" s="1"/>
      <c r="K3" s="1"/>
      <c r="L3" s="1"/>
      <c r="M3" s="1"/>
      <c r="N3" s="1"/>
      <c r="O3" s="1"/>
      <c r="P3" s="1"/>
      <c r="Q3" s="1"/>
      <c r="U3" s="2"/>
      <c r="V3" s="2"/>
      <c r="W3" s="2"/>
      <c r="X3" s="2"/>
      <c r="Y3" s="2"/>
    </row>
    <row r="4" spans="1:25" ht="21" customHeight="1">
      <c r="A4" s="569" t="s">
        <v>7</v>
      </c>
      <c r="B4" s="570"/>
      <c r="C4" s="569" t="s">
        <v>33</v>
      </c>
      <c r="D4" s="570"/>
      <c r="E4" s="569" t="s">
        <v>6</v>
      </c>
      <c r="F4" s="570"/>
      <c r="G4" s="569" t="s">
        <v>21</v>
      </c>
      <c r="H4" s="570"/>
      <c r="I4" s="569" t="s">
        <v>21</v>
      </c>
      <c r="J4" s="570"/>
      <c r="K4" s="576" t="s">
        <v>5</v>
      </c>
      <c r="L4" s="577"/>
      <c r="M4" s="578" t="s">
        <v>4</v>
      </c>
      <c r="N4" s="579"/>
      <c r="O4" s="576" t="s">
        <v>3</v>
      </c>
      <c r="P4" s="577"/>
      <c r="Q4" s="557" t="s">
        <v>8</v>
      </c>
    </row>
    <row r="5" spans="1:25" ht="21" customHeight="1" thickBot="1">
      <c r="A5" s="185" t="s">
        <v>25</v>
      </c>
      <c r="B5" s="186" t="s">
        <v>34</v>
      </c>
      <c r="C5" s="185" t="s">
        <v>25</v>
      </c>
      <c r="D5" s="186" t="s">
        <v>34</v>
      </c>
      <c r="E5" s="185" t="s">
        <v>1</v>
      </c>
      <c r="F5" s="186" t="s">
        <v>0</v>
      </c>
      <c r="G5" s="185" t="s">
        <v>25</v>
      </c>
      <c r="H5" s="186" t="s">
        <v>34</v>
      </c>
      <c r="I5" s="185" t="s">
        <v>25</v>
      </c>
      <c r="J5" s="186" t="s">
        <v>24</v>
      </c>
      <c r="K5" s="41" t="s">
        <v>1</v>
      </c>
      <c r="L5" s="42" t="s">
        <v>0</v>
      </c>
      <c r="M5" s="39" t="s">
        <v>1</v>
      </c>
      <c r="N5" s="40" t="s">
        <v>0</v>
      </c>
      <c r="O5" s="41" t="s">
        <v>1</v>
      </c>
      <c r="P5" s="42" t="s">
        <v>0</v>
      </c>
      <c r="Q5" s="558"/>
    </row>
    <row r="6" spans="1:25" ht="18.899999999999999" customHeight="1">
      <c r="A6" s="339">
        <v>4.47E-3</v>
      </c>
      <c r="B6" s="340">
        <v>0.107998</v>
      </c>
      <c r="C6" s="339">
        <f>A6-G6</f>
        <v>0</v>
      </c>
      <c r="D6" s="340">
        <f>B6-H6</f>
        <v>0</v>
      </c>
      <c r="E6" s="339">
        <v>0</v>
      </c>
      <c r="F6" s="340">
        <v>0</v>
      </c>
      <c r="G6" s="343">
        <f>(O6+M6+K6+I6)/1000</f>
        <v>4.47E-3</v>
      </c>
      <c r="H6" s="254">
        <f>(P6+N6+L6+J6)/1000</f>
        <v>0.107998</v>
      </c>
      <c r="I6" s="71">
        <v>0.47</v>
      </c>
      <c r="J6" s="31">
        <v>33</v>
      </c>
      <c r="K6" s="34">
        <v>0</v>
      </c>
      <c r="L6" s="72">
        <v>8.0000000000000002E-3</v>
      </c>
      <c r="M6" s="36">
        <v>0</v>
      </c>
      <c r="N6" s="31">
        <v>0.99</v>
      </c>
      <c r="O6" s="36">
        <v>4</v>
      </c>
      <c r="P6" s="31">
        <v>74</v>
      </c>
      <c r="Q6" s="201">
        <v>1354</v>
      </c>
    </row>
    <row r="7" spans="1:25" ht="18.899999999999999" customHeight="1">
      <c r="A7" s="302">
        <v>6.0000000000000001E-3</v>
      </c>
      <c r="B7" s="305">
        <v>0.15500799999999998</v>
      </c>
      <c r="C7" s="302">
        <f t="shared" ref="C7:C41" si="0">A7-G7</f>
        <v>0</v>
      </c>
      <c r="D7" s="305">
        <f t="shared" ref="D7:D41" si="1">B7-H7</f>
        <v>0</v>
      </c>
      <c r="E7" s="302">
        <v>0</v>
      </c>
      <c r="F7" s="305">
        <v>0</v>
      </c>
      <c r="G7" s="314">
        <f t="shared" ref="G7:H34" si="2">(O7+M7+K7+I7)/1000</f>
        <v>6.0000000000000001E-3</v>
      </c>
      <c r="H7" s="256">
        <f t="shared" si="2"/>
        <v>0.15500799999999998</v>
      </c>
      <c r="I7" s="70">
        <v>6</v>
      </c>
      <c r="J7" s="26">
        <v>45</v>
      </c>
      <c r="K7" s="27">
        <v>0</v>
      </c>
      <c r="L7" s="69">
        <v>8.0000000000000002E-3</v>
      </c>
      <c r="M7" s="25">
        <v>0</v>
      </c>
      <c r="N7" s="26">
        <v>2</v>
      </c>
      <c r="O7" s="25">
        <v>0</v>
      </c>
      <c r="P7" s="26">
        <v>108</v>
      </c>
      <c r="Q7" s="190">
        <v>1355</v>
      </c>
    </row>
    <row r="8" spans="1:25" ht="18.899999999999999" customHeight="1">
      <c r="A8" s="302">
        <v>4.9500000000000004E-3</v>
      </c>
      <c r="B8" s="305">
        <v>0.1242</v>
      </c>
      <c r="C8" s="302">
        <f t="shared" si="0"/>
        <v>0</v>
      </c>
      <c r="D8" s="305">
        <f t="shared" si="1"/>
        <v>0</v>
      </c>
      <c r="E8" s="302">
        <v>0</v>
      </c>
      <c r="F8" s="305">
        <v>0</v>
      </c>
      <c r="G8" s="344">
        <f t="shared" si="2"/>
        <v>4.9500000000000004E-3</v>
      </c>
      <c r="H8" s="256">
        <f t="shared" si="2"/>
        <v>0.1242</v>
      </c>
      <c r="I8" s="25">
        <v>0.95</v>
      </c>
      <c r="J8" s="26">
        <v>103</v>
      </c>
      <c r="K8" s="27">
        <v>0</v>
      </c>
      <c r="L8" s="69">
        <v>0.01</v>
      </c>
      <c r="M8" s="25">
        <v>0</v>
      </c>
      <c r="N8" s="58">
        <v>0.19</v>
      </c>
      <c r="O8" s="25">
        <v>4</v>
      </c>
      <c r="P8" s="26">
        <v>21</v>
      </c>
      <c r="Q8" s="190">
        <v>1356</v>
      </c>
    </row>
    <row r="9" spans="1:25" ht="18.899999999999999" customHeight="1">
      <c r="A9" s="302">
        <v>8.0000000000000002E-3</v>
      </c>
      <c r="B9" s="305">
        <v>0.22907999999999998</v>
      </c>
      <c r="C9" s="302">
        <f t="shared" si="0"/>
        <v>0</v>
      </c>
      <c r="D9" s="305">
        <f t="shared" si="1"/>
        <v>0</v>
      </c>
      <c r="E9" s="302">
        <v>0</v>
      </c>
      <c r="F9" s="305">
        <v>0</v>
      </c>
      <c r="G9" s="314">
        <f t="shared" si="2"/>
        <v>8.0000000000000002E-3</v>
      </c>
      <c r="H9" s="256">
        <f t="shared" si="2"/>
        <v>0.22907999999999998</v>
      </c>
      <c r="I9" s="25">
        <v>8</v>
      </c>
      <c r="J9" s="26">
        <v>110</v>
      </c>
      <c r="K9" s="27">
        <v>0</v>
      </c>
      <c r="L9" s="69">
        <v>0.01</v>
      </c>
      <c r="M9" s="25">
        <v>0</v>
      </c>
      <c r="N9" s="58">
        <v>7.0000000000000007E-2</v>
      </c>
      <c r="O9" s="25">
        <v>0</v>
      </c>
      <c r="P9" s="26">
        <v>119</v>
      </c>
      <c r="Q9" s="190">
        <v>1357</v>
      </c>
    </row>
    <row r="10" spans="1:25" ht="18.899999999999999" customHeight="1">
      <c r="A10" s="302">
        <v>0.24</v>
      </c>
      <c r="B10" s="305">
        <v>0.21715999999999999</v>
      </c>
      <c r="C10" s="302">
        <f t="shared" si="0"/>
        <v>0</v>
      </c>
      <c r="D10" s="305">
        <f t="shared" si="1"/>
        <v>0</v>
      </c>
      <c r="E10" s="302">
        <v>0</v>
      </c>
      <c r="F10" s="305">
        <v>0</v>
      </c>
      <c r="G10" s="255">
        <f t="shared" si="2"/>
        <v>0.24</v>
      </c>
      <c r="H10" s="256">
        <f t="shared" si="2"/>
        <v>0.21715999999999999</v>
      </c>
      <c r="I10" s="25">
        <v>12</v>
      </c>
      <c r="J10" s="26">
        <v>65</v>
      </c>
      <c r="K10" s="27">
        <v>0</v>
      </c>
      <c r="L10" s="28">
        <v>1</v>
      </c>
      <c r="M10" s="25">
        <v>0</v>
      </c>
      <c r="N10" s="58">
        <v>0.16</v>
      </c>
      <c r="O10" s="25">
        <v>228</v>
      </c>
      <c r="P10" s="26">
        <v>151</v>
      </c>
      <c r="Q10" s="190">
        <v>1358</v>
      </c>
    </row>
    <row r="11" spans="1:25" ht="18.899999999999999" customHeight="1">
      <c r="A11" s="341">
        <v>0.22</v>
      </c>
      <c r="B11" s="342">
        <v>0.68705999999999989</v>
      </c>
      <c r="C11" s="302">
        <f t="shared" si="0"/>
        <v>0</v>
      </c>
      <c r="D11" s="305">
        <f t="shared" si="1"/>
        <v>0</v>
      </c>
      <c r="E11" s="302">
        <v>0</v>
      </c>
      <c r="F11" s="305">
        <v>0</v>
      </c>
      <c r="G11" s="255">
        <f t="shared" si="2"/>
        <v>0.22</v>
      </c>
      <c r="H11" s="256">
        <f t="shared" si="2"/>
        <v>0.68705999999999989</v>
      </c>
      <c r="I11" s="25">
        <v>27</v>
      </c>
      <c r="J11" s="28">
        <v>210</v>
      </c>
      <c r="K11" s="27">
        <v>0</v>
      </c>
      <c r="L11" s="28">
        <v>47</v>
      </c>
      <c r="M11" s="25">
        <v>0</v>
      </c>
      <c r="N11" s="58">
        <v>0.06</v>
      </c>
      <c r="O11" s="25">
        <v>193</v>
      </c>
      <c r="P11" s="26">
        <v>430</v>
      </c>
      <c r="Q11" s="190">
        <v>1359</v>
      </c>
    </row>
    <row r="12" spans="1:25" ht="18.899999999999999" customHeight="1">
      <c r="A12" s="302">
        <v>0.78100000000000003</v>
      </c>
      <c r="B12" s="305">
        <v>0.78900000000000003</v>
      </c>
      <c r="C12" s="302">
        <f t="shared" si="0"/>
        <v>0</v>
      </c>
      <c r="D12" s="305">
        <f t="shared" si="1"/>
        <v>0</v>
      </c>
      <c r="E12" s="302">
        <v>0</v>
      </c>
      <c r="F12" s="305">
        <v>0</v>
      </c>
      <c r="G12" s="255">
        <f t="shared" si="2"/>
        <v>0.78100000000000003</v>
      </c>
      <c r="H12" s="256">
        <f t="shared" si="2"/>
        <v>0.78900000000000003</v>
      </c>
      <c r="I12" s="25">
        <v>12</v>
      </c>
      <c r="J12" s="26">
        <v>33</v>
      </c>
      <c r="K12" s="27">
        <v>2</v>
      </c>
      <c r="L12" s="28">
        <v>112</v>
      </c>
      <c r="M12" s="25">
        <v>26</v>
      </c>
      <c r="N12" s="26">
        <v>412</v>
      </c>
      <c r="O12" s="25">
        <v>741</v>
      </c>
      <c r="P12" s="26">
        <v>232</v>
      </c>
      <c r="Q12" s="190">
        <v>1360</v>
      </c>
    </row>
    <row r="13" spans="1:25" ht="18.899999999999999" customHeight="1">
      <c r="A13" s="302">
        <v>0.14099999999999999</v>
      </c>
      <c r="B13" s="305">
        <v>0.57774999999999999</v>
      </c>
      <c r="C13" s="302">
        <f t="shared" si="0"/>
        <v>0</v>
      </c>
      <c r="D13" s="305">
        <f t="shared" si="1"/>
        <v>0</v>
      </c>
      <c r="E13" s="302">
        <v>0</v>
      </c>
      <c r="F13" s="305">
        <v>0</v>
      </c>
      <c r="G13" s="255">
        <f t="shared" si="2"/>
        <v>0.14099999999999999</v>
      </c>
      <c r="H13" s="256">
        <f t="shared" si="2"/>
        <v>0.57774999999999999</v>
      </c>
      <c r="I13" s="25">
        <v>12</v>
      </c>
      <c r="J13" s="58">
        <v>-0.25</v>
      </c>
      <c r="K13" s="27">
        <v>2</v>
      </c>
      <c r="L13" s="28">
        <v>37</v>
      </c>
      <c r="M13" s="25">
        <v>14</v>
      </c>
      <c r="N13" s="26">
        <v>159</v>
      </c>
      <c r="O13" s="25">
        <v>113</v>
      </c>
      <c r="P13" s="26">
        <v>382</v>
      </c>
      <c r="Q13" s="190">
        <v>1361</v>
      </c>
    </row>
    <row r="14" spans="1:25" ht="18.899999999999999" customHeight="1">
      <c r="A14" s="302">
        <v>2.6079999999999999E-2</v>
      </c>
      <c r="B14" s="305">
        <v>0.32818000000000003</v>
      </c>
      <c r="C14" s="302">
        <f t="shared" si="0"/>
        <v>0</v>
      </c>
      <c r="D14" s="305">
        <f t="shared" si="1"/>
        <v>0</v>
      </c>
      <c r="E14" s="302">
        <v>0</v>
      </c>
      <c r="F14" s="305">
        <v>0</v>
      </c>
      <c r="G14" s="314">
        <f t="shared" si="2"/>
        <v>2.6079999999999999E-2</v>
      </c>
      <c r="H14" s="256">
        <f t="shared" si="2"/>
        <v>0.32818000000000003</v>
      </c>
      <c r="I14" s="25">
        <v>6</v>
      </c>
      <c r="J14" s="58">
        <v>0.18</v>
      </c>
      <c r="K14" s="27">
        <v>0</v>
      </c>
      <c r="L14" s="28">
        <v>6</v>
      </c>
      <c r="M14" s="25">
        <v>20</v>
      </c>
      <c r="N14" s="26">
        <v>1</v>
      </c>
      <c r="O14" s="45">
        <v>0.08</v>
      </c>
      <c r="P14" s="26">
        <v>321</v>
      </c>
      <c r="Q14" s="190">
        <v>1362</v>
      </c>
    </row>
    <row r="15" spans="1:25" ht="18.899999999999999" customHeight="1">
      <c r="A15" s="302">
        <v>3.8629999999999998E-2</v>
      </c>
      <c r="B15" s="305">
        <v>0.35899999999999999</v>
      </c>
      <c r="C15" s="302">
        <f t="shared" si="0"/>
        <v>0</v>
      </c>
      <c r="D15" s="305">
        <f t="shared" si="1"/>
        <v>0</v>
      </c>
      <c r="E15" s="302">
        <v>0</v>
      </c>
      <c r="F15" s="305">
        <v>0</v>
      </c>
      <c r="G15" s="314">
        <f t="shared" si="2"/>
        <v>3.8629999999999998E-2</v>
      </c>
      <c r="H15" s="256">
        <f t="shared" si="2"/>
        <v>0.35899999999999999</v>
      </c>
      <c r="I15" s="25">
        <v>0</v>
      </c>
      <c r="J15" s="26">
        <v>0</v>
      </c>
      <c r="K15" s="27">
        <v>8</v>
      </c>
      <c r="L15" s="28">
        <v>60</v>
      </c>
      <c r="M15" s="45">
        <v>-0.37</v>
      </c>
      <c r="N15" s="26">
        <v>15</v>
      </c>
      <c r="O15" s="25">
        <v>31</v>
      </c>
      <c r="P15" s="26">
        <v>284</v>
      </c>
      <c r="Q15" s="190">
        <v>1363</v>
      </c>
    </row>
    <row r="16" spans="1:25" ht="18.899999999999999" customHeight="1">
      <c r="A16" s="302">
        <v>1.7000000000000001E-2</v>
      </c>
      <c r="B16" s="305">
        <v>0.28899999999999998</v>
      </c>
      <c r="C16" s="302">
        <f t="shared" si="0"/>
        <v>0</v>
      </c>
      <c r="D16" s="305">
        <f t="shared" si="1"/>
        <v>0</v>
      </c>
      <c r="E16" s="302">
        <v>0</v>
      </c>
      <c r="F16" s="305">
        <v>0</v>
      </c>
      <c r="G16" s="314">
        <f>(O16+M16+K16+I16)/1000</f>
        <v>1.7000000000000001E-2</v>
      </c>
      <c r="H16" s="256">
        <f t="shared" si="2"/>
        <v>0.28899999999999998</v>
      </c>
      <c r="I16" s="25">
        <v>28</v>
      </c>
      <c r="J16" s="26">
        <v>-7</v>
      </c>
      <c r="K16" s="27">
        <v>5</v>
      </c>
      <c r="L16" s="28">
        <v>91</v>
      </c>
      <c r="M16" s="25">
        <v>-29</v>
      </c>
      <c r="N16" s="26">
        <v>9</v>
      </c>
      <c r="O16" s="25">
        <v>13</v>
      </c>
      <c r="P16" s="26">
        <v>196</v>
      </c>
      <c r="Q16" s="190">
        <v>1364</v>
      </c>
    </row>
    <row r="17" spans="1:17" ht="18.899999999999999" customHeight="1">
      <c r="A17" s="302">
        <v>3.3000000000000002E-2</v>
      </c>
      <c r="B17" s="305">
        <v>0.33068000000000003</v>
      </c>
      <c r="C17" s="302">
        <f t="shared" si="0"/>
        <v>0</v>
      </c>
      <c r="D17" s="305">
        <f t="shared" si="1"/>
        <v>0</v>
      </c>
      <c r="E17" s="302">
        <v>0</v>
      </c>
      <c r="F17" s="305">
        <v>0</v>
      </c>
      <c r="G17" s="314">
        <f t="shared" si="2"/>
        <v>3.3000000000000002E-2</v>
      </c>
      <c r="H17" s="256">
        <f t="shared" si="2"/>
        <v>0.33068000000000003</v>
      </c>
      <c r="I17" s="25">
        <v>0</v>
      </c>
      <c r="J17" s="58">
        <v>-0.32</v>
      </c>
      <c r="K17" s="27">
        <v>43</v>
      </c>
      <c r="L17" s="28">
        <v>177</v>
      </c>
      <c r="M17" s="25">
        <v>-14</v>
      </c>
      <c r="N17" s="26">
        <v>8</v>
      </c>
      <c r="O17" s="25">
        <v>4</v>
      </c>
      <c r="P17" s="26">
        <v>146</v>
      </c>
      <c r="Q17" s="190">
        <v>1365</v>
      </c>
    </row>
    <row r="18" spans="1:17" ht="18.899999999999999" customHeight="1">
      <c r="A18" s="302">
        <v>1.2E-2</v>
      </c>
      <c r="B18" s="305">
        <v>0.36299999999999999</v>
      </c>
      <c r="C18" s="302">
        <f t="shared" si="0"/>
        <v>0</v>
      </c>
      <c r="D18" s="305">
        <f t="shared" si="1"/>
        <v>0</v>
      </c>
      <c r="E18" s="302">
        <v>0</v>
      </c>
      <c r="F18" s="305">
        <v>0</v>
      </c>
      <c r="G18" s="314">
        <f t="shared" si="2"/>
        <v>1.2E-2</v>
      </c>
      <c r="H18" s="256">
        <f>(P18+N18+L18+J18)/1000</f>
        <v>0.36299999999999999</v>
      </c>
      <c r="I18" s="25">
        <v>0</v>
      </c>
      <c r="J18" s="26">
        <v>0</v>
      </c>
      <c r="K18" s="27">
        <v>10</v>
      </c>
      <c r="L18" s="28">
        <v>166</v>
      </c>
      <c r="M18" s="25">
        <v>-7</v>
      </c>
      <c r="N18" s="26">
        <v>9</v>
      </c>
      <c r="O18" s="25">
        <v>9</v>
      </c>
      <c r="P18" s="26">
        <v>188</v>
      </c>
      <c r="Q18" s="190">
        <v>1366</v>
      </c>
    </row>
    <row r="19" spans="1:17" ht="18.899999999999999" customHeight="1">
      <c r="A19" s="302">
        <v>3.6999999999999998E-2</v>
      </c>
      <c r="B19" s="305">
        <v>0.443</v>
      </c>
      <c r="C19" s="302">
        <f t="shared" si="0"/>
        <v>0</v>
      </c>
      <c r="D19" s="305">
        <f t="shared" si="1"/>
        <v>0</v>
      </c>
      <c r="E19" s="302">
        <v>0</v>
      </c>
      <c r="F19" s="305">
        <v>0</v>
      </c>
      <c r="G19" s="314">
        <f t="shared" si="2"/>
        <v>3.6999999999999998E-2</v>
      </c>
      <c r="H19" s="256">
        <f t="shared" si="2"/>
        <v>0.443</v>
      </c>
      <c r="I19" s="25">
        <v>0</v>
      </c>
      <c r="J19" s="26">
        <v>0</v>
      </c>
      <c r="K19" s="27">
        <v>34</v>
      </c>
      <c r="L19" s="28">
        <v>175</v>
      </c>
      <c r="M19" s="25">
        <v>0</v>
      </c>
      <c r="N19" s="26">
        <v>10</v>
      </c>
      <c r="O19" s="25">
        <v>3</v>
      </c>
      <c r="P19" s="26">
        <v>258</v>
      </c>
      <c r="Q19" s="190">
        <v>1367</v>
      </c>
    </row>
    <row r="20" spans="1:17" ht="18.899999999999999" customHeight="1">
      <c r="A20" s="302">
        <v>0.123</v>
      </c>
      <c r="B20" s="305">
        <v>0.46200000000000002</v>
      </c>
      <c r="C20" s="302">
        <f t="shared" si="0"/>
        <v>0</v>
      </c>
      <c r="D20" s="305">
        <f t="shared" si="1"/>
        <v>0</v>
      </c>
      <c r="E20" s="302">
        <v>0</v>
      </c>
      <c r="F20" s="305">
        <v>0</v>
      </c>
      <c r="G20" s="255">
        <f t="shared" si="2"/>
        <v>0.123</v>
      </c>
      <c r="H20" s="256">
        <f t="shared" si="2"/>
        <v>0.46200000000000002</v>
      </c>
      <c r="I20" s="25">
        <v>0</v>
      </c>
      <c r="J20" s="26">
        <v>0</v>
      </c>
      <c r="K20" s="27">
        <v>83</v>
      </c>
      <c r="L20" s="28">
        <v>237</v>
      </c>
      <c r="M20" s="25">
        <v>0</v>
      </c>
      <c r="N20" s="26">
        <v>13</v>
      </c>
      <c r="O20" s="25">
        <v>40</v>
      </c>
      <c r="P20" s="26">
        <v>212</v>
      </c>
      <c r="Q20" s="190">
        <v>1368</v>
      </c>
    </row>
    <row r="21" spans="1:17" ht="18.899999999999999" customHeight="1">
      <c r="A21" s="302">
        <v>6.7499999999999999E-3</v>
      </c>
      <c r="B21" s="305">
        <v>0.498</v>
      </c>
      <c r="C21" s="302">
        <f t="shared" si="0"/>
        <v>0</v>
      </c>
      <c r="D21" s="305">
        <f t="shared" si="1"/>
        <v>0</v>
      </c>
      <c r="E21" s="302">
        <v>0</v>
      </c>
      <c r="F21" s="305">
        <v>0</v>
      </c>
      <c r="G21" s="314">
        <f t="shared" si="2"/>
        <v>6.7499999999999999E-3</v>
      </c>
      <c r="H21" s="256">
        <f t="shared" si="2"/>
        <v>0.498</v>
      </c>
      <c r="I21" s="25">
        <v>0</v>
      </c>
      <c r="J21" s="26">
        <v>0</v>
      </c>
      <c r="K21" s="27">
        <v>3</v>
      </c>
      <c r="L21" s="28">
        <v>275</v>
      </c>
      <c r="M21" s="25">
        <v>0.75</v>
      </c>
      <c r="N21" s="26">
        <v>20</v>
      </c>
      <c r="O21" s="25">
        <v>3</v>
      </c>
      <c r="P21" s="26">
        <v>203</v>
      </c>
      <c r="Q21" s="190">
        <v>1369</v>
      </c>
    </row>
    <row r="22" spans="1:17" ht="18.899999999999999" customHeight="1">
      <c r="A22" s="302">
        <v>4.4000000000000002E-4</v>
      </c>
      <c r="B22" s="305">
        <v>0.6</v>
      </c>
      <c r="C22" s="302">
        <f t="shared" si="0"/>
        <v>0</v>
      </c>
      <c r="D22" s="305">
        <f t="shared" si="1"/>
        <v>0</v>
      </c>
      <c r="E22" s="302">
        <v>0</v>
      </c>
      <c r="F22" s="305">
        <v>0</v>
      </c>
      <c r="G22" s="345">
        <f t="shared" si="2"/>
        <v>4.4000000000000002E-4</v>
      </c>
      <c r="H22" s="256">
        <f t="shared" si="2"/>
        <v>0.6</v>
      </c>
      <c r="I22" s="25">
        <v>0</v>
      </c>
      <c r="J22" s="26">
        <v>0</v>
      </c>
      <c r="K22" s="27">
        <v>0.75</v>
      </c>
      <c r="L22" s="28">
        <v>344</v>
      </c>
      <c r="M22" s="25">
        <v>0</v>
      </c>
      <c r="N22" s="26">
        <v>28</v>
      </c>
      <c r="O22" s="45">
        <v>-0.31</v>
      </c>
      <c r="P22" s="26">
        <v>228</v>
      </c>
      <c r="Q22" s="190">
        <v>1370</v>
      </c>
    </row>
    <row r="23" spans="1:17" ht="18.899999999999999" customHeight="1">
      <c r="A23" s="302">
        <v>0.13400000000000001</v>
      </c>
      <c r="B23" s="305">
        <v>1.4810000000000001</v>
      </c>
      <c r="C23" s="302">
        <f t="shared" si="0"/>
        <v>0</v>
      </c>
      <c r="D23" s="305">
        <f t="shared" si="1"/>
        <v>0</v>
      </c>
      <c r="E23" s="302">
        <v>0</v>
      </c>
      <c r="F23" s="305">
        <v>0</v>
      </c>
      <c r="G23" s="255">
        <f t="shared" si="2"/>
        <v>0.13400000000000001</v>
      </c>
      <c r="H23" s="256">
        <f t="shared" si="2"/>
        <v>1.4810000000000001</v>
      </c>
      <c r="I23" s="25">
        <v>0</v>
      </c>
      <c r="J23" s="26">
        <v>0</v>
      </c>
      <c r="K23" s="27">
        <v>111</v>
      </c>
      <c r="L23" s="28">
        <v>469</v>
      </c>
      <c r="M23" s="25">
        <v>0</v>
      </c>
      <c r="N23" s="26">
        <v>42</v>
      </c>
      <c r="O23" s="25">
        <v>23</v>
      </c>
      <c r="P23" s="26">
        <v>970</v>
      </c>
      <c r="Q23" s="190">
        <v>1371</v>
      </c>
    </row>
    <row r="24" spans="1:17" ht="18.899999999999999" customHeight="1">
      <c r="A24" s="302">
        <v>8.5000000000000006E-2</v>
      </c>
      <c r="B24" s="305">
        <v>1.4079999999999999</v>
      </c>
      <c r="C24" s="302">
        <f t="shared" si="0"/>
        <v>0</v>
      </c>
      <c r="D24" s="305">
        <f t="shared" si="1"/>
        <v>0</v>
      </c>
      <c r="E24" s="302">
        <v>0</v>
      </c>
      <c r="F24" s="305">
        <v>0</v>
      </c>
      <c r="G24" s="255">
        <f t="shared" si="2"/>
        <v>8.5000000000000006E-2</v>
      </c>
      <c r="H24" s="256">
        <f t="shared" si="2"/>
        <v>1.4079999999999999</v>
      </c>
      <c r="I24" s="25">
        <v>0</v>
      </c>
      <c r="J24" s="26">
        <v>0</v>
      </c>
      <c r="K24" s="27">
        <v>90</v>
      </c>
      <c r="L24" s="28">
        <v>929</v>
      </c>
      <c r="M24" s="25">
        <v>6</v>
      </c>
      <c r="N24" s="26">
        <v>57</v>
      </c>
      <c r="O24" s="25">
        <v>-11</v>
      </c>
      <c r="P24" s="26">
        <v>422</v>
      </c>
      <c r="Q24" s="190">
        <v>1372</v>
      </c>
    </row>
    <row r="25" spans="1:17" ht="18.899999999999999" customHeight="1">
      <c r="A25" s="302">
        <v>0.04</v>
      </c>
      <c r="B25" s="305">
        <v>0.95099999999999996</v>
      </c>
      <c r="C25" s="302">
        <f t="shared" si="0"/>
        <v>0</v>
      </c>
      <c r="D25" s="305">
        <f t="shared" si="1"/>
        <v>0</v>
      </c>
      <c r="E25" s="302">
        <v>0</v>
      </c>
      <c r="F25" s="305">
        <v>0</v>
      </c>
      <c r="G25" s="314">
        <f>(O25+M25+K25+I25)/1000</f>
        <v>0.04</v>
      </c>
      <c r="H25" s="256">
        <f>(P25+N25+L25+J25)/1000</f>
        <v>0.95099999999999996</v>
      </c>
      <c r="I25" s="25">
        <v>0</v>
      </c>
      <c r="J25" s="26">
        <v>0</v>
      </c>
      <c r="K25" s="27">
        <v>16</v>
      </c>
      <c r="L25" s="28">
        <v>452</v>
      </c>
      <c r="M25" s="25">
        <v>4</v>
      </c>
      <c r="N25" s="26">
        <v>80</v>
      </c>
      <c r="O25" s="25">
        <v>20</v>
      </c>
      <c r="P25" s="26">
        <v>419</v>
      </c>
      <c r="Q25" s="190">
        <v>1373</v>
      </c>
    </row>
    <row r="26" spans="1:17" ht="18.899999999999999" customHeight="1">
      <c r="A26" s="302">
        <v>0.124</v>
      </c>
      <c r="B26" s="305">
        <v>1.53</v>
      </c>
      <c r="C26" s="302">
        <f t="shared" si="0"/>
        <v>0</v>
      </c>
      <c r="D26" s="305">
        <f t="shared" si="1"/>
        <v>0</v>
      </c>
      <c r="E26" s="302">
        <v>0</v>
      </c>
      <c r="F26" s="305">
        <v>0</v>
      </c>
      <c r="G26" s="255">
        <f t="shared" si="2"/>
        <v>0.124</v>
      </c>
      <c r="H26" s="256">
        <f t="shared" si="2"/>
        <v>1.53</v>
      </c>
      <c r="I26" s="25">
        <v>0</v>
      </c>
      <c r="J26" s="26">
        <v>0</v>
      </c>
      <c r="K26" s="27">
        <v>40</v>
      </c>
      <c r="L26" s="28">
        <v>777</v>
      </c>
      <c r="M26" s="25">
        <v>6</v>
      </c>
      <c r="N26" s="26">
        <v>184</v>
      </c>
      <c r="O26" s="25">
        <v>78</v>
      </c>
      <c r="P26" s="26">
        <v>569</v>
      </c>
      <c r="Q26" s="190">
        <v>1374</v>
      </c>
    </row>
    <row r="27" spans="1:17" ht="18.899999999999999" customHeight="1">
      <c r="A27" s="302">
        <v>0.745</v>
      </c>
      <c r="B27" s="305">
        <v>1.734</v>
      </c>
      <c r="C27" s="302">
        <f t="shared" si="0"/>
        <v>0</v>
      </c>
      <c r="D27" s="305">
        <f t="shared" si="1"/>
        <v>0</v>
      </c>
      <c r="E27" s="302">
        <v>0</v>
      </c>
      <c r="F27" s="305">
        <v>0</v>
      </c>
      <c r="G27" s="255">
        <f t="shared" si="2"/>
        <v>0.745</v>
      </c>
      <c r="H27" s="256">
        <f t="shared" si="2"/>
        <v>1.734</v>
      </c>
      <c r="I27" s="25">
        <v>0</v>
      </c>
      <c r="J27" s="26">
        <v>0</v>
      </c>
      <c r="K27" s="27">
        <v>146</v>
      </c>
      <c r="L27" s="28">
        <v>935</v>
      </c>
      <c r="M27" s="25">
        <v>0</v>
      </c>
      <c r="N27" s="26">
        <v>278</v>
      </c>
      <c r="O27" s="25">
        <v>599</v>
      </c>
      <c r="P27" s="26">
        <v>521</v>
      </c>
      <c r="Q27" s="190">
        <v>1375</v>
      </c>
    </row>
    <row r="28" spans="1:17" ht="18.899999999999999" customHeight="1">
      <c r="A28" s="302">
        <v>9.9000000000000005E-2</v>
      </c>
      <c r="B28" s="305">
        <v>1.6539999999999999</v>
      </c>
      <c r="C28" s="302">
        <f t="shared" si="0"/>
        <v>0</v>
      </c>
      <c r="D28" s="305">
        <f t="shared" si="1"/>
        <v>0</v>
      </c>
      <c r="E28" s="302">
        <v>0</v>
      </c>
      <c r="F28" s="305">
        <v>0</v>
      </c>
      <c r="G28" s="255">
        <f t="shared" si="2"/>
        <v>9.9000000000000005E-2</v>
      </c>
      <c r="H28" s="256">
        <f t="shared" si="2"/>
        <v>1.6539999999999999</v>
      </c>
      <c r="I28" s="25">
        <v>0</v>
      </c>
      <c r="J28" s="26">
        <v>4</v>
      </c>
      <c r="K28" s="27">
        <v>40</v>
      </c>
      <c r="L28" s="28">
        <v>360</v>
      </c>
      <c r="M28" s="25">
        <v>0</v>
      </c>
      <c r="N28" s="26">
        <v>395</v>
      </c>
      <c r="O28" s="25">
        <v>59</v>
      </c>
      <c r="P28" s="26">
        <v>895</v>
      </c>
      <c r="Q28" s="190">
        <v>1376</v>
      </c>
    </row>
    <row r="29" spans="1:17" ht="18.899999999999999" customHeight="1">
      <c r="A29" s="302">
        <v>0.27800000000000002</v>
      </c>
      <c r="B29" s="305">
        <v>2.149</v>
      </c>
      <c r="C29" s="302">
        <f t="shared" si="0"/>
        <v>0</v>
      </c>
      <c r="D29" s="305">
        <f t="shared" si="1"/>
        <v>0</v>
      </c>
      <c r="E29" s="302">
        <v>0</v>
      </c>
      <c r="F29" s="305">
        <v>0</v>
      </c>
      <c r="G29" s="255">
        <f t="shared" si="2"/>
        <v>0.27800000000000002</v>
      </c>
      <c r="H29" s="256">
        <f t="shared" si="2"/>
        <v>2.149</v>
      </c>
      <c r="I29" s="25">
        <v>0</v>
      </c>
      <c r="J29" s="26">
        <v>12</v>
      </c>
      <c r="K29" s="27">
        <v>35</v>
      </c>
      <c r="L29" s="28">
        <v>418</v>
      </c>
      <c r="M29" s="25">
        <v>0</v>
      </c>
      <c r="N29" s="26">
        <v>461</v>
      </c>
      <c r="O29" s="25">
        <v>243</v>
      </c>
      <c r="P29" s="26">
        <v>1258</v>
      </c>
      <c r="Q29" s="190">
        <v>1377</v>
      </c>
    </row>
    <row r="30" spans="1:17" ht="18.899999999999999" customHeight="1">
      <c r="A30" s="302">
        <v>1.83338</v>
      </c>
      <c r="B30" s="305">
        <v>2.7951250000000001</v>
      </c>
      <c r="C30" s="302">
        <f t="shared" si="0"/>
        <v>0</v>
      </c>
      <c r="D30" s="305">
        <f t="shared" si="1"/>
        <v>0</v>
      </c>
      <c r="E30" s="302">
        <v>0</v>
      </c>
      <c r="F30" s="305">
        <v>0</v>
      </c>
      <c r="G30" s="255">
        <f t="shared" si="2"/>
        <v>1.83338</v>
      </c>
      <c r="H30" s="256">
        <f t="shared" si="2"/>
        <v>2.7951250000000001</v>
      </c>
      <c r="I30" s="25">
        <v>0</v>
      </c>
      <c r="J30" s="26">
        <f>0.565</f>
        <v>0.56499999999999995</v>
      </c>
      <c r="K30" s="27">
        <v>413.4</v>
      </c>
      <c r="L30" s="28">
        <v>762.4</v>
      </c>
      <c r="M30" s="25">
        <f>3.08</f>
        <v>3.08</v>
      </c>
      <c r="N30" s="26">
        <v>345.2</v>
      </c>
      <c r="O30" s="25">
        <v>1416.9</v>
      </c>
      <c r="P30" s="26">
        <f>1686.96</f>
        <v>1686.96</v>
      </c>
      <c r="Q30" s="202">
        <v>1378</v>
      </c>
    </row>
    <row r="31" spans="1:17" ht="18.899999999999999" customHeight="1">
      <c r="A31" s="302">
        <v>0.62960000000000005</v>
      </c>
      <c r="B31" s="305">
        <v>3.9484000000000004</v>
      </c>
      <c r="C31" s="302">
        <f t="shared" si="0"/>
        <v>0</v>
      </c>
      <c r="D31" s="305">
        <f t="shared" si="1"/>
        <v>0</v>
      </c>
      <c r="E31" s="302">
        <v>0</v>
      </c>
      <c r="F31" s="305">
        <v>0</v>
      </c>
      <c r="G31" s="255">
        <f t="shared" si="2"/>
        <v>0.62960000000000005</v>
      </c>
      <c r="H31" s="256">
        <f t="shared" si="2"/>
        <v>3.9484000000000004</v>
      </c>
      <c r="I31" s="25">
        <v>0</v>
      </c>
      <c r="J31" s="26">
        <v>233</v>
      </c>
      <c r="K31" s="27">
        <v>189.8</v>
      </c>
      <c r="L31" s="28">
        <v>669.2</v>
      </c>
      <c r="M31" s="25">
        <v>21.3</v>
      </c>
      <c r="N31" s="26">
        <v>361.4</v>
      </c>
      <c r="O31" s="25">
        <v>418.5</v>
      </c>
      <c r="P31" s="26">
        <v>2684.8</v>
      </c>
      <c r="Q31" s="203">
        <v>1379</v>
      </c>
    </row>
    <row r="32" spans="1:17" ht="18.899999999999999" customHeight="1">
      <c r="A32" s="327">
        <v>2.3449</v>
      </c>
      <c r="B32" s="307">
        <v>5.7134999999999989</v>
      </c>
      <c r="C32" s="327">
        <f t="shared" si="0"/>
        <v>0</v>
      </c>
      <c r="D32" s="307">
        <f t="shared" si="1"/>
        <v>0</v>
      </c>
      <c r="E32" s="327">
        <v>0</v>
      </c>
      <c r="F32" s="307">
        <v>0</v>
      </c>
      <c r="G32" s="255">
        <f t="shared" si="2"/>
        <v>2.3449</v>
      </c>
      <c r="H32" s="256">
        <f t="shared" si="2"/>
        <v>5.7134999999999989</v>
      </c>
      <c r="I32" s="29">
        <v>3.5</v>
      </c>
      <c r="J32" s="30">
        <v>372.7</v>
      </c>
      <c r="K32" s="32">
        <v>304.60000000000002</v>
      </c>
      <c r="L32" s="33">
        <v>1018.9</v>
      </c>
      <c r="M32" s="29">
        <v>10.8</v>
      </c>
      <c r="N32" s="30">
        <v>740.9</v>
      </c>
      <c r="O32" s="29">
        <v>2026</v>
      </c>
      <c r="P32" s="30">
        <v>3581</v>
      </c>
      <c r="Q32" s="203">
        <v>1380</v>
      </c>
    </row>
    <row r="33" spans="1:17" ht="18.899999999999999" customHeight="1">
      <c r="A33" s="302">
        <v>4.6232394599999997</v>
      </c>
      <c r="B33" s="305">
        <v>7.6221106120000002</v>
      </c>
      <c r="C33" s="302">
        <f t="shared" si="0"/>
        <v>0</v>
      </c>
      <c r="D33" s="305">
        <f t="shared" si="1"/>
        <v>0</v>
      </c>
      <c r="E33" s="302">
        <v>0</v>
      </c>
      <c r="F33" s="305">
        <v>0</v>
      </c>
      <c r="G33" s="255">
        <f t="shared" si="2"/>
        <v>4.6232394599999997</v>
      </c>
      <c r="H33" s="256">
        <f t="shared" si="2"/>
        <v>7.6221106120000002</v>
      </c>
      <c r="I33" s="25">
        <f>'[1]بيمه دانا'!$I$37/1000000</f>
        <v>13</v>
      </c>
      <c r="J33" s="26">
        <f>'[1]بيمه دانا'!$Q$37/1000000</f>
        <v>310.11674399999998</v>
      </c>
      <c r="K33" s="27">
        <f>'[1]بيمه البرز'!$I$37/1000000</f>
        <v>987.762248</v>
      </c>
      <c r="L33" s="28">
        <f>'[1]بيمه البرز'!$Q$37/1000000</f>
        <v>1199.6374040000001</v>
      </c>
      <c r="M33" s="25">
        <f>'[1]بيمه آسيا'!$I$37/1000000</f>
        <v>16.532271999999999</v>
      </c>
      <c r="N33" s="26">
        <f>'[1]بيمه آسيا'!$Q$37/1000000</f>
        <v>1206.401292</v>
      </c>
      <c r="O33" s="25">
        <f>'[1]بيمه ايران'!$I$37/1000000</f>
        <v>3605.9449399999999</v>
      </c>
      <c r="P33" s="26">
        <f>'[1]بيمه ايران'!$Q$37/1000000</f>
        <v>4905.9551719999999</v>
      </c>
      <c r="Q33" s="190">
        <v>1381</v>
      </c>
    </row>
    <row r="34" spans="1:17" ht="18.899999999999999" customHeight="1">
      <c r="A34" s="302">
        <v>2.8973461319999996</v>
      </c>
      <c r="B34" s="305">
        <v>11.989231292000001</v>
      </c>
      <c r="C34" s="302">
        <f t="shared" si="0"/>
        <v>0</v>
      </c>
      <c r="D34" s="305">
        <f t="shared" si="1"/>
        <v>0.51280752400000118</v>
      </c>
      <c r="E34" s="302">
        <v>0</v>
      </c>
      <c r="F34" s="305">
        <v>0</v>
      </c>
      <c r="G34" s="255">
        <f t="shared" si="2"/>
        <v>2.8973461319999996</v>
      </c>
      <c r="H34" s="256">
        <f t="shared" si="2"/>
        <v>11.476423768</v>
      </c>
      <c r="I34" s="25">
        <f>'[2]بيمه دانا'!$I$37/1000000</f>
        <v>16.626664000000002</v>
      </c>
      <c r="J34" s="26">
        <f>'[2]بيمه دانا'!$Q$37/1000000</f>
        <v>112.56029599999999</v>
      </c>
      <c r="K34" s="27">
        <f>'[2]بيمه البرز'!$I$37/1000000</f>
        <v>176.653356</v>
      </c>
      <c r="L34" s="28">
        <f>'[2]بيمه البرز'!$Q$37/1000000</f>
        <v>2495.661372</v>
      </c>
      <c r="M34" s="25">
        <f>'[2]بيمه آسيا'!$I$37</f>
        <v>0</v>
      </c>
      <c r="N34" s="26">
        <f>'[2]بيمه آسيا'!$Q$37/1000000</f>
        <v>1079.289996</v>
      </c>
      <c r="O34" s="25">
        <f>'[2]بيمه ايران'!$I$37/1000000</f>
        <v>2704.066112</v>
      </c>
      <c r="P34" s="26">
        <f>'[2]بيمه ايران'!$Q$37/1000000</f>
        <v>7788.912104</v>
      </c>
      <c r="Q34" s="190">
        <v>1382</v>
      </c>
    </row>
    <row r="35" spans="1:17" ht="18.899999999999999" customHeight="1">
      <c r="A35" s="327">
        <v>3.8214845680000002</v>
      </c>
      <c r="B35" s="307">
        <v>12.848237967999999</v>
      </c>
      <c r="C35" s="337">
        <f t="shared" si="0"/>
        <v>0.12811932000000015</v>
      </c>
      <c r="D35" s="310">
        <f t="shared" si="1"/>
        <v>4.1925630159999994</v>
      </c>
      <c r="E35" s="337">
        <v>0</v>
      </c>
      <c r="F35" s="310">
        <v>0</v>
      </c>
      <c r="G35" s="255">
        <f>(O35+M35+K35+I35)/1000</f>
        <v>3.6933652480000001</v>
      </c>
      <c r="H35" s="256">
        <f t="shared" ref="H35:H36" si="3">(P35+N35+L35+J35)/1000</f>
        <v>8.655674952</v>
      </c>
      <c r="I35" s="132">
        <f>'[2]بيمه دانا'!$H$37/1000000</f>
        <v>44.5</v>
      </c>
      <c r="J35" s="134">
        <f>'[2]بيمه دانا'!$P$37/1000000</f>
        <v>89.961771999999996</v>
      </c>
      <c r="K35" s="135">
        <f>'[2]بيمه البرز'!$H$37/1000000</f>
        <v>497.61436800000001</v>
      </c>
      <c r="L35" s="136">
        <f>'[2]بيمه البرز'!$P$37/1000000</f>
        <v>1924.8412880000001</v>
      </c>
      <c r="M35" s="132">
        <f>'[2]بيمه آسيا'!$H$37/1000000</f>
        <v>259.12470000000002</v>
      </c>
      <c r="N35" s="134">
        <f>'[2]بيمه آسيا'!$P$37/1000000</f>
        <v>1114.576928</v>
      </c>
      <c r="O35" s="132">
        <f>'[2]بيمه ايران'!$H$37/1000000</f>
        <v>2892.1261800000002</v>
      </c>
      <c r="P35" s="134">
        <f>'[2]بيمه ايران'!$P$37/1000000</f>
        <v>5526.2949639999997</v>
      </c>
      <c r="Q35" s="204">
        <v>1383</v>
      </c>
    </row>
    <row r="36" spans="1:17" s="1" customFormat="1" ht="18.899999999999999" customHeight="1">
      <c r="A36" s="302">
        <v>4.8076788399999995</v>
      </c>
      <c r="B36" s="305">
        <v>19.168400683999998</v>
      </c>
      <c r="C36" s="308">
        <f t="shared" si="0"/>
        <v>3.9999999999986713E-3</v>
      </c>
      <c r="D36" s="305">
        <f t="shared" si="1"/>
        <v>6.4376270800000004</v>
      </c>
      <c r="E36" s="308"/>
      <c r="F36" s="308"/>
      <c r="G36" s="259">
        <f>(O36+M36+K36+I36)/1000</f>
        <v>4.8036788400000008</v>
      </c>
      <c r="H36" s="260">
        <f t="shared" si="3"/>
        <v>12.730773603999998</v>
      </c>
      <c r="I36" s="88">
        <f>'[3]بيمه دانا'!$H$37/1000000</f>
        <v>173.8</v>
      </c>
      <c r="J36" s="26">
        <f>'[3]بيمه دانا'!$P$37/1000000</f>
        <v>161.65</v>
      </c>
      <c r="K36" s="102">
        <f>'[3]بيمه البرز'!$H$37/1000000</f>
        <v>685.27092000000005</v>
      </c>
      <c r="L36" s="28">
        <f>'[3]بيمه البرز'!$P$37/1000000</f>
        <v>2715.1439399999999</v>
      </c>
      <c r="M36" s="88">
        <f>'[3]بيمه آسيا'!$H$37/1000000</f>
        <v>91.322999999999993</v>
      </c>
      <c r="N36" s="26">
        <f>'[3]بيمه آسيا'!$P$37/1000000</f>
        <v>907.84590800000001</v>
      </c>
      <c r="O36" s="88">
        <f>'[3]بيمه ايران'!$H$37/1000000</f>
        <v>3853.2849200000001</v>
      </c>
      <c r="P36" s="26">
        <f>'[3]بيمه ايران'!$P$37/1000000</f>
        <v>8946.1337559999993</v>
      </c>
      <c r="Q36" s="199">
        <v>1384</v>
      </c>
    </row>
    <row r="37" spans="1:17" s="1" customFormat="1" ht="18.899999999999999" customHeight="1">
      <c r="A37" s="334">
        <v>3.5770557119999999</v>
      </c>
      <c r="B37" s="330">
        <v>32.120896459999997</v>
      </c>
      <c r="C37" s="331">
        <f t="shared" si="0"/>
        <v>0.17967487999999987</v>
      </c>
      <c r="D37" s="330">
        <f t="shared" si="1"/>
        <v>10.538450923999996</v>
      </c>
      <c r="E37" s="331"/>
      <c r="F37" s="331"/>
      <c r="G37" s="331">
        <f>'[9]بازار دولتي'!$AD$17*1000/1000</f>
        <v>3.3973808320000001</v>
      </c>
      <c r="H37" s="330">
        <f>'[9]بازار دولتي'!$AL$17*1000/1000</f>
        <v>21.582445536000002</v>
      </c>
      <c r="I37" s="235"/>
      <c r="J37" s="235"/>
      <c r="K37" s="236"/>
      <c r="L37" s="236"/>
      <c r="M37" s="235"/>
      <c r="N37" s="235"/>
      <c r="O37" s="235"/>
      <c r="P37" s="235"/>
      <c r="Q37" s="237">
        <v>1385</v>
      </c>
    </row>
    <row r="38" spans="1:17" s="1" customFormat="1" ht="18.899999999999999" customHeight="1">
      <c r="A38" s="302">
        <v>3.3147890439999999</v>
      </c>
      <c r="B38" s="305">
        <v>39.021467744000006</v>
      </c>
      <c r="C38" s="308">
        <f t="shared" si="0"/>
        <v>0.2676068840000001</v>
      </c>
      <c r="D38" s="305">
        <f t="shared" si="1"/>
        <v>13.354535900000005</v>
      </c>
      <c r="E38" s="308"/>
      <c r="F38" s="308"/>
      <c r="G38" s="308">
        <f>'[10]بازار دولتي'!$AD$17*1000/1000</f>
        <v>3.0471821599999998</v>
      </c>
      <c r="H38" s="305">
        <f>'[10]بازار دولتي'!$AL$17*1000/1000</f>
        <v>25.666931844</v>
      </c>
      <c r="I38" s="88"/>
      <c r="J38" s="88"/>
      <c r="K38" s="102"/>
      <c r="L38" s="102"/>
      <c r="M38" s="88"/>
      <c r="N38" s="88"/>
      <c r="O38" s="88"/>
      <c r="P38" s="88"/>
      <c r="Q38" s="199">
        <v>1386</v>
      </c>
    </row>
    <row r="39" spans="1:17" s="1" customFormat="1" ht="18.899999999999999" customHeight="1">
      <c r="A39" s="302">
        <v>5.406974956</v>
      </c>
      <c r="B39" s="305">
        <v>33.458537499999998</v>
      </c>
      <c r="C39" s="308">
        <f t="shared" si="0"/>
        <v>0.75991349199999991</v>
      </c>
      <c r="D39" s="305">
        <f t="shared" si="1"/>
        <v>14.405587139999998</v>
      </c>
      <c r="E39" s="308"/>
      <c r="F39" s="308"/>
      <c r="G39" s="308">
        <f>'[11]بازار دولتي'!$L$17*1000/1000</f>
        <v>4.6470614640000001</v>
      </c>
      <c r="H39" s="305">
        <f>'[11]بازار دولتي'!$T$17*1000/1000</f>
        <v>19.052950360000001</v>
      </c>
      <c r="I39" s="88"/>
      <c r="J39" s="88"/>
      <c r="K39" s="102"/>
      <c r="L39" s="102"/>
      <c r="M39" s="88"/>
      <c r="N39" s="88"/>
      <c r="O39" s="88"/>
      <c r="P39" s="88"/>
      <c r="Q39" s="199">
        <v>1387</v>
      </c>
    </row>
    <row r="40" spans="1:17" s="1" customFormat="1" ht="18.899999999999999" customHeight="1">
      <c r="A40" s="302">
        <v>11.767118912000003</v>
      </c>
      <c r="B40" s="305">
        <v>58.867993863999999</v>
      </c>
      <c r="C40" s="308">
        <f t="shared" si="0"/>
        <v>6.2059382440000022</v>
      </c>
      <c r="D40" s="305">
        <f t="shared" si="1"/>
        <v>40.331708496000005</v>
      </c>
      <c r="E40" s="308"/>
      <c r="F40" s="308"/>
      <c r="G40" s="308">
        <f>[12]دولتی!$L$17*1000/1000</f>
        <v>5.5611806680000004</v>
      </c>
      <c r="H40" s="305">
        <f>[12]دولتی!$T$17*1000/1000</f>
        <v>18.536285367999998</v>
      </c>
      <c r="I40" s="88"/>
      <c r="J40" s="88"/>
      <c r="K40" s="102"/>
      <c r="L40" s="102"/>
      <c r="M40" s="88"/>
      <c r="N40" s="88"/>
      <c r="O40" s="88"/>
      <c r="P40" s="88"/>
      <c r="Q40" s="199">
        <v>1388</v>
      </c>
    </row>
    <row r="41" spans="1:17" s="1" customFormat="1" ht="18.899999999999999" customHeight="1">
      <c r="A41" s="302">
        <v>13.591523664</v>
      </c>
      <c r="B41" s="305">
        <v>64.240890680000007</v>
      </c>
      <c r="C41" s="308">
        <f t="shared" si="0"/>
        <v>6.1819945519999999</v>
      </c>
      <c r="D41" s="305">
        <f t="shared" si="1"/>
        <v>46.814970172000002</v>
      </c>
      <c r="E41" s="308"/>
      <c r="F41" s="308"/>
      <c r="G41" s="308">
        <f>'[5]ايران(دولتي)'!$L$17*1000/1000</f>
        <v>7.4095291120000004</v>
      </c>
      <c r="H41" s="305">
        <f>'[5]ايران(دولتي)'!$T$17*1000/1000</f>
        <v>17.425920508000001</v>
      </c>
      <c r="I41" s="88"/>
      <c r="J41" s="88"/>
      <c r="K41" s="102"/>
      <c r="L41" s="102"/>
      <c r="M41" s="88"/>
      <c r="N41" s="88"/>
      <c r="O41" s="88"/>
      <c r="P41" s="88"/>
      <c r="Q41" s="199">
        <v>1389</v>
      </c>
    </row>
    <row r="42" spans="1:17" s="1" customFormat="1" ht="18.899999999999999" customHeight="1">
      <c r="A42" s="498">
        <f>12.5</f>
        <v>12.5</v>
      </c>
      <c r="B42" s="501">
        <f>76.6</f>
        <v>76.599999999999994</v>
      </c>
      <c r="C42" s="446">
        <f t="shared" ref="C42:D51" si="4">A42-G42</f>
        <v>3.9000000000000004</v>
      </c>
      <c r="D42" s="447">
        <f t="shared" si="4"/>
        <v>53.8</v>
      </c>
      <c r="E42" s="505"/>
      <c r="F42" s="505"/>
      <c r="G42" s="446">
        <f>8.6</f>
        <v>8.6</v>
      </c>
      <c r="H42" s="501">
        <f>22.8</f>
        <v>22.8</v>
      </c>
      <c r="I42" s="506"/>
      <c r="J42" s="506"/>
      <c r="K42" s="506"/>
      <c r="L42" s="506"/>
      <c r="M42" s="506"/>
      <c r="N42" s="506"/>
      <c r="O42" s="506"/>
      <c r="P42" s="506"/>
      <c r="Q42" s="507">
        <v>1390</v>
      </c>
    </row>
    <row r="43" spans="1:17" s="1" customFormat="1" ht="18.899999999999999" customHeight="1">
      <c r="A43" s="446">
        <v>14.4</v>
      </c>
      <c r="B43" s="449">
        <v>89.5</v>
      </c>
      <c r="C43" s="446">
        <f t="shared" si="4"/>
        <v>7.9</v>
      </c>
      <c r="D43" s="447">
        <f t="shared" si="4"/>
        <v>70.3</v>
      </c>
      <c r="E43" s="503"/>
      <c r="F43" s="456"/>
      <c r="G43" s="456">
        <v>6.5</v>
      </c>
      <c r="H43" s="447">
        <v>19.2</v>
      </c>
      <c r="I43" s="374"/>
      <c r="J43" s="375"/>
      <c r="K43" s="375"/>
      <c r="L43" s="375"/>
      <c r="M43" s="375"/>
      <c r="N43" s="375"/>
      <c r="O43" s="375"/>
      <c r="P43" s="375"/>
      <c r="Q43" s="415">
        <v>1391</v>
      </c>
    </row>
    <row r="44" spans="1:17" s="1" customFormat="1" ht="18.899999999999999" customHeight="1">
      <c r="A44" s="446">
        <v>22.1</v>
      </c>
      <c r="B44" s="449">
        <v>108.6</v>
      </c>
      <c r="C44" s="508">
        <f t="shared" si="4"/>
        <v>12.900000000000002</v>
      </c>
      <c r="D44" s="447">
        <f t="shared" si="4"/>
        <v>87.899999999999991</v>
      </c>
      <c r="E44" s="503"/>
      <c r="F44" s="456"/>
      <c r="G44" s="456">
        <v>9.1999999999999993</v>
      </c>
      <c r="H44" s="447">
        <v>20.7</v>
      </c>
      <c r="I44" s="374"/>
      <c r="J44" s="375"/>
      <c r="K44" s="375"/>
      <c r="L44" s="375"/>
      <c r="M44" s="375"/>
      <c r="N44" s="375"/>
      <c r="O44" s="375"/>
      <c r="P44" s="375"/>
      <c r="Q44" s="415">
        <v>1392</v>
      </c>
    </row>
    <row r="45" spans="1:17" s="1" customFormat="1" ht="18.899999999999999" customHeight="1">
      <c r="A45" s="446">
        <v>11.7</v>
      </c>
      <c r="B45" s="449">
        <v>71.7</v>
      </c>
      <c r="C45" s="508">
        <f t="shared" si="4"/>
        <v>11.7</v>
      </c>
      <c r="D45" s="447">
        <f t="shared" si="4"/>
        <v>71.7</v>
      </c>
      <c r="E45" s="503"/>
      <c r="F45" s="456"/>
      <c r="G45" s="456">
        <v>0</v>
      </c>
      <c r="H45" s="447">
        <v>0</v>
      </c>
      <c r="I45" s="374"/>
      <c r="J45" s="375"/>
      <c r="K45" s="375"/>
      <c r="L45" s="375"/>
      <c r="M45" s="375"/>
      <c r="N45" s="375"/>
      <c r="O45" s="375"/>
      <c r="P45" s="375"/>
      <c r="Q45" s="415">
        <v>1393</v>
      </c>
    </row>
    <row r="46" spans="1:17" s="1" customFormat="1" ht="18.899999999999999" customHeight="1">
      <c r="A46" s="446">
        <v>8.8000000000000007</v>
      </c>
      <c r="B46" s="449">
        <v>76.2</v>
      </c>
      <c r="C46" s="508">
        <f t="shared" si="4"/>
        <v>8.8000000000000007</v>
      </c>
      <c r="D46" s="447">
        <f t="shared" si="4"/>
        <v>76.2</v>
      </c>
      <c r="E46" s="503"/>
      <c r="F46" s="456"/>
      <c r="G46" s="456">
        <v>0</v>
      </c>
      <c r="H46" s="447">
        <v>0</v>
      </c>
      <c r="I46" s="374"/>
      <c r="J46" s="375"/>
      <c r="K46" s="375"/>
      <c r="L46" s="375"/>
      <c r="M46" s="375"/>
      <c r="N46" s="375"/>
      <c r="O46" s="375"/>
      <c r="P46" s="375"/>
      <c r="Q46" s="415">
        <v>1394</v>
      </c>
    </row>
    <row r="47" spans="1:17" s="1" customFormat="1" ht="18.899999999999999" customHeight="1">
      <c r="A47" s="503">
        <v>7.3</v>
      </c>
      <c r="B47" s="509">
        <v>75.400000000000006</v>
      </c>
      <c r="C47" s="508">
        <f t="shared" si="4"/>
        <v>7.3</v>
      </c>
      <c r="D47" s="447">
        <f t="shared" si="4"/>
        <v>75.400000000000006</v>
      </c>
      <c r="E47" s="503"/>
      <c r="F47" s="456"/>
      <c r="G47" s="456">
        <v>0</v>
      </c>
      <c r="H47" s="447">
        <v>0</v>
      </c>
      <c r="I47" s="374"/>
      <c r="J47" s="375"/>
      <c r="K47" s="375"/>
      <c r="L47" s="375"/>
      <c r="M47" s="375"/>
      <c r="N47" s="375"/>
      <c r="O47" s="375"/>
      <c r="P47" s="375"/>
      <c r="Q47" s="415">
        <v>1395</v>
      </c>
    </row>
    <row r="48" spans="1:17" s="1" customFormat="1" ht="18.899999999999999" customHeight="1">
      <c r="A48" s="503">
        <v>7.6</v>
      </c>
      <c r="B48" s="509">
        <v>123.8</v>
      </c>
      <c r="C48" s="508">
        <f t="shared" si="4"/>
        <v>7.6</v>
      </c>
      <c r="D48" s="447">
        <f t="shared" si="4"/>
        <v>123.8</v>
      </c>
      <c r="E48" s="503"/>
      <c r="F48" s="456"/>
      <c r="G48" s="456">
        <v>0</v>
      </c>
      <c r="H48" s="447">
        <v>0</v>
      </c>
      <c r="I48" s="374"/>
      <c r="J48" s="375"/>
      <c r="K48" s="375"/>
      <c r="L48" s="375"/>
      <c r="M48" s="375"/>
      <c r="N48" s="375"/>
      <c r="O48" s="375"/>
      <c r="P48" s="375"/>
      <c r="Q48" s="415">
        <v>1396</v>
      </c>
    </row>
    <row r="49" spans="1:19" s="1" customFormat="1" ht="18.899999999999999" customHeight="1">
      <c r="A49" s="503">
        <v>3.5</v>
      </c>
      <c r="B49" s="509">
        <v>136.9</v>
      </c>
      <c r="C49" s="508">
        <f t="shared" si="4"/>
        <v>3.5</v>
      </c>
      <c r="D49" s="447">
        <f t="shared" si="4"/>
        <v>136.9</v>
      </c>
      <c r="E49" s="503"/>
      <c r="F49" s="456"/>
      <c r="G49" s="456">
        <v>0</v>
      </c>
      <c r="H49" s="447">
        <v>0</v>
      </c>
      <c r="I49" s="374"/>
      <c r="J49" s="375"/>
      <c r="K49" s="375"/>
      <c r="L49" s="375"/>
      <c r="M49" s="375"/>
      <c r="N49" s="375"/>
      <c r="O49" s="375"/>
      <c r="P49" s="375"/>
      <c r="Q49" s="415">
        <v>1397</v>
      </c>
    </row>
    <row r="50" spans="1:19" s="1" customFormat="1" ht="18.899999999999999" customHeight="1">
      <c r="A50" s="503">
        <v>19.2</v>
      </c>
      <c r="B50" s="509">
        <v>96</v>
      </c>
      <c r="C50" s="508">
        <f t="shared" si="4"/>
        <v>19.2</v>
      </c>
      <c r="D50" s="447">
        <f t="shared" si="4"/>
        <v>96</v>
      </c>
      <c r="E50" s="503"/>
      <c r="F50" s="456"/>
      <c r="G50" s="456">
        <v>0</v>
      </c>
      <c r="H50" s="447">
        <v>0</v>
      </c>
      <c r="I50" s="374"/>
      <c r="J50" s="375"/>
      <c r="K50" s="375"/>
      <c r="L50" s="375"/>
      <c r="M50" s="375"/>
      <c r="N50" s="375"/>
      <c r="O50" s="375"/>
      <c r="P50" s="375"/>
      <c r="Q50" s="415">
        <v>1398</v>
      </c>
    </row>
    <row r="51" spans="1:19" s="1" customFormat="1" ht="18.899999999999999" customHeight="1" thickBot="1">
      <c r="A51" s="504">
        <v>28</v>
      </c>
      <c r="B51" s="510">
        <v>197.1</v>
      </c>
      <c r="C51" s="459">
        <f t="shared" si="4"/>
        <v>28</v>
      </c>
      <c r="D51" s="460">
        <f t="shared" si="4"/>
        <v>197.1</v>
      </c>
      <c r="E51" s="504"/>
      <c r="F51" s="461"/>
      <c r="G51" s="461">
        <v>0</v>
      </c>
      <c r="H51" s="460">
        <v>0</v>
      </c>
      <c r="I51" s="397"/>
      <c r="J51" s="398"/>
      <c r="K51" s="398"/>
      <c r="L51" s="398"/>
      <c r="M51" s="398"/>
      <c r="N51" s="398"/>
      <c r="O51" s="398"/>
      <c r="P51" s="398"/>
      <c r="Q51" s="421">
        <v>1399</v>
      </c>
    </row>
    <row r="52" spans="1:19" ht="17.25" customHeight="1">
      <c r="A52" s="566" t="s">
        <v>32</v>
      </c>
      <c r="B52" s="567"/>
      <c r="C52" s="567"/>
      <c r="D52" s="567"/>
      <c r="E52" s="567"/>
      <c r="F52" s="567"/>
      <c r="G52" s="567"/>
      <c r="H52" s="567"/>
      <c r="I52" s="567"/>
      <c r="J52" s="567"/>
      <c r="K52" s="567"/>
      <c r="L52" s="567"/>
      <c r="M52" s="567"/>
      <c r="N52" s="567"/>
      <c r="O52" s="567"/>
      <c r="P52" s="567"/>
      <c r="Q52" s="567"/>
      <c r="R52" s="239"/>
      <c r="S52" s="239"/>
    </row>
  </sheetData>
  <mergeCells count="13">
    <mergeCell ref="A52:Q52"/>
    <mergeCell ref="A4:B4"/>
    <mergeCell ref="E4:F4"/>
    <mergeCell ref="I4:J4"/>
    <mergeCell ref="K4:L4"/>
    <mergeCell ref="A1:Q1"/>
    <mergeCell ref="A3:B3"/>
    <mergeCell ref="C4:D4"/>
    <mergeCell ref="G4:H4"/>
    <mergeCell ref="M4:N4"/>
    <mergeCell ref="O4:P4"/>
    <mergeCell ref="Q4:Q5"/>
    <mergeCell ref="A2:Q2"/>
  </mergeCells>
  <phoneticPr fontId="0" type="noConversion"/>
  <printOptions horizontalCentered="1" verticalCentered="1"/>
  <pageMargins left="0.11811023622047245" right="7.874015748031496E-2" top="0.98425196850393704" bottom="0.98425196850393704" header="0.51181102362204722" footer="0.51181102362204722"/>
  <pageSetup paperSize="9" scale="47" orientation="landscape" horizontalDpi="180" verticalDpi="18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4"/>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 min="20" max="20" width="2.6640625" customWidth="1"/>
  </cols>
  <sheetData>
    <row r="1" spans="1:29" ht="20.25" customHeight="1">
      <c r="A1" s="549" t="s">
        <v>48</v>
      </c>
      <c r="B1" s="549"/>
      <c r="C1" s="549"/>
      <c r="D1" s="549"/>
      <c r="E1" s="549"/>
      <c r="F1" s="549"/>
      <c r="G1" s="549"/>
      <c r="H1" s="549"/>
      <c r="I1" s="549"/>
      <c r="J1" s="549"/>
      <c r="K1" s="549"/>
      <c r="L1" s="549"/>
      <c r="M1" s="549"/>
      <c r="N1" s="549"/>
      <c r="O1" s="549"/>
      <c r="P1" s="549"/>
      <c r="Q1" s="549"/>
      <c r="R1" s="549"/>
      <c r="S1" s="549"/>
    </row>
    <row r="2" spans="1:29" ht="20.25" customHeight="1">
      <c r="A2" s="549" t="s">
        <v>61</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56</v>
      </c>
      <c r="B3" s="550"/>
      <c r="C3" s="86"/>
      <c r="D3" s="86"/>
      <c r="E3" s="86"/>
      <c r="F3" s="86"/>
      <c r="G3" s="1"/>
      <c r="H3" s="1"/>
      <c r="I3" s="1"/>
      <c r="J3" s="1"/>
      <c r="K3" s="1"/>
      <c r="L3" s="1"/>
      <c r="M3" s="1"/>
      <c r="N3" s="1"/>
      <c r="O3" s="1"/>
      <c r="P3" s="1"/>
      <c r="Q3" s="1"/>
      <c r="R3" s="1"/>
      <c r="S3" s="1"/>
      <c r="Y3" s="2"/>
      <c r="Z3" s="2"/>
      <c r="AA3" s="2"/>
      <c r="AB3" s="2"/>
      <c r="AC3" s="2"/>
    </row>
    <row r="4" spans="1:29" ht="21" customHeight="1">
      <c r="A4" s="569" t="s">
        <v>7</v>
      </c>
      <c r="B4" s="570"/>
      <c r="C4" s="569" t="s">
        <v>33</v>
      </c>
      <c r="D4" s="570"/>
      <c r="E4" s="569" t="s">
        <v>6</v>
      </c>
      <c r="F4" s="570"/>
      <c r="G4" s="569" t="s">
        <v>21</v>
      </c>
      <c r="H4" s="570"/>
      <c r="I4" s="569" t="s">
        <v>21</v>
      </c>
      <c r="J4" s="570"/>
      <c r="K4" s="576" t="s">
        <v>5</v>
      </c>
      <c r="L4" s="577"/>
      <c r="M4" s="578" t="s">
        <v>4</v>
      </c>
      <c r="N4" s="579"/>
      <c r="O4" s="576" t="s">
        <v>3</v>
      </c>
      <c r="P4" s="577"/>
      <c r="Q4" s="576" t="s">
        <v>2</v>
      </c>
      <c r="R4" s="577"/>
      <c r="S4" s="557" t="s">
        <v>8</v>
      </c>
    </row>
    <row r="5" spans="1:29" ht="21" customHeight="1" thickBot="1">
      <c r="A5" s="185" t="s">
        <v>25</v>
      </c>
      <c r="B5" s="186" t="s">
        <v>34</v>
      </c>
      <c r="C5" s="185" t="s">
        <v>25</v>
      </c>
      <c r="D5" s="186" t="s">
        <v>34</v>
      </c>
      <c r="E5" s="185" t="s">
        <v>25</v>
      </c>
      <c r="F5" s="186" t="s">
        <v>24</v>
      </c>
      <c r="G5" s="185" t="s">
        <v>25</v>
      </c>
      <c r="H5" s="186" t="s">
        <v>24</v>
      </c>
      <c r="I5" s="185" t="s">
        <v>25</v>
      </c>
      <c r="J5" s="186" t="s">
        <v>34</v>
      </c>
      <c r="K5" s="41" t="s">
        <v>1</v>
      </c>
      <c r="L5" s="42" t="s">
        <v>0</v>
      </c>
      <c r="M5" s="39" t="s">
        <v>1</v>
      </c>
      <c r="N5" s="40" t="s">
        <v>0</v>
      </c>
      <c r="O5" s="41" t="s">
        <v>1</v>
      </c>
      <c r="P5" s="42" t="s">
        <v>0</v>
      </c>
      <c r="Q5" s="41" t="s">
        <v>1</v>
      </c>
      <c r="R5" s="42" t="s">
        <v>0</v>
      </c>
      <c r="S5" s="558"/>
    </row>
    <row r="6" spans="1:29" ht="18" hidden="1" customHeight="1">
      <c r="A6" s="46">
        <f t="shared" ref="A6:B9" si="0">SUM(G6,K6,M6,O6,Q6)</f>
        <v>0</v>
      </c>
      <c r="B6" s="31">
        <f t="shared" si="0"/>
        <v>0</v>
      </c>
      <c r="C6" s="36"/>
      <c r="D6" s="156"/>
      <c r="E6" s="155"/>
      <c r="F6" s="31"/>
      <c r="G6" s="36"/>
      <c r="H6" s="31"/>
      <c r="I6" s="18">
        <f t="shared" ref="I6:J9" si="1">Q6+O6+M6+K6</f>
        <v>0</v>
      </c>
      <c r="J6" s="19">
        <f>R6+P6+N6+L6</f>
        <v>0</v>
      </c>
      <c r="K6" s="36"/>
      <c r="L6" s="31"/>
      <c r="M6" s="34"/>
      <c r="N6" s="35"/>
      <c r="O6" s="36"/>
      <c r="P6" s="31"/>
      <c r="Q6" s="47"/>
      <c r="R6" s="48"/>
      <c r="S6" s="169">
        <v>1354</v>
      </c>
    </row>
    <row r="7" spans="1:29" ht="18" hidden="1" customHeight="1">
      <c r="A7" s="24">
        <f t="shared" si="0"/>
        <v>0</v>
      </c>
      <c r="B7" s="26">
        <f t="shared" si="0"/>
        <v>0</v>
      </c>
      <c r="C7" s="25"/>
      <c r="D7" s="151"/>
      <c r="E7" s="97"/>
      <c r="F7" s="26"/>
      <c r="G7" s="25"/>
      <c r="H7" s="26"/>
      <c r="I7" s="6">
        <f t="shared" si="1"/>
        <v>0</v>
      </c>
      <c r="J7" s="7">
        <f t="shared" si="1"/>
        <v>0</v>
      </c>
      <c r="K7" s="25"/>
      <c r="L7" s="26"/>
      <c r="M7" s="27"/>
      <c r="N7" s="28"/>
      <c r="O7" s="25"/>
      <c r="P7" s="26"/>
      <c r="Q7" s="25"/>
      <c r="R7" s="26"/>
      <c r="S7" s="170">
        <v>1355</v>
      </c>
    </row>
    <row r="8" spans="1:29" ht="18" hidden="1" customHeight="1">
      <c r="A8" s="24">
        <f t="shared" si="0"/>
        <v>0</v>
      </c>
      <c r="B8" s="26">
        <f t="shared" si="0"/>
        <v>0</v>
      </c>
      <c r="C8" s="25"/>
      <c r="D8" s="151"/>
      <c r="E8" s="97"/>
      <c r="F8" s="26"/>
      <c r="G8" s="25"/>
      <c r="H8" s="26"/>
      <c r="I8" s="6">
        <f t="shared" si="1"/>
        <v>0</v>
      </c>
      <c r="J8" s="7">
        <f t="shared" si="1"/>
        <v>0</v>
      </c>
      <c r="K8" s="25"/>
      <c r="L8" s="26"/>
      <c r="M8" s="27"/>
      <c r="N8" s="28"/>
      <c r="O8" s="25"/>
      <c r="P8" s="26"/>
      <c r="Q8" s="25"/>
      <c r="R8" s="26"/>
      <c r="S8" s="170">
        <v>1356</v>
      </c>
    </row>
    <row r="9" spans="1:29" ht="18" hidden="1" customHeight="1">
      <c r="A9" s="24">
        <f t="shared" si="0"/>
        <v>0</v>
      </c>
      <c r="B9" s="26">
        <f t="shared" si="0"/>
        <v>0</v>
      </c>
      <c r="C9" s="25"/>
      <c r="D9" s="151"/>
      <c r="E9" s="97"/>
      <c r="F9" s="26"/>
      <c r="G9" s="25"/>
      <c r="H9" s="26"/>
      <c r="I9" s="6">
        <f t="shared" si="1"/>
        <v>0</v>
      </c>
      <c r="J9" s="7">
        <f t="shared" si="1"/>
        <v>0</v>
      </c>
      <c r="K9" s="25"/>
      <c r="L9" s="26"/>
      <c r="M9" s="27"/>
      <c r="N9" s="28"/>
      <c r="O9" s="25"/>
      <c r="P9" s="26"/>
      <c r="Q9" s="25"/>
      <c r="R9" s="26"/>
      <c r="S9" s="170">
        <v>1357</v>
      </c>
    </row>
    <row r="10" spans="1:29" ht="18" customHeight="1">
      <c r="A10" s="322">
        <v>1.98E-3</v>
      </c>
      <c r="B10" s="256">
        <v>-4.2799999999999998E-2</v>
      </c>
      <c r="C10" s="255">
        <f>A10-I10</f>
        <v>0</v>
      </c>
      <c r="D10" s="346">
        <f>B10-J10</f>
        <v>0</v>
      </c>
      <c r="E10" s="347"/>
      <c r="F10" s="256"/>
      <c r="G10" s="255">
        <v>0</v>
      </c>
      <c r="H10" s="256">
        <v>0</v>
      </c>
      <c r="I10" s="255">
        <v>1.98E-3</v>
      </c>
      <c r="J10" s="256">
        <v>-4.2799999999999998E-2</v>
      </c>
      <c r="K10" s="6">
        <f>1.98</f>
        <v>1.98</v>
      </c>
      <c r="L10" s="7">
        <f>-53.4</f>
        <v>-53.4</v>
      </c>
      <c r="M10" s="37">
        <v>0</v>
      </c>
      <c r="N10" s="38">
        <v>1.9</v>
      </c>
      <c r="O10" s="6">
        <v>0</v>
      </c>
      <c r="P10" s="7">
        <v>0</v>
      </c>
      <c r="Q10" s="6">
        <v>0</v>
      </c>
      <c r="R10" s="7">
        <v>8.6999999999999993</v>
      </c>
      <c r="S10" s="170">
        <v>1358</v>
      </c>
    </row>
    <row r="11" spans="1:29" ht="21" customHeight="1">
      <c r="A11" s="322">
        <v>4.0400000000000002E-3</v>
      </c>
      <c r="B11" s="256">
        <v>1.3300000000000001E-2</v>
      </c>
      <c r="C11" s="255">
        <f t="shared" ref="C11:C41" si="2">A11-I11</f>
        <v>0</v>
      </c>
      <c r="D11" s="346">
        <f t="shared" ref="D11:D41" si="3">B11-J11</f>
        <v>0</v>
      </c>
      <c r="E11" s="347"/>
      <c r="F11" s="256"/>
      <c r="G11" s="255">
        <v>0</v>
      </c>
      <c r="H11" s="256">
        <v>0</v>
      </c>
      <c r="I11" s="255">
        <v>4.0400000000000002E-3</v>
      </c>
      <c r="J11" s="256">
        <v>1.3300000000000001E-2</v>
      </c>
      <c r="K11" s="6">
        <f>3.9</f>
        <v>3.9</v>
      </c>
      <c r="L11" s="7">
        <f>9.4</f>
        <v>9.4</v>
      </c>
      <c r="M11" s="49">
        <f>0.14</f>
        <v>0.14000000000000001</v>
      </c>
      <c r="N11" s="50">
        <v>0.2</v>
      </c>
      <c r="O11" s="6">
        <v>0</v>
      </c>
      <c r="P11" s="7">
        <v>0</v>
      </c>
      <c r="Q11" s="6">
        <v>0</v>
      </c>
      <c r="R11" s="7">
        <v>3.7</v>
      </c>
      <c r="S11" s="170">
        <v>1359</v>
      </c>
    </row>
    <row r="12" spans="1:29" ht="21" customHeight="1">
      <c r="A12" s="322">
        <v>6.0000000000000006E-4</v>
      </c>
      <c r="B12" s="256">
        <v>9.8300000000000002E-3</v>
      </c>
      <c r="C12" s="255">
        <f t="shared" si="2"/>
        <v>0</v>
      </c>
      <c r="D12" s="346">
        <f t="shared" si="3"/>
        <v>0</v>
      </c>
      <c r="E12" s="347"/>
      <c r="F12" s="256"/>
      <c r="G12" s="255">
        <v>0</v>
      </c>
      <c r="H12" s="256">
        <v>0</v>
      </c>
      <c r="I12" s="255">
        <v>6.0000000000000006E-4</v>
      </c>
      <c r="J12" s="256">
        <v>9.8300000000000002E-3</v>
      </c>
      <c r="K12" s="51">
        <f>0.2</f>
        <v>0.2</v>
      </c>
      <c r="L12" s="52">
        <f>0.03</f>
        <v>0.03</v>
      </c>
      <c r="M12" s="49">
        <f>0.4</f>
        <v>0.4</v>
      </c>
      <c r="N12" s="50">
        <v>0.4</v>
      </c>
      <c r="O12" s="6">
        <v>0</v>
      </c>
      <c r="P12" s="7">
        <v>1.5</v>
      </c>
      <c r="Q12" s="6">
        <v>0</v>
      </c>
      <c r="R12" s="7">
        <v>7.9</v>
      </c>
      <c r="S12" s="170">
        <v>1360</v>
      </c>
    </row>
    <row r="13" spans="1:29" ht="21" customHeight="1">
      <c r="A13" s="322">
        <v>0</v>
      </c>
      <c r="B13" s="256">
        <v>0</v>
      </c>
      <c r="C13" s="255">
        <f t="shared" si="2"/>
        <v>0</v>
      </c>
      <c r="D13" s="346">
        <f t="shared" si="3"/>
        <v>0</v>
      </c>
      <c r="E13" s="347"/>
      <c r="F13" s="256"/>
      <c r="G13" s="255"/>
      <c r="H13" s="256"/>
      <c r="I13" s="255">
        <v>0</v>
      </c>
      <c r="J13" s="256">
        <v>0</v>
      </c>
      <c r="K13" s="6"/>
      <c r="L13" s="7"/>
      <c r="M13" s="37"/>
      <c r="N13" s="38"/>
      <c r="O13" s="6"/>
      <c r="P13" s="7"/>
      <c r="Q13" s="6"/>
      <c r="R13" s="7"/>
      <c r="S13" s="170" t="s">
        <v>31</v>
      </c>
    </row>
    <row r="14" spans="1:29" ht="21" customHeight="1">
      <c r="A14" s="322">
        <v>0</v>
      </c>
      <c r="B14" s="256">
        <v>0</v>
      </c>
      <c r="C14" s="255">
        <f t="shared" si="2"/>
        <v>0</v>
      </c>
      <c r="D14" s="346">
        <f t="shared" si="3"/>
        <v>0</v>
      </c>
      <c r="E14" s="347"/>
      <c r="F14" s="256"/>
      <c r="G14" s="255"/>
      <c r="H14" s="256"/>
      <c r="I14" s="255">
        <v>0</v>
      </c>
      <c r="J14" s="256">
        <v>0</v>
      </c>
      <c r="K14" s="6"/>
      <c r="L14" s="7"/>
      <c r="M14" s="37"/>
      <c r="N14" s="38"/>
      <c r="O14" s="6"/>
      <c r="P14" s="7"/>
      <c r="Q14" s="6"/>
      <c r="R14" s="7"/>
      <c r="S14" s="170" t="s">
        <v>44</v>
      </c>
    </row>
    <row r="15" spans="1:29" ht="21" customHeight="1">
      <c r="A15" s="322">
        <v>0</v>
      </c>
      <c r="B15" s="256">
        <v>0</v>
      </c>
      <c r="C15" s="255">
        <f t="shared" si="2"/>
        <v>0</v>
      </c>
      <c r="D15" s="346">
        <f t="shared" si="3"/>
        <v>0</v>
      </c>
      <c r="E15" s="347"/>
      <c r="F15" s="256"/>
      <c r="G15" s="255"/>
      <c r="H15" s="256"/>
      <c r="I15" s="255">
        <v>0</v>
      </c>
      <c r="J15" s="256">
        <v>0</v>
      </c>
      <c r="K15" s="6"/>
      <c r="L15" s="7"/>
      <c r="M15" s="37"/>
      <c r="N15" s="38"/>
      <c r="O15" s="6"/>
      <c r="P15" s="7"/>
      <c r="Q15" s="6"/>
      <c r="R15" s="7"/>
      <c r="S15" s="170" t="s">
        <v>45</v>
      </c>
    </row>
    <row r="16" spans="1:29" ht="21" customHeight="1">
      <c r="A16" s="322">
        <v>0</v>
      </c>
      <c r="B16" s="256">
        <v>0</v>
      </c>
      <c r="C16" s="255">
        <f t="shared" si="2"/>
        <v>0</v>
      </c>
      <c r="D16" s="346">
        <f t="shared" si="3"/>
        <v>0</v>
      </c>
      <c r="E16" s="347"/>
      <c r="F16" s="256"/>
      <c r="G16" s="255"/>
      <c r="H16" s="256"/>
      <c r="I16" s="255">
        <v>0</v>
      </c>
      <c r="J16" s="256">
        <v>0</v>
      </c>
      <c r="K16" s="6"/>
      <c r="L16" s="7"/>
      <c r="M16" s="37"/>
      <c r="N16" s="38"/>
      <c r="O16" s="6"/>
      <c r="P16" s="7"/>
      <c r="Q16" s="6"/>
      <c r="R16" s="7"/>
      <c r="S16" s="170" t="s">
        <v>46</v>
      </c>
    </row>
    <row r="17" spans="1:19" ht="21" customHeight="1">
      <c r="A17" s="322">
        <v>1.4479999999999999E-3</v>
      </c>
      <c r="B17" s="256">
        <v>8.9359999999999981E-2</v>
      </c>
      <c r="C17" s="255">
        <f t="shared" si="2"/>
        <v>0</v>
      </c>
      <c r="D17" s="346">
        <f t="shared" si="3"/>
        <v>0</v>
      </c>
      <c r="E17" s="347">
        <v>0</v>
      </c>
      <c r="F17" s="256">
        <v>0</v>
      </c>
      <c r="G17" s="255">
        <v>0</v>
      </c>
      <c r="H17" s="256">
        <v>0</v>
      </c>
      <c r="I17" s="255">
        <v>1.4479999999999999E-3</v>
      </c>
      <c r="J17" s="256">
        <v>8.9359999999999981E-2</v>
      </c>
      <c r="K17" s="6">
        <v>0</v>
      </c>
      <c r="L17" s="7">
        <v>0</v>
      </c>
      <c r="M17" s="53">
        <v>4.8000000000000001E-2</v>
      </c>
      <c r="N17" s="38">
        <v>5.32</v>
      </c>
      <c r="O17" s="6">
        <v>1.4</v>
      </c>
      <c r="P17" s="7">
        <v>52.08</v>
      </c>
      <c r="Q17" s="6">
        <v>0</v>
      </c>
      <c r="R17" s="7">
        <v>31.96</v>
      </c>
      <c r="S17" s="170">
        <v>1365</v>
      </c>
    </row>
    <row r="18" spans="1:19" ht="21" customHeight="1">
      <c r="A18" s="322">
        <v>5.2119999999999996E-3</v>
      </c>
      <c r="B18" s="256">
        <v>0.16732</v>
      </c>
      <c r="C18" s="255">
        <f t="shared" si="2"/>
        <v>0</v>
      </c>
      <c r="D18" s="346">
        <f t="shared" si="3"/>
        <v>0</v>
      </c>
      <c r="E18" s="347">
        <v>0</v>
      </c>
      <c r="F18" s="256">
        <v>0</v>
      </c>
      <c r="G18" s="255">
        <v>0</v>
      </c>
      <c r="H18" s="256">
        <v>0</v>
      </c>
      <c r="I18" s="255">
        <v>5.2119999999999996E-3</v>
      </c>
      <c r="J18" s="256">
        <v>0.16732</v>
      </c>
      <c r="K18" s="6">
        <v>0</v>
      </c>
      <c r="L18" s="7">
        <v>0</v>
      </c>
      <c r="M18" s="49">
        <v>5.1999999999999998E-2</v>
      </c>
      <c r="N18" s="38">
        <v>5.16</v>
      </c>
      <c r="O18" s="6">
        <v>0.76</v>
      </c>
      <c r="P18" s="7">
        <v>53.76</v>
      </c>
      <c r="Q18" s="6">
        <v>4.4000000000000004</v>
      </c>
      <c r="R18" s="7">
        <v>108.4</v>
      </c>
      <c r="S18" s="170">
        <v>1366</v>
      </c>
    </row>
    <row r="19" spans="1:19" ht="21" customHeight="1">
      <c r="A19" s="322">
        <v>1.226E-2</v>
      </c>
      <c r="B19" s="256">
        <v>0.215</v>
      </c>
      <c r="C19" s="255">
        <f t="shared" si="2"/>
        <v>0</v>
      </c>
      <c r="D19" s="346">
        <f t="shared" si="3"/>
        <v>0</v>
      </c>
      <c r="E19" s="347">
        <v>0</v>
      </c>
      <c r="F19" s="256">
        <v>0</v>
      </c>
      <c r="G19" s="255">
        <v>0</v>
      </c>
      <c r="H19" s="256">
        <v>0</v>
      </c>
      <c r="I19" s="255">
        <v>1.226E-2</v>
      </c>
      <c r="J19" s="256">
        <v>0.215</v>
      </c>
      <c r="K19" s="6">
        <v>0</v>
      </c>
      <c r="L19" s="7">
        <v>0</v>
      </c>
      <c r="M19" s="49">
        <v>0.42</v>
      </c>
      <c r="N19" s="38">
        <v>3.32</v>
      </c>
      <c r="O19" s="6">
        <v>0</v>
      </c>
      <c r="P19" s="7">
        <v>52.12</v>
      </c>
      <c r="Q19" s="6">
        <v>11.84</v>
      </c>
      <c r="R19" s="7">
        <v>159.56</v>
      </c>
      <c r="S19" s="170">
        <v>1367</v>
      </c>
    </row>
    <row r="20" spans="1:19" ht="21" customHeight="1">
      <c r="A20" s="322" t="s">
        <v>38</v>
      </c>
      <c r="B20" s="256" t="s">
        <v>38</v>
      </c>
      <c r="C20" s="255" t="s">
        <v>38</v>
      </c>
      <c r="D20" s="346" t="s">
        <v>38</v>
      </c>
      <c r="E20" s="347">
        <v>0</v>
      </c>
      <c r="F20" s="256">
        <v>0</v>
      </c>
      <c r="G20" s="255"/>
      <c r="H20" s="256"/>
      <c r="I20" s="255" t="s">
        <v>38</v>
      </c>
      <c r="J20" s="256">
        <v>0</v>
      </c>
      <c r="K20" s="6"/>
      <c r="L20" s="7"/>
      <c r="M20" s="37"/>
      <c r="N20" s="38"/>
      <c r="O20" s="6"/>
      <c r="P20" s="7"/>
      <c r="Q20" s="6"/>
      <c r="R20" s="7"/>
      <c r="S20" s="170" t="s">
        <v>51</v>
      </c>
    </row>
    <row r="21" spans="1:19" ht="21" customHeight="1">
      <c r="A21" s="322">
        <v>3.048E-2</v>
      </c>
      <c r="B21" s="256">
        <v>0.216944</v>
      </c>
      <c r="C21" s="255">
        <f t="shared" si="2"/>
        <v>0</v>
      </c>
      <c r="D21" s="346">
        <f t="shared" si="3"/>
        <v>0</v>
      </c>
      <c r="E21" s="347">
        <v>0</v>
      </c>
      <c r="F21" s="256">
        <v>0</v>
      </c>
      <c r="G21" s="255">
        <v>0</v>
      </c>
      <c r="H21" s="256">
        <v>0</v>
      </c>
      <c r="I21" s="255">
        <v>3.048E-2</v>
      </c>
      <c r="J21" s="256">
        <v>0.216944</v>
      </c>
      <c r="K21" s="6">
        <v>0</v>
      </c>
      <c r="L21" s="7">
        <v>0</v>
      </c>
      <c r="M21" s="49">
        <v>0.44</v>
      </c>
      <c r="N21" s="38">
        <v>4.76</v>
      </c>
      <c r="O21" s="6">
        <v>19.52</v>
      </c>
      <c r="P21" s="7">
        <v>60.4</v>
      </c>
      <c r="Q21" s="6">
        <v>10.52</v>
      </c>
      <c r="R21" s="7">
        <v>151.78399999999999</v>
      </c>
      <c r="S21" s="170">
        <v>1369</v>
      </c>
    </row>
    <row r="22" spans="1:19" ht="21" customHeight="1">
      <c r="A22" s="322">
        <v>2.9499999999999998E-2</v>
      </c>
      <c r="B22" s="256">
        <v>0.44249999999999995</v>
      </c>
      <c r="C22" s="255">
        <f t="shared" si="2"/>
        <v>0</v>
      </c>
      <c r="D22" s="346">
        <f t="shared" si="3"/>
        <v>0</v>
      </c>
      <c r="E22" s="347">
        <v>0</v>
      </c>
      <c r="F22" s="256">
        <v>0</v>
      </c>
      <c r="G22" s="255">
        <v>0</v>
      </c>
      <c r="H22" s="256">
        <v>0</v>
      </c>
      <c r="I22" s="255">
        <v>2.9499999999999998E-2</v>
      </c>
      <c r="J22" s="256">
        <v>0.44249999999999995</v>
      </c>
      <c r="K22" s="6">
        <v>0</v>
      </c>
      <c r="L22" s="7">
        <v>0</v>
      </c>
      <c r="M22" s="37">
        <v>4.9000000000000004</v>
      </c>
      <c r="N22" s="38">
        <v>4.2</v>
      </c>
      <c r="O22" s="6">
        <v>20.2</v>
      </c>
      <c r="P22" s="7">
        <v>187.2</v>
      </c>
      <c r="Q22" s="6">
        <v>4.4000000000000004</v>
      </c>
      <c r="R22" s="7">
        <v>251.1</v>
      </c>
      <c r="S22" s="170">
        <v>1370</v>
      </c>
    </row>
    <row r="23" spans="1:19" ht="21" customHeight="1">
      <c r="A23" s="255">
        <v>1.01E-2</v>
      </c>
      <c r="B23" s="256">
        <v>0.53959999999999986</v>
      </c>
      <c r="C23" s="255">
        <f t="shared" si="2"/>
        <v>0</v>
      </c>
      <c r="D23" s="346">
        <f t="shared" si="3"/>
        <v>0</v>
      </c>
      <c r="E23" s="347">
        <v>0</v>
      </c>
      <c r="F23" s="256">
        <v>0</v>
      </c>
      <c r="G23" s="255">
        <v>0</v>
      </c>
      <c r="H23" s="256">
        <v>0</v>
      </c>
      <c r="I23" s="255">
        <v>1.01E-2</v>
      </c>
      <c r="J23" s="256">
        <v>0.53959999999999986</v>
      </c>
      <c r="K23" s="6">
        <v>0</v>
      </c>
      <c r="L23" s="7">
        <v>0</v>
      </c>
      <c r="M23" s="37">
        <v>0</v>
      </c>
      <c r="N23" s="38">
        <v>7.8</v>
      </c>
      <c r="O23" s="6">
        <v>0</v>
      </c>
      <c r="P23" s="7">
        <v>302.7</v>
      </c>
      <c r="Q23" s="6">
        <v>10.1</v>
      </c>
      <c r="R23" s="7">
        <v>229.1</v>
      </c>
      <c r="S23" s="170">
        <v>1371</v>
      </c>
    </row>
    <row r="24" spans="1:19" ht="21" customHeight="1">
      <c r="A24" s="255">
        <v>0.104</v>
      </c>
      <c r="B24" s="256">
        <v>1.0359</v>
      </c>
      <c r="C24" s="255">
        <f t="shared" si="2"/>
        <v>0</v>
      </c>
      <c r="D24" s="346">
        <f t="shared" si="3"/>
        <v>0</v>
      </c>
      <c r="E24" s="347">
        <v>0</v>
      </c>
      <c r="F24" s="256">
        <v>0</v>
      </c>
      <c r="G24" s="255">
        <v>0</v>
      </c>
      <c r="H24" s="256">
        <v>0</v>
      </c>
      <c r="I24" s="255">
        <v>0.104</v>
      </c>
      <c r="J24" s="256">
        <v>1.0359</v>
      </c>
      <c r="K24" s="6">
        <v>0</v>
      </c>
      <c r="L24" s="7">
        <v>0</v>
      </c>
      <c r="M24" s="37">
        <v>0.7</v>
      </c>
      <c r="N24" s="38">
        <v>25.9</v>
      </c>
      <c r="O24" s="6">
        <v>95.7</v>
      </c>
      <c r="P24" s="7">
        <v>597.4</v>
      </c>
      <c r="Q24" s="6">
        <v>7.6</v>
      </c>
      <c r="R24" s="7">
        <v>412.6</v>
      </c>
      <c r="S24" s="170">
        <v>1372</v>
      </c>
    </row>
    <row r="25" spans="1:19" ht="21" customHeight="1">
      <c r="A25" s="255">
        <v>0.2034</v>
      </c>
      <c r="B25" s="256">
        <v>2.0897000000000001</v>
      </c>
      <c r="C25" s="255">
        <f t="shared" si="2"/>
        <v>0</v>
      </c>
      <c r="D25" s="346">
        <f t="shared" si="3"/>
        <v>0</v>
      </c>
      <c r="E25" s="347">
        <v>0</v>
      </c>
      <c r="F25" s="256">
        <v>0</v>
      </c>
      <c r="G25" s="255">
        <v>0</v>
      </c>
      <c r="H25" s="256">
        <v>0</v>
      </c>
      <c r="I25" s="255">
        <v>0.2034</v>
      </c>
      <c r="J25" s="256">
        <v>2.0897000000000001</v>
      </c>
      <c r="K25" s="6">
        <v>0</v>
      </c>
      <c r="L25" s="7">
        <v>0</v>
      </c>
      <c r="M25" s="37">
        <v>1.1000000000000001</v>
      </c>
      <c r="N25" s="38">
        <v>190.3</v>
      </c>
      <c r="O25" s="6">
        <v>145</v>
      </c>
      <c r="P25" s="7">
        <v>1038.3</v>
      </c>
      <c r="Q25" s="6">
        <v>57.3</v>
      </c>
      <c r="R25" s="7">
        <v>861.1</v>
      </c>
      <c r="S25" s="170">
        <v>1373</v>
      </c>
    </row>
    <row r="26" spans="1:19" ht="21" customHeight="1">
      <c r="A26" s="255">
        <v>0.46140000000000003</v>
      </c>
      <c r="B26" s="256">
        <v>7.1032999999999991</v>
      </c>
      <c r="C26" s="255">
        <f t="shared" si="2"/>
        <v>0</v>
      </c>
      <c r="D26" s="346">
        <f t="shared" si="3"/>
        <v>0</v>
      </c>
      <c r="E26" s="347">
        <v>0</v>
      </c>
      <c r="F26" s="256">
        <v>0</v>
      </c>
      <c r="G26" s="255">
        <v>0</v>
      </c>
      <c r="H26" s="256">
        <v>0</v>
      </c>
      <c r="I26" s="255">
        <v>0.46140000000000003</v>
      </c>
      <c r="J26" s="256">
        <v>7.1032999999999991</v>
      </c>
      <c r="K26" s="6">
        <v>0</v>
      </c>
      <c r="L26" s="7">
        <v>0</v>
      </c>
      <c r="M26" s="37">
        <v>18.100000000000001</v>
      </c>
      <c r="N26" s="38">
        <v>279.39999999999998</v>
      </c>
      <c r="O26" s="6">
        <v>424</v>
      </c>
      <c r="P26" s="7">
        <v>3251.9</v>
      </c>
      <c r="Q26" s="6">
        <v>19.3</v>
      </c>
      <c r="R26" s="7">
        <v>3572</v>
      </c>
      <c r="S26" s="170">
        <v>1374</v>
      </c>
    </row>
    <row r="27" spans="1:19" ht="21" customHeight="1">
      <c r="A27" s="255">
        <v>2.1739999999999999</v>
      </c>
      <c r="B27" s="256">
        <v>18.068999999999999</v>
      </c>
      <c r="C27" s="255">
        <f t="shared" si="2"/>
        <v>0</v>
      </c>
      <c r="D27" s="346">
        <f t="shared" si="3"/>
        <v>0</v>
      </c>
      <c r="E27" s="347">
        <v>0</v>
      </c>
      <c r="F27" s="256">
        <v>0</v>
      </c>
      <c r="G27" s="255">
        <v>0</v>
      </c>
      <c r="H27" s="256">
        <v>0</v>
      </c>
      <c r="I27" s="255">
        <v>2.1739999999999999</v>
      </c>
      <c r="J27" s="256">
        <v>18.068999999999999</v>
      </c>
      <c r="K27" s="6">
        <v>0</v>
      </c>
      <c r="L27" s="7">
        <v>0</v>
      </c>
      <c r="M27" s="37">
        <v>12</v>
      </c>
      <c r="N27" s="38">
        <v>677</v>
      </c>
      <c r="O27" s="6">
        <v>1053</v>
      </c>
      <c r="P27" s="7">
        <v>6652</v>
      </c>
      <c r="Q27" s="6">
        <v>1109</v>
      </c>
      <c r="R27" s="7">
        <v>10740</v>
      </c>
      <c r="S27" s="170">
        <v>1375</v>
      </c>
    </row>
    <row r="28" spans="1:19" ht="21" customHeight="1">
      <c r="A28" s="255">
        <v>5.0990000000000002</v>
      </c>
      <c r="B28" s="256">
        <v>28.434999999999999</v>
      </c>
      <c r="C28" s="255">
        <f t="shared" si="2"/>
        <v>0</v>
      </c>
      <c r="D28" s="346">
        <f t="shared" si="3"/>
        <v>0</v>
      </c>
      <c r="E28" s="347">
        <v>0</v>
      </c>
      <c r="F28" s="256">
        <v>0</v>
      </c>
      <c r="G28" s="255">
        <v>0</v>
      </c>
      <c r="H28" s="256">
        <v>0</v>
      </c>
      <c r="I28" s="255">
        <v>5.0990000000000002</v>
      </c>
      <c r="J28" s="256">
        <v>28.434999999999999</v>
      </c>
      <c r="K28" s="6">
        <v>20</v>
      </c>
      <c r="L28" s="7">
        <v>622</v>
      </c>
      <c r="M28" s="37">
        <v>244</v>
      </c>
      <c r="N28" s="38">
        <v>949</v>
      </c>
      <c r="O28" s="6">
        <v>2408</v>
      </c>
      <c r="P28" s="7">
        <v>9742</v>
      </c>
      <c r="Q28" s="6">
        <v>2427</v>
      </c>
      <c r="R28" s="7">
        <v>17122</v>
      </c>
      <c r="S28" s="170">
        <v>1376</v>
      </c>
    </row>
    <row r="29" spans="1:19" ht="21" customHeight="1">
      <c r="A29" s="255">
        <v>10.5</v>
      </c>
      <c r="B29" s="256">
        <v>43.628</v>
      </c>
      <c r="C29" s="255">
        <f t="shared" si="2"/>
        <v>0</v>
      </c>
      <c r="D29" s="346">
        <f t="shared" si="3"/>
        <v>0</v>
      </c>
      <c r="E29" s="347">
        <v>0</v>
      </c>
      <c r="F29" s="256">
        <v>0</v>
      </c>
      <c r="G29" s="255">
        <v>0</v>
      </c>
      <c r="H29" s="256">
        <v>0</v>
      </c>
      <c r="I29" s="255">
        <v>10.5</v>
      </c>
      <c r="J29" s="256">
        <v>43.628</v>
      </c>
      <c r="K29" s="6">
        <v>122</v>
      </c>
      <c r="L29" s="7">
        <v>834</v>
      </c>
      <c r="M29" s="37">
        <v>298</v>
      </c>
      <c r="N29" s="38">
        <v>2178</v>
      </c>
      <c r="O29" s="6">
        <v>5606</v>
      </c>
      <c r="P29" s="7">
        <v>13743</v>
      </c>
      <c r="Q29" s="6">
        <v>4474</v>
      </c>
      <c r="R29" s="7">
        <v>26873</v>
      </c>
      <c r="S29" s="170">
        <v>1377</v>
      </c>
    </row>
    <row r="30" spans="1:19" ht="21" customHeight="1">
      <c r="A30" s="322">
        <v>20.847150000000003</v>
      </c>
      <c r="B30" s="260">
        <v>340.61199999999997</v>
      </c>
      <c r="C30" s="324">
        <f t="shared" si="2"/>
        <v>0</v>
      </c>
      <c r="D30" s="348">
        <f t="shared" si="3"/>
        <v>272.5</v>
      </c>
      <c r="E30" s="349">
        <v>0</v>
      </c>
      <c r="F30" s="300">
        <v>0</v>
      </c>
      <c r="G30" s="324">
        <v>0</v>
      </c>
      <c r="H30" s="300">
        <v>272.5</v>
      </c>
      <c r="I30" s="255">
        <v>20.847150000000003</v>
      </c>
      <c r="J30" s="256">
        <v>68.111999999999995</v>
      </c>
      <c r="K30" s="13">
        <v>610.70000000000005</v>
      </c>
      <c r="L30" s="11">
        <v>3126.6</v>
      </c>
      <c r="M30" s="20">
        <v>1084.9000000000001</v>
      </c>
      <c r="N30" s="21">
        <v>5314.5</v>
      </c>
      <c r="O30" s="13">
        <f>7079.45</f>
        <v>7079.45</v>
      </c>
      <c r="P30" s="11">
        <v>18068.7</v>
      </c>
      <c r="Q30" s="13">
        <v>12072.1</v>
      </c>
      <c r="R30" s="11">
        <v>41602.199999999997</v>
      </c>
      <c r="S30" s="187">
        <v>1378</v>
      </c>
    </row>
    <row r="31" spans="1:19" ht="21" customHeight="1">
      <c r="A31" s="322">
        <v>36.082599999999999</v>
      </c>
      <c r="B31" s="256">
        <v>139.84460000000001</v>
      </c>
      <c r="C31" s="296">
        <f t="shared" si="2"/>
        <v>2.1000000000000014</v>
      </c>
      <c r="D31" s="350">
        <f t="shared" si="3"/>
        <v>22.800000000000011</v>
      </c>
      <c r="E31" s="351">
        <v>0</v>
      </c>
      <c r="F31" s="297">
        <v>0</v>
      </c>
      <c r="G31" s="296">
        <v>2.1</v>
      </c>
      <c r="H31" s="297">
        <v>22.8</v>
      </c>
      <c r="I31" s="255">
        <v>33.982599999999998</v>
      </c>
      <c r="J31" s="256">
        <v>117.0446</v>
      </c>
      <c r="K31" s="17">
        <v>2077.1</v>
      </c>
      <c r="L31" s="15">
        <v>7998.5</v>
      </c>
      <c r="M31" s="22">
        <v>2119.6</v>
      </c>
      <c r="N31" s="23">
        <v>8781.4</v>
      </c>
      <c r="O31" s="17">
        <v>11730</v>
      </c>
      <c r="P31" s="15">
        <v>29316.400000000001</v>
      </c>
      <c r="Q31" s="17">
        <v>18055.900000000001</v>
      </c>
      <c r="R31" s="15">
        <v>70948.3</v>
      </c>
      <c r="S31" s="226">
        <v>1379</v>
      </c>
    </row>
    <row r="32" spans="1:19" ht="21" customHeight="1">
      <c r="A32" s="312">
        <v>179.88890000000001</v>
      </c>
      <c r="B32" s="297">
        <v>909.56150000000002</v>
      </c>
      <c r="C32" s="296">
        <f t="shared" si="2"/>
        <v>117.5</v>
      </c>
      <c r="D32" s="350">
        <f t="shared" si="3"/>
        <v>711.1</v>
      </c>
      <c r="E32" s="351">
        <v>0</v>
      </c>
      <c r="F32" s="297">
        <v>0</v>
      </c>
      <c r="G32" s="296">
        <v>117.5</v>
      </c>
      <c r="H32" s="297">
        <v>711.1</v>
      </c>
      <c r="I32" s="255">
        <v>62.3889</v>
      </c>
      <c r="J32" s="256">
        <v>198.4615</v>
      </c>
      <c r="K32" s="17">
        <v>4997.6000000000004</v>
      </c>
      <c r="L32" s="15">
        <v>19763.099999999999</v>
      </c>
      <c r="M32" s="22">
        <v>4412.2</v>
      </c>
      <c r="N32" s="23">
        <v>11172.8</v>
      </c>
      <c r="O32" s="17">
        <v>17755.3</v>
      </c>
      <c r="P32" s="15">
        <v>38817.1</v>
      </c>
      <c r="Q32" s="17">
        <v>35223.800000000003</v>
      </c>
      <c r="R32" s="15">
        <v>128708.5</v>
      </c>
      <c r="S32" s="226">
        <v>1380</v>
      </c>
    </row>
    <row r="33" spans="1:19" ht="21" customHeight="1">
      <c r="A33" s="301">
        <v>111.478048504</v>
      </c>
      <c r="B33" s="256">
        <v>270.931080528</v>
      </c>
      <c r="C33" s="255">
        <f t="shared" si="2"/>
        <v>0.16038751600000012</v>
      </c>
      <c r="D33" s="346">
        <f t="shared" si="3"/>
        <v>1.4047826519999944</v>
      </c>
      <c r="E33" s="347">
        <v>0</v>
      </c>
      <c r="F33" s="256">
        <v>0</v>
      </c>
      <c r="G33" s="255">
        <v>160.38751600000001</v>
      </c>
      <c r="H33" s="256">
        <v>1404.7826520000001</v>
      </c>
      <c r="I33" s="301">
        <v>111.317660988</v>
      </c>
      <c r="J33" s="256">
        <v>269.526297876</v>
      </c>
      <c r="K33" s="6">
        <f>'[1]بيمه دانا'!$I$42/1000000</f>
        <v>9911.0277000000006</v>
      </c>
      <c r="L33" s="7">
        <f>'[1]بيمه دانا'!$Q$42/1000000</f>
        <v>30040.372748000002</v>
      </c>
      <c r="M33" s="37">
        <f>'[1]بيمه البرز'!$I$42/1000000</f>
        <v>10294.783171999999</v>
      </c>
      <c r="N33" s="38">
        <f>'[1]بيمه البرز'!$Q$42/1000000</f>
        <v>19941.783464</v>
      </c>
      <c r="O33" s="6">
        <f>'[1]بيمه آسيا'!$I$42/1000000</f>
        <v>23116.544107999998</v>
      </c>
      <c r="P33" s="7">
        <f>'[1]بيمه آسيا'!$Q$42/1000000</f>
        <v>56239.200027999999</v>
      </c>
      <c r="Q33" s="6">
        <f>'[1]بيمه ايران'!$I$42/1000000</f>
        <v>67995.306008</v>
      </c>
      <c r="R33" s="7">
        <f>'[1]بيمه ايران'!$Q$42/1000000</f>
        <v>163304.941636</v>
      </c>
      <c r="S33" s="170">
        <v>1381</v>
      </c>
    </row>
    <row r="34" spans="1:19" ht="21" customHeight="1">
      <c r="A34" s="301">
        <v>174.449715376</v>
      </c>
      <c r="B34" s="256">
        <v>459.22925358200001</v>
      </c>
      <c r="C34" s="255">
        <f t="shared" si="2"/>
        <v>0.41134930800001257</v>
      </c>
      <c r="D34" s="346">
        <f t="shared" si="3"/>
        <v>20.903777106000007</v>
      </c>
      <c r="E34" s="347">
        <v>32.122799999999998</v>
      </c>
      <c r="F34" s="256">
        <v>19518.758054000002</v>
      </c>
      <c r="G34" s="255">
        <v>379.22650800000002</v>
      </c>
      <c r="H34" s="256">
        <v>1385.0190520000001</v>
      </c>
      <c r="I34" s="301">
        <v>174.03836606799999</v>
      </c>
      <c r="J34" s="256">
        <v>438.32547647600001</v>
      </c>
      <c r="K34" s="6">
        <f>'[2]بيمه دانا'!$I$42/1000000</f>
        <v>22695.93662</v>
      </c>
      <c r="L34" s="7">
        <f>'[2]بيمه دانا'!$Q$42/1000000</f>
        <v>53987.046468</v>
      </c>
      <c r="M34" s="37">
        <f>'[2]بيمه البرز'!$I$42/1000000</f>
        <v>13559.515656</v>
      </c>
      <c r="N34" s="38">
        <f>'[2]بيمه البرز'!$Q$42/1000000</f>
        <v>36340.282264000001</v>
      </c>
      <c r="O34" s="6">
        <f>'[2]بيمه آسيا'!$I$42/1000000</f>
        <v>33454.165395999997</v>
      </c>
      <c r="P34" s="7">
        <f>'[2]بيمه آسيا'!$Q$42/1000000</f>
        <v>91956.492463999995</v>
      </c>
      <c r="Q34" s="6">
        <f>'[2]بيمه ايران'!$I$42/1000000</f>
        <v>104328.748396</v>
      </c>
      <c r="R34" s="7">
        <f>'[2]بيمه ايران'!$Q$42/1000000</f>
        <v>256041.65528000001</v>
      </c>
      <c r="S34" s="170">
        <v>1382</v>
      </c>
    </row>
    <row r="35" spans="1:19" ht="21" customHeight="1">
      <c r="A35" s="313">
        <v>240.62477934600003</v>
      </c>
      <c r="B35" s="297">
        <v>664.49478032100001</v>
      </c>
      <c r="C35" s="337">
        <f t="shared" si="2"/>
        <v>3.4101649140000063</v>
      </c>
      <c r="D35" s="338">
        <f t="shared" si="3"/>
        <v>43.933634592999965</v>
      </c>
      <c r="E35" s="352">
        <v>1603.6264739999999</v>
      </c>
      <c r="F35" s="310">
        <v>40373.299229000004</v>
      </c>
      <c r="G35" s="337">
        <v>1806.53844</v>
      </c>
      <c r="H35" s="310">
        <v>3560.335364</v>
      </c>
      <c r="I35" s="312">
        <v>237.21461443200002</v>
      </c>
      <c r="J35" s="256">
        <v>620.56114572800004</v>
      </c>
      <c r="K35" s="132">
        <f>'[2]بيمه دانا'!$H$42/1000000</f>
        <v>24232.576983999999</v>
      </c>
      <c r="L35" s="134">
        <f>'[2]بيمه دانا'!$P$42/1000000</f>
        <v>70977.996796000007</v>
      </c>
      <c r="M35" s="135">
        <f>'[2]بيمه البرز'!$H$42/1000000</f>
        <v>24388.373963999999</v>
      </c>
      <c r="N35" s="136">
        <f>'[2]بيمه البرز'!$P$42/1000000</f>
        <v>69394.497868000006</v>
      </c>
      <c r="O35" s="132">
        <f>'[2]بيمه آسيا'!$H$42/1000000</f>
        <v>44781.335564000001</v>
      </c>
      <c r="P35" s="134">
        <f>'[2]بيمه آسيا'!$P$42/1000000</f>
        <v>109900.690032</v>
      </c>
      <c r="Q35" s="132">
        <f>'[2]بيمه ايران'!$H$42/1000000</f>
        <v>143812.32792000001</v>
      </c>
      <c r="R35" s="134">
        <f>'[2]بيمه ايران'!$P$42/1000000</f>
        <v>370287.96103200002</v>
      </c>
      <c r="S35" s="165">
        <v>1383</v>
      </c>
    </row>
    <row r="36" spans="1:19" s="1" customFormat="1" ht="21" customHeight="1">
      <c r="A36" s="301">
        <v>386.03092163100001</v>
      </c>
      <c r="B36" s="256">
        <v>879.54400206800005</v>
      </c>
      <c r="C36" s="302">
        <f t="shared" si="2"/>
        <v>24.526397094999993</v>
      </c>
      <c r="D36" s="336">
        <f t="shared" si="3"/>
        <v>81.445261080000137</v>
      </c>
      <c r="E36" s="308">
        <v>22831.323558</v>
      </c>
      <c r="F36" s="305">
        <v>75993.981370000009</v>
      </c>
      <c r="G36" s="308">
        <v>1140.8981160000001</v>
      </c>
      <c r="H36" s="305">
        <v>2854.5568920000001</v>
      </c>
      <c r="I36" s="301">
        <v>361.50452453600002</v>
      </c>
      <c r="J36" s="256">
        <v>798.09874098799992</v>
      </c>
      <c r="K36" s="88">
        <f>'[3]بيمه دانا'!$H$42/1000000</f>
        <v>39002.728856000002</v>
      </c>
      <c r="L36" s="26">
        <f>'[3]بيمه دانا'!$P$42/1000000</f>
        <v>80430.261371999994</v>
      </c>
      <c r="M36" s="102">
        <f>'[3]بيمه البرز'!$H$42/1000000</f>
        <v>42163.032912000002</v>
      </c>
      <c r="N36" s="28">
        <f>'[3]بيمه البرز'!$P$42/1000000</f>
        <v>102741.88352800001</v>
      </c>
      <c r="O36" s="88">
        <f>'[3]بيمه آسيا'!$H$42/1000000</f>
        <v>71431.914615999995</v>
      </c>
      <c r="P36" s="26">
        <f>'[3]بيمه آسيا'!$P$42/1000000</f>
        <v>149405.73978800001</v>
      </c>
      <c r="Q36" s="88">
        <f>'[3]بيمه ايران'!$H$42/1000000</f>
        <v>208906.84815199999</v>
      </c>
      <c r="R36" s="26">
        <f>'[3]بيمه ايران'!$P$42/1000000</f>
        <v>465520.85629999998</v>
      </c>
      <c r="S36" s="199">
        <v>1384</v>
      </c>
    </row>
    <row r="37" spans="1:19" s="1" customFormat="1" ht="21" customHeight="1">
      <c r="A37" s="322">
        <v>417.16831444799999</v>
      </c>
      <c r="B37" s="260">
        <v>1160.1820380080001</v>
      </c>
      <c r="C37" s="331">
        <f t="shared" si="2"/>
        <v>39.335396195999976</v>
      </c>
      <c r="D37" s="330">
        <f t="shared" si="3"/>
        <v>143.6033544280001</v>
      </c>
      <c r="E37" s="331"/>
      <c r="F37" s="331"/>
      <c r="G37" s="331"/>
      <c r="H37" s="331"/>
      <c r="I37" s="315">
        <v>377.83291825200001</v>
      </c>
      <c r="J37" s="260">
        <v>1016.57868358</v>
      </c>
      <c r="K37" s="235"/>
      <c r="L37" s="235"/>
      <c r="M37" s="236"/>
      <c r="N37" s="236"/>
      <c r="O37" s="235"/>
      <c r="P37" s="235"/>
      <c r="Q37" s="235"/>
      <c r="R37" s="235"/>
      <c r="S37" s="237">
        <v>1385</v>
      </c>
    </row>
    <row r="38" spans="1:19" s="1" customFormat="1" ht="21" customHeight="1">
      <c r="A38" s="301">
        <v>605.36822904399992</v>
      </c>
      <c r="B38" s="256">
        <v>1839.8162452400002</v>
      </c>
      <c r="C38" s="308">
        <f t="shared" si="2"/>
        <v>93.129694703999917</v>
      </c>
      <c r="D38" s="305">
        <f t="shared" si="3"/>
        <v>301.42417558000011</v>
      </c>
      <c r="E38" s="308"/>
      <c r="F38" s="308"/>
      <c r="G38" s="308"/>
      <c r="H38" s="308"/>
      <c r="I38" s="298">
        <v>512.23853434</v>
      </c>
      <c r="J38" s="256">
        <v>1538.3920696600001</v>
      </c>
      <c r="K38" s="88"/>
      <c r="L38" s="88"/>
      <c r="M38" s="102"/>
      <c r="N38" s="102"/>
      <c r="O38" s="88"/>
      <c r="P38" s="88"/>
      <c r="Q38" s="88"/>
      <c r="R38" s="88"/>
      <c r="S38" s="199">
        <v>1386</v>
      </c>
    </row>
    <row r="39" spans="1:19" s="1" customFormat="1" ht="21" customHeight="1">
      <c r="A39" s="301">
        <v>955.87239445600005</v>
      </c>
      <c r="B39" s="256">
        <v>2373.4575438480001</v>
      </c>
      <c r="C39" s="308">
        <f t="shared" si="2"/>
        <v>170.81344748000004</v>
      </c>
      <c r="D39" s="305">
        <f t="shared" si="3"/>
        <v>440.96861714400006</v>
      </c>
      <c r="E39" s="308"/>
      <c r="F39" s="308"/>
      <c r="G39" s="308"/>
      <c r="H39" s="308"/>
      <c r="I39" s="298">
        <v>785.05894697600002</v>
      </c>
      <c r="J39" s="256">
        <v>1932.4889267040001</v>
      </c>
      <c r="K39" s="88"/>
      <c r="L39" s="88"/>
      <c r="M39" s="102"/>
      <c r="N39" s="102"/>
      <c r="O39" s="88"/>
      <c r="P39" s="88"/>
      <c r="Q39" s="88"/>
      <c r="R39" s="88"/>
      <c r="S39" s="199">
        <v>1387</v>
      </c>
    </row>
    <row r="40" spans="1:19" s="1" customFormat="1" ht="21" customHeight="1">
      <c r="A40" s="301">
        <v>1137.554109528</v>
      </c>
      <c r="B40" s="256">
        <v>2619.4257706039998</v>
      </c>
      <c r="C40" s="308">
        <f t="shared" si="2"/>
        <v>484.74305905599999</v>
      </c>
      <c r="D40" s="305">
        <f t="shared" si="3"/>
        <v>1240.9803206719998</v>
      </c>
      <c r="E40" s="308"/>
      <c r="F40" s="308"/>
      <c r="G40" s="308"/>
      <c r="H40" s="308"/>
      <c r="I40" s="298">
        <v>652.81105047200003</v>
      </c>
      <c r="J40" s="256">
        <v>1378.445449932</v>
      </c>
      <c r="K40" s="88"/>
      <c r="L40" s="88"/>
      <c r="M40" s="102"/>
      <c r="N40" s="102"/>
      <c r="O40" s="88"/>
      <c r="P40" s="88"/>
      <c r="Q40" s="88"/>
      <c r="R40" s="88"/>
      <c r="S40" s="199">
        <v>1388</v>
      </c>
    </row>
    <row r="41" spans="1:19" s="1" customFormat="1" ht="21" customHeight="1">
      <c r="A41" s="301">
        <v>1366.892974008</v>
      </c>
      <c r="B41" s="256">
        <v>3211.1075706400002</v>
      </c>
      <c r="C41" s="308">
        <f t="shared" si="2"/>
        <v>796.11566723199996</v>
      </c>
      <c r="D41" s="305">
        <f t="shared" si="3"/>
        <v>1811.0534767840002</v>
      </c>
      <c r="E41" s="308"/>
      <c r="F41" s="308"/>
      <c r="G41" s="308"/>
      <c r="H41" s="308"/>
      <c r="I41" s="298">
        <v>570.77730677600005</v>
      </c>
      <c r="J41" s="256">
        <v>1400.054093856</v>
      </c>
      <c r="K41" s="88"/>
      <c r="L41" s="88"/>
      <c r="M41" s="102"/>
      <c r="N41" s="102"/>
      <c r="O41" s="88"/>
      <c r="P41" s="88"/>
      <c r="Q41" s="88"/>
      <c r="R41" s="88"/>
      <c r="S41" s="199">
        <v>1389</v>
      </c>
    </row>
    <row r="42" spans="1:19" s="1" customFormat="1" ht="21" customHeight="1">
      <c r="A42" s="424">
        <f>1814.5</f>
        <v>1814.5</v>
      </c>
      <c r="B42" s="423">
        <f>4594.3</f>
        <v>4594.3</v>
      </c>
      <c r="C42" s="448">
        <f t="shared" ref="C42:D51" si="4">A42-I42</f>
        <v>939.4</v>
      </c>
      <c r="D42" s="447">
        <f t="shared" si="4"/>
        <v>2707.6000000000004</v>
      </c>
      <c r="E42" s="449"/>
      <c r="F42" s="449"/>
      <c r="G42" s="449"/>
      <c r="H42" s="449"/>
      <c r="I42" s="425">
        <f>875.1</f>
        <v>875.1</v>
      </c>
      <c r="J42" s="423">
        <f>1886.7</f>
        <v>1886.7</v>
      </c>
      <c r="K42" s="405"/>
      <c r="L42" s="405"/>
      <c r="M42" s="405"/>
      <c r="N42" s="405"/>
      <c r="O42" s="405"/>
      <c r="P42" s="405"/>
      <c r="Q42" s="405"/>
      <c r="R42" s="405"/>
      <c r="S42" s="409">
        <v>1390</v>
      </c>
    </row>
    <row r="43" spans="1:19" s="1" customFormat="1" ht="21" customHeight="1">
      <c r="A43" s="428">
        <v>3592.5</v>
      </c>
      <c r="B43" s="429">
        <v>6780</v>
      </c>
      <c r="C43" s="448">
        <f t="shared" si="4"/>
        <v>1978.9</v>
      </c>
      <c r="D43" s="447">
        <f t="shared" si="4"/>
        <v>3872.9</v>
      </c>
      <c r="E43" s="511"/>
      <c r="F43" s="511"/>
      <c r="G43" s="511"/>
      <c r="H43" s="511"/>
      <c r="I43" s="428">
        <v>1613.6</v>
      </c>
      <c r="J43" s="429">
        <v>2907.1</v>
      </c>
      <c r="K43" s="512"/>
      <c r="L43" s="512"/>
      <c r="M43" s="512"/>
      <c r="N43" s="512"/>
      <c r="O43" s="512"/>
      <c r="P43" s="512"/>
      <c r="Q43" s="512"/>
      <c r="R43" s="512"/>
      <c r="S43" s="455">
        <v>1391</v>
      </c>
    </row>
    <row r="44" spans="1:19" s="1" customFormat="1" ht="21" customHeight="1">
      <c r="A44" s="422">
        <v>4751.1000000000004</v>
      </c>
      <c r="B44" s="423">
        <v>8984.4</v>
      </c>
      <c r="C44" s="448">
        <f t="shared" si="4"/>
        <v>2666.7000000000003</v>
      </c>
      <c r="D44" s="447">
        <f t="shared" si="4"/>
        <v>5315.7999999999993</v>
      </c>
      <c r="E44" s="505"/>
      <c r="F44" s="505"/>
      <c r="G44" s="505"/>
      <c r="H44" s="505"/>
      <c r="I44" s="422">
        <v>2084.4</v>
      </c>
      <c r="J44" s="423">
        <v>3668.6</v>
      </c>
      <c r="K44" s="513"/>
      <c r="L44" s="513"/>
      <c r="M44" s="513"/>
      <c r="N44" s="513"/>
      <c r="O44" s="513"/>
      <c r="P44" s="513"/>
      <c r="Q44" s="513"/>
      <c r="R44" s="513"/>
      <c r="S44" s="458">
        <v>1392</v>
      </c>
    </row>
    <row r="45" spans="1:19" s="1" customFormat="1" ht="21" customHeight="1">
      <c r="A45" s="422">
        <v>6538.4</v>
      </c>
      <c r="B45" s="423">
        <v>11474.6</v>
      </c>
      <c r="C45" s="448">
        <f t="shared" si="4"/>
        <v>3721.0999999999995</v>
      </c>
      <c r="D45" s="447">
        <f t="shared" si="4"/>
        <v>6997.2000000000007</v>
      </c>
      <c r="E45" s="505"/>
      <c r="F45" s="505"/>
      <c r="G45" s="505"/>
      <c r="H45" s="505"/>
      <c r="I45" s="422">
        <v>2817.3</v>
      </c>
      <c r="J45" s="423">
        <v>4477.3999999999996</v>
      </c>
      <c r="K45" s="513"/>
      <c r="L45" s="513"/>
      <c r="M45" s="513"/>
      <c r="N45" s="513"/>
      <c r="O45" s="513"/>
      <c r="P45" s="513"/>
      <c r="Q45" s="513"/>
      <c r="R45" s="513"/>
      <c r="S45" s="458">
        <v>1393</v>
      </c>
    </row>
    <row r="46" spans="1:19" s="1" customFormat="1" ht="21" customHeight="1">
      <c r="A46" s="422">
        <v>6824.9</v>
      </c>
      <c r="B46" s="423">
        <v>11104.7</v>
      </c>
      <c r="C46" s="448">
        <f t="shared" si="4"/>
        <v>4146.2999999999993</v>
      </c>
      <c r="D46" s="447">
        <f t="shared" si="4"/>
        <v>7002.5000000000009</v>
      </c>
      <c r="E46" s="505"/>
      <c r="F46" s="505"/>
      <c r="G46" s="505"/>
      <c r="H46" s="505"/>
      <c r="I46" s="422">
        <v>2678.6</v>
      </c>
      <c r="J46" s="423">
        <v>4102.2</v>
      </c>
      <c r="K46" s="513"/>
      <c r="L46" s="513"/>
      <c r="M46" s="513"/>
      <c r="N46" s="513"/>
      <c r="O46" s="513"/>
      <c r="P46" s="513"/>
      <c r="Q46" s="513"/>
      <c r="R46" s="513"/>
      <c r="S46" s="458">
        <v>1394</v>
      </c>
    </row>
    <row r="47" spans="1:19" s="1" customFormat="1" ht="21" customHeight="1">
      <c r="A47" s="422">
        <v>7578.3</v>
      </c>
      <c r="B47" s="423">
        <v>13491.9</v>
      </c>
      <c r="C47" s="448">
        <f t="shared" si="4"/>
        <v>4594.3999999999996</v>
      </c>
      <c r="D47" s="447">
        <f t="shared" si="4"/>
        <v>8639.7000000000007</v>
      </c>
      <c r="E47" s="505"/>
      <c r="F47" s="505"/>
      <c r="G47" s="505"/>
      <c r="H47" s="505"/>
      <c r="I47" s="422">
        <v>2983.9</v>
      </c>
      <c r="J47" s="423">
        <v>4852.2</v>
      </c>
      <c r="K47" s="513"/>
      <c r="L47" s="513"/>
      <c r="M47" s="513"/>
      <c r="N47" s="513"/>
      <c r="O47" s="513"/>
      <c r="P47" s="513"/>
      <c r="Q47" s="513"/>
      <c r="R47" s="513"/>
      <c r="S47" s="458">
        <v>1395</v>
      </c>
    </row>
    <row r="48" spans="1:19" s="1" customFormat="1" ht="21" customHeight="1">
      <c r="A48" s="422">
        <v>8652.7000000000007</v>
      </c>
      <c r="B48" s="423">
        <v>15716.7</v>
      </c>
      <c r="C48" s="448">
        <f t="shared" si="4"/>
        <v>5483.3000000000011</v>
      </c>
      <c r="D48" s="447">
        <f t="shared" si="4"/>
        <v>10399.200000000001</v>
      </c>
      <c r="E48" s="505"/>
      <c r="F48" s="505"/>
      <c r="G48" s="505"/>
      <c r="H48" s="505"/>
      <c r="I48" s="422">
        <v>3169.4</v>
      </c>
      <c r="J48" s="423">
        <v>5317.5</v>
      </c>
      <c r="K48" s="513"/>
      <c r="L48" s="513"/>
      <c r="M48" s="513"/>
      <c r="N48" s="513"/>
      <c r="O48" s="513"/>
      <c r="P48" s="513"/>
      <c r="Q48" s="513"/>
      <c r="R48" s="513"/>
      <c r="S48" s="458">
        <v>1396</v>
      </c>
    </row>
    <row r="49" spans="1:20" s="1" customFormat="1" ht="21" customHeight="1">
      <c r="A49" s="422">
        <v>10971.6</v>
      </c>
      <c r="B49" s="423">
        <v>19715</v>
      </c>
      <c r="C49" s="448">
        <f>A49-I49</f>
        <v>7102.8</v>
      </c>
      <c r="D49" s="447">
        <f>B49-J49</f>
        <v>13278.2</v>
      </c>
      <c r="E49" s="505"/>
      <c r="F49" s="505"/>
      <c r="G49" s="505"/>
      <c r="H49" s="505"/>
      <c r="I49" s="422">
        <f>[6]ایران!$J$17</f>
        <v>3868.8</v>
      </c>
      <c r="J49" s="423">
        <f>[6]ایران!$B$17</f>
        <v>6436.8</v>
      </c>
      <c r="K49" s="513"/>
      <c r="L49" s="513"/>
      <c r="M49" s="513"/>
      <c r="N49" s="513"/>
      <c r="O49" s="513"/>
      <c r="P49" s="513"/>
      <c r="Q49" s="513"/>
      <c r="R49" s="513"/>
      <c r="S49" s="458">
        <v>1397</v>
      </c>
    </row>
    <row r="50" spans="1:20" s="1" customFormat="1" ht="21" customHeight="1">
      <c r="A50" s="422">
        <v>12623.1</v>
      </c>
      <c r="B50" s="423">
        <v>26773.9</v>
      </c>
      <c r="C50" s="448">
        <f t="shared" si="4"/>
        <v>8695.2999999999993</v>
      </c>
      <c r="D50" s="447">
        <f t="shared" si="4"/>
        <v>18586.7</v>
      </c>
      <c r="E50" s="505"/>
      <c r="F50" s="505"/>
      <c r="G50" s="505"/>
      <c r="H50" s="505"/>
      <c r="I50" s="422">
        <v>3927.8</v>
      </c>
      <c r="J50" s="423">
        <v>8187.2</v>
      </c>
      <c r="K50" s="513"/>
      <c r="L50" s="513"/>
      <c r="M50" s="513"/>
      <c r="N50" s="513"/>
      <c r="O50" s="513"/>
      <c r="P50" s="513"/>
      <c r="Q50" s="513"/>
      <c r="R50" s="513"/>
      <c r="S50" s="458">
        <v>1398</v>
      </c>
    </row>
    <row r="51" spans="1:20" s="1" customFormat="1" ht="21" customHeight="1" thickBot="1">
      <c r="A51" s="437">
        <v>19040.5</v>
      </c>
      <c r="B51" s="438">
        <v>37200.6</v>
      </c>
      <c r="C51" s="514">
        <f t="shared" si="4"/>
        <v>13398.8</v>
      </c>
      <c r="D51" s="460">
        <f t="shared" si="4"/>
        <v>25551.1</v>
      </c>
      <c r="E51" s="515"/>
      <c r="F51" s="515"/>
      <c r="G51" s="515"/>
      <c r="H51" s="515"/>
      <c r="I51" s="437">
        <v>5641.7</v>
      </c>
      <c r="J51" s="438">
        <v>11649.5</v>
      </c>
      <c r="K51" s="516"/>
      <c r="L51" s="516"/>
      <c r="M51" s="516"/>
      <c r="N51" s="516"/>
      <c r="O51" s="516"/>
      <c r="P51" s="516"/>
      <c r="Q51" s="516"/>
      <c r="R51" s="516"/>
      <c r="S51" s="463">
        <v>1399</v>
      </c>
    </row>
    <row r="52" spans="1:20" ht="16.5" customHeight="1">
      <c r="S52" s="205" t="s">
        <v>47</v>
      </c>
      <c r="T52" s="227" t="s">
        <v>30</v>
      </c>
    </row>
    <row r="53" spans="1:20" ht="16.5" customHeight="1">
      <c r="A53" s="580" t="s">
        <v>32</v>
      </c>
      <c r="B53" s="580"/>
      <c r="C53" s="580"/>
      <c r="D53" s="580"/>
      <c r="E53" s="580"/>
      <c r="F53" s="580"/>
      <c r="G53" s="580"/>
      <c r="H53" s="580"/>
      <c r="I53" s="580"/>
      <c r="J53" s="580"/>
      <c r="K53" s="580"/>
      <c r="L53" s="580"/>
      <c r="M53" s="580"/>
      <c r="N53" s="580"/>
      <c r="O53" s="580"/>
      <c r="P53" s="580"/>
      <c r="Q53" s="580"/>
      <c r="R53" s="580"/>
      <c r="S53" s="580"/>
    </row>
    <row r="54" spans="1:20" ht="16.5" customHeight="1">
      <c r="A54" s="55"/>
      <c r="B54" s="55"/>
      <c r="C54" s="55"/>
      <c r="D54" s="55"/>
      <c r="E54" s="55"/>
      <c r="F54" s="55"/>
      <c r="G54" s="55"/>
      <c r="H54" s="55"/>
      <c r="I54" s="564" t="s">
        <v>52</v>
      </c>
      <c r="J54" s="564"/>
      <c r="K54" s="564"/>
      <c r="L54" s="564"/>
      <c r="M54" s="564"/>
      <c r="N54" s="564"/>
      <c r="O54" s="564"/>
      <c r="P54" s="564"/>
      <c r="Q54" s="564"/>
      <c r="R54" s="564"/>
      <c r="S54" s="564"/>
    </row>
  </sheetData>
  <mergeCells count="15">
    <mergeCell ref="I54:S54"/>
    <mergeCell ref="A1:S1"/>
    <mergeCell ref="A2:S2"/>
    <mergeCell ref="E4:F4"/>
    <mergeCell ref="A3:B3"/>
    <mergeCell ref="A4:B4"/>
    <mergeCell ref="G4:H4"/>
    <mergeCell ref="K4:L4"/>
    <mergeCell ref="M4:N4"/>
    <mergeCell ref="A53:S53"/>
    <mergeCell ref="C4:D4"/>
    <mergeCell ref="O4:P4"/>
    <mergeCell ref="Q4:R4"/>
    <mergeCell ref="S4:S5"/>
    <mergeCell ref="I4:J4"/>
  </mergeCells>
  <phoneticPr fontId="0" type="noConversion"/>
  <printOptions horizontalCentered="1" verticalCentered="1"/>
  <pageMargins left="0.74803149606299213" right="0.74803149606299213" top="0.98425196850393704" bottom="0.98425196850393704" header="0.51181102362204722" footer="0.51181102362204722"/>
  <pageSetup paperSize="9" scale="50" orientation="landscape" horizontalDpi="4294967293"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
  <sheetViews>
    <sheetView zoomScale="80" zoomScaleNormal="80" zoomScaleSheetLayoutView="75"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 customHeight="1">
      <c r="A1" s="549" t="s">
        <v>28</v>
      </c>
      <c r="B1" s="549"/>
      <c r="C1" s="549"/>
      <c r="D1" s="549"/>
      <c r="E1" s="549"/>
      <c r="F1" s="549"/>
      <c r="G1" s="549"/>
      <c r="H1" s="549"/>
      <c r="I1" s="549"/>
      <c r="J1" s="549"/>
      <c r="K1" s="549"/>
      <c r="L1" s="549"/>
      <c r="M1" s="549"/>
      <c r="N1" s="549"/>
      <c r="O1" s="549"/>
      <c r="P1" s="549"/>
      <c r="Q1" s="549"/>
      <c r="R1" s="549"/>
      <c r="S1" s="549"/>
      <c r="Y1" s="2"/>
      <c r="Z1" s="2"/>
      <c r="AA1" s="2"/>
      <c r="AB1" s="2"/>
      <c r="AC1" s="2"/>
    </row>
    <row r="2" spans="1:29" ht="23.25" customHeight="1">
      <c r="A2" s="549" t="s">
        <v>62</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57</v>
      </c>
      <c r="B3" s="550"/>
      <c r="C3" s="86"/>
      <c r="D3" s="86"/>
      <c r="E3" s="86"/>
      <c r="F3" s="86"/>
      <c r="G3" s="1"/>
      <c r="H3" s="1"/>
      <c r="I3" s="1"/>
      <c r="J3" s="1"/>
      <c r="K3" s="1"/>
      <c r="L3" s="1"/>
      <c r="M3" s="1"/>
      <c r="N3" s="1"/>
      <c r="O3" s="1"/>
      <c r="P3" s="1"/>
      <c r="Q3" s="1"/>
      <c r="R3" s="1"/>
      <c r="S3" s="1"/>
      <c r="Y3" s="2"/>
      <c r="Z3" s="2"/>
      <c r="AA3" s="2"/>
      <c r="AB3" s="2"/>
      <c r="AC3" s="2"/>
    </row>
    <row r="4" spans="1:29" ht="21" customHeight="1">
      <c r="A4" s="569" t="s">
        <v>7</v>
      </c>
      <c r="B4" s="570"/>
      <c r="C4" s="569" t="s">
        <v>33</v>
      </c>
      <c r="D4" s="570"/>
      <c r="E4" s="569" t="s">
        <v>6</v>
      </c>
      <c r="F4" s="570"/>
      <c r="G4" s="569" t="s">
        <v>21</v>
      </c>
      <c r="H4" s="570"/>
      <c r="I4" s="569" t="s">
        <v>21</v>
      </c>
      <c r="J4" s="570"/>
      <c r="K4" s="576" t="s">
        <v>5</v>
      </c>
      <c r="L4" s="577"/>
      <c r="M4" s="578" t="s">
        <v>4</v>
      </c>
      <c r="N4" s="579"/>
      <c r="O4" s="576" t="s">
        <v>3</v>
      </c>
      <c r="P4" s="577"/>
      <c r="Q4" s="576" t="s">
        <v>2</v>
      </c>
      <c r="R4" s="577"/>
      <c r="S4" s="557" t="s">
        <v>8</v>
      </c>
    </row>
    <row r="5" spans="1:29" ht="21" customHeight="1" thickBot="1">
      <c r="A5" s="185" t="s">
        <v>25</v>
      </c>
      <c r="B5" s="186" t="s">
        <v>34</v>
      </c>
      <c r="C5" s="185" t="s">
        <v>25</v>
      </c>
      <c r="D5" s="186" t="s">
        <v>34</v>
      </c>
      <c r="E5" s="185" t="s">
        <v>25</v>
      </c>
      <c r="F5" s="186" t="s">
        <v>24</v>
      </c>
      <c r="G5" s="185" t="s">
        <v>25</v>
      </c>
      <c r="H5" s="186" t="s">
        <v>24</v>
      </c>
      <c r="I5" s="185" t="s">
        <v>25</v>
      </c>
      <c r="J5" s="186" t="s">
        <v>34</v>
      </c>
      <c r="K5" s="41" t="s">
        <v>1</v>
      </c>
      <c r="L5" s="42" t="s">
        <v>0</v>
      </c>
      <c r="M5" s="39" t="s">
        <v>1</v>
      </c>
      <c r="N5" s="40" t="s">
        <v>0</v>
      </c>
      <c r="O5" s="41" t="s">
        <v>1</v>
      </c>
      <c r="P5" s="42" t="s">
        <v>0</v>
      </c>
      <c r="Q5" s="41" t="s">
        <v>1</v>
      </c>
      <c r="R5" s="42" t="s">
        <v>0</v>
      </c>
      <c r="S5" s="558"/>
    </row>
    <row r="6" spans="1:29" ht="20.25" hidden="1" customHeight="1">
      <c r="A6" s="46">
        <f t="shared" ref="A6:B9" si="0">SUM(G6,K6,M6,O6,Q6)</f>
        <v>0</v>
      </c>
      <c r="B6" s="31">
        <f t="shared" si="0"/>
        <v>0</v>
      </c>
      <c r="C6" s="36"/>
      <c r="D6" s="156"/>
      <c r="E6" s="18"/>
      <c r="F6" s="19"/>
      <c r="G6" s="18"/>
      <c r="H6" s="19"/>
      <c r="I6" s="18">
        <f t="shared" ref="I6:J23" si="1">Q6+O6+M6+K6</f>
        <v>0</v>
      </c>
      <c r="J6" s="19">
        <f>R6+P6+N6+L6</f>
        <v>0</v>
      </c>
      <c r="K6" s="149"/>
      <c r="L6" s="19"/>
      <c r="M6" s="43"/>
      <c r="N6" s="44"/>
      <c r="O6" s="59"/>
      <c r="P6" s="19"/>
      <c r="Q6" s="60"/>
      <c r="R6" s="19"/>
      <c r="S6" s="201">
        <v>1354</v>
      </c>
    </row>
    <row r="7" spans="1:29" ht="20.25" hidden="1" customHeight="1">
      <c r="A7" s="24">
        <f t="shared" si="0"/>
        <v>0</v>
      </c>
      <c r="B7" s="26">
        <f t="shared" si="0"/>
        <v>0</v>
      </c>
      <c r="C7" s="25"/>
      <c r="D7" s="151"/>
      <c r="E7" s="6"/>
      <c r="F7" s="7"/>
      <c r="G7" s="6"/>
      <c r="H7" s="7"/>
      <c r="I7" s="6">
        <f t="shared" si="1"/>
        <v>0</v>
      </c>
      <c r="J7" s="7">
        <f t="shared" si="1"/>
        <v>0</v>
      </c>
      <c r="K7" s="64"/>
      <c r="L7" s="7"/>
      <c r="M7" s="37"/>
      <c r="N7" s="38"/>
      <c r="O7" s="73"/>
      <c r="P7" s="7"/>
      <c r="Q7" s="6"/>
      <c r="R7" s="7"/>
      <c r="S7" s="190">
        <v>1355</v>
      </c>
    </row>
    <row r="8" spans="1:29" ht="20.25" hidden="1" customHeight="1">
      <c r="A8" s="24">
        <f t="shared" si="0"/>
        <v>0</v>
      </c>
      <c r="B8" s="26">
        <f t="shared" si="0"/>
        <v>0</v>
      </c>
      <c r="C8" s="25"/>
      <c r="D8" s="151"/>
      <c r="E8" s="6"/>
      <c r="F8" s="7"/>
      <c r="G8" s="6"/>
      <c r="H8" s="7"/>
      <c r="I8" s="6">
        <f t="shared" si="1"/>
        <v>0</v>
      </c>
      <c r="J8" s="7">
        <f t="shared" si="1"/>
        <v>0</v>
      </c>
      <c r="K8" s="64"/>
      <c r="L8" s="7"/>
      <c r="M8" s="37"/>
      <c r="N8" s="38"/>
      <c r="O8" s="73"/>
      <c r="P8" s="7"/>
      <c r="Q8" s="6"/>
      <c r="R8" s="7"/>
      <c r="S8" s="190">
        <v>1356</v>
      </c>
    </row>
    <row r="9" spans="1:29" ht="20.25" hidden="1" customHeight="1">
      <c r="A9" s="24">
        <f t="shared" si="0"/>
        <v>0</v>
      </c>
      <c r="B9" s="26">
        <f t="shared" si="0"/>
        <v>0</v>
      </c>
      <c r="C9" s="25"/>
      <c r="D9" s="151"/>
      <c r="E9" s="6"/>
      <c r="F9" s="7"/>
      <c r="G9" s="6"/>
      <c r="H9" s="7"/>
      <c r="I9" s="6">
        <f t="shared" si="1"/>
        <v>0</v>
      </c>
      <c r="J9" s="7">
        <f t="shared" si="1"/>
        <v>0</v>
      </c>
      <c r="K9" s="64"/>
      <c r="L9" s="7"/>
      <c r="M9" s="37"/>
      <c r="N9" s="38"/>
      <c r="O9" s="73"/>
      <c r="P9" s="7"/>
      <c r="Q9" s="6"/>
      <c r="R9" s="7"/>
      <c r="S9" s="190">
        <v>1357</v>
      </c>
    </row>
    <row r="10" spans="1:29" ht="20.25" hidden="1" customHeight="1">
      <c r="A10" s="9">
        <f t="shared" ref="A10:B23" si="2">C10+I10</f>
        <v>0</v>
      </c>
      <c r="B10" s="7">
        <f>D10+J10</f>
        <v>0</v>
      </c>
      <c r="C10" s="6">
        <f>E10+G10</f>
        <v>0</v>
      </c>
      <c r="D10" s="157">
        <f>F10+H10</f>
        <v>0</v>
      </c>
      <c r="E10" s="6"/>
      <c r="F10" s="7"/>
      <c r="G10" s="6"/>
      <c r="H10" s="7"/>
      <c r="I10" s="6">
        <f t="shared" si="1"/>
        <v>0</v>
      </c>
      <c r="J10" s="7">
        <f t="shared" si="1"/>
        <v>0</v>
      </c>
      <c r="K10" s="64"/>
      <c r="L10" s="7"/>
      <c r="M10" s="37"/>
      <c r="N10" s="38"/>
      <c r="O10" s="73"/>
      <c r="P10" s="7"/>
      <c r="Q10" s="6"/>
      <c r="R10" s="7"/>
      <c r="S10" s="190">
        <v>1358</v>
      </c>
    </row>
    <row r="11" spans="1:29" ht="20.25" hidden="1" customHeight="1">
      <c r="A11" s="9">
        <f t="shared" si="2"/>
        <v>0</v>
      </c>
      <c r="B11" s="7">
        <f t="shared" si="2"/>
        <v>0</v>
      </c>
      <c r="C11" s="6">
        <f t="shared" ref="C11:D23" si="3">E11+G11</f>
        <v>0</v>
      </c>
      <c r="D11" s="157">
        <f t="shared" si="3"/>
        <v>0</v>
      </c>
      <c r="E11" s="6"/>
      <c r="F11" s="7"/>
      <c r="G11" s="6"/>
      <c r="H11" s="7"/>
      <c r="I11" s="6">
        <f t="shared" si="1"/>
        <v>0</v>
      </c>
      <c r="J11" s="7">
        <f t="shared" si="1"/>
        <v>0</v>
      </c>
      <c r="K11" s="64"/>
      <c r="L11" s="7"/>
      <c r="M11" s="37"/>
      <c r="N11" s="38"/>
      <c r="O11" s="73"/>
      <c r="P11" s="7"/>
      <c r="Q11" s="6"/>
      <c r="R11" s="7"/>
      <c r="S11" s="190">
        <v>1359</v>
      </c>
    </row>
    <row r="12" spans="1:29" ht="20.25" hidden="1" customHeight="1">
      <c r="A12" s="9">
        <f t="shared" si="2"/>
        <v>0</v>
      </c>
      <c r="B12" s="7">
        <f t="shared" si="2"/>
        <v>0</v>
      </c>
      <c r="C12" s="6">
        <f t="shared" si="3"/>
        <v>0</v>
      </c>
      <c r="D12" s="157">
        <f t="shared" si="3"/>
        <v>0</v>
      </c>
      <c r="E12" s="6"/>
      <c r="F12" s="7"/>
      <c r="G12" s="6"/>
      <c r="H12" s="7"/>
      <c r="I12" s="6">
        <f t="shared" si="1"/>
        <v>0</v>
      </c>
      <c r="J12" s="7">
        <f t="shared" si="1"/>
        <v>0</v>
      </c>
      <c r="K12" s="64"/>
      <c r="L12" s="7"/>
      <c r="M12" s="37"/>
      <c r="N12" s="38"/>
      <c r="O12" s="74"/>
      <c r="P12" s="7"/>
      <c r="Q12" s="6"/>
      <c r="R12" s="7"/>
      <c r="S12" s="190">
        <v>1360</v>
      </c>
    </row>
    <row r="13" spans="1:29" ht="20.25" hidden="1" customHeight="1">
      <c r="A13" s="9">
        <f t="shared" si="2"/>
        <v>0</v>
      </c>
      <c r="B13" s="7">
        <f t="shared" si="2"/>
        <v>0</v>
      </c>
      <c r="C13" s="6">
        <f t="shared" si="3"/>
        <v>0</v>
      </c>
      <c r="D13" s="157">
        <f t="shared" si="3"/>
        <v>0</v>
      </c>
      <c r="E13" s="6"/>
      <c r="F13" s="7"/>
      <c r="G13" s="6"/>
      <c r="H13" s="7"/>
      <c r="I13" s="6">
        <f t="shared" si="1"/>
        <v>0</v>
      </c>
      <c r="J13" s="7">
        <f t="shared" si="1"/>
        <v>0</v>
      </c>
      <c r="K13" s="64"/>
      <c r="L13" s="7"/>
      <c r="M13" s="37"/>
      <c r="N13" s="38"/>
      <c r="O13" s="74"/>
      <c r="P13" s="7"/>
      <c r="Q13" s="6"/>
      <c r="R13" s="7"/>
      <c r="S13" s="190">
        <v>1361</v>
      </c>
    </row>
    <row r="14" spans="1:29" ht="20.25" hidden="1" customHeight="1">
      <c r="A14" s="9">
        <f t="shared" si="2"/>
        <v>0</v>
      </c>
      <c r="B14" s="7">
        <f t="shared" si="2"/>
        <v>0</v>
      </c>
      <c r="C14" s="6">
        <f t="shared" si="3"/>
        <v>0</v>
      </c>
      <c r="D14" s="157">
        <f t="shared" si="3"/>
        <v>0</v>
      </c>
      <c r="E14" s="6"/>
      <c r="F14" s="7"/>
      <c r="G14" s="6"/>
      <c r="H14" s="7"/>
      <c r="I14" s="6">
        <f t="shared" si="1"/>
        <v>0</v>
      </c>
      <c r="J14" s="7">
        <f t="shared" si="1"/>
        <v>0</v>
      </c>
      <c r="K14" s="64"/>
      <c r="L14" s="7"/>
      <c r="M14" s="49"/>
      <c r="N14" s="38"/>
      <c r="O14" s="74"/>
      <c r="P14" s="7"/>
      <c r="Q14" s="6"/>
      <c r="R14" s="7"/>
      <c r="S14" s="190">
        <v>1362</v>
      </c>
    </row>
    <row r="15" spans="1:29" ht="20.25" hidden="1" customHeight="1">
      <c r="A15" s="9">
        <f t="shared" si="2"/>
        <v>0</v>
      </c>
      <c r="B15" s="7">
        <f t="shared" si="2"/>
        <v>0</v>
      </c>
      <c r="C15" s="6">
        <f t="shared" si="3"/>
        <v>0</v>
      </c>
      <c r="D15" s="157">
        <f t="shared" si="3"/>
        <v>0</v>
      </c>
      <c r="E15" s="6"/>
      <c r="F15" s="7"/>
      <c r="G15" s="6"/>
      <c r="H15" s="7"/>
      <c r="I15" s="6">
        <f t="shared" si="1"/>
        <v>0</v>
      </c>
      <c r="J15" s="7">
        <f t="shared" si="1"/>
        <v>0</v>
      </c>
      <c r="K15" s="64"/>
      <c r="L15" s="7"/>
      <c r="M15" s="53"/>
      <c r="N15" s="38"/>
      <c r="O15" s="75"/>
      <c r="P15" s="7"/>
      <c r="Q15" s="6"/>
      <c r="R15" s="7"/>
      <c r="S15" s="190">
        <v>1363</v>
      </c>
    </row>
    <row r="16" spans="1:29" ht="20.25" hidden="1" customHeight="1">
      <c r="A16" s="9">
        <f t="shared" si="2"/>
        <v>0</v>
      </c>
      <c r="B16" s="7">
        <f t="shared" si="2"/>
        <v>0</v>
      </c>
      <c r="C16" s="6">
        <f t="shared" si="3"/>
        <v>0</v>
      </c>
      <c r="D16" s="157">
        <f t="shared" si="3"/>
        <v>0</v>
      </c>
      <c r="E16" s="6"/>
      <c r="F16" s="7"/>
      <c r="G16" s="6"/>
      <c r="H16" s="7"/>
      <c r="I16" s="6">
        <f t="shared" si="1"/>
        <v>0</v>
      </c>
      <c r="J16" s="7">
        <f t="shared" si="1"/>
        <v>0</v>
      </c>
      <c r="K16" s="64"/>
      <c r="L16" s="7"/>
      <c r="M16" s="49"/>
      <c r="N16" s="38"/>
      <c r="O16" s="74"/>
      <c r="P16" s="7"/>
      <c r="Q16" s="6"/>
      <c r="R16" s="7"/>
      <c r="S16" s="190">
        <v>1364</v>
      </c>
    </row>
    <row r="17" spans="1:19" ht="20.25" hidden="1" customHeight="1">
      <c r="A17" s="9">
        <f t="shared" si="2"/>
        <v>0</v>
      </c>
      <c r="B17" s="7">
        <f t="shared" si="2"/>
        <v>0</v>
      </c>
      <c r="C17" s="6">
        <f t="shared" si="3"/>
        <v>0</v>
      </c>
      <c r="D17" s="157">
        <f t="shared" si="3"/>
        <v>0</v>
      </c>
      <c r="E17" s="6"/>
      <c r="F17" s="7"/>
      <c r="G17" s="6"/>
      <c r="H17" s="7"/>
      <c r="I17" s="6">
        <f t="shared" si="1"/>
        <v>0</v>
      </c>
      <c r="J17" s="7">
        <f t="shared" si="1"/>
        <v>0</v>
      </c>
      <c r="K17" s="64"/>
      <c r="L17" s="7"/>
      <c r="M17" s="37"/>
      <c r="N17" s="38"/>
      <c r="O17" s="74"/>
      <c r="P17" s="7"/>
      <c r="Q17" s="6"/>
      <c r="R17" s="7"/>
      <c r="S17" s="190">
        <v>1365</v>
      </c>
    </row>
    <row r="18" spans="1:19" ht="20.25" hidden="1" customHeight="1">
      <c r="A18" s="9">
        <f t="shared" si="2"/>
        <v>0</v>
      </c>
      <c r="B18" s="7">
        <f t="shared" si="2"/>
        <v>0</v>
      </c>
      <c r="C18" s="6">
        <f t="shared" si="3"/>
        <v>0</v>
      </c>
      <c r="D18" s="157">
        <f t="shared" si="3"/>
        <v>0</v>
      </c>
      <c r="E18" s="6"/>
      <c r="F18" s="7"/>
      <c r="G18" s="6"/>
      <c r="H18" s="7"/>
      <c r="I18" s="6">
        <f t="shared" si="1"/>
        <v>0</v>
      </c>
      <c r="J18" s="7">
        <f t="shared" si="1"/>
        <v>0</v>
      </c>
      <c r="K18" s="64"/>
      <c r="L18" s="7"/>
      <c r="M18" s="37"/>
      <c r="N18" s="38"/>
      <c r="O18" s="74"/>
      <c r="P18" s="7"/>
      <c r="Q18" s="6"/>
      <c r="R18" s="7"/>
      <c r="S18" s="190">
        <v>1366</v>
      </c>
    </row>
    <row r="19" spans="1:19" ht="20.25" hidden="1" customHeight="1">
      <c r="A19" s="9">
        <f t="shared" si="2"/>
        <v>0</v>
      </c>
      <c r="B19" s="7">
        <f t="shared" si="2"/>
        <v>0</v>
      </c>
      <c r="C19" s="6">
        <f t="shared" si="3"/>
        <v>0</v>
      </c>
      <c r="D19" s="157">
        <f t="shared" si="3"/>
        <v>0</v>
      </c>
      <c r="E19" s="6"/>
      <c r="F19" s="7"/>
      <c r="G19" s="6"/>
      <c r="H19" s="7"/>
      <c r="I19" s="6">
        <f t="shared" si="1"/>
        <v>0</v>
      </c>
      <c r="J19" s="7">
        <f t="shared" si="1"/>
        <v>0</v>
      </c>
      <c r="K19" s="64"/>
      <c r="L19" s="7"/>
      <c r="M19" s="37"/>
      <c r="N19" s="38"/>
      <c r="O19" s="74"/>
      <c r="P19" s="7"/>
      <c r="Q19" s="6"/>
      <c r="R19" s="7"/>
      <c r="S19" s="190">
        <v>1367</v>
      </c>
    </row>
    <row r="20" spans="1:19" ht="20.25" hidden="1" customHeight="1">
      <c r="A20" s="9">
        <f t="shared" si="2"/>
        <v>0</v>
      </c>
      <c r="B20" s="7">
        <f t="shared" si="2"/>
        <v>0</v>
      </c>
      <c r="C20" s="6">
        <f t="shared" si="3"/>
        <v>0</v>
      </c>
      <c r="D20" s="157">
        <f t="shared" si="3"/>
        <v>0</v>
      </c>
      <c r="E20" s="6"/>
      <c r="F20" s="7"/>
      <c r="G20" s="6"/>
      <c r="H20" s="7"/>
      <c r="I20" s="6">
        <f t="shared" si="1"/>
        <v>0</v>
      </c>
      <c r="J20" s="7">
        <f t="shared" si="1"/>
        <v>0</v>
      </c>
      <c r="K20" s="64"/>
      <c r="L20" s="7"/>
      <c r="M20" s="37"/>
      <c r="N20" s="38"/>
      <c r="O20" s="74"/>
      <c r="P20" s="7"/>
      <c r="Q20" s="6"/>
      <c r="R20" s="7"/>
      <c r="S20" s="190">
        <v>1368</v>
      </c>
    </row>
    <row r="21" spans="1:19" ht="20.25" hidden="1" customHeight="1">
      <c r="A21" s="9">
        <f t="shared" si="2"/>
        <v>0</v>
      </c>
      <c r="B21" s="7">
        <f t="shared" si="2"/>
        <v>0</v>
      </c>
      <c r="C21" s="6">
        <f t="shared" si="3"/>
        <v>0</v>
      </c>
      <c r="D21" s="157">
        <f t="shared" si="3"/>
        <v>0</v>
      </c>
      <c r="E21" s="6"/>
      <c r="F21" s="7"/>
      <c r="G21" s="6"/>
      <c r="H21" s="7"/>
      <c r="I21" s="6">
        <f t="shared" si="1"/>
        <v>0</v>
      </c>
      <c r="J21" s="7">
        <f t="shared" si="1"/>
        <v>0</v>
      </c>
      <c r="K21" s="64"/>
      <c r="L21" s="7"/>
      <c r="M21" s="37"/>
      <c r="N21" s="38"/>
      <c r="O21" s="74"/>
      <c r="P21" s="7"/>
      <c r="Q21" s="6"/>
      <c r="R21" s="7"/>
      <c r="S21" s="190">
        <v>1369</v>
      </c>
    </row>
    <row r="22" spans="1:19" ht="20.25" hidden="1" customHeight="1">
      <c r="A22" s="9">
        <f t="shared" si="2"/>
        <v>0</v>
      </c>
      <c r="B22" s="7">
        <f t="shared" si="2"/>
        <v>0</v>
      </c>
      <c r="C22" s="6">
        <f t="shared" si="3"/>
        <v>0</v>
      </c>
      <c r="D22" s="157">
        <f t="shared" si="3"/>
        <v>0</v>
      </c>
      <c r="E22" s="6"/>
      <c r="F22" s="7"/>
      <c r="G22" s="6"/>
      <c r="H22" s="7"/>
      <c r="I22" s="6">
        <f t="shared" si="1"/>
        <v>0</v>
      </c>
      <c r="J22" s="7">
        <f t="shared" si="1"/>
        <v>0</v>
      </c>
      <c r="K22" s="64"/>
      <c r="L22" s="7"/>
      <c r="M22" s="37"/>
      <c r="N22" s="38"/>
      <c r="O22" s="74"/>
      <c r="P22" s="7"/>
      <c r="Q22" s="6"/>
      <c r="R22" s="7"/>
      <c r="S22" s="190">
        <v>1370</v>
      </c>
    </row>
    <row r="23" spans="1:19" ht="20.25" hidden="1" customHeight="1">
      <c r="A23" s="6">
        <f t="shared" si="2"/>
        <v>0</v>
      </c>
      <c r="B23" s="7">
        <f t="shared" si="2"/>
        <v>0</v>
      </c>
      <c r="C23" s="6">
        <f t="shared" si="3"/>
        <v>0</v>
      </c>
      <c r="D23" s="157">
        <f t="shared" si="3"/>
        <v>0</v>
      </c>
      <c r="E23" s="111">
        <v>0</v>
      </c>
      <c r="F23" s="112">
        <v>0</v>
      </c>
      <c r="G23" s="111">
        <v>0</v>
      </c>
      <c r="H23" s="112">
        <v>0</v>
      </c>
      <c r="I23" s="6">
        <f t="shared" si="1"/>
        <v>0</v>
      </c>
      <c r="J23" s="7">
        <f t="shared" si="1"/>
        <v>0</v>
      </c>
      <c r="K23" s="158">
        <v>0</v>
      </c>
      <c r="L23" s="112">
        <v>0</v>
      </c>
      <c r="M23" s="113">
        <v>0</v>
      </c>
      <c r="N23" s="114">
        <v>0</v>
      </c>
      <c r="O23" s="115">
        <v>0</v>
      </c>
      <c r="P23" s="116">
        <v>0</v>
      </c>
      <c r="Q23" s="111">
        <v>0</v>
      </c>
      <c r="R23" s="112">
        <v>0</v>
      </c>
      <c r="S23" s="190">
        <v>1371</v>
      </c>
    </row>
    <row r="24" spans="1:19" ht="21" customHeight="1">
      <c r="A24" s="314">
        <v>2.6950000000000002E-2</v>
      </c>
      <c r="B24" s="256">
        <v>0.21063484499999999</v>
      </c>
      <c r="C24" s="255">
        <f>A24-I24</f>
        <v>0</v>
      </c>
      <c r="D24" s="346">
        <f>B24-J24</f>
        <v>0</v>
      </c>
      <c r="E24" s="255">
        <v>0</v>
      </c>
      <c r="F24" s="256">
        <v>0</v>
      </c>
      <c r="G24" s="255">
        <v>0</v>
      </c>
      <c r="H24" s="256">
        <v>0</v>
      </c>
      <c r="I24" s="314">
        <v>2.6950000000000002E-2</v>
      </c>
      <c r="J24" s="256">
        <v>0.21063484499999999</v>
      </c>
      <c r="K24" s="159">
        <v>0</v>
      </c>
      <c r="L24" s="118">
        <v>0</v>
      </c>
      <c r="M24" s="113">
        <v>0</v>
      </c>
      <c r="N24" s="114">
        <v>0</v>
      </c>
      <c r="O24" s="74">
        <v>26.95</v>
      </c>
      <c r="P24" s="7">
        <v>210.63484500000001</v>
      </c>
      <c r="Q24" s="6">
        <v>0</v>
      </c>
      <c r="R24" s="7">
        <v>0</v>
      </c>
      <c r="S24" s="190">
        <v>1372</v>
      </c>
    </row>
    <row r="25" spans="1:19" ht="21" customHeight="1">
      <c r="A25" s="314">
        <v>1.9300000000000001E-2</v>
      </c>
      <c r="B25" s="256">
        <v>0.40177597399999998</v>
      </c>
      <c r="C25" s="255">
        <f t="shared" ref="C25:C41" si="4">A25-I25</f>
        <v>0</v>
      </c>
      <c r="D25" s="346">
        <f t="shared" ref="D25:D41" si="5">B25-J25</f>
        <v>0</v>
      </c>
      <c r="E25" s="255">
        <v>0</v>
      </c>
      <c r="F25" s="256">
        <v>0</v>
      </c>
      <c r="G25" s="255">
        <v>0</v>
      </c>
      <c r="H25" s="256">
        <v>0</v>
      </c>
      <c r="I25" s="314">
        <v>1.9300000000000001E-2</v>
      </c>
      <c r="J25" s="256">
        <v>0.40177597399999998</v>
      </c>
      <c r="K25" s="159">
        <v>0</v>
      </c>
      <c r="L25" s="118">
        <v>0</v>
      </c>
      <c r="M25" s="117">
        <v>0</v>
      </c>
      <c r="N25" s="118">
        <v>0</v>
      </c>
      <c r="O25" s="119">
        <v>19.3</v>
      </c>
      <c r="P25" s="116">
        <v>401.77597400000002</v>
      </c>
      <c r="Q25" s="120">
        <v>0</v>
      </c>
      <c r="R25" s="116">
        <v>0</v>
      </c>
      <c r="S25" s="190">
        <v>1373</v>
      </c>
    </row>
    <row r="26" spans="1:19" ht="21" customHeight="1">
      <c r="A26" s="255">
        <v>0.13069</v>
      </c>
      <c r="B26" s="256">
        <v>1.9838871360000001</v>
      </c>
      <c r="C26" s="255">
        <f t="shared" si="4"/>
        <v>5.2099999999999369E-4</v>
      </c>
      <c r="D26" s="346">
        <f t="shared" si="5"/>
        <v>0.51759991600000022</v>
      </c>
      <c r="E26" s="255">
        <v>0</v>
      </c>
      <c r="F26" s="256">
        <v>0</v>
      </c>
      <c r="G26" s="255">
        <v>0</v>
      </c>
      <c r="H26" s="256">
        <v>517.59991600000001</v>
      </c>
      <c r="I26" s="255">
        <v>0.13016900000000001</v>
      </c>
      <c r="J26" s="256">
        <v>1.4662872199999999</v>
      </c>
      <c r="K26" s="64">
        <v>0</v>
      </c>
      <c r="L26" s="7">
        <v>0</v>
      </c>
      <c r="M26" s="37">
        <v>0</v>
      </c>
      <c r="N26" s="38">
        <v>894.7</v>
      </c>
      <c r="O26" s="6">
        <v>130.16900000000001</v>
      </c>
      <c r="P26" s="7">
        <v>571.58722</v>
      </c>
      <c r="Q26" s="111">
        <v>0</v>
      </c>
      <c r="R26" s="112">
        <v>0</v>
      </c>
      <c r="S26" s="190">
        <v>1374</v>
      </c>
    </row>
    <row r="27" spans="1:19" ht="21" customHeight="1">
      <c r="A27" s="255">
        <v>1.5920734759999999</v>
      </c>
      <c r="B27" s="256">
        <v>6.8336684999999999</v>
      </c>
      <c r="C27" s="255">
        <f t="shared" si="4"/>
        <v>0</v>
      </c>
      <c r="D27" s="346">
        <f t="shared" si="5"/>
        <v>2.5774891159999997</v>
      </c>
      <c r="E27" s="255">
        <v>0</v>
      </c>
      <c r="F27" s="256">
        <v>0</v>
      </c>
      <c r="G27" s="255">
        <v>0</v>
      </c>
      <c r="H27" s="256">
        <v>2577.4891160000002</v>
      </c>
      <c r="I27" s="255">
        <v>1.5920734759999999</v>
      </c>
      <c r="J27" s="256">
        <v>4.2561793840000002</v>
      </c>
      <c r="K27" s="64">
        <v>0</v>
      </c>
      <c r="L27" s="7">
        <v>0</v>
      </c>
      <c r="M27" s="37">
        <v>144.98540800000001</v>
      </c>
      <c r="N27" s="38">
        <v>3463.4279999999999</v>
      </c>
      <c r="O27" s="6">
        <v>1447.088068</v>
      </c>
      <c r="P27" s="7">
        <v>792.75138400000003</v>
      </c>
      <c r="Q27" s="111">
        <v>0</v>
      </c>
      <c r="R27" s="112">
        <v>0</v>
      </c>
      <c r="S27" s="190">
        <v>1375</v>
      </c>
    </row>
    <row r="28" spans="1:19" ht="21" customHeight="1">
      <c r="A28" s="255">
        <v>3.037213623</v>
      </c>
      <c r="B28" s="256">
        <v>7.9111013979999996</v>
      </c>
      <c r="C28" s="255">
        <f t="shared" si="4"/>
        <v>3.9495919079999999</v>
      </c>
      <c r="D28" s="346">
        <f t="shared" si="5"/>
        <v>3.3693097749999996</v>
      </c>
      <c r="E28" s="255">
        <v>0</v>
      </c>
      <c r="F28" s="256">
        <v>0</v>
      </c>
      <c r="G28" s="255">
        <v>3949.5919079999999</v>
      </c>
      <c r="H28" s="256">
        <v>3369.3097750000002</v>
      </c>
      <c r="I28" s="255">
        <f>-0.912378285</f>
        <v>-0.91237828499999996</v>
      </c>
      <c r="J28" s="256">
        <v>4.5417916229999999</v>
      </c>
      <c r="K28" s="64">
        <v>0</v>
      </c>
      <c r="L28" s="7">
        <v>0</v>
      </c>
      <c r="M28" s="37">
        <v>899.38278000000003</v>
      </c>
      <c r="N28" s="38">
        <v>4391.3014999999996</v>
      </c>
      <c r="O28" s="6">
        <v>-1811.7610649999999</v>
      </c>
      <c r="P28" s="7">
        <v>150.49012300000001</v>
      </c>
      <c r="Q28" s="6">
        <v>0</v>
      </c>
      <c r="R28" s="7">
        <v>0</v>
      </c>
      <c r="S28" s="190">
        <v>1376</v>
      </c>
    </row>
    <row r="29" spans="1:19" ht="21" customHeight="1">
      <c r="A29" s="255">
        <v>5.1103676040000003</v>
      </c>
      <c r="B29" s="256">
        <v>9.5654488400000002</v>
      </c>
      <c r="C29" s="255">
        <f t="shared" si="4"/>
        <v>6.1652154360000004</v>
      </c>
      <c r="D29" s="346">
        <f t="shared" si="5"/>
        <v>5.3585184080000001</v>
      </c>
      <c r="E29" s="255">
        <v>0</v>
      </c>
      <c r="F29" s="256">
        <v>0</v>
      </c>
      <c r="G29" s="255">
        <v>6165.2154360000004</v>
      </c>
      <c r="H29" s="256">
        <v>5358.5184079999999</v>
      </c>
      <c r="I29" s="255">
        <v>-1.0548478320000001</v>
      </c>
      <c r="J29" s="256">
        <v>4.2069304320000001</v>
      </c>
      <c r="K29" s="64">
        <v>0</v>
      </c>
      <c r="L29" s="7">
        <v>0</v>
      </c>
      <c r="M29" s="37">
        <v>17.219280000000001</v>
      </c>
      <c r="N29" s="38">
        <v>3127.404176</v>
      </c>
      <c r="O29" s="6">
        <v>-1072.067112</v>
      </c>
      <c r="P29" s="7">
        <v>1079.5262560000001</v>
      </c>
      <c r="Q29" s="111">
        <v>0</v>
      </c>
      <c r="R29" s="112">
        <v>0</v>
      </c>
      <c r="S29" s="190">
        <v>1377</v>
      </c>
    </row>
    <row r="30" spans="1:19" ht="21" customHeight="1">
      <c r="A30" s="322">
        <v>-0.91055178400000003</v>
      </c>
      <c r="B30" s="260">
        <v>15.591562964</v>
      </c>
      <c r="C30" s="324">
        <f t="shared" si="4"/>
        <v>-1.650570112</v>
      </c>
      <c r="D30" s="348">
        <f t="shared" si="5"/>
        <v>11.742588191999999</v>
      </c>
      <c r="E30" s="255">
        <v>0</v>
      </c>
      <c r="F30" s="256">
        <v>0</v>
      </c>
      <c r="G30" s="255">
        <v>-1650.5701120000001</v>
      </c>
      <c r="H30" s="256">
        <v>11742.588191999999</v>
      </c>
      <c r="I30" s="255">
        <v>0.740018328</v>
      </c>
      <c r="J30" s="256">
        <v>3.848974772</v>
      </c>
      <c r="K30" s="64">
        <v>0</v>
      </c>
      <c r="L30" s="7">
        <v>0</v>
      </c>
      <c r="M30" s="37">
        <v>183.94656800000001</v>
      </c>
      <c r="N30" s="38">
        <v>2549.2467160000001</v>
      </c>
      <c r="O30" s="13">
        <v>556.07176000000004</v>
      </c>
      <c r="P30" s="11">
        <v>1299.7280559999999</v>
      </c>
      <c r="Q30" s="13">
        <v>0</v>
      </c>
      <c r="R30" s="11">
        <v>0</v>
      </c>
      <c r="S30" s="202">
        <v>1378</v>
      </c>
    </row>
    <row r="31" spans="1:19" ht="21" customHeight="1">
      <c r="A31" s="322">
        <v>9.976124896</v>
      </c>
      <c r="B31" s="256">
        <v>19.955559376</v>
      </c>
      <c r="C31" s="296">
        <f t="shared" si="4"/>
        <v>8.1104586479999998</v>
      </c>
      <c r="D31" s="350">
        <f t="shared" si="5"/>
        <v>15.036823536</v>
      </c>
      <c r="E31" s="255">
        <v>0</v>
      </c>
      <c r="F31" s="256">
        <v>0</v>
      </c>
      <c r="G31" s="255">
        <v>8110.4586479999998</v>
      </c>
      <c r="H31" s="256">
        <v>15036.823536</v>
      </c>
      <c r="I31" s="255">
        <v>1.8656662479999999</v>
      </c>
      <c r="J31" s="256">
        <v>4.9187358400000001</v>
      </c>
      <c r="K31" s="64">
        <v>29.216000000000001</v>
      </c>
      <c r="L31" s="7">
        <v>377.10023999999999</v>
      </c>
      <c r="M31" s="37">
        <v>1820.0995439999999</v>
      </c>
      <c r="N31" s="38">
        <v>2967.0265239999999</v>
      </c>
      <c r="O31" s="17">
        <v>16.350704</v>
      </c>
      <c r="P31" s="15">
        <v>1574.609076</v>
      </c>
      <c r="Q31" s="17">
        <v>0</v>
      </c>
      <c r="R31" s="15">
        <v>0</v>
      </c>
      <c r="S31" s="203">
        <v>1379</v>
      </c>
    </row>
    <row r="32" spans="1:19" ht="21" customHeight="1">
      <c r="A32" s="312">
        <v>7.6890945000000004</v>
      </c>
      <c r="B32" s="297">
        <v>11.676371304</v>
      </c>
      <c r="C32" s="296">
        <f t="shared" si="4"/>
        <v>0.71679223600000075</v>
      </c>
      <c r="D32" s="350">
        <f t="shared" si="5"/>
        <v>3.3875497879999994</v>
      </c>
      <c r="E32" s="296">
        <v>0</v>
      </c>
      <c r="F32" s="297">
        <v>0</v>
      </c>
      <c r="G32" s="296">
        <v>716.792236</v>
      </c>
      <c r="H32" s="297">
        <v>3387.5497879999998</v>
      </c>
      <c r="I32" s="255">
        <v>6.9723022639999996</v>
      </c>
      <c r="J32" s="256">
        <v>8.2888215160000005</v>
      </c>
      <c r="K32" s="14">
        <v>28.757999999999999</v>
      </c>
      <c r="L32" s="15">
        <v>1805.546576</v>
      </c>
      <c r="M32" s="22">
        <v>1326.9462000000001</v>
      </c>
      <c r="N32" s="23">
        <v>2091.645364</v>
      </c>
      <c r="O32" s="17">
        <v>5616.5980639999998</v>
      </c>
      <c r="P32" s="15">
        <v>4391.6295760000003</v>
      </c>
      <c r="Q32" s="17">
        <v>0</v>
      </c>
      <c r="R32" s="15">
        <v>0</v>
      </c>
      <c r="S32" s="203">
        <v>1380</v>
      </c>
    </row>
    <row r="33" spans="1:19" ht="21" customHeight="1">
      <c r="A33" s="301">
        <v>19.219411288</v>
      </c>
      <c r="B33" s="256">
        <v>75.908106767999996</v>
      </c>
      <c r="C33" s="255">
        <f t="shared" si="4"/>
        <v>0.27565766400000058</v>
      </c>
      <c r="D33" s="346">
        <f t="shared" si="5"/>
        <v>1.0258764519999914</v>
      </c>
      <c r="E33" s="255">
        <v>0</v>
      </c>
      <c r="F33" s="256">
        <v>23.7</v>
      </c>
      <c r="G33" s="255">
        <v>275.65766400000001</v>
      </c>
      <c r="H33" s="256">
        <v>1002.176452</v>
      </c>
      <c r="I33" s="301">
        <v>18.943753623999999</v>
      </c>
      <c r="J33" s="256">
        <v>74.882230316000005</v>
      </c>
      <c r="K33" s="64">
        <f>'[1]بيمه دانا'!$I$48/1000000</f>
        <v>1060.927144</v>
      </c>
      <c r="L33" s="7">
        <f>'[1]بيمه دانا'!$Q$48/1000000</f>
        <v>3000.7736159999999</v>
      </c>
      <c r="M33" s="37">
        <f>'[1]بيمه البرز'!$I$48/1000000</f>
        <v>6389.5564320000003</v>
      </c>
      <c r="N33" s="38">
        <f>'[1]بيمه البرز'!$Q$48/1000000</f>
        <v>3364.4761239999998</v>
      </c>
      <c r="O33" s="6">
        <f>'[1]بيمه آسيا'!$I$48/1000000</f>
        <v>4157.2878639999999</v>
      </c>
      <c r="P33" s="7">
        <f>'[1]بيمه آسيا'!$Q$48/1000000</f>
        <v>5793.9203559999996</v>
      </c>
      <c r="Q33" s="6">
        <f>'[1]بيمه ايران'!$I$48/1000000</f>
        <v>7335.9821840000004</v>
      </c>
      <c r="R33" s="7">
        <f>'[1]بيمه ايران'!$Q$48/1000000</f>
        <v>62723.060219999999</v>
      </c>
      <c r="S33" s="190">
        <v>1381</v>
      </c>
    </row>
    <row r="34" spans="1:19" ht="21" customHeight="1">
      <c r="A34" s="301">
        <v>22.001911626999998</v>
      </c>
      <c r="B34" s="256">
        <v>68.593807855999998</v>
      </c>
      <c r="C34" s="255">
        <f t="shared" si="4"/>
        <v>0.13240853499999972</v>
      </c>
      <c r="D34" s="346">
        <f t="shared" si="5"/>
        <v>7.3014238599999999</v>
      </c>
      <c r="E34" s="255">
        <v>10.408535000000001</v>
      </c>
      <c r="F34" s="256">
        <v>3496.8727319999998</v>
      </c>
      <c r="G34" s="255">
        <v>122</v>
      </c>
      <c r="H34" s="256">
        <v>3804.5511280000001</v>
      </c>
      <c r="I34" s="301">
        <v>21.869503091999999</v>
      </c>
      <c r="J34" s="256">
        <v>61.292383995999998</v>
      </c>
      <c r="K34" s="64">
        <f>'[2]بيمه دانا'!$I$48/1000000</f>
        <v>10.963792</v>
      </c>
      <c r="L34" s="7">
        <f>'[2]بيمه دانا'!$Q$48/1000000</f>
        <v>2490.551172</v>
      </c>
      <c r="M34" s="37">
        <f>'[2]بيمه البرز'!$I$48/1000000</f>
        <v>-1021.176112</v>
      </c>
      <c r="N34" s="38">
        <f>'[2]بيمه البرز'!$Q$48/1000000</f>
        <v>3281.1751279999999</v>
      </c>
      <c r="O34" s="6">
        <f>'[2]بيمه آسيا'!$I$48/1000000</f>
        <v>16754.339592</v>
      </c>
      <c r="P34" s="7">
        <f>'[2]بيمه آسيا'!$Q$48/1000000</f>
        <v>5267.1013999999996</v>
      </c>
      <c r="Q34" s="6">
        <f>'[2]بيمه ايران'!$I$48/1000000</f>
        <v>6125.3758200000002</v>
      </c>
      <c r="R34" s="7">
        <f>'[2]بيمه ايران'!$Q$48/1000000</f>
        <v>50253.556296000002</v>
      </c>
      <c r="S34" s="190">
        <v>1382</v>
      </c>
    </row>
    <row r="35" spans="1:19" ht="21" customHeight="1">
      <c r="A35" s="313">
        <v>47.925330686999999</v>
      </c>
      <c r="B35" s="297">
        <v>184.60606010999999</v>
      </c>
      <c r="C35" s="337">
        <f t="shared" si="4"/>
        <v>5.7430222750000013</v>
      </c>
      <c r="D35" s="338">
        <f t="shared" si="5"/>
        <v>16.087365257999977</v>
      </c>
      <c r="E35" s="337">
        <v>4635.0222750000003</v>
      </c>
      <c r="F35" s="310">
        <v>16026.57223</v>
      </c>
      <c r="G35" s="337">
        <v>1108</v>
      </c>
      <c r="H35" s="310">
        <v>60.793028</v>
      </c>
      <c r="I35" s="312">
        <v>42.182308411999998</v>
      </c>
      <c r="J35" s="300">
        <v>168.51869485200001</v>
      </c>
      <c r="K35" s="150">
        <f>'[2]بيمه دانا'!$H$48/1000000</f>
        <v>188.00035600000001</v>
      </c>
      <c r="L35" s="134">
        <f>'[2]بيمه دانا'!$P$48/1000000</f>
        <v>2122.3667999999998</v>
      </c>
      <c r="M35" s="135">
        <f>'[2]بيمه البرز'!$H$48/1000000</f>
        <v>2560.2602200000001</v>
      </c>
      <c r="N35" s="136">
        <f>'[2]بيمه البرز'!$P$48/1000000</f>
        <v>4282.7803960000001</v>
      </c>
      <c r="O35" s="132">
        <f>'[2]بيمه آسيا'!$H$48/1000000</f>
        <v>22313.644799999998</v>
      </c>
      <c r="P35" s="134">
        <f>'[2]بيمه آسيا'!$P$48/1000000</f>
        <v>52600.108412000001</v>
      </c>
      <c r="Q35" s="132">
        <f>'[2]بيمه ايران'!$H$48/1000000</f>
        <v>17120.403036</v>
      </c>
      <c r="R35" s="134">
        <f>'[2]بيمه ايران'!$P$48/1000000</f>
        <v>109513.43924399999</v>
      </c>
      <c r="S35" s="204">
        <v>1383</v>
      </c>
    </row>
    <row r="36" spans="1:19" s="1" customFormat="1" ht="21" customHeight="1">
      <c r="A36" s="301">
        <v>85.609895581000004</v>
      </c>
      <c r="B36" s="256">
        <v>176.551843886</v>
      </c>
      <c r="C36" s="302">
        <f t="shared" si="4"/>
        <v>42.205338389000005</v>
      </c>
      <c r="D36" s="336">
        <f t="shared" si="5"/>
        <v>70.047828601999996</v>
      </c>
      <c r="E36" s="308">
        <v>42204.679994999999</v>
      </c>
      <c r="F36" s="305">
        <v>69999.756015000006</v>
      </c>
      <c r="G36" s="308">
        <v>0</v>
      </c>
      <c r="H36" s="305">
        <v>48.077356000000002</v>
      </c>
      <c r="I36" s="301">
        <v>43.404557191999999</v>
      </c>
      <c r="J36" s="256">
        <v>106.504015284</v>
      </c>
      <c r="K36" s="88">
        <f>'[3]بيمه دانا'!$H$48/1000000</f>
        <v>141.75495599999999</v>
      </c>
      <c r="L36" s="26">
        <f>'[3]بيمه دانا'!$P$48/1000000</f>
        <v>3328.4235399999998</v>
      </c>
      <c r="M36" s="102">
        <f>'[3]بيمه البرز'!$H$48/1000000</f>
        <v>610.95191599999998</v>
      </c>
      <c r="N36" s="28">
        <f>'[3]بيمه البرز'!$P$48/1000000</f>
        <v>2622.1927000000001</v>
      </c>
      <c r="O36" s="88">
        <f>'[3]بيمه آسيا'!$H$48/1000000</f>
        <v>16327.811008000001</v>
      </c>
      <c r="P36" s="26">
        <f>'[3]بيمه آسيا'!$P$48/1000000</f>
        <v>29507.345868</v>
      </c>
      <c r="Q36" s="88">
        <f>'[3]بيمه ايران'!$H$48/1000000</f>
        <v>26324.039312000001</v>
      </c>
      <c r="R36" s="26">
        <f>'[3]بيمه ايران'!$P$48/1000000</f>
        <v>71046.053176000001</v>
      </c>
      <c r="S36" s="166">
        <v>1384</v>
      </c>
    </row>
    <row r="37" spans="1:19" s="1" customFormat="1" ht="21" customHeight="1">
      <c r="A37" s="322">
        <v>93.442340568000006</v>
      </c>
      <c r="B37" s="260">
        <v>128.34881468399999</v>
      </c>
      <c r="C37" s="331">
        <f t="shared" si="4"/>
        <v>15.256125944000004</v>
      </c>
      <c r="D37" s="330">
        <f t="shared" si="5"/>
        <v>56.780591995999984</v>
      </c>
      <c r="E37" s="331"/>
      <c r="F37" s="331"/>
      <c r="G37" s="331"/>
      <c r="H37" s="331"/>
      <c r="I37" s="315">
        <v>78.186214624000002</v>
      </c>
      <c r="J37" s="260">
        <v>71.568222688000006</v>
      </c>
      <c r="K37" s="235"/>
      <c r="L37" s="235"/>
      <c r="M37" s="236"/>
      <c r="N37" s="236"/>
      <c r="O37" s="235"/>
      <c r="P37" s="235"/>
      <c r="Q37" s="235"/>
      <c r="R37" s="235"/>
      <c r="S37" s="237">
        <v>1385</v>
      </c>
    </row>
    <row r="38" spans="1:19" s="1" customFormat="1" ht="21" customHeight="1">
      <c r="A38" s="301">
        <v>29.167817935999999</v>
      </c>
      <c r="B38" s="256">
        <v>91.703084043999993</v>
      </c>
      <c r="C38" s="308">
        <f t="shared" si="4"/>
        <v>20.818479243999999</v>
      </c>
      <c r="D38" s="305">
        <f t="shared" si="5"/>
        <v>28.572676163999994</v>
      </c>
      <c r="E38" s="308"/>
      <c r="F38" s="308"/>
      <c r="G38" s="308"/>
      <c r="H38" s="308"/>
      <c r="I38" s="298">
        <v>8.3493386919999999</v>
      </c>
      <c r="J38" s="256">
        <v>63.13040788</v>
      </c>
      <c r="K38" s="88"/>
      <c r="L38" s="88"/>
      <c r="M38" s="102"/>
      <c r="N38" s="102"/>
      <c r="O38" s="88"/>
      <c r="P38" s="88"/>
      <c r="Q38" s="88"/>
      <c r="R38" s="88"/>
      <c r="S38" s="199">
        <v>1386</v>
      </c>
    </row>
    <row r="39" spans="1:19" s="1" customFormat="1" ht="21" customHeight="1">
      <c r="A39" s="301">
        <v>21.709189536</v>
      </c>
      <c r="B39" s="256">
        <v>70.094374083999995</v>
      </c>
      <c r="C39" s="308">
        <f t="shared" si="4"/>
        <v>8.7985290040000006</v>
      </c>
      <c r="D39" s="305">
        <f t="shared" si="5"/>
        <v>20.917343623999997</v>
      </c>
      <c r="E39" s="308"/>
      <c r="F39" s="308"/>
      <c r="G39" s="308"/>
      <c r="H39" s="308"/>
      <c r="I39" s="298">
        <v>12.910660532</v>
      </c>
      <c r="J39" s="256">
        <v>49.177030459999997</v>
      </c>
      <c r="K39" s="88"/>
      <c r="L39" s="88"/>
      <c r="M39" s="102"/>
      <c r="N39" s="102"/>
      <c r="O39" s="88"/>
      <c r="P39" s="88"/>
      <c r="Q39" s="88"/>
      <c r="R39" s="88"/>
      <c r="S39" s="199">
        <v>1387</v>
      </c>
    </row>
    <row r="40" spans="1:19" s="1" customFormat="1" ht="21" customHeight="1">
      <c r="A40" s="301">
        <v>53.698952404000003</v>
      </c>
      <c r="B40" s="256">
        <v>32.299999999999997</v>
      </c>
      <c r="C40" s="308">
        <f t="shared" si="4"/>
        <v>11.464832676</v>
      </c>
      <c r="D40" s="305">
        <f t="shared" si="5"/>
        <v>3.5210076999999984</v>
      </c>
      <c r="E40" s="308"/>
      <c r="F40" s="308"/>
      <c r="G40" s="308"/>
      <c r="H40" s="308"/>
      <c r="I40" s="298">
        <v>42.234119728000003</v>
      </c>
      <c r="J40" s="256">
        <v>28.778992299999999</v>
      </c>
      <c r="K40" s="88"/>
      <c r="L40" s="88"/>
      <c r="M40" s="102"/>
      <c r="N40" s="102"/>
      <c r="O40" s="88"/>
      <c r="P40" s="88"/>
      <c r="Q40" s="88"/>
      <c r="R40" s="88"/>
      <c r="S40" s="199">
        <v>1388</v>
      </c>
    </row>
    <row r="41" spans="1:19" s="1" customFormat="1" ht="21" customHeight="1">
      <c r="A41" s="301">
        <v>32.500349591999999</v>
      </c>
      <c r="B41" s="256">
        <v>381.56887030799999</v>
      </c>
      <c r="C41" s="308">
        <f t="shared" si="4"/>
        <v>24.585397216</v>
      </c>
      <c r="D41" s="305">
        <f t="shared" si="5"/>
        <v>352.57835584399999</v>
      </c>
      <c r="E41" s="308"/>
      <c r="F41" s="308"/>
      <c r="G41" s="308"/>
      <c r="H41" s="308"/>
      <c r="I41" s="298">
        <v>7.9149523759999996</v>
      </c>
      <c r="J41" s="256">
        <v>28.990514464</v>
      </c>
      <c r="K41" s="88"/>
      <c r="L41" s="88"/>
      <c r="M41" s="102"/>
      <c r="N41" s="102"/>
      <c r="O41" s="88"/>
      <c r="P41" s="88"/>
      <c r="Q41" s="88"/>
      <c r="R41" s="88"/>
      <c r="S41" s="199">
        <v>1389</v>
      </c>
    </row>
    <row r="42" spans="1:19" s="1" customFormat="1" ht="21" customHeight="1">
      <c r="A42" s="424">
        <f>91.9</f>
        <v>91.9</v>
      </c>
      <c r="B42" s="423">
        <f>490.7</f>
        <v>490.7</v>
      </c>
      <c r="C42" s="448">
        <f t="shared" ref="C42:D51" si="6">A42-I42</f>
        <v>28.900000000000006</v>
      </c>
      <c r="D42" s="447">
        <f t="shared" si="6"/>
        <v>390.5</v>
      </c>
      <c r="E42" s="449"/>
      <c r="F42" s="449"/>
      <c r="G42" s="449"/>
      <c r="H42" s="449"/>
      <c r="I42" s="425">
        <f>63</f>
        <v>63</v>
      </c>
      <c r="J42" s="423">
        <f>100.2</f>
        <v>100.2</v>
      </c>
      <c r="K42" s="405"/>
      <c r="L42" s="405"/>
      <c r="M42" s="405"/>
      <c r="N42" s="405"/>
      <c r="O42" s="405"/>
      <c r="P42" s="405"/>
      <c r="Q42" s="405"/>
      <c r="R42" s="405"/>
      <c r="S42" s="409">
        <v>1390</v>
      </c>
    </row>
    <row r="43" spans="1:19" s="1" customFormat="1" ht="21" customHeight="1">
      <c r="A43" s="428">
        <v>3.9</v>
      </c>
      <c r="B43" s="429">
        <v>205.7</v>
      </c>
      <c r="C43" s="448">
        <f t="shared" si="6"/>
        <v>4.9000000000000004</v>
      </c>
      <c r="D43" s="447">
        <f t="shared" si="6"/>
        <v>37.5</v>
      </c>
      <c r="E43" s="502"/>
      <c r="F43" s="452"/>
      <c r="G43" s="452"/>
      <c r="H43" s="452"/>
      <c r="I43" s="431">
        <v>-1</v>
      </c>
      <c r="J43" s="429">
        <v>168.2</v>
      </c>
      <c r="K43" s="410"/>
      <c r="L43" s="411"/>
      <c r="M43" s="411"/>
      <c r="N43" s="411"/>
      <c r="O43" s="411"/>
      <c r="P43" s="411"/>
      <c r="Q43" s="411"/>
      <c r="R43" s="411"/>
      <c r="S43" s="413">
        <v>1391</v>
      </c>
    </row>
    <row r="44" spans="1:19" s="1" customFormat="1" ht="21" customHeight="1">
      <c r="A44" s="422">
        <v>95.5</v>
      </c>
      <c r="B44" s="423">
        <v>288.3</v>
      </c>
      <c r="C44" s="448">
        <f t="shared" si="6"/>
        <v>93.4</v>
      </c>
      <c r="D44" s="447">
        <f t="shared" si="6"/>
        <v>10.900000000000034</v>
      </c>
      <c r="E44" s="503"/>
      <c r="F44" s="456"/>
      <c r="G44" s="456"/>
      <c r="H44" s="456"/>
      <c r="I44" s="435">
        <v>2.1</v>
      </c>
      <c r="J44" s="423">
        <v>277.39999999999998</v>
      </c>
      <c r="K44" s="374"/>
      <c r="L44" s="375"/>
      <c r="M44" s="375"/>
      <c r="N44" s="375"/>
      <c r="O44" s="375"/>
      <c r="P44" s="375"/>
      <c r="Q44" s="375"/>
      <c r="R44" s="375"/>
      <c r="S44" s="415">
        <v>1392</v>
      </c>
    </row>
    <row r="45" spans="1:19" s="1" customFormat="1" ht="21" customHeight="1">
      <c r="A45" s="422">
        <v>18.5</v>
      </c>
      <c r="B45" s="423">
        <v>4.7</v>
      </c>
      <c r="C45" s="448">
        <f t="shared" si="6"/>
        <v>18.5</v>
      </c>
      <c r="D45" s="447">
        <f t="shared" si="6"/>
        <v>4.7</v>
      </c>
      <c r="E45" s="503"/>
      <c r="F45" s="456"/>
      <c r="G45" s="456"/>
      <c r="H45" s="456"/>
      <c r="I45" s="435">
        <v>0</v>
      </c>
      <c r="J45" s="423">
        <v>0</v>
      </c>
      <c r="K45" s="374"/>
      <c r="L45" s="375"/>
      <c r="M45" s="375"/>
      <c r="N45" s="375"/>
      <c r="O45" s="375"/>
      <c r="P45" s="375"/>
      <c r="Q45" s="375"/>
      <c r="R45" s="375"/>
      <c r="S45" s="415">
        <v>1393</v>
      </c>
    </row>
    <row r="46" spans="1:19" s="1" customFormat="1" ht="21" customHeight="1">
      <c r="A46" s="422">
        <v>6.4</v>
      </c>
      <c r="B46" s="423">
        <v>2</v>
      </c>
      <c r="C46" s="448">
        <f t="shared" si="6"/>
        <v>6.4</v>
      </c>
      <c r="D46" s="447">
        <f t="shared" si="6"/>
        <v>2</v>
      </c>
      <c r="E46" s="503"/>
      <c r="F46" s="456"/>
      <c r="G46" s="456"/>
      <c r="H46" s="456"/>
      <c r="I46" s="435">
        <v>0</v>
      </c>
      <c r="J46" s="423">
        <v>0</v>
      </c>
      <c r="K46" s="374"/>
      <c r="L46" s="375"/>
      <c r="M46" s="375"/>
      <c r="N46" s="375"/>
      <c r="O46" s="375"/>
      <c r="P46" s="375"/>
      <c r="Q46" s="375"/>
      <c r="R46" s="375"/>
      <c r="S46" s="415">
        <v>1394</v>
      </c>
    </row>
    <row r="47" spans="1:19" s="1" customFormat="1" ht="21" customHeight="1">
      <c r="A47" s="422">
        <v>2.4</v>
      </c>
      <c r="B47" s="423">
        <v>0.5</v>
      </c>
      <c r="C47" s="448">
        <f t="shared" si="6"/>
        <v>2.4</v>
      </c>
      <c r="D47" s="447">
        <f t="shared" si="6"/>
        <v>0.5</v>
      </c>
      <c r="E47" s="503"/>
      <c r="F47" s="456"/>
      <c r="G47" s="456"/>
      <c r="H47" s="456"/>
      <c r="I47" s="435">
        <v>0</v>
      </c>
      <c r="J47" s="423">
        <v>0</v>
      </c>
      <c r="K47" s="374"/>
      <c r="L47" s="375"/>
      <c r="M47" s="375"/>
      <c r="N47" s="375"/>
      <c r="O47" s="375"/>
      <c r="P47" s="375"/>
      <c r="Q47" s="375"/>
      <c r="R47" s="375"/>
      <c r="S47" s="415">
        <v>1395</v>
      </c>
    </row>
    <row r="48" spans="1:19" s="1" customFormat="1" ht="21" customHeight="1">
      <c r="A48" s="422">
        <v>-7.6</v>
      </c>
      <c r="B48" s="423">
        <v>8</v>
      </c>
      <c r="C48" s="448">
        <f t="shared" si="6"/>
        <v>-7.6</v>
      </c>
      <c r="D48" s="447">
        <f t="shared" si="6"/>
        <v>8</v>
      </c>
      <c r="E48" s="503"/>
      <c r="F48" s="456"/>
      <c r="G48" s="456"/>
      <c r="H48" s="456"/>
      <c r="I48" s="435">
        <v>0</v>
      </c>
      <c r="J48" s="423">
        <v>0</v>
      </c>
      <c r="K48" s="374"/>
      <c r="L48" s="375"/>
      <c r="M48" s="375"/>
      <c r="N48" s="375"/>
      <c r="O48" s="375"/>
      <c r="P48" s="375"/>
      <c r="Q48" s="375"/>
      <c r="R48" s="375"/>
      <c r="S48" s="415">
        <v>1396</v>
      </c>
    </row>
    <row r="49" spans="1:19" s="1" customFormat="1" ht="21" customHeight="1">
      <c r="A49" s="422">
        <v>33.4</v>
      </c>
      <c r="B49" s="423">
        <v>1.6</v>
      </c>
      <c r="C49" s="448">
        <f t="shared" si="6"/>
        <v>33.4</v>
      </c>
      <c r="D49" s="447">
        <f t="shared" si="6"/>
        <v>1.6</v>
      </c>
      <c r="E49" s="503"/>
      <c r="F49" s="456"/>
      <c r="G49" s="456"/>
      <c r="H49" s="456"/>
      <c r="I49" s="435">
        <v>0</v>
      </c>
      <c r="J49" s="423">
        <v>0</v>
      </c>
      <c r="K49" s="374"/>
      <c r="L49" s="375"/>
      <c r="M49" s="375"/>
      <c r="N49" s="375"/>
      <c r="O49" s="375"/>
      <c r="P49" s="375"/>
      <c r="Q49" s="375"/>
      <c r="R49" s="375"/>
      <c r="S49" s="415">
        <v>1397</v>
      </c>
    </row>
    <row r="50" spans="1:19" s="1" customFormat="1" ht="21" customHeight="1">
      <c r="A50" s="422">
        <v>-4.5</v>
      </c>
      <c r="B50" s="423">
        <v>78.3</v>
      </c>
      <c r="C50" s="448">
        <f t="shared" si="6"/>
        <v>-4.5</v>
      </c>
      <c r="D50" s="447">
        <f t="shared" si="6"/>
        <v>78.3</v>
      </c>
      <c r="E50" s="503"/>
      <c r="F50" s="456"/>
      <c r="G50" s="456"/>
      <c r="H50" s="456"/>
      <c r="I50" s="435">
        <v>0</v>
      </c>
      <c r="J50" s="423">
        <v>0</v>
      </c>
      <c r="K50" s="374"/>
      <c r="L50" s="375"/>
      <c r="M50" s="375"/>
      <c r="N50" s="375"/>
      <c r="O50" s="375"/>
      <c r="P50" s="375"/>
      <c r="Q50" s="375"/>
      <c r="R50" s="375"/>
      <c r="S50" s="415">
        <v>1398</v>
      </c>
    </row>
    <row r="51" spans="1:19" s="1" customFormat="1" ht="21" customHeight="1" thickBot="1">
      <c r="A51" s="469">
        <v>2.9</v>
      </c>
      <c r="B51" s="470">
        <v>102.4</v>
      </c>
      <c r="C51" s="508">
        <f t="shared" si="6"/>
        <v>2.9</v>
      </c>
      <c r="D51" s="501">
        <f t="shared" si="6"/>
        <v>102.4</v>
      </c>
      <c r="E51" s="517"/>
      <c r="F51" s="500"/>
      <c r="G51" s="500"/>
      <c r="H51" s="500"/>
      <c r="I51" s="491">
        <v>0</v>
      </c>
      <c r="J51" s="470">
        <v>0</v>
      </c>
      <c r="K51" s="383"/>
      <c r="L51" s="384"/>
      <c r="M51" s="384"/>
      <c r="N51" s="384"/>
      <c r="O51" s="384"/>
      <c r="P51" s="384"/>
      <c r="Q51" s="384"/>
      <c r="R51" s="384"/>
      <c r="S51" s="518">
        <v>1399</v>
      </c>
    </row>
    <row r="52" spans="1:19" ht="18" customHeight="1">
      <c r="A52" s="565" t="s">
        <v>32</v>
      </c>
      <c r="B52" s="565"/>
      <c r="C52" s="565"/>
      <c r="D52" s="565"/>
      <c r="E52" s="565"/>
      <c r="F52" s="565"/>
      <c r="G52" s="565"/>
      <c r="H52" s="565"/>
      <c r="I52" s="565"/>
      <c r="J52" s="565"/>
      <c r="K52" s="565"/>
      <c r="L52" s="565"/>
      <c r="M52" s="565"/>
      <c r="N52" s="565"/>
      <c r="O52" s="565"/>
      <c r="P52" s="565"/>
      <c r="Q52" s="565"/>
      <c r="R52" s="565"/>
      <c r="S52" s="565"/>
    </row>
    <row r="53" spans="1:19" ht="18" customHeight="1">
      <c r="A53" s="1"/>
      <c r="B53" s="1"/>
      <c r="C53" s="563" t="s">
        <v>53</v>
      </c>
      <c r="D53" s="563"/>
      <c r="E53" s="563"/>
      <c r="F53" s="563"/>
      <c r="G53" s="563"/>
      <c r="H53" s="563"/>
      <c r="I53" s="563"/>
      <c r="J53" s="563"/>
      <c r="K53" s="563"/>
      <c r="L53" s="563"/>
      <c r="M53" s="563"/>
      <c r="N53" s="563"/>
      <c r="O53" s="563"/>
      <c r="P53" s="563"/>
      <c r="Q53" s="563"/>
      <c r="R53" s="563"/>
      <c r="S53" s="563"/>
    </row>
    <row r="57" spans="1:19" ht="14.1" customHeight="1">
      <c r="A57" s="121"/>
      <c r="B57" s="121"/>
      <c r="C57" s="121"/>
      <c r="D57" s="121"/>
      <c r="E57" s="121"/>
      <c r="F57" s="121"/>
      <c r="G57" s="121"/>
      <c r="H57" s="121"/>
      <c r="I57" s="121"/>
      <c r="J57" s="121"/>
      <c r="K57" s="121"/>
      <c r="L57" s="121"/>
      <c r="M57" s="121"/>
      <c r="N57" s="121"/>
      <c r="O57" s="121"/>
      <c r="P57" s="121"/>
      <c r="Q57" s="121"/>
      <c r="R57" s="121"/>
    </row>
    <row r="58" spans="1:19" ht="14.1" customHeight="1">
      <c r="A58" s="121"/>
      <c r="B58" s="121"/>
      <c r="C58" s="121"/>
      <c r="D58" s="121"/>
      <c r="E58" s="121"/>
      <c r="F58" s="121"/>
      <c r="G58" s="121"/>
      <c r="H58" s="121"/>
      <c r="I58" s="121"/>
      <c r="J58" s="121"/>
      <c r="K58" s="121"/>
      <c r="L58" s="121"/>
      <c r="M58" s="121"/>
      <c r="N58" s="121"/>
      <c r="O58" s="121"/>
      <c r="P58" s="121"/>
      <c r="Q58" s="121"/>
      <c r="R58" s="121"/>
    </row>
    <row r="59" spans="1:19" ht="14.1" customHeight="1">
      <c r="A59" s="121"/>
      <c r="B59" s="121"/>
      <c r="C59" s="121"/>
      <c r="D59" s="121"/>
      <c r="E59" s="121"/>
      <c r="F59" s="121"/>
      <c r="G59" s="121"/>
      <c r="H59" s="121"/>
      <c r="I59" s="121"/>
      <c r="J59" s="121"/>
      <c r="K59" s="121"/>
      <c r="L59" s="121"/>
      <c r="M59" s="121"/>
      <c r="N59" s="121"/>
      <c r="O59" s="121"/>
      <c r="P59" s="121"/>
      <c r="Q59" s="121"/>
      <c r="R59" s="121"/>
    </row>
    <row r="60" spans="1:19" ht="14.1" customHeight="1">
      <c r="A60" s="121"/>
      <c r="B60" s="121"/>
      <c r="C60" s="121"/>
      <c r="D60" s="121"/>
      <c r="E60" s="121"/>
      <c r="F60" s="121"/>
      <c r="G60" s="121"/>
      <c r="H60" s="121"/>
      <c r="I60" s="121"/>
      <c r="J60" s="121"/>
      <c r="K60" s="121"/>
      <c r="L60" s="121"/>
      <c r="M60" s="121"/>
      <c r="N60" s="121"/>
      <c r="O60" s="121"/>
      <c r="P60" s="121"/>
      <c r="Q60" s="121"/>
      <c r="R60" s="121"/>
    </row>
    <row r="61" spans="1:19" ht="14.1" customHeight="1">
      <c r="A61" s="121"/>
      <c r="B61" s="121"/>
      <c r="C61" s="121"/>
      <c r="D61" s="121"/>
      <c r="E61" s="121"/>
      <c r="F61" s="121"/>
      <c r="G61" s="121"/>
      <c r="H61" s="121"/>
      <c r="I61" s="121"/>
      <c r="J61" s="121"/>
      <c r="K61" s="121"/>
      <c r="L61" s="121"/>
      <c r="M61" s="121"/>
      <c r="N61" s="121"/>
      <c r="O61" s="121"/>
      <c r="P61" s="121"/>
      <c r="Q61" s="121"/>
      <c r="R61" s="121"/>
    </row>
    <row r="62" spans="1:19" ht="14.1" customHeight="1">
      <c r="A62" s="121"/>
      <c r="B62" s="121"/>
      <c r="C62" s="121"/>
      <c r="D62" s="121"/>
      <c r="E62" s="121"/>
      <c r="F62" s="121"/>
      <c r="G62" s="121"/>
      <c r="H62" s="121"/>
      <c r="I62" s="121"/>
      <c r="J62" s="121"/>
      <c r="K62" s="121"/>
      <c r="L62" s="121"/>
      <c r="M62" s="121"/>
      <c r="N62" s="121"/>
      <c r="O62" s="121"/>
      <c r="P62" s="121"/>
      <c r="Q62" s="121"/>
      <c r="R62" s="121"/>
    </row>
    <row r="63" spans="1:19" ht="14.1" customHeight="1">
      <c r="A63" s="121"/>
      <c r="B63" s="121"/>
      <c r="C63" s="121"/>
      <c r="D63" s="121"/>
      <c r="E63" s="121"/>
      <c r="F63" s="121"/>
      <c r="G63" s="121"/>
      <c r="H63" s="121"/>
      <c r="I63" s="121"/>
      <c r="J63" s="121"/>
      <c r="K63" s="121"/>
      <c r="L63" s="121"/>
      <c r="M63" s="121"/>
      <c r="N63" s="121"/>
      <c r="O63" s="121"/>
      <c r="P63" s="121"/>
      <c r="Q63" s="121"/>
      <c r="R63" s="121"/>
    </row>
    <row r="64" spans="1:19" ht="14.1" customHeight="1">
      <c r="A64" s="121"/>
      <c r="B64" s="121"/>
      <c r="C64" s="121"/>
      <c r="D64" s="121"/>
      <c r="E64" s="121"/>
      <c r="F64" s="121"/>
      <c r="G64" s="121"/>
      <c r="H64" s="121"/>
      <c r="I64" s="121"/>
      <c r="J64" s="121"/>
      <c r="K64" s="121"/>
      <c r="L64" s="121"/>
      <c r="M64" s="121"/>
      <c r="N64" s="121"/>
      <c r="O64" s="121"/>
      <c r="P64" s="121"/>
      <c r="Q64" s="121"/>
      <c r="R64" s="121"/>
    </row>
    <row r="65" spans="1:18" ht="14.1" customHeight="1">
      <c r="A65" s="121"/>
      <c r="B65" s="121"/>
      <c r="C65" s="121"/>
      <c r="D65" s="121"/>
      <c r="E65" s="121"/>
      <c r="F65" s="121"/>
      <c r="G65" s="121"/>
      <c r="H65" s="121"/>
      <c r="I65" s="121"/>
      <c r="J65" s="121"/>
      <c r="K65" s="121"/>
      <c r="L65" s="121"/>
      <c r="M65" s="121"/>
      <c r="N65" s="121"/>
      <c r="O65" s="121"/>
      <c r="P65" s="121"/>
      <c r="Q65" s="121"/>
      <c r="R65" s="121"/>
    </row>
    <row r="66" spans="1:18" ht="14.1" customHeight="1">
      <c r="A66" s="121"/>
      <c r="B66" s="121"/>
      <c r="C66" s="121"/>
      <c r="D66" s="121"/>
      <c r="E66" s="121"/>
      <c r="F66" s="121"/>
      <c r="G66" s="121"/>
      <c r="H66" s="121"/>
      <c r="I66" s="121"/>
      <c r="J66" s="121"/>
      <c r="K66" s="121"/>
      <c r="L66" s="121"/>
      <c r="M66" s="121"/>
      <c r="N66" s="121"/>
      <c r="O66" s="121"/>
      <c r="P66" s="121"/>
      <c r="Q66" s="121"/>
      <c r="R66" s="121"/>
    </row>
    <row r="67" spans="1:18" ht="14.1" customHeight="1">
      <c r="A67" s="121"/>
      <c r="B67" s="121"/>
      <c r="C67" s="121"/>
      <c r="D67" s="121"/>
      <c r="E67" s="121"/>
      <c r="F67" s="121"/>
      <c r="G67" s="121"/>
      <c r="H67" s="121"/>
      <c r="I67" s="121"/>
      <c r="J67" s="121"/>
      <c r="K67" s="121"/>
      <c r="L67" s="121"/>
      <c r="M67" s="121"/>
      <c r="N67" s="121"/>
      <c r="O67" s="121"/>
      <c r="P67" s="121"/>
      <c r="Q67" s="121"/>
      <c r="R67" s="121"/>
    </row>
    <row r="68" spans="1:18" ht="14.1" customHeight="1">
      <c r="A68" s="121"/>
      <c r="B68" s="121"/>
      <c r="C68" s="121"/>
      <c r="D68" s="121"/>
      <c r="E68" s="121"/>
      <c r="F68" s="121"/>
      <c r="G68" s="121"/>
      <c r="H68" s="121"/>
      <c r="I68" s="121"/>
      <c r="J68" s="121"/>
      <c r="K68" s="121"/>
      <c r="L68" s="121"/>
      <c r="M68" s="121"/>
      <c r="N68" s="121"/>
      <c r="O68" s="121"/>
      <c r="P68" s="121"/>
      <c r="Q68" s="121"/>
      <c r="R68" s="121"/>
    </row>
  </sheetData>
  <mergeCells count="15">
    <mergeCell ref="C53:S53"/>
    <mergeCell ref="A1:S1"/>
    <mergeCell ref="A3:B3"/>
    <mergeCell ref="A4:B4"/>
    <mergeCell ref="G4:H4"/>
    <mergeCell ref="K4:L4"/>
    <mergeCell ref="A2:S2"/>
    <mergeCell ref="A52:S52"/>
    <mergeCell ref="I4:J4"/>
    <mergeCell ref="C4:D4"/>
    <mergeCell ref="M4:N4"/>
    <mergeCell ref="O4:P4"/>
    <mergeCell ref="Q4:R4"/>
    <mergeCell ref="S4:S5"/>
    <mergeCell ref="E4:F4"/>
  </mergeCells>
  <phoneticPr fontId="7" type="noConversion"/>
  <printOptions horizontalCentered="1" verticalCentered="1"/>
  <pageMargins left="0.39370078740157483" right="0.39370078740157483" top="0.82677165354330717" bottom="0.98425196850393704" header="0.51181102362204722" footer="0.51181102362204722"/>
  <pageSetup paperSize="9" scale="71" orientation="landscape" horizontalDpi="300" verticalDpi="300" r:id="rId1"/>
  <headerFooter alignWithMargins="0"/>
  <colBreaks count="2" manualBreakCount="2">
    <brk id="19" max="1048575" man="1"/>
    <brk id="24" max="1048575" man="1"/>
  </col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3"/>
  <sheetViews>
    <sheetView zoomScale="80" zoomScaleNormal="80" zoomScaleSheetLayoutView="80" workbookViewId="0">
      <selection activeCell="Q4" sqref="Q4:Q5"/>
    </sheetView>
  </sheetViews>
  <sheetFormatPr defaultColWidth="13.88671875" defaultRowHeight="14.1" customHeight="1"/>
  <cols>
    <col min="1" max="4" width="20.6640625" customWidth="1"/>
    <col min="5" max="6" width="13.88671875" hidden="1" customWidth="1"/>
    <col min="7" max="8" width="20.6640625" customWidth="1"/>
    <col min="9" max="16" width="0" hidden="1" customWidth="1"/>
    <col min="17" max="17" width="20.6640625" customWidth="1"/>
  </cols>
  <sheetData>
    <row r="1" spans="1:24" ht="21" customHeight="1">
      <c r="A1" s="549" t="s">
        <v>13</v>
      </c>
      <c r="B1" s="549"/>
      <c r="C1" s="549"/>
      <c r="D1" s="549"/>
      <c r="E1" s="549"/>
      <c r="F1" s="549"/>
      <c r="G1" s="549"/>
      <c r="H1" s="549"/>
      <c r="I1" s="549"/>
      <c r="J1" s="549"/>
      <c r="K1" s="549"/>
      <c r="L1" s="549"/>
      <c r="M1" s="549"/>
      <c r="N1" s="549"/>
      <c r="O1" s="549"/>
      <c r="P1" s="549"/>
      <c r="Q1" s="549"/>
    </row>
    <row r="2" spans="1:24" ht="21" customHeight="1">
      <c r="A2" s="549" t="s">
        <v>63</v>
      </c>
      <c r="B2" s="549"/>
      <c r="C2" s="549"/>
      <c r="D2" s="549"/>
      <c r="E2" s="549"/>
      <c r="F2" s="549"/>
      <c r="G2" s="549"/>
      <c r="H2" s="549"/>
      <c r="I2" s="549"/>
      <c r="J2" s="549"/>
      <c r="K2" s="549"/>
      <c r="L2" s="549"/>
      <c r="M2" s="549"/>
      <c r="N2" s="549"/>
      <c r="O2" s="549"/>
      <c r="P2" s="549"/>
      <c r="Q2" s="549"/>
      <c r="T2" s="2"/>
      <c r="U2" s="2"/>
      <c r="V2" s="2"/>
      <c r="W2" s="2"/>
      <c r="X2" s="2"/>
    </row>
    <row r="3" spans="1:24" ht="14.1" customHeight="1" thickBot="1">
      <c r="A3" s="550" t="s">
        <v>56</v>
      </c>
      <c r="B3" s="550"/>
      <c r="C3" s="86"/>
      <c r="D3" s="86"/>
      <c r="E3" s="1"/>
      <c r="F3" s="1"/>
      <c r="G3" s="1"/>
      <c r="H3" s="1"/>
      <c r="I3" s="1"/>
      <c r="J3" s="1"/>
      <c r="K3" s="1"/>
      <c r="L3" s="1"/>
      <c r="M3" s="1"/>
      <c r="N3" s="1"/>
      <c r="O3" s="1"/>
      <c r="P3" s="1"/>
      <c r="Q3" s="1"/>
      <c r="T3" s="2"/>
      <c r="U3" s="2"/>
      <c r="V3" s="2"/>
      <c r="W3" s="2"/>
      <c r="X3" s="2"/>
    </row>
    <row r="4" spans="1:24" ht="21" customHeight="1">
      <c r="A4" s="569" t="s">
        <v>7</v>
      </c>
      <c r="B4" s="570"/>
      <c r="C4" s="569" t="s">
        <v>33</v>
      </c>
      <c r="D4" s="570"/>
      <c r="E4" s="569" t="s">
        <v>6</v>
      </c>
      <c r="F4" s="570"/>
      <c r="G4" s="569" t="s">
        <v>21</v>
      </c>
      <c r="H4" s="570"/>
      <c r="I4" s="569" t="s">
        <v>21</v>
      </c>
      <c r="J4" s="570"/>
      <c r="K4" s="576" t="s">
        <v>5</v>
      </c>
      <c r="L4" s="577"/>
      <c r="M4" s="578" t="s">
        <v>4</v>
      </c>
      <c r="N4" s="579"/>
      <c r="O4" s="576" t="s">
        <v>3</v>
      </c>
      <c r="P4" s="577"/>
      <c r="Q4" s="557" t="s">
        <v>8</v>
      </c>
    </row>
    <row r="5" spans="1:24" ht="21" customHeight="1" thickBot="1">
      <c r="A5" s="185" t="s">
        <v>25</v>
      </c>
      <c r="B5" s="186" t="s">
        <v>34</v>
      </c>
      <c r="C5" s="185" t="s">
        <v>25</v>
      </c>
      <c r="D5" s="186" t="s">
        <v>34</v>
      </c>
      <c r="E5" s="185" t="s">
        <v>25</v>
      </c>
      <c r="F5" s="186" t="s">
        <v>24</v>
      </c>
      <c r="G5" s="185" t="s">
        <v>25</v>
      </c>
      <c r="H5" s="186" t="s">
        <v>34</v>
      </c>
      <c r="I5" s="185" t="s">
        <v>25</v>
      </c>
      <c r="J5" s="186" t="s">
        <v>24</v>
      </c>
      <c r="K5" s="41" t="s">
        <v>1</v>
      </c>
      <c r="L5" s="42" t="s">
        <v>0</v>
      </c>
      <c r="M5" s="39" t="s">
        <v>1</v>
      </c>
      <c r="N5" s="40" t="s">
        <v>0</v>
      </c>
      <c r="O5" s="41" t="s">
        <v>1</v>
      </c>
      <c r="P5" s="42" t="s">
        <v>0</v>
      </c>
      <c r="Q5" s="558"/>
    </row>
    <row r="6" spans="1:24" ht="21.75" hidden="1" customHeight="1">
      <c r="A6" s="18"/>
      <c r="B6" s="19"/>
      <c r="C6" s="18"/>
      <c r="D6" s="19"/>
      <c r="E6" s="18"/>
      <c r="F6" s="19"/>
      <c r="G6" s="18"/>
      <c r="H6" s="19"/>
      <c r="I6" s="18"/>
      <c r="J6" s="19"/>
      <c r="K6" s="43"/>
      <c r="L6" s="44"/>
      <c r="M6" s="59"/>
      <c r="N6" s="19"/>
      <c r="O6" s="60"/>
      <c r="P6" s="19"/>
      <c r="Q6" s="169">
        <v>1354</v>
      </c>
    </row>
    <row r="7" spans="1:24" ht="21.75" hidden="1" customHeight="1">
      <c r="A7" s="6"/>
      <c r="B7" s="7"/>
      <c r="C7" s="6"/>
      <c r="D7" s="7"/>
      <c r="E7" s="6"/>
      <c r="F7" s="7"/>
      <c r="G7" s="6"/>
      <c r="H7" s="7"/>
      <c r="I7" s="6"/>
      <c r="J7" s="7"/>
      <c r="K7" s="37"/>
      <c r="L7" s="38"/>
      <c r="M7" s="73"/>
      <c r="N7" s="7"/>
      <c r="O7" s="6"/>
      <c r="P7" s="7"/>
      <c r="Q7" s="170">
        <v>1355</v>
      </c>
    </row>
    <row r="8" spans="1:24" ht="21.75" hidden="1" customHeight="1">
      <c r="A8" s="6"/>
      <c r="B8" s="7"/>
      <c r="C8" s="6"/>
      <c r="D8" s="7"/>
      <c r="E8" s="6"/>
      <c r="F8" s="7"/>
      <c r="G8" s="6"/>
      <c r="H8" s="7"/>
      <c r="I8" s="6"/>
      <c r="J8" s="7"/>
      <c r="K8" s="37"/>
      <c r="L8" s="38"/>
      <c r="M8" s="73"/>
      <c r="N8" s="7"/>
      <c r="O8" s="6"/>
      <c r="P8" s="7"/>
      <c r="Q8" s="170">
        <v>1356</v>
      </c>
    </row>
    <row r="9" spans="1:24" ht="21.75" hidden="1" customHeight="1">
      <c r="A9" s="6"/>
      <c r="B9" s="7"/>
      <c r="C9" s="6"/>
      <c r="D9" s="7"/>
      <c r="E9" s="6"/>
      <c r="F9" s="7"/>
      <c r="G9" s="6"/>
      <c r="H9" s="7"/>
      <c r="I9" s="6"/>
      <c r="J9" s="7"/>
      <c r="K9" s="37"/>
      <c r="L9" s="38"/>
      <c r="M9" s="73"/>
      <c r="N9" s="7"/>
      <c r="O9" s="6"/>
      <c r="P9" s="7"/>
      <c r="Q9" s="170">
        <v>1357</v>
      </c>
    </row>
    <row r="10" spans="1:24" ht="21.75" hidden="1" customHeight="1">
      <c r="A10" s="6"/>
      <c r="B10" s="7"/>
      <c r="C10" s="6"/>
      <c r="D10" s="7"/>
      <c r="E10" s="6"/>
      <c r="F10" s="7"/>
      <c r="G10" s="6"/>
      <c r="H10" s="7"/>
      <c r="I10" s="6"/>
      <c r="J10" s="7"/>
      <c r="K10" s="37"/>
      <c r="L10" s="38"/>
      <c r="M10" s="73"/>
      <c r="N10" s="7"/>
      <c r="O10" s="6"/>
      <c r="P10" s="7"/>
      <c r="Q10" s="170">
        <v>1358</v>
      </c>
    </row>
    <row r="11" spans="1:24" ht="21.75" hidden="1" customHeight="1">
      <c r="A11" s="6"/>
      <c r="B11" s="7"/>
      <c r="C11" s="6"/>
      <c r="D11" s="7"/>
      <c r="E11" s="6"/>
      <c r="F11" s="7"/>
      <c r="G11" s="6"/>
      <c r="H11" s="7"/>
      <c r="I11" s="6"/>
      <c r="J11" s="7"/>
      <c r="K11" s="37"/>
      <c r="L11" s="38"/>
      <c r="M11" s="73"/>
      <c r="N11" s="7"/>
      <c r="O11" s="6"/>
      <c r="P11" s="7"/>
      <c r="Q11" s="170">
        <v>1359</v>
      </c>
    </row>
    <row r="12" spans="1:24" ht="21.75" hidden="1" customHeight="1">
      <c r="A12" s="6"/>
      <c r="B12" s="7"/>
      <c r="C12" s="6"/>
      <c r="D12" s="7"/>
      <c r="E12" s="6"/>
      <c r="F12" s="7"/>
      <c r="G12" s="6"/>
      <c r="H12" s="7"/>
      <c r="I12" s="6"/>
      <c r="J12" s="7"/>
      <c r="K12" s="37"/>
      <c r="L12" s="38"/>
      <c r="M12" s="74"/>
      <c r="N12" s="7"/>
      <c r="O12" s="6"/>
      <c r="P12" s="7"/>
      <c r="Q12" s="170">
        <v>1360</v>
      </c>
    </row>
    <row r="13" spans="1:24" ht="21.75" hidden="1" customHeight="1">
      <c r="A13" s="6"/>
      <c r="B13" s="7"/>
      <c r="C13" s="6"/>
      <c r="D13" s="7"/>
      <c r="E13" s="6"/>
      <c r="F13" s="7"/>
      <c r="G13" s="6"/>
      <c r="H13" s="7"/>
      <c r="I13" s="6"/>
      <c r="J13" s="7"/>
      <c r="K13" s="37"/>
      <c r="L13" s="38"/>
      <c r="M13" s="74"/>
      <c r="N13" s="7"/>
      <c r="O13" s="6"/>
      <c r="P13" s="7"/>
      <c r="Q13" s="170">
        <v>1361</v>
      </c>
    </row>
    <row r="14" spans="1:24" ht="21.75" hidden="1" customHeight="1">
      <c r="A14" s="6"/>
      <c r="B14" s="7"/>
      <c r="C14" s="6"/>
      <c r="D14" s="7"/>
      <c r="E14" s="6"/>
      <c r="F14" s="7"/>
      <c r="G14" s="6"/>
      <c r="H14" s="7"/>
      <c r="I14" s="6"/>
      <c r="J14" s="7"/>
      <c r="K14" s="49"/>
      <c r="L14" s="38"/>
      <c r="M14" s="74"/>
      <c r="N14" s="7"/>
      <c r="O14" s="6"/>
      <c r="P14" s="7"/>
      <c r="Q14" s="170">
        <v>1362</v>
      </c>
    </row>
    <row r="15" spans="1:24" ht="21.75" hidden="1" customHeight="1">
      <c r="A15" s="6"/>
      <c r="B15" s="7"/>
      <c r="C15" s="6"/>
      <c r="D15" s="7"/>
      <c r="E15" s="6"/>
      <c r="F15" s="7"/>
      <c r="G15" s="6"/>
      <c r="H15" s="7"/>
      <c r="I15" s="6"/>
      <c r="J15" s="7"/>
      <c r="K15" s="53"/>
      <c r="L15" s="38"/>
      <c r="M15" s="75"/>
      <c r="N15" s="7"/>
      <c r="O15" s="6"/>
      <c r="P15" s="7"/>
      <c r="Q15" s="170">
        <v>1363</v>
      </c>
    </row>
    <row r="16" spans="1:24" ht="21.75" hidden="1" customHeight="1">
      <c r="A16" s="6"/>
      <c r="B16" s="7"/>
      <c r="C16" s="6"/>
      <c r="D16" s="7"/>
      <c r="E16" s="6"/>
      <c r="F16" s="7"/>
      <c r="G16" s="6"/>
      <c r="H16" s="7"/>
      <c r="I16" s="6"/>
      <c r="J16" s="7"/>
      <c r="K16" s="49"/>
      <c r="L16" s="38"/>
      <c r="M16" s="74"/>
      <c r="N16" s="7"/>
      <c r="O16" s="6"/>
      <c r="P16" s="7"/>
      <c r="Q16" s="170">
        <v>1364</v>
      </c>
    </row>
    <row r="17" spans="1:17" ht="21.75" hidden="1" customHeight="1">
      <c r="A17" s="6"/>
      <c r="B17" s="7"/>
      <c r="C17" s="6"/>
      <c r="D17" s="7"/>
      <c r="E17" s="6"/>
      <c r="F17" s="7"/>
      <c r="G17" s="6"/>
      <c r="H17" s="7"/>
      <c r="I17" s="6"/>
      <c r="J17" s="7"/>
      <c r="K17" s="37"/>
      <c r="L17" s="38"/>
      <c r="M17" s="74"/>
      <c r="N17" s="7"/>
      <c r="O17" s="6"/>
      <c r="P17" s="7"/>
      <c r="Q17" s="170">
        <v>1365</v>
      </c>
    </row>
    <row r="18" spans="1:17" ht="21.75" hidden="1" customHeight="1">
      <c r="A18" s="6"/>
      <c r="B18" s="7"/>
      <c r="C18" s="6"/>
      <c r="D18" s="7"/>
      <c r="E18" s="6"/>
      <c r="F18" s="7"/>
      <c r="G18" s="6"/>
      <c r="H18" s="7"/>
      <c r="I18" s="6"/>
      <c r="J18" s="7"/>
      <c r="K18" s="37"/>
      <c r="L18" s="38"/>
      <c r="M18" s="74"/>
      <c r="N18" s="7"/>
      <c r="O18" s="6"/>
      <c r="P18" s="7"/>
      <c r="Q18" s="170">
        <v>1366</v>
      </c>
    </row>
    <row r="19" spans="1:17" ht="21.75" hidden="1" customHeight="1">
      <c r="A19" s="6"/>
      <c r="B19" s="7"/>
      <c r="C19" s="6"/>
      <c r="D19" s="7"/>
      <c r="E19" s="6"/>
      <c r="F19" s="7"/>
      <c r="G19" s="6"/>
      <c r="H19" s="7"/>
      <c r="I19" s="6"/>
      <c r="J19" s="7"/>
      <c r="K19" s="37"/>
      <c r="L19" s="38"/>
      <c r="M19" s="74"/>
      <c r="N19" s="7"/>
      <c r="O19" s="6"/>
      <c r="P19" s="7"/>
      <c r="Q19" s="170">
        <v>1367</v>
      </c>
    </row>
    <row r="20" spans="1:17" ht="21.75" hidden="1" customHeight="1">
      <c r="A20" s="6"/>
      <c r="B20" s="7"/>
      <c r="C20" s="6"/>
      <c r="D20" s="7"/>
      <c r="E20" s="6"/>
      <c r="F20" s="7"/>
      <c r="G20" s="6"/>
      <c r="H20" s="7"/>
      <c r="I20" s="6"/>
      <c r="J20" s="7"/>
      <c r="K20" s="37"/>
      <c r="L20" s="38"/>
      <c r="M20" s="74"/>
      <c r="N20" s="7"/>
      <c r="O20" s="6"/>
      <c r="P20" s="7"/>
      <c r="Q20" s="170">
        <v>1368</v>
      </c>
    </row>
    <row r="21" spans="1:17" ht="21.75" hidden="1" customHeight="1">
      <c r="A21" s="6"/>
      <c r="B21" s="7"/>
      <c r="C21" s="6"/>
      <c r="D21" s="7"/>
      <c r="E21" s="6"/>
      <c r="F21" s="7"/>
      <c r="G21" s="6"/>
      <c r="H21" s="7"/>
      <c r="I21" s="6"/>
      <c r="J21" s="7"/>
      <c r="K21" s="37"/>
      <c r="L21" s="38"/>
      <c r="M21" s="74"/>
      <c r="N21" s="7"/>
      <c r="O21" s="6"/>
      <c r="P21" s="7"/>
      <c r="Q21" s="170">
        <v>1369</v>
      </c>
    </row>
    <row r="22" spans="1:17" ht="21.75" hidden="1" customHeight="1">
      <c r="A22" s="6"/>
      <c r="B22" s="7"/>
      <c r="C22" s="6"/>
      <c r="D22" s="7"/>
      <c r="E22" s="6"/>
      <c r="F22" s="7"/>
      <c r="G22" s="6"/>
      <c r="H22" s="7"/>
      <c r="I22" s="6"/>
      <c r="J22" s="7"/>
      <c r="K22" s="37"/>
      <c r="L22" s="38"/>
      <c r="M22" s="74"/>
      <c r="N22" s="7"/>
      <c r="O22" s="6"/>
      <c r="P22" s="7"/>
      <c r="Q22" s="170">
        <v>1370</v>
      </c>
    </row>
    <row r="23" spans="1:17" ht="21.75" hidden="1" customHeight="1">
      <c r="A23" s="6"/>
      <c r="B23" s="7"/>
      <c r="C23" s="6"/>
      <c r="D23" s="7"/>
      <c r="E23" s="6"/>
      <c r="F23" s="7"/>
      <c r="G23" s="6"/>
      <c r="H23" s="7"/>
      <c r="I23" s="6"/>
      <c r="J23" s="7"/>
      <c r="K23" s="37"/>
      <c r="L23" s="38"/>
      <c r="M23" s="74"/>
      <c r="N23" s="7"/>
      <c r="O23" s="6"/>
      <c r="P23" s="7"/>
      <c r="Q23" s="170">
        <v>1371</v>
      </c>
    </row>
    <row r="24" spans="1:17" ht="21.75" hidden="1" customHeight="1">
      <c r="A24" s="6"/>
      <c r="B24" s="7"/>
      <c r="C24" s="6"/>
      <c r="D24" s="7"/>
      <c r="E24" s="6"/>
      <c r="F24" s="7"/>
      <c r="G24" s="6"/>
      <c r="H24" s="7"/>
      <c r="I24" s="6"/>
      <c r="J24" s="7"/>
      <c r="K24" s="37"/>
      <c r="L24" s="38"/>
      <c r="M24" s="74"/>
      <c r="N24" s="7"/>
      <c r="O24" s="6"/>
      <c r="P24" s="7"/>
      <c r="Q24" s="170">
        <v>1372</v>
      </c>
    </row>
    <row r="25" spans="1:17" ht="21.75" hidden="1" customHeight="1">
      <c r="A25" s="6"/>
      <c r="B25" s="7"/>
      <c r="C25" s="6"/>
      <c r="D25" s="7"/>
      <c r="E25" s="6"/>
      <c r="F25" s="7"/>
      <c r="G25" s="6"/>
      <c r="H25" s="7"/>
      <c r="I25" s="6"/>
      <c r="J25" s="7"/>
      <c r="K25" s="49"/>
      <c r="L25" s="38"/>
      <c r="M25" s="74"/>
      <c r="N25" s="7"/>
      <c r="O25" s="6"/>
      <c r="P25" s="7"/>
      <c r="Q25" s="170">
        <v>1373</v>
      </c>
    </row>
    <row r="26" spans="1:17" ht="21.75" hidden="1" customHeight="1">
      <c r="A26" s="6"/>
      <c r="B26" s="7"/>
      <c r="C26" s="6"/>
      <c r="D26" s="7"/>
      <c r="E26" s="6"/>
      <c r="F26" s="7"/>
      <c r="G26" s="6"/>
      <c r="H26" s="7"/>
      <c r="I26" s="6"/>
      <c r="J26" s="7"/>
      <c r="K26" s="37"/>
      <c r="L26" s="38"/>
      <c r="M26" s="6"/>
      <c r="N26" s="7"/>
      <c r="O26" s="6"/>
      <c r="P26" s="7"/>
      <c r="Q26" s="170">
        <v>1374</v>
      </c>
    </row>
    <row r="27" spans="1:17" ht="21.75" hidden="1" customHeight="1">
      <c r="A27" s="6"/>
      <c r="B27" s="7"/>
      <c r="C27" s="6"/>
      <c r="D27" s="7"/>
      <c r="E27" s="6"/>
      <c r="F27" s="7"/>
      <c r="G27" s="6"/>
      <c r="H27" s="7"/>
      <c r="I27" s="6"/>
      <c r="J27" s="7"/>
      <c r="K27" s="37"/>
      <c r="L27" s="38"/>
      <c r="M27" s="6"/>
      <c r="N27" s="7"/>
      <c r="O27" s="6"/>
      <c r="P27" s="7"/>
      <c r="Q27" s="170">
        <v>1375</v>
      </c>
    </row>
    <row r="28" spans="1:17" ht="21.75" hidden="1" customHeight="1">
      <c r="A28" s="6"/>
      <c r="B28" s="7"/>
      <c r="C28" s="6"/>
      <c r="D28" s="7"/>
      <c r="E28" s="6"/>
      <c r="F28" s="7"/>
      <c r="G28" s="6"/>
      <c r="H28" s="7"/>
      <c r="I28" s="6"/>
      <c r="J28" s="7"/>
      <c r="K28" s="37"/>
      <c r="L28" s="38"/>
      <c r="M28" s="6"/>
      <c r="N28" s="7"/>
      <c r="O28" s="6"/>
      <c r="P28" s="7"/>
      <c r="Q28" s="170">
        <v>1376</v>
      </c>
    </row>
    <row r="29" spans="1:17" ht="21.75" hidden="1" customHeight="1">
      <c r="A29" s="6"/>
      <c r="B29" s="7"/>
      <c r="C29" s="6"/>
      <c r="D29" s="7"/>
      <c r="E29" s="6"/>
      <c r="F29" s="7"/>
      <c r="G29" s="6"/>
      <c r="H29" s="7"/>
      <c r="I29" s="6"/>
      <c r="J29" s="7"/>
      <c r="K29" s="37"/>
      <c r="L29" s="38"/>
      <c r="M29" s="6"/>
      <c r="N29" s="7"/>
      <c r="O29" s="6"/>
      <c r="P29" s="7"/>
      <c r="Q29" s="170">
        <v>1377</v>
      </c>
    </row>
    <row r="30" spans="1:17" ht="21.75" customHeight="1">
      <c r="A30" s="255">
        <v>0</v>
      </c>
      <c r="B30" s="256">
        <v>5.4303573040000002</v>
      </c>
      <c r="C30" s="255">
        <f>A30-G30</f>
        <v>0</v>
      </c>
      <c r="D30" s="256">
        <f>B30-H30</f>
        <v>0</v>
      </c>
      <c r="E30" s="255"/>
      <c r="F30" s="256"/>
      <c r="G30" s="255">
        <v>0</v>
      </c>
      <c r="H30" s="256">
        <v>5.4303573040000002</v>
      </c>
      <c r="I30" s="6">
        <f>[13]Sheet2!$N$26</f>
        <v>0</v>
      </c>
      <c r="J30" s="7">
        <f>[13]Sheet2!$N$25</f>
        <v>0</v>
      </c>
      <c r="K30" s="37">
        <f>[13]Sheet2!$T$26</f>
        <v>0</v>
      </c>
      <c r="L30" s="38">
        <f>[13]Sheet2!$T$25/1000000</f>
        <v>1249.645808</v>
      </c>
      <c r="M30" s="13">
        <f>[13]Sheet2!$Z$26/1000000</f>
        <v>0</v>
      </c>
      <c r="N30" s="11">
        <f>[13]Sheet2!$Z$25/1000000</f>
        <v>1249.645808</v>
      </c>
      <c r="O30" s="13">
        <f>[13]Sheet2!$AF$26/1000000</f>
        <v>0</v>
      </c>
      <c r="P30" s="11">
        <f>[13]Sheet2!$AF$25/1000000</f>
        <v>2931.0656880000001</v>
      </c>
      <c r="Q30" s="187">
        <v>1378</v>
      </c>
    </row>
    <row r="31" spans="1:17" ht="21" customHeight="1">
      <c r="A31" s="255">
        <v>0</v>
      </c>
      <c r="B31" s="256">
        <v>26.89724365</v>
      </c>
      <c r="C31" s="255">
        <f t="shared" ref="C31:C41" si="0">A31-G31</f>
        <v>0</v>
      </c>
      <c r="D31" s="256">
        <f t="shared" ref="D31:D41" si="1">B31-H31</f>
        <v>-4.807149999983551E-4</v>
      </c>
      <c r="E31" s="255"/>
      <c r="F31" s="256"/>
      <c r="G31" s="255">
        <v>0</v>
      </c>
      <c r="H31" s="256">
        <v>26.897724364999998</v>
      </c>
      <c r="I31" s="6">
        <f>[13]Sheet2!$M$26</f>
        <v>0</v>
      </c>
      <c r="J31" s="7">
        <f>[13]Sheet2!$M$25/1000000</f>
        <v>687.07208000000003</v>
      </c>
      <c r="K31" s="37">
        <f>[13]Sheet2!$S$26</f>
        <v>0</v>
      </c>
      <c r="L31" s="38">
        <f>[13]Sheet2!$S$25/1000000</f>
        <v>1923.3420000000001</v>
      </c>
      <c r="M31" s="17">
        <f>[13]Sheet2!$Y$26/1000000</f>
        <v>0</v>
      </c>
      <c r="N31" s="15">
        <f>[13]Sheet2!$Y$25/1000000</f>
        <v>6712.7412770000001</v>
      </c>
      <c r="O31" s="17">
        <f>[13]Sheet2!$AE$26</f>
        <v>0</v>
      </c>
      <c r="P31" s="15">
        <f>[13]Sheet2!$AE$25/1000000</f>
        <v>17574.569007999999</v>
      </c>
      <c r="Q31" s="226">
        <v>1379</v>
      </c>
    </row>
    <row r="32" spans="1:17" ht="21" customHeight="1">
      <c r="A32" s="296">
        <v>0.555716722</v>
      </c>
      <c r="B32" s="297">
        <v>18.528365596</v>
      </c>
      <c r="C32" s="296">
        <f t="shared" si="0"/>
        <v>0</v>
      </c>
      <c r="D32" s="297">
        <f t="shared" si="1"/>
        <v>0</v>
      </c>
      <c r="E32" s="296"/>
      <c r="F32" s="297"/>
      <c r="G32" s="296">
        <v>0.555716722</v>
      </c>
      <c r="H32" s="297">
        <v>18.528365596</v>
      </c>
      <c r="I32" s="17">
        <f>[13]Sheet2!$K$26</f>
        <v>0</v>
      </c>
      <c r="J32" s="15">
        <f>[13]Sheet2!$K$25</f>
        <v>0</v>
      </c>
      <c r="K32" s="22">
        <f>[13]Sheet2!$Q$26/1000000</f>
        <v>555.716722</v>
      </c>
      <c r="L32" s="23">
        <f>[13]Sheet2!$Q$25/1000000</f>
        <v>3932.145</v>
      </c>
      <c r="M32" s="17">
        <f>[13]Sheet2!$W$26/1000000</f>
        <v>0</v>
      </c>
      <c r="N32" s="15">
        <f>[13]Sheet2!$W$25/1000000</f>
        <v>3932.145</v>
      </c>
      <c r="O32" s="17">
        <f>[13]Sheet2!$AC$26/1000000</f>
        <v>0</v>
      </c>
      <c r="P32" s="15">
        <f>[13]Sheet2!$AC$25/1000000</f>
        <v>10664.075596000001</v>
      </c>
      <c r="Q32" s="226">
        <v>1380</v>
      </c>
    </row>
    <row r="33" spans="1:30" ht="21" customHeight="1">
      <c r="A33" s="255">
        <v>2.959359616</v>
      </c>
      <c r="B33" s="256">
        <v>165.39774559599999</v>
      </c>
      <c r="C33" s="298">
        <f t="shared" si="0"/>
        <v>0</v>
      </c>
      <c r="D33" s="256">
        <f t="shared" si="1"/>
        <v>0</v>
      </c>
      <c r="E33" s="255">
        <v>0</v>
      </c>
      <c r="F33" s="256">
        <v>0</v>
      </c>
      <c r="G33" s="298">
        <v>2.959359616</v>
      </c>
      <c r="H33" s="256">
        <v>165.39774559599999</v>
      </c>
      <c r="I33" s="6">
        <f>'[1]بيمه دانا'!$I$51/1000000</f>
        <v>293.34613200000001</v>
      </c>
      <c r="J33" s="7">
        <f>'[1]بيمه دانا'!$Q$51/1000000</f>
        <v>18594.249816</v>
      </c>
      <c r="K33" s="108">
        <f>'[1]بيمه البرز'!$I$51</f>
        <v>0</v>
      </c>
      <c r="L33" s="38">
        <f>'[1]بيمه البرز'!$Q$51/1000000</f>
        <v>23445.496203999999</v>
      </c>
      <c r="M33" s="6">
        <f>'[1]بيمه آسيا'!$I$51/1000000</f>
        <v>2519.6875</v>
      </c>
      <c r="N33" s="7">
        <f>'[1]بيمه آسيا'!$Q$51/1000000</f>
        <v>38440.167223999997</v>
      </c>
      <c r="O33" s="6">
        <f>'[1]بيمه ايران'!$I$51/1000000</f>
        <v>146.32598400000001</v>
      </c>
      <c r="P33" s="7">
        <f>'[1]بيمه ايران'!$Q$51/1000000</f>
        <v>84917.832351999998</v>
      </c>
      <c r="Q33" s="170">
        <v>1381</v>
      </c>
    </row>
    <row r="34" spans="1:30" ht="21" customHeight="1">
      <c r="A34" s="255">
        <v>25.856309004</v>
      </c>
      <c r="B34" s="256">
        <v>571.552683656</v>
      </c>
      <c r="C34" s="298">
        <f t="shared" si="0"/>
        <v>0</v>
      </c>
      <c r="D34" s="256">
        <f t="shared" si="1"/>
        <v>87.659794703999978</v>
      </c>
      <c r="E34" s="255">
        <v>0</v>
      </c>
      <c r="F34" s="256">
        <v>0</v>
      </c>
      <c r="G34" s="298">
        <v>25.856309004</v>
      </c>
      <c r="H34" s="256">
        <v>483.89288895200002</v>
      </c>
      <c r="I34" s="109">
        <f>0</f>
        <v>0</v>
      </c>
      <c r="J34" s="7">
        <f>'[2]بيمه دانا'!$Q$52/1000000</f>
        <v>88061.821232000002</v>
      </c>
      <c r="K34" s="108">
        <f>'[2]بيمه البرز'!$I$52</f>
        <v>0</v>
      </c>
      <c r="L34" s="38">
        <f>'[2]بيمه البرز'!$Q$52/1000000</f>
        <v>53159.248204000003</v>
      </c>
      <c r="M34" s="6">
        <f>'[2]بيمه آسيا'!$I$52/1000000</f>
        <v>826.41735200000005</v>
      </c>
      <c r="N34" s="7">
        <f>'[2]بيمه آسيا'!$Q$52/1000000</f>
        <v>59522.258972000003</v>
      </c>
      <c r="O34" s="6">
        <f>'[2]بيمه ايران'!$I$52/1000000</f>
        <v>25029.891651999998</v>
      </c>
      <c r="P34" s="7">
        <f>'[2]بيمه ايران'!$Q$52/1000000</f>
        <v>283149.56054400001</v>
      </c>
      <c r="Q34" s="170">
        <v>1382</v>
      </c>
    </row>
    <row r="35" spans="1:30" ht="21" customHeight="1">
      <c r="A35" s="255">
        <v>15.620419031999999</v>
      </c>
      <c r="B35" s="256">
        <v>564.62935682800003</v>
      </c>
      <c r="C35" s="311">
        <f t="shared" si="0"/>
        <v>0</v>
      </c>
      <c r="D35" s="310">
        <f t="shared" si="1"/>
        <v>105.66535205600002</v>
      </c>
      <c r="E35" s="337">
        <v>0</v>
      </c>
      <c r="F35" s="310">
        <v>0</v>
      </c>
      <c r="G35" s="311">
        <v>15.620419031999999</v>
      </c>
      <c r="H35" s="310">
        <v>458.96400477200001</v>
      </c>
      <c r="I35" s="147">
        <v>0</v>
      </c>
      <c r="J35" s="134">
        <f>'[2]بيمه دانا'!$P$52/1000000</f>
        <v>60116.744956000002</v>
      </c>
      <c r="K35" s="135">
        <f>'[2]بيمه البرز'!$H$52/1000000</f>
        <v>784.86861999999996</v>
      </c>
      <c r="L35" s="136">
        <f>'[2]بيمه البرز'!$P$52/1000000</f>
        <v>58134.441035999997</v>
      </c>
      <c r="M35" s="132">
        <f>'[2]بيمه آسيا'!$H$52/1000000</f>
        <v>1262.5897199999999</v>
      </c>
      <c r="N35" s="134">
        <f>'[2]بيمه آسيا'!$P$52/1000000</f>
        <v>115226.647944</v>
      </c>
      <c r="O35" s="132">
        <f>'[2]بيمه ايران'!$H$52/1000000</f>
        <v>13572.960692000001</v>
      </c>
      <c r="P35" s="134">
        <f>'[2]بيمه ايران'!$P$52/1000000</f>
        <v>225486.170836</v>
      </c>
      <c r="Q35" s="165">
        <v>1383</v>
      </c>
    </row>
    <row r="36" spans="1:30" s="142" customFormat="1" ht="21" customHeight="1" thickBot="1">
      <c r="A36" s="255">
        <v>137.26341722000001</v>
      </c>
      <c r="B36" s="256">
        <v>312.33697708800003</v>
      </c>
      <c r="C36" s="328">
        <f t="shared" si="0"/>
        <v>70.878628248000012</v>
      </c>
      <c r="D36" s="307">
        <f t="shared" si="1"/>
        <v>69.934261848000034</v>
      </c>
      <c r="E36" s="328"/>
      <c r="F36" s="328"/>
      <c r="G36" s="328">
        <v>66.384788971999996</v>
      </c>
      <c r="H36" s="307">
        <v>242.40271523999999</v>
      </c>
      <c r="I36" s="206">
        <f>'[3]بيمه دانا'!$H$52</f>
        <v>0</v>
      </c>
      <c r="J36" s="30">
        <f>'[3]بيمه دانا'!$P$52/1000000</f>
        <v>39189.530059999997</v>
      </c>
      <c r="K36" s="146">
        <f>'[3]بيمه البرز'!$H$52/1000000</f>
        <v>363.48</v>
      </c>
      <c r="L36" s="33">
        <f>'[3]بيمه البرز'!$P$52/1000000</f>
        <v>16417.950683999999</v>
      </c>
      <c r="M36" s="140">
        <f>'[3]بيمه آسيا'!$H$52/1000000</f>
        <v>2040.5592919999999</v>
      </c>
      <c r="N36" s="30">
        <f>'[3]بيمه آسيا'!$P$52/1000000</f>
        <v>76532.776071999993</v>
      </c>
      <c r="O36" s="140">
        <f>'[3]بيمه ايران'!$H$52/1000000</f>
        <v>63980.749680000001</v>
      </c>
      <c r="P36" s="30">
        <f>'[3]بيمه ايران'!$P$52/1000000</f>
        <v>110262.458424</v>
      </c>
      <c r="Q36" s="166">
        <v>1384</v>
      </c>
      <c r="R36" s="191"/>
      <c r="S36" s="1"/>
      <c r="T36" s="1"/>
      <c r="U36" s="1"/>
      <c r="V36" s="1"/>
      <c r="W36" s="1"/>
      <c r="X36" s="1"/>
      <c r="Y36" s="1"/>
      <c r="Z36" s="1"/>
      <c r="AA36" s="1"/>
      <c r="AB36" s="1"/>
      <c r="AC36" s="1"/>
      <c r="AD36" s="1"/>
    </row>
    <row r="37" spans="1:30" s="1" customFormat="1" ht="21" customHeight="1">
      <c r="A37" s="255">
        <v>253.03424175200001</v>
      </c>
      <c r="B37" s="256">
        <v>824.35037159199999</v>
      </c>
      <c r="C37" s="308">
        <f t="shared" si="0"/>
        <v>0</v>
      </c>
      <c r="D37" s="305">
        <f t="shared" si="1"/>
        <v>205.68377337200002</v>
      </c>
      <c r="E37" s="308"/>
      <c r="F37" s="308"/>
      <c r="G37" s="308">
        <v>253.03424175200001</v>
      </c>
      <c r="H37" s="305">
        <v>618.66659821999997</v>
      </c>
      <c r="I37" s="207"/>
      <c r="J37" s="88"/>
      <c r="K37" s="102"/>
      <c r="L37" s="102"/>
      <c r="M37" s="88"/>
      <c r="N37" s="88"/>
      <c r="O37" s="88"/>
      <c r="P37" s="88"/>
      <c r="Q37" s="199">
        <v>1385</v>
      </c>
    </row>
    <row r="38" spans="1:30" s="1" customFormat="1" ht="21" customHeight="1">
      <c r="A38" s="255">
        <v>22.606646359999999</v>
      </c>
      <c r="B38" s="256">
        <v>904.13921916000004</v>
      </c>
      <c r="C38" s="308">
        <f t="shared" si="0"/>
        <v>0</v>
      </c>
      <c r="D38" s="305">
        <f t="shared" si="1"/>
        <v>171.32136662400001</v>
      </c>
      <c r="E38" s="308"/>
      <c r="F38" s="308"/>
      <c r="G38" s="308">
        <v>22.606646359999999</v>
      </c>
      <c r="H38" s="305">
        <v>732.81785253600003</v>
      </c>
      <c r="I38" s="207"/>
      <c r="J38" s="88"/>
      <c r="K38" s="102"/>
      <c r="L38" s="102"/>
      <c r="M38" s="88"/>
      <c r="N38" s="88"/>
      <c r="O38" s="88"/>
      <c r="P38" s="88"/>
      <c r="Q38" s="199">
        <v>1386</v>
      </c>
    </row>
    <row r="39" spans="1:30" s="1" customFormat="1" ht="21" customHeight="1">
      <c r="A39" s="255">
        <v>44.674895632000002</v>
      </c>
      <c r="B39" s="256">
        <v>1076.259663264</v>
      </c>
      <c r="C39" s="308">
        <f t="shared" si="0"/>
        <v>15.698547140000002</v>
      </c>
      <c r="D39" s="305">
        <f t="shared" si="1"/>
        <v>383.75912080399996</v>
      </c>
      <c r="E39" s="308"/>
      <c r="F39" s="308"/>
      <c r="G39" s="308">
        <v>28.976348492</v>
      </c>
      <c r="H39" s="305">
        <v>692.50054246000002</v>
      </c>
      <c r="I39" s="207"/>
      <c r="J39" s="88"/>
      <c r="K39" s="102"/>
      <c r="L39" s="102"/>
      <c r="M39" s="88"/>
      <c r="N39" s="88"/>
      <c r="O39" s="88"/>
      <c r="P39" s="88"/>
      <c r="Q39" s="199">
        <v>1387</v>
      </c>
    </row>
    <row r="40" spans="1:30" s="1" customFormat="1" ht="21" customHeight="1">
      <c r="A40" s="255">
        <v>395.8</v>
      </c>
      <c r="B40" s="256">
        <v>912.6</v>
      </c>
      <c r="C40" s="308">
        <f>A40-G40</f>
        <v>233.74318855600001</v>
      </c>
      <c r="D40" s="305">
        <f>B40-H40</f>
        <v>515.86650256799999</v>
      </c>
      <c r="E40" s="308"/>
      <c r="F40" s="308"/>
      <c r="G40" s="308">
        <v>162.056811444</v>
      </c>
      <c r="H40" s="305">
        <v>396.73349743199998</v>
      </c>
      <c r="I40" s="207"/>
      <c r="J40" s="88"/>
      <c r="K40" s="102"/>
      <c r="L40" s="102"/>
      <c r="M40" s="88"/>
      <c r="N40" s="88"/>
      <c r="O40" s="88"/>
      <c r="P40" s="88"/>
      <c r="Q40" s="199">
        <v>1388</v>
      </c>
    </row>
    <row r="41" spans="1:30" s="1" customFormat="1" ht="21" customHeight="1">
      <c r="A41" s="255">
        <v>355.33910519199998</v>
      </c>
      <c r="B41" s="256">
        <v>931.76551039599997</v>
      </c>
      <c r="C41" s="308">
        <f t="shared" si="0"/>
        <v>342.21627312799995</v>
      </c>
      <c r="D41" s="305">
        <f t="shared" si="1"/>
        <v>528.78811042400002</v>
      </c>
      <c r="E41" s="308"/>
      <c r="F41" s="308"/>
      <c r="G41" s="308">
        <v>13.122832064000001</v>
      </c>
      <c r="H41" s="305">
        <v>402.977399972</v>
      </c>
      <c r="I41" s="207"/>
      <c r="J41" s="88"/>
      <c r="K41" s="102"/>
      <c r="L41" s="102"/>
      <c r="M41" s="88"/>
      <c r="N41" s="88"/>
      <c r="O41" s="88"/>
      <c r="P41" s="88"/>
      <c r="Q41" s="199">
        <v>1389</v>
      </c>
    </row>
    <row r="42" spans="1:30" s="1" customFormat="1" ht="21" customHeight="1">
      <c r="A42" s="422">
        <f>240.1</f>
        <v>240.1</v>
      </c>
      <c r="B42" s="423">
        <f>1568.5</f>
        <v>1568.5</v>
      </c>
      <c r="C42" s="448">
        <f t="shared" ref="C42:D51" si="2">A42-G42</f>
        <v>145</v>
      </c>
      <c r="D42" s="447">
        <f t="shared" si="2"/>
        <v>927.4</v>
      </c>
      <c r="E42" s="449"/>
      <c r="F42" s="449"/>
      <c r="G42" s="449">
        <f>95.1</f>
        <v>95.1</v>
      </c>
      <c r="H42" s="447">
        <f>641.1</f>
        <v>641.1</v>
      </c>
      <c r="I42" s="519"/>
      <c r="J42" s="405"/>
      <c r="K42" s="405"/>
      <c r="L42" s="405"/>
      <c r="M42" s="405"/>
      <c r="N42" s="405"/>
      <c r="O42" s="405"/>
      <c r="P42" s="405"/>
      <c r="Q42" s="409">
        <v>1390</v>
      </c>
    </row>
    <row r="43" spans="1:30" s="1" customFormat="1" ht="21" customHeight="1">
      <c r="A43" s="428">
        <v>82.7</v>
      </c>
      <c r="B43" s="423">
        <v>1680.3</v>
      </c>
      <c r="C43" s="448">
        <f t="shared" si="2"/>
        <v>81.2</v>
      </c>
      <c r="D43" s="447">
        <f t="shared" si="2"/>
        <v>730.69999999999993</v>
      </c>
      <c r="E43" s="502"/>
      <c r="F43" s="452"/>
      <c r="G43" s="452">
        <v>1.5</v>
      </c>
      <c r="H43" s="447">
        <v>949.6</v>
      </c>
      <c r="I43" s="520"/>
      <c r="J43" s="411"/>
      <c r="K43" s="411"/>
      <c r="L43" s="411"/>
      <c r="M43" s="411"/>
      <c r="N43" s="411"/>
      <c r="O43" s="411"/>
      <c r="P43" s="411"/>
      <c r="Q43" s="413">
        <v>1391</v>
      </c>
    </row>
    <row r="44" spans="1:30" s="1" customFormat="1" ht="21" customHeight="1">
      <c r="A44" s="422">
        <v>142.5</v>
      </c>
      <c r="B44" s="423">
        <v>3029.5</v>
      </c>
      <c r="C44" s="448">
        <f t="shared" si="2"/>
        <v>142.4</v>
      </c>
      <c r="D44" s="447">
        <f t="shared" si="2"/>
        <v>1458.6</v>
      </c>
      <c r="E44" s="503"/>
      <c r="F44" s="456"/>
      <c r="G44" s="456">
        <v>0.1</v>
      </c>
      <c r="H44" s="447">
        <v>1570.9</v>
      </c>
      <c r="I44" s="521"/>
      <c r="J44" s="375"/>
      <c r="K44" s="375"/>
      <c r="L44" s="375"/>
      <c r="M44" s="375"/>
      <c r="N44" s="375"/>
      <c r="O44" s="375"/>
      <c r="P44" s="375"/>
      <c r="Q44" s="415">
        <v>1392</v>
      </c>
    </row>
    <row r="45" spans="1:30" s="1" customFormat="1" ht="21" customHeight="1">
      <c r="A45" s="422">
        <v>26.3</v>
      </c>
      <c r="B45" s="423">
        <v>1370.2</v>
      </c>
      <c r="C45" s="448">
        <f t="shared" si="2"/>
        <v>26.3</v>
      </c>
      <c r="D45" s="447">
        <f t="shared" si="2"/>
        <v>1370.2</v>
      </c>
      <c r="E45" s="503"/>
      <c r="F45" s="456"/>
      <c r="G45" s="456">
        <v>0</v>
      </c>
      <c r="H45" s="447">
        <v>0</v>
      </c>
      <c r="I45" s="521"/>
      <c r="J45" s="375"/>
      <c r="K45" s="375"/>
      <c r="L45" s="375"/>
      <c r="M45" s="375"/>
      <c r="N45" s="375"/>
      <c r="O45" s="375"/>
      <c r="P45" s="375"/>
      <c r="Q45" s="415">
        <v>1393</v>
      </c>
    </row>
    <row r="46" spans="1:30" s="1" customFormat="1" ht="21" customHeight="1">
      <c r="A46" s="422">
        <v>57.9</v>
      </c>
      <c r="B46" s="423">
        <v>1478.5</v>
      </c>
      <c r="C46" s="448">
        <f t="shared" si="2"/>
        <v>57.9</v>
      </c>
      <c r="D46" s="447">
        <f t="shared" si="2"/>
        <v>1478.5</v>
      </c>
      <c r="E46" s="503"/>
      <c r="F46" s="456"/>
      <c r="G46" s="456">
        <v>0</v>
      </c>
      <c r="H46" s="447">
        <v>0</v>
      </c>
      <c r="I46" s="521"/>
      <c r="J46" s="375"/>
      <c r="K46" s="375"/>
      <c r="L46" s="375"/>
      <c r="M46" s="375"/>
      <c r="N46" s="375"/>
      <c r="O46" s="375"/>
      <c r="P46" s="375"/>
      <c r="Q46" s="415">
        <v>1394</v>
      </c>
    </row>
    <row r="47" spans="1:30" s="1" customFormat="1" ht="21" customHeight="1">
      <c r="A47" s="422">
        <v>1412.3</v>
      </c>
      <c r="B47" s="423">
        <v>2126.3000000000002</v>
      </c>
      <c r="C47" s="448">
        <f t="shared" si="2"/>
        <v>1412.3</v>
      </c>
      <c r="D47" s="447">
        <f t="shared" si="2"/>
        <v>2126.3000000000002</v>
      </c>
      <c r="E47" s="503"/>
      <c r="F47" s="456"/>
      <c r="G47" s="456">
        <v>0</v>
      </c>
      <c r="H47" s="447">
        <v>0</v>
      </c>
      <c r="I47" s="521"/>
      <c r="J47" s="375"/>
      <c r="K47" s="375"/>
      <c r="L47" s="375"/>
      <c r="M47" s="375"/>
      <c r="N47" s="375"/>
      <c r="O47" s="375"/>
      <c r="P47" s="375"/>
      <c r="Q47" s="415">
        <v>1395</v>
      </c>
    </row>
    <row r="48" spans="1:30" s="1" customFormat="1" ht="21" customHeight="1">
      <c r="A48" s="422">
        <v>413.3</v>
      </c>
      <c r="B48" s="423">
        <v>1992.3</v>
      </c>
      <c r="C48" s="448">
        <f t="shared" si="2"/>
        <v>413.3</v>
      </c>
      <c r="D48" s="447">
        <f t="shared" si="2"/>
        <v>1992.3</v>
      </c>
      <c r="E48" s="503"/>
      <c r="F48" s="456"/>
      <c r="G48" s="456">
        <v>0</v>
      </c>
      <c r="H48" s="447">
        <v>0</v>
      </c>
      <c r="I48" s="521"/>
      <c r="J48" s="375"/>
      <c r="K48" s="375"/>
      <c r="L48" s="375"/>
      <c r="M48" s="375"/>
      <c r="N48" s="375"/>
      <c r="O48" s="375"/>
      <c r="P48" s="375"/>
      <c r="Q48" s="415">
        <v>1396</v>
      </c>
    </row>
    <row r="49" spans="1:19" s="1" customFormat="1" ht="21" customHeight="1">
      <c r="A49" s="422">
        <v>655.1</v>
      </c>
      <c r="B49" s="423">
        <v>6477.3</v>
      </c>
      <c r="C49" s="448">
        <f t="shared" si="2"/>
        <v>655.1</v>
      </c>
      <c r="D49" s="447">
        <f t="shared" si="2"/>
        <v>6477.3</v>
      </c>
      <c r="E49" s="503"/>
      <c r="F49" s="456"/>
      <c r="G49" s="456">
        <f>[6]ایران!$J$19</f>
        <v>0</v>
      </c>
      <c r="H49" s="447">
        <f>[6]ایران!$B$19</f>
        <v>0</v>
      </c>
      <c r="I49" s="521"/>
      <c r="J49" s="375"/>
      <c r="K49" s="375"/>
      <c r="L49" s="375"/>
      <c r="M49" s="375"/>
      <c r="N49" s="375"/>
      <c r="O49" s="375"/>
      <c r="P49" s="375"/>
      <c r="Q49" s="415">
        <v>1397</v>
      </c>
    </row>
    <row r="50" spans="1:19" s="1" customFormat="1" ht="21" customHeight="1">
      <c r="A50" s="422">
        <v>588.6</v>
      </c>
      <c r="B50" s="423">
        <v>13190.9</v>
      </c>
      <c r="C50" s="448">
        <f t="shared" si="2"/>
        <v>580.70000000000005</v>
      </c>
      <c r="D50" s="447">
        <f t="shared" si="2"/>
        <v>8958.0999999999985</v>
      </c>
      <c r="E50" s="503"/>
      <c r="F50" s="456"/>
      <c r="G50" s="456">
        <v>7.9</v>
      </c>
      <c r="H50" s="447">
        <v>4232.8</v>
      </c>
      <c r="I50" s="521"/>
      <c r="J50" s="375"/>
      <c r="K50" s="375"/>
      <c r="L50" s="375"/>
      <c r="M50" s="375"/>
      <c r="N50" s="375"/>
      <c r="O50" s="375"/>
      <c r="P50" s="375"/>
      <c r="Q50" s="415">
        <v>1398</v>
      </c>
    </row>
    <row r="51" spans="1:19" s="1" customFormat="1" ht="21" customHeight="1" thickBot="1">
      <c r="A51" s="422">
        <v>1244.3</v>
      </c>
      <c r="B51" s="423">
        <v>28567.4</v>
      </c>
      <c r="C51" s="448">
        <f t="shared" si="2"/>
        <v>1196.7</v>
      </c>
      <c r="D51" s="447">
        <f t="shared" si="2"/>
        <v>16785.800000000003</v>
      </c>
      <c r="E51" s="503"/>
      <c r="F51" s="456"/>
      <c r="G51" s="456">
        <v>47.6</v>
      </c>
      <c r="H51" s="447">
        <v>11781.6</v>
      </c>
      <c r="I51" s="521"/>
      <c r="J51" s="375"/>
      <c r="K51" s="375"/>
      <c r="L51" s="375"/>
      <c r="M51" s="375"/>
      <c r="N51" s="375"/>
      <c r="O51" s="375"/>
      <c r="P51" s="375"/>
      <c r="Q51" s="415">
        <v>1399</v>
      </c>
    </row>
    <row r="52" spans="1:19" ht="17.25" customHeight="1">
      <c r="A52" s="565" t="s">
        <v>32</v>
      </c>
      <c r="B52" s="565"/>
      <c r="C52" s="565"/>
      <c r="D52" s="565"/>
      <c r="E52" s="565"/>
      <c r="F52" s="565"/>
      <c r="G52" s="565"/>
      <c r="H52" s="565"/>
      <c r="I52" s="565"/>
      <c r="J52" s="565"/>
      <c r="K52" s="565"/>
      <c r="L52" s="565"/>
      <c r="M52" s="565"/>
      <c r="N52" s="565"/>
      <c r="O52" s="565"/>
      <c r="P52" s="565"/>
      <c r="Q52" s="565"/>
      <c r="R52" s="239"/>
      <c r="S52" s="239"/>
    </row>
    <row r="53" spans="1:19" ht="14.1" customHeight="1">
      <c r="M53" s="553"/>
      <c r="N53" s="553"/>
      <c r="O53" s="553"/>
      <c r="P53" s="553"/>
      <c r="Q53" s="553"/>
    </row>
  </sheetData>
  <mergeCells count="14">
    <mergeCell ref="A1:Q1"/>
    <mergeCell ref="M53:Q53"/>
    <mergeCell ref="A2:Q2"/>
    <mergeCell ref="A3:B3"/>
    <mergeCell ref="A4:B4"/>
    <mergeCell ref="E4:F4"/>
    <mergeCell ref="I4:J4"/>
    <mergeCell ref="K4:L4"/>
    <mergeCell ref="M4:N4"/>
    <mergeCell ref="O4:P4"/>
    <mergeCell ref="Q4:Q5"/>
    <mergeCell ref="G4:H4"/>
    <mergeCell ref="C4:D4"/>
    <mergeCell ref="A52:Q52"/>
  </mergeCells>
  <phoneticPr fontId="7" type="noConversion"/>
  <printOptions horizontalCentered="1" verticalCentered="1"/>
  <pageMargins left="0.39370078740157483" right="0.39370078740157483" top="0.82677165354330717" bottom="0.98425196850393704" header="0.51181102362204722" footer="0.51181102362204722"/>
  <pageSetup paperSize="9" scale="52"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 customHeight="1">
      <c r="A1" s="549" t="s">
        <v>49</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56</v>
      </c>
      <c r="B3" s="550"/>
      <c r="C3" s="86"/>
      <c r="D3" s="86"/>
      <c r="E3" s="86"/>
      <c r="F3" s="86"/>
      <c r="G3" s="1"/>
      <c r="H3" s="1"/>
      <c r="I3" s="1"/>
      <c r="J3" s="1"/>
      <c r="K3" s="1"/>
      <c r="L3" s="1"/>
      <c r="M3" s="1"/>
      <c r="N3" s="1"/>
      <c r="O3" s="1"/>
      <c r="P3" s="1"/>
      <c r="Q3" s="1"/>
      <c r="R3" s="1"/>
      <c r="S3" s="1"/>
      <c r="Y3" s="2"/>
      <c r="Z3" s="2"/>
      <c r="AA3" s="2"/>
      <c r="AB3" s="2"/>
      <c r="AC3" s="2"/>
    </row>
    <row r="4" spans="1:29" ht="21" customHeight="1">
      <c r="A4" s="569" t="s">
        <v>7</v>
      </c>
      <c r="B4" s="570"/>
      <c r="C4" s="569" t="s">
        <v>33</v>
      </c>
      <c r="D4" s="570"/>
      <c r="E4" s="569" t="s">
        <v>6</v>
      </c>
      <c r="F4" s="570"/>
      <c r="G4" s="569" t="s">
        <v>21</v>
      </c>
      <c r="H4" s="570"/>
      <c r="I4" s="569" t="s">
        <v>21</v>
      </c>
      <c r="J4" s="570"/>
      <c r="K4" s="576" t="s">
        <v>5</v>
      </c>
      <c r="L4" s="577"/>
      <c r="M4" s="578" t="s">
        <v>4</v>
      </c>
      <c r="N4" s="579"/>
      <c r="O4" s="576" t="s">
        <v>3</v>
      </c>
      <c r="P4" s="577"/>
      <c r="Q4" s="576" t="s">
        <v>2</v>
      </c>
      <c r="R4" s="577"/>
      <c r="S4" s="574" t="s">
        <v>8</v>
      </c>
    </row>
    <row r="5" spans="1:29" ht="21" customHeight="1" thickBot="1">
      <c r="A5" s="185" t="s">
        <v>25</v>
      </c>
      <c r="B5" s="186" t="s">
        <v>34</v>
      </c>
      <c r="C5" s="185" t="s">
        <v>25</v>
      </c>
      <c r="D5" s="186" t="s">
        <v>34</v>
      </c>
      <c r="E5" s="41" t="s">
        <v>1</v>
      </c>
      <c r="F5" s="42" t="s">
        <v>0</v>
      </c>
      <c r="G5" s="41" t="s">
        <v>1</v>
      </c>
      <c r="H5" s="42" t="s">
        <v>0</v>
      </c>
      <c r="I5" s="185" t="s">
        <v>25</v>
      </c>
      <c r="J5" s="186" t="s">
        <v>34</v>
      </c>
      <c r="K5" s="41" t="s">
        <v>1</v>
      </c>
      <c r="L5" s="42" t="s">
        <v>0</v>
      </c>
      <c r="M5" s="39" t="s">
        <v>1</v>
      </c>
      <c r="N5" s="40" t="s">
        <v>0</v>
      </c>
      <c r="O5" s="41" t="s">
        <v>1</v>
      </c>
      <c r="P5" s="42" t="s">
        <v>0</v>
      </c>
      <c r="Q5" s="41" t="s">
        <v>1</v>
      </c>
      <c r="R5" s="42" t="s">
        <v>0</v>
      </c>
      <c r="S5" s="575"/>
    </row>
    <row r="6" spans="1:29" ht="19.5" customHeight="1">
      <c r="A6" s="353">
        <v>0.12282999999999999</v>
      </c>
      <c r="B6" s="340">
        <v>0.60299999999999998</v>
      </c>
      <c r="C6" s="339">
        <f>A6-I6</f>
        <v>0</v>
      </c>
      <c r="D6" s="354">
        <f>B6-J6</f>
        <v>0</v>
      </c>
      <c r="E6" s="253"/>
      <c r="F6" s="254"/>
      <c r="G6" s="253">
        <v>0</v>
      </c>
      <c r="H6" s="254">
        <v>0</v>
      </c>
      <c r="I6" s="253">
        <v>0.12282999999999999</v>
      </c>
      <c r="J6" s="254">
        <v>0.60299999999999998</v>
      </c>
      <c r="K6" s="18">
        <v>62</v>
      </c>
      <c r="L6" s="19">
        <v>351</v>
      </c>
      <c r="M6" s="43">
        <v>73</v>
      </c>
      <c r="N6" s="44">
        <v>82</v>
      </c>
      <c r="O6" s="59">
        <v>0.83</v>
      </c>
      <c r="P6" s="19">
        <v>1</v>
      </c>
      <c r="Q6" s="60">
        <v>-13</v>
      </c>
      <c r="R6" s="19">
        <v>169</v>
      </c>
      <c r="S6" s="169">
        <v>1354</v>
      </c>
    </row>
    <row r="7" spans="1:29" ht="19.5" customHeight="1">
      <c r="A7" s="329">
        <v>0.18537999999999999</v>
      </c>
      <c r="B7" s="305">
        <v>0.92600000000000005</v>
      </c>
      <c r="C7" s="302">
        <f t="shared" ref="C7:C41" si="0">A7-I7</f>
        <v>0</v>
      </c>
      <c r="D7" s="336">
        <f>B7-J7</f>
        <v>0</v>
      </c>
      <c r="E7" s="255"/>
      <c r="F7" s="256"/>
      <c r="G7" s="255">
        <v>0</v>
      </c>
      <c r="H7" s="256">
        <v>0</v>
      </c>
      <c r="I7" s="255">
        <v>0.18537999999999999</v>
      </c>
      <c r="J7" s="256">
        <v>0.92600000000000005</v>
      </c>
      <c r="K7" s="6">
        <v>98</v>
      </c>
      <c r="L7" s="7">
        <v>649</v>
      </c>
      <c r="M7" s="37">
        <v>36</v>
      </c>
      <c r="N7" s="38">
        <v>49</v>
      </c>
      <c r="O7" s="73">
        <v>0.38</v>
      </c>
      <c r="P7" s="7">
        <v>1</v>
      </c>
      <c r="Q7" s="6">
        <v>51</v>
      </c>
      <c r="R7" s="7">
        <v>227</v>
      </c>
      <c r="S7" s="170">
        <v>1355</v>
      </c>
    </row>
    <row r="8" spans="1:29" ht="19.5" customHeight="1">
      <c r="A8" s="329">
        <v>0.82523999999999997</v>
      </c>
      <c r="B8" s="305">
        <v>0.88400000000000001</v>
      </c>
      <c r="C8" s="302">
        <f t="shared" si="0"/>
        <v>0</v>
      </c>
      <c r="D8" s="336">
        <f t="shared" ref="D8:D41" si="1">B8-J8</f>
        <v>0</v>
      </c>
      <c r="E8" s="255"/>
      <c r="F8" s="256"/>
      <c r="G8" s="255">
        <v>0</v>
      </c>
      <c r="H8" s="256">
        <v>0</v>
      </c>
      <c r="I8" s="255">
        <v>0.82523999999999997</v>
      </c>
      <c r="J8" s="256">
        <v>0.88400000000000001</v>
      </c>
      <c r="K8" s="6">
        <v>742</v>
      </c>
      <c r="L8" s="7">
        <v>648</v>
      </c>
      <c r="M8" s="37">
        <v>29</v>
      </c>
      <c r="N8" s="38">
        <v>45</v>
      </c>
      <c r="O8" s="73">
        <v>0.24</v>
      </c>
      <c r="P8" s="7">
        <v>1</v>
      </c>
      <c r="Q8" s="6">
        <v>54</v>
      </c>
      <c r="R8" s="7">
        <v>190</v>
      </c>
      <c r="S8" s="170">
        <v>1356</v>
      </c>
    </row>
    <row r="9" spans="1:29" ht="19.5" customHeight="1">
      <c r="A9" s="329">
        <v>0.25846000000000002</v>
      </c>
      <c r="B9" s="305">
        <v>1.3009999999999999</v>
      </c>
      <c r="C9" s="302">
        <f t="shared" si="0"/>
        <v>0</v>
      </c>
      <c r="D9" s="336">
        <f t="shared" si="1"/>
        <v>0</v>
      </c>
      <c r="E9" s="255"/>
      <c r="F9" s="256"/>
      <c r="G9" s="255">
        <v>0</v>
      </c>
      <c r="H9" s="256">
        <v>0</v>
      </c>
      <c r="I9" s="255">
        <v>0.25846000000000002</v>
      </c>
      <c r="J9" s="256">
        <v>1.3009999999999999</v>
      </c>
      <c r="K9" s="6">
        <v>158</v>
      </c>
      <c r="L9" s="7">
        <v>991</v>
      </c>
      <c r="M9" s="37">
        <v>31</v>
      </c>
      <c r="N9" s="38">
        <v>36</v>
      </c>
      <c r="O9" s="73">
        <v>0.46</v>
      </c>
      <c r="P9" s="7">
        <v>1</v>
      </c>
      <c r="Q9" s="6">
        <v>69</v>
      </c>
      <c r="R9" s="7">
        <v>273</v>
      </c>
      <c r="S9" s="170">
        <v>1357</v>
      </c>
    </row>
    <row r="10" spans="1:29" ht="19.5" customHeight="1">
      <c r="A10" s="322">
        <v>0.23727999999999999</v>
      </c>
      <c r="B10" s="256">
        <v>0.28539999999999999</v>
      </c>
      <c r="C10" s="255">
        <f t="shared" si="0"/>
        <v>0</v>
      </c>
      <c r="D10" s="346">
        <f t="shared" si="1"/>
        <v>0</v>
      </c>
      <c r="E10" s="255"/>
      <c r="F10" s="256"/>
      <c r="G10" s="255">
        <v>0</v>
      </c>
      <c r="H10" s="256">
        <v>0</v>
      </c>
      <c r="I10" s="255">
        <v>0.23727999999999999</v>
      </c>
      <c r="J10" s="256">
        <v>0.28539999999999999</v>
      </c>
      <c r="K10" s="6">
        <v>120</v>
      </c>
      <c r="L10" s="7">
        <v>117</v>
      </c>
      <c r="M10" s="37">
        <v>27</v>
      </c>
      <c r="N10" s="38">
        <f>31-1.9</f>
        <v>29.1</v>
      </c>
      <c r="O10" s="73">
        <v>0.28000000000000003</v>
      </c>
      <c r="P10" s="7">
        <v>1</v>
      </c>
      <c r="Q10" s="6">
        <v>90</v>
      </c>
      <c r="R10" s="7">
        <f>147-8.7</f>
        <v>138.30000000000001</v>
      </c>
      <c r="S10" s="170">
        <v>1358</v>
      </c>
    </row>
    <row r="11" spans="1:29" ht="19.5" customHeight="1">
      <c r="A11" s="322">
        <v>0.12908</v>
      </c>
      <c r="B11" s="256">
        <v>0.2021</v>
      </c>
      <c r="C11" s="255">
        <f t="shared" si="0"/>
        <v>0</v>
      </c>
      <c r="D11" s="346">
        <f t="shared" si="1"/>
        <v>0</v>
      </c>
      <c r="E11" s="255"/>
      <c r="F11" s="256"/>
      <c r="G11" s="255">
        <v>0</v>
      </c>
      <c r="H11" s="256">
        <v>0</v>
      </c>
      <c r="I11" s="255">
        <v>0.12908</v>
      </c>
      <c r="J11" s="256">
        <v>0.2021</v>
      </c>
      <c r="K11" s="6">
        <v>19</v>
      </c>
      <c r="L11" s="7">
        <v>29</v>
      </c>
      <c r="M11" s="37">
        <f>25-0.1</f>
        <v>24.9</v>
      </c>
      <c r="N11" s="38">
        <f>22-0.2</f>
        <v>21.8</v>
      </c>
      <c r="O11" s="73">
        <v>0.18</v>
      </c>
      <c r="P11" s="7">
        <v>1</v>
      </c>
      <c r="Q11" s="6">
        <v>85</v>
      </c>
      <c r="R11" s="7">
        <f>154-3.7</f>
        <v>150.30000000000001</v>
      </c>
      <c r="S11" s="170">
        <v>1359</v>
      </c>
    </row>
    <row r="12" spans="1:29" ht="19.5" customHeight="1">
      <c r="A12" s="322">
        <v>0.19395999999999999</v>
      </c>
      <c r="B12" s="256">
        <v>0.15920000000000001</v>
      </c>
      <c r="C12" s="255">
        <f t="shared" si="0"/>
        <v>0</v>
      </c>
      <c r="D12" s="346">
        <f t="shared" si="1"/>
        <v>0</v>
      </c>
      <c r="E12" s="255"/>
      <c r="F12" s="256"/>
      <c r="G12" s="255">
        <v>0</v>
      </c>
      <c r="H12" s="256">
        <v>0</v>
      </c>
      <c r="I12" s="255">
        <v>0.19395999999999999</v>
      </c>
      <c r="J12" s="256">
        <v>0.15920000000000001</v>
      </c>
      <c r="K12" s="6">
        <v>90</v>
      </c>
      <c r="L12" s="7">
        <v>-55</v>
      </c>
      <c r="M12" s="37">
        <f>20-0.04</f>
        <v>19.96</v>
      </c>
      <c r="N12" s="38">
        <f>12-0.4</f>
        <v>11.6</v>
      </c>
      <c r="O12" s="74">
        <v>3</v>
      </c>
      <c r="P12" s="7">
        <f>27-1.5</f>
        <v>25.5</v>
      </c>
      <c r="Q12" s="6">
        <v>81</v>
      </c>
      <c r="R12" s="7">
        <f>185-7.9</f>
        <v>177.1</v>
      </c>
      <c r="S12" s="170">
        <v>1360</v>
      </c>
    </row>
    <row r="13" spans="1:29" ht="19.5" customHeight="1">
      <c r="A13" s="322">
        <v>6.1629999999999997E-2</v>
      </c>
      <c r="B13" s="256">
        <v>5.1999999999999998E-2</v>
      </c>
      <c r="C13" s="255">
        <f t="shared" si="0"/>
        <v>0</v>
      </c>
      <c r="D13" s="346">
        <f t="shared" si="1"/>
        <v>0</v>
      </c>
      <c r="E13" s="255"/>
      <c r="F13" s="256"/>
      <c r="G13" s="255">
        <v>0</v>
      </c>
      <c r="H13" s="256">
        <v>0</v>
      </c>
      <c r="I13" s="255">
        <v>6.1629999999999997E-2</v>
      </c>
      <c r="J13" s="256">
        <v>5.1999999999999998E-2</v>
      </c>
      <c r="K13" s="6">
        <v>4</v>
      </c>
      <c r="L13" s="7">
        <v>-43</v>
      </c>
      <c r="M13" s="37">
        <v>0.63</v>
      </c>
      <c r="N13" s="38">
        <v>5</v>
      </c>
      <c r="O13" s="74">
        <v>5</v>
      </c>
      <c r="P13" s="7">
        <v>8</v>
      </c>
      <c r="Q13" s="6">
        <v>52</v>
      </c>
      <c r="R13" s="7">
        <v>82</v>
      </c>
      <c r="S13" s="170">
        <v>1361</v>
      </c>
    </row>
    <row r="14" spans="1:29" ht="19.5" customHeight="1">
      <c r="A14" s="322">
        <v>0.17043</v>
      </c>
      <c r="B14" s="256">
        <v>0.34031</v>
      </c>
      <c r="C14" s="255">
        <f t="shared" si="0"/>
        <v>0</v>
      </c>
      <c r="D14" s="346">
        <f t="shared" si="1"/>
        <v>0</v>
      </c>
      <c r="E14" s="255"/>
      <c r="F14" s="256"/>
      <c r="G14" s="255">
        <v>0</v>
      </c>
      <c r="H14" s="256">
        <v>0</v>
      </c>
      <c r="I14" s="255">
        <v>0.17043</v>
      </c>
      <c r="J14" s="256">
        <v>0.34031</v>
      </c>
      <c r="K14" s="6">
        <v>9</v>
      </c>
      <c r="L14" s="7">
        <v>0.31</v>
      </c>
      <c r="M14" s="49">
        <v>0.43</v>
      </c>
      <c r="N14" s="38">
        <v>4</v>
      </c>
      <c r="O14" s="74">
        <v>17</v>
      </c>
      <c r="P14" s="7">
        <v>54</v>
      </c>
      <c r="Q14" s="6">
        <v>144</v>
      </c>
      <c r="R14" s="7">
        <v>282</v>
      </c>
      <c r="S14" s="170">
        <v>1362</v>
      </c>
    </row>
    <row r="15" spans="1:29" ht="19.5" customHeight="1">
      <c r="A15" s="322">
        <v>0.15204000000000001</v>
      </c>
      <c r="B15" s="256">
        <v>0.18099999999999999</v>
      </c>
      <c r="C15" s="255">
        <f t="shared" si="0"/>
        <v>0</v>
      </c>
      <c r="D15" s="346">
        <f t="shared" si="1"/>
        <v>0</v>
      </c>
      <c r="E15" s="255"/>
      <c r="F15" s="256"/>
      <c r="G15" s="255">
        <v>0</v>
      </c>
      <c r="H15" s="256">
        <v>0</v>
      </c>
      <c r="I15" s="255">
        <v>0.15204000000000001</v>
      </c>
      <c r="J15" s="256">
        <v>0.18099999999999999</v>
      </c>
      <c r="K15" s="6">
        <v>0</v>
      </c>
      <c r="L15" s="7">
        <v>-1</v>
      </c>
      <c r="M15" s="53">
        <v>0.04</v>
      </c>
      <c r="N15" s="38">
        <v>7</v>
      </c>
      <c r="O15" s="75">
        <v>17</v>
      </c>
      <c r="P15" s="7">
        <v>40</v>
      </c>
      <c r="Q15" s="6">
        <v>135</v>
      </c>
      <c r="R15" s="7">
        <v>135</v>
      </c>
      <c r="S15" s="170">
        <v>1363</v>
      </c>
    </row>
    <row r="16" spans="1:29" ht="19.5" customHeight="1">
      <c r="A16" s="322">
        <v>0.31811</v>
      </c>
      <c r="B16" s="256">
        <v>0.26800000000000002</v>
      </c>
      <c r="C16" s="255">
        <f t="shared" si="0"/>
        <v>0</v>
      </c>
      <c r="D16" s="346">
        <f t="shared" si="1"/>
        <v>0</v>
      </c>
      <c r="E16" s="255"/>
      <c r="F16" s="256"/>
      <c r="G16" s="255">
        <v>0</v>
      </c>
      <c r="H16" s="256">
        <v>0</v>
      </c>
      <c r="I16" s="255">
        <v>0.31811</v>
      </c>
      <c r="J16" s="256">
        <v>0.26800000000000002</v>
      </c>
      <c r="K16" s="6">
        <v>157</v>
      </c>
      <c r="L16" s="7">
        <v>40</v>
      </c>
      <c r="M16" s="49">
        <v>0.11</v>
      </c>
      <c r="N16" s="38">
        <v>6</v>
      </c>
      <c r="O16" s="74">
        <v>24</v>
      </c>
      <c r="P16" s="7">
        <v>36</v>
      </c>
      <c r="Q16" s="6">
        <v>137</v>
      </c>
      <c r="R16" s="7">
        <v>186</v>
      </c>
      <c r="S16" s="170">
        <v>1364</v>
      </c>
    </row>
    <row r="17" spans="1:19" ht="19.5" customHeight="1">
      <c r="A17" s="322">
        <v>1.0995520000000001</v>
      </c>
      <c r="B17" s="256">
        <v>0.70264000000000004</v>
      </c>
      <c r="C17" s="255">
        <f t="shared" si="0"/>
        <v>0</v>
      </c>
      <c r="D17" s="346">
        <f t="shared" si="1"/>
        <v>0</v>
      </c>
      <c r="E17" s="255">
        <v>0</v>
      </c>
      <c r="F17" s="256">
        <v>0</v>
      </c>
      <c r="G17" s="255">
        <v>0</v>
      </c>
      <c r="H17" s="256">
        <v>0</v>
      </c>
      <c r="I17" s="255">
        <v>1.0995520000000001</v>
      </c>
      <c r="J17" s="256">
        <v>0.70264000000000004</v>
      </c>
      <c r="K17" s="109">
        <v>533</v>
      </c>
      <c r="L17" s="110">
        <v>-2</v>
      </c>
      <c r="M17" s="108">
        <f>15-0.048</f>
        <v>14.952</v>
      </c>
      <c r="N17" s="122">
        <f>12-5.32</f>
        <v>6.68</v>
      </c>
      <c r="O17" s="123">
        <f>381-1.4</f>
        <v>379.6</v>
      </c>
      <c r="P17" s="110">
        <f>604-52.08</f>
        <v>551.91999999999996</v>
      </c>
      <c r="Q17" s="109">
        <v>172</v>
      </c>
      <c r="R17" s="110">
        <f>178-31.96</f>
        <v>146.04</v>
      </c>
      <c r="S17" s="170">
        <v>1365</v>
      </c>
    </row>
    <row r="18" spans="1:19" ht="19.5" customHeight="1">
      <c r="A18" s="322">
        <v>0.85378799999999999</v>
      </c>
      <c r="B18" s="256">
        <v>0.84467999999999999</v>
      </c>
      <c r="C18" s="255">
        <f t="shared" si="0"/>
        <v>0</v>
      </c>
      <c r="D18" s="346">
        <f t="shared" si="1"/>
        <v>0</v>
      </c>
      <c r="E18" s="255">
        <v>0</v>
      </c>
      <c r="F18" s="256">
        <v>0</v>
      </c>
      <c r="G18" s="255">
        <v>0</v>
      </c>
      <c r="H18" s="256">
        <v>0</v>
      </c>
      <c r="I18" s="255">
        <v>0.85378799999999999</v>
      </c>
      <c r="J18" s="256">
        <v>0.84467999999999999</v>
      </c>
      <c r="K18" s="109">
        <v>0</v>
      </c>
      <c r="L18" s="110">
        <v>0</v>
      </c>
      <c r="M18" s="108">
        <f>22-0.052</f>
        <v>21.948</v>
      </c>
      <c r="N18" s="122">
        <f>22-5.16</f>
        <v>16.84</v>
      </c>
      <c r="O18" s="123">
        <f>623-0.76</f>
        <v>622.24</v>
      </c>
      <c r="P18" s="110">
        <f>656-53.76</f>
        <v>602.24</v>
      </c>
      <c r="Q18" s="109">
        <f>214-4.4</f>
        <v>209.6</v>
      </c>
      <c r="R18" s="110">
        <f>334-108.4</f>
        <v>225.6</v>
      </c>
      <c r="S18" s="170">
        <v>1366</v>
      </c>
    </row>
    <row r="19" spans="1:19" ht="19.5" customHeight="1">
      <c r="A19" s="322">
        <v>0.44774000000000003</v>
      </c>
      <c r="B19" s="256">
        <v>0.23300000000000001</v>
      </c>
      <c r="C19" s="255">
        <f t="shared" si="0"/>
        <v>0</v>
      </c>
      <c r="D19" s="346">
        <f t="shared" si="1"/>
        <v>0</v>
      </c>
      <c r="E19" s="255">
        <v>0</v>
      </c>
      <c r="F19" s="256">
        <v>0</v>
      </c>
      <c r="G19" s="255">
        <v>0</v>
      </c>
      <c r="H19" s="256">
        <v>0</v>
      </c>
      <c r="I19" s="255">
        <v>0.44774000000000003</v>
      </c>
      <c r="J19" s="256">
        <v>0.23300000000000001</v>
      </c>
      <c r="K19" s="109">
        <v>0</v>
      </c>
      <c r="L19" s="110">
        <v>0</v>
      </c>
      <c r="M19" s="108">
        <f>29-0.42</f>
        <v>28.58</v>
      </c>
      <c r="N19" s="122">
        <f>30-3.32</f>
        <v>26.68</v>
      </c>
      <c r="O19" s="123">
        <f>221-0</f>
        <v>221</v>
      </c>
      <c r="P19" s="110">
        <f>109-52.12</f>
        <v>56.88</v>
      </c>
      <c r="Q19" s="109">
        <f>210-11.84</f>
        <v>198.16</v>
      </c>
      <c r="R19" s="110">
        <f>309-159.56</f>
        <v>149.44</v>
      </c>
      <c r="S19" s="170">
        <v>1367</v>
      </c>
    </row>
    <row r="20" spans="1:19" ht="19.5" customHeight="1">
      <c r="A20" s="322">
        <v>0.372</v>
      </c>
      <c r="B20" s="256">
        <v>0.55800000000000005</v>
      </c>
      <c r="C20" s="255">
        <f t="shared" si="0"/>
        <v>0</v>
      </c>
      <c r="D20" s="346">
        <f t="shared" si="1"/>
        <v>0</v>
      </c>
      <c r="E20" s="255">
        <v>0</v>
      </c>
      <c r="F20" s="256">
        <v>0</v>
      </c>
      <c r="G20" s="255">
        <v>0</v>
      </c>
      <c r="H20" s="256">
        <v>0</v>
      </c>
      <c r="I20" s="255">
        <v>0.372</v>
      </c>
      <c r="J20" s="256">
        <v>0.55800000000000005</v>
      </c>
      <c r="K20" s="109">
        <v>0</v>
      </c>
      <c r="L20" s="110">
        <v>0</v>
      </c>
      <c r="M20" s="108">
        <v>32</v>
      </c>
      <c r="N20" s="122">
        <v>34</v>
      </c>
      <c r="O20" s="123">
        <v>119</v>
      </c>
      <c r="P20" s="110">
        <v>182</v>
      </c>
      <c r="Q20" s="109">
        <v>221</v>
      </c>
      <c r="R20" s="110">
        <v>342</v>
      </c>
      <c r="S20" s="170">
        <v>1368</v>
      </c>
    </row>
    <row r="21" spans="1:19" ht="19.5" customHeight="1">
      <c r="A21" s="357">
        <v>2.1200000000000298E-3</v>
      </c>
      <c r="B21" s="355">
        <v>1.2855999999999999E-2</v>
      </c>
      <c r="C21" s="255">
        <f t="shared" si="0"/>
        <v>0</v>
      </c>
      <c r="D21" s="346">
        <f t="shared" si="1"/>
        <v>0</v>
      </c>
      <c r="E21" s="255">
        <v>0</v>
      </c>
      <c r="F21" s="256">
        <v>0</v>
      </c>
      <c r="G21" s="255">
        <v>0</v>
      </c>
      <c r="H21" s="256">
        <v>0</v>
      </c>
      <c r="I21" s="344">
        <v>2.1200000000000298E-3</v>
      </c>
      <c r="J21" s="355">
        <v>1.2855999999999999E-2</v>
      </c>
      <c r="K21" s="109">
        <f>6-درمان!K21</f>
        <v>8.0000000000000071E-2</v>
      </c>
      <c r="L21" s="110">
        <f>2-درمان!L21</f>
        <v>4.0000000000000036E-2</v>
      </c>
      <c r="M21" s="108">
        <f>82-0.44-درمان!M21</f>
        <v>-0.35999999999999943</v>
      </c>
      <c r="N21" s="122">
        <f>59-4.76-درمان!N21</f>
        <v>-0.23999999999999488</v>
      </c>
      <c r="O21" s="123">
        <f>182-19.52-درمان!O21</f>
        <v>2.4399999999999977</v>
      </c>
      <c r="P21" s="110">
        <f>144-60.4-درمان!P21</f>
        <v>13.159999999999997</v>
      </c>
      <c r="Q21" s="109">
        <f>323-10.52-درمان!Q21</f>
        <v>-3.999999999996362E-2</v>
      </c>
      <c r="R21" s="110">
        <f>442-151.784-درمان!R21</f>
        <v>-0.10399999999998499</v>
      </c>
      <c r="S21" s="170">
        <v>1369</v>
      </c>
    </row>
    <row r="22" spans="1:19" ht="19.5" customHeight="1">
      <c r="A22" s="357">
        <v>3.0000000000000001E-3</v>
      </c>
      <c r="B22" s="355">
        <v>1.6E-2</v>
      </c>
      <c r="C22" s="255">
        <f t="shared" si="0"/>
        <v>0</v>
      </c>
      <c r="D22" s="346">
        <f t="shared" si="1"/>
        <v>0</v>
      </c>
      <c r="E22" s="255">
        <v>0</v>
      </c>
      <c r="F22" s="256">
        <v>0</v>
      </c>
      <c r="G22" s="255">
        <v>0</v>
      </c>
      <c r="H22" s="256">
        <v>0</v>
      </c>
      <c r="I22" s="344">
        <v>3.0000000000000001E-3</v>
      </c>
      <c r="J22" s="355">
        <v>1.6E-2</v>
      </c>
      <c r="K22" s="109">
        <f>10-درمان!K22</f>
        <v>0</v>
      </c>
      <c r="L22" s="110">
        <f>362-درمان!L22</f>
        <v>0</v>
      </c>
      <c r="M22" s="108">
        <f>133-5-درمان!M22</f>
        <v>0</v>
      </c>
      <c r="N22" s="122">
        <f>92-4-درمان!N22</f>
        <v>0</v>
      </c>
      <c r="O22" s="123">
        <v>3</v>
      </c>
      <c r="P22" s="110">
        <v>16</v>
      </c>
      <c r="Q22" s="109">
        <f>494-4-درمان!Q22</f>
        <v>0</v>
      </c>
      <c r="R22" s="110">
        <f>684-251-درمان!R22</f>
        <v>0</v>
      </c>
      <c r="S22" s="170">
        <v>1370</v>
      </c>
    </row>
    <row r="23" spans="1:19" ht="19.5" customHeight="1">
      <c r="A23" s="255">
        <v>5.1419999999999903E-2</v>
      </c>
      <c r="B23" s="355">
        <v>1.6420000000000001E-2</v>
      </c>
      <c r="C23" s="255">
        <f t="shared" si="0"/>
        <v>0</v>
      </c>
      <c r="D23" s="346">
        <f t="shared" si="1"/>
        <v>0</v>
      </c>
      <c r="E23" s="255">
        <v>0</v>
      </c>
      <c r="F23" s="256">
        <v>0</v>
      </c>
      <c r="G23" s="255">
        <v>0</v>
      </c>
      <c r="H23" s="256">
        <v>0</v>
      </c>
      <c r="I23" s="255">
        <v>5.1419999999999903E-2</v>
      </c>
      <c r="J23" s="355">
        <v>1.6420000000000001E-2</v>
      </c>
      <c r="K23" s="109">
        <f>290-درمان!K23</f>
        <v>0.27999999999997272</v>
      </c>
      <c r="L23" s="110">
        <f>900-درمان!L23</f>
        <v>0.39999999999997726</v>
      </c>
      <c r="M23" s="108">
        <f>247-درمان!M23</f>
        <v>0.31999999999999318</v>
      </c>
      <c r="N23" s="122">
        <f>129-8-درمان!N23</f>
        <v>0</v>
      </c>
      <c r="O23" s="123">
        <f>469-0-درمان!O23</f>
        <v>51.279999999999973</v>
      </c>
      <c r="P23" s="110">
        <f>669-302.7-درمان!P23</f>
        <v>16.5</v>
      </c>
      <c r="Q23" s="109">
        <f>741-10.1-درمان!Q23</f>
        <v>-0.46000000000003638</v>
      </c>
      <c r="R23" s="110">
        <f>790-229-درمان!R23</f>
        <v>-0.48000000000001819</v>
      </c>
      <c r="S23" s="170">
        <v>1371</v>
      </c>
    </row>
    <row r="24" spans="1:19" ht="19.5" customHeight="1">
      <c r="A24" s="344">
        <v>2.8499999999999702E-3</v>
      </c>
      <c r="B24" s="355">
        <v>1.50651549999999E-2</v>
      </c>
      <c r="C24" s="255">
        <f t="shared" si="0"/>
        <v>0</v>
      </c>
      <c r="D24" s="346">
        <f t="shared" si="1"/>
        <v>0</v>
      </c>
      <c r="E24" s="255">
        <v>0</v>
      </c>
      <c r="F24" s="256">
        <v>0</v>
      </c>
      <c r="G24" s="255">
        <v>0</v>
      </c>
      <c r="H24" s="256">
        <v>0</v>
      </c>
      <c r="I24" s="344">
        <v>2.8499999999999702E-3</v>
      </c>
      <c r="J24" s="355">
        <v>1.50651549999999E-2</v>
      </c>
      <c r="K24" s="109">
        <f>K62-اعتبار!K24-درمان!K24</f>
        <v>0</v>
      </c>
      <c r="L24" s="7">
        <f>L62-اعتبار!L24-درمان!L24</f>
        <v>0</v>
      </c>
      <c r="M24" s="108">
        <f>M62-اعتبار!M24-درمان!M24</f>
        <v>0.30000000000001137</v>
      </c>
      <c r="N24" s="122">
        <f>N62-اعتبار!N24-درمان!N24</f>
        <v>0.19999999999998863</v>
      </c>
      <c r="O24" s="123">
        <f>O62-اعتبار!O24-درمان!O24</f>
        <v>2.8499999999999091</v>
      </c>
      <c r="P24" s="110">
        <f>P62-اعتبار!P24-درمان!P24</f>
        <v>14.865154999999959</v>
      </c>
      <c r="Q24" s="6">
        <f>Q62-اعتبار!Q24-درمان!Q24</f>
        <v>-0.29999999999995453</v>
      </c>
      <c r="R24" s="7">
        <v>0</v>
      </c>
      <c r="S24" s="170">
        <v>1372</v>
      </c>
    </row>
    <row r="25" spans="1:19" ht="19.5" customHeight="1">
      <c r="A25" s="314">
        <v>5.5999999999999999E-3</v>
      </c>
      <c r="B25" s="355">
        <v>2.8624026E-2</v>
      </c>
      <c r="C25" s="255">
        <f t="shared" si="0"/>
        <v>0</v>
      </c>
      <c r="D25" s="346">
        <f t="shared" si="1"/>
        <v>0</v>
      </c>
      <c r="E25" s="255">
        <v>0</v>
      </c>
      <c r="F25" s="256">
        <v>0</v>
      </c>
      <c r="G25" s="255">
        <v>0</v>
      </c>
      <c r="H25" s="256">
        <v>0</v>
      </c>
      <c r="I25" s="314">
        <v>5.5999999999999999E-3</v>
      </c>
      <c r="J25" s="355">
        <v>2.8624026E-2</v>
      </c>
      <c r="K25" s="109">
        <f>K63-اعتبار!K25</f>
        <v>0</v>
      </c>
      <c r="L25" s="110">
        <f>L63-اعتبار!L25</f>
        <v>0</v>
      </c>
      <c r="M25" s="129">
        <f>M63-اعتبار!M25</f>
        <v>-0.10000000000000009</v>
      </c>
      <c r="N25" s="122">
        <f>N63-اعتبار!N25</f>
        <v>5.6999999999999886</v>
      </c>
      <c r="O25" s="123">
        <f>O63-اعتبار!O25</f>
        <v>5.6999999999999993</v>
      </c>
      <c r="P25" s="110">
        <f>P63-اعتبار!P25</f>
        <v>22.924026000000026</v>
      </c>
      <c r="Q25" s="109">
        <f>Q63-اعتبار!Q25</f>
        <v>0</v>
      </c>
      <c r="R25" s="110">
        <f>R63-اعتبار!R25</f>
        <v>0</v>
      </c>
      <c r="S25" s="170">
        <v>1373</v>
      </c>
    </row>
    <row r="26" spans="1:19" ht="19.5" customHeight="1">
      <c r="A26" s="314">
        <v>1.3831E-2</v>
      </c>
      <c r="B26" s="256">
        <v>5.8712779999999999E-2</v>
      </c>
      <c r="C26" s="255">
        <f t="shared" si="0"/>
        <v>0</v>
      </c>
      <c r="D26" s="346">
        <f t="shared" si="1"/>
        <v>0</v>
      </c>
      <c r="E26" s="255">
        <v>0</v>
      </c>
      <c r="F26" s="256">
        <v>0</v>
      </c>
      <c r="G26" s="255">
        <v>0</v>
      </c>
      <c r="H26" s="256">
        <v>0</v>
      </c>
      <c r="I26" s="314">
        <v>1.3831E-2</v>
      </c>
      <c r="J26" s="256">
        <v>5.8712779999999999E-2</v>
      </c>
      <c r="K26" s="109">
        <f>K64-اعتبار!K26</f>
        <v>0</v>
      </c>
      <c r="L26" s="110">
        <f>L64-اعتبار!L26</f>
        <v>0</v>
      </c>
      <c r="M26" s="108">
        <f>M64-اعتبار!M26</f>
        <v>2</v>
      </c>
      <c r="N26" s="122">
        <f>N64-اعتبار!N26</f>
        <v>10.299999999999955</v>
      </c>
      <c r="O26" s="109">
        <f>O64-اعتبار!O26</f>
        <v>11.830999999999989</v>
      </c>
      <c r="P26" s="110">
        <f>P64-اعتبار!P26</f>
        <v>48.412779999999998</v>
      </c>
      <c r="Q26" s="109">
        <f>Q64-اعتبار!Q26</f>
        <v>0</v>
      </c>
      <c r="R26" s="110">
        <f>R64-اعتبار!R26</f>
        <v>0</v>
      </c>
      <c r="S26" s="170">
        <v>1374</v>
      </c>
    </row>
    <row r="27" spans="1:19" ht="19.5" customHeight="1">
      <c r="A27" s="314">
        <v>3.7926524000000003E-2</v>
      </c>
      <c r="B27" s="256">
        <v>8.4331499999999907E-2</v>
      </c>
      <c r="C27" s="255">
        <f t="shared" si="0"/>
        <v>0</v>
      </c>
      <c r="D27" s="346">
        <f t="shared" si="1"/>
        <v>-4.8911600000019206E-4</v>
      </c>
      <c r="E27" s="255">
        <v>0</v>
      </c>
      <c r="F27" s="256">
        <v>0</v>
      </c>
      <c r="G27" s="255">
        <v>0</v>
      </c>
      <c r="H27" s="256">
        <v>-0.48911600000019462</v>
      </c>
      <c r="I27" s="314">
        <v>3.7926524000000003E-2</v>
      </c>
      <c r="J27" s="256">
        <v>8.4820616000000099E-2</v>
      </c>
      <c r="K27" s="109">
        <f>K65-اعتبار!K27</f>
        <v>0</v>
      </c>
      <c r="L27" s="110">
        <f>L65-اعتبار!L27</f>
        <v>0</v>
      </c>
      <c r="M27" s="108">
        <f>M65-اعتبار!M27</f>
        <v>1.0145919999999933</v>
      </c>
      <c r="N27" s="122">
        <f>N65-اعتبار!N27</f>
        <v>7.5720000000001164</v>
      </c>
      <c r="O27" s="109">
        <f>O65-اعتبار!O27</f>
        <v>36.911931999999979</v>
      </c>
      <c r="P27" s="110">
        <f>P65-اعتبار!P27</f>
        <v>77.24861599999997</v>
      </c>
      <c r="Q27" s="109">
        <f>Q65-اعتبار!Q27</f>
        <v>0</v>
      </c>
      <c r="R27" s="110">
        <f>R65-اعتبار!R27</f>
        <v>0</v>
      </c>
      <c r="S27" s="170">
        <v>1375</v>
      </c>
    </row>
    <row r="28" spans="1:19" ht="19.5" customHeight="1">
      <c r="A28" s="314">
        <v>2.9786376999999999E-2</v>
      </c>
      <c r="B28" s="256">
        <v>8.1898602000000195E-2</v>
      </c>
      <c r="C28" s="255">
        <f t="shared" si="0"/>
        <v>4.080920000000994E-4</v>
      </c>
      <c r="D28" s="346">
        <f t="shared" si="1"/>
        <v>-3.0977500000020641E-4</v>
      </c>
      <c r="E28" s="255">
        <v>0</v>
      </c>
      <c r="F28" s="256">
        <v>0</v>
      </c>
      <c r="G28" s="255">
        <v>0.40809200000012424</v>
      </c>
      <c r="H28" s="256">
        <v>-0.30977500000017244</v>
      </c>
      <c r="I28" s="314">
        <v>2.93782849999999E-2</v>
      </c>
      <c r="J28" s="256">
        <v>8.2208377000000402E-2</v>
      </c>
      <c r="K28" s="109">
        <f>K66-اعتبار!K28</f>
        <v>0</v>
      </c>
      <c r="L28" s="110">
        <f>L66-اعتبار!L28</f>
        <v>0</v>
      </c>
      <c r="M28" s="129">
        <f>M66-اعتبار!M28</f>
        <v>-0.38278000000002521</v>
      </c>
      <c r="N28" s="122">
        <f>N66-اعتبار!N28</f>
        <v>5.698500000000422</v>
      </c>
      <c r="O28" s="109">
        <f>O66-اعتبار!O28</f>
        <v>29.761064999999917</v>
      </c>
      <c r="P28" s="110">
        <f>P66-اعتبار!P28</f>
        <v>76.509876999999989</v>
      </c>
      <c r="Q28" s="109">
        <f>Q66-اعتبار!Q28</f>
        <v>0</v>
      </c>
      <c r="R28" s="110">
        <f>R66-اعتبار!R28</f>
        <v>0</v>
      </c>
      <c r="S28" s="170">
        <v>1376</v>
      </c>
    </row>
    <row r="29" spans="1:19" ht="19.5" customHeight="1">
      <c r="A29" s="314">
        <v>2.8632395999999501E-2</v>
      </c>
      <c r="B29" s="256">
        <v>0.16655116</v>
      </c>
      <c r="C29" s="255">
        <f t="shared" si="0"/>
        <v>-2.1543600000049901E-4</v>
      </c>
      <c r="D29" s="346">
        <f t="shared" si="1"/>
        <v>4.8159200000000291E-4</v>
      </c>
      <c r="E29" s="255">
        <v>0</v>
      </c>
      <c r="F29" s="256">
        <v>0</v>
      </c>
      <c r="G29" s="255">
        <v>-0.21543600000040897</v>
      </c>
      <c r="H29" s="256">
        <v>0.4815920000000915</v>
      </c>
      <c r="I29" s="255">
        <v>2.8847832E-2</v>
      </c>
      <c r="J29" s="256">
        <v>0.166069568</v>
      </c>
      <c r="K29" s="109">
        <f>K67-اعتبار!K29</f>
        <v>0</v>
      </c>
      <c r="L29" s="110">
        <f>L67-اعتبار!L29</f>
        <v>0</v>
      </c>
      <c r="M29" s="129">
        <f>M67-اعتبار!M29</f>
        <v>-0.21928000000000125</v>
      </c>
      <c r="N29" s="122">
        <f>N67-اعتبار!N29</f>
        <v>26.595823999999993</v>
      </c>
      <c r="O29" s="109">
        <f>O67-اعتبار!O29</f>
        <v>29.067111999999952</v>
      </c>
      <c r="P29" s="110">
        <f>P67-اعتبار!P29</f>
        <v>139.4737439999999</v>
      </c>
      <c r="Q29" s="109">
        <f>Q67-اعتبار!Q29</f>
        <v>0</v>
      </c>
      <c r="R29" s="110">
        <f>R67-اعتبار!R29</f>
        <v>0</v>
      </c>
      <c r="S29" s="170">
        <v>1377</v>
      </c>
    </row>
    <row r="30" spans="1:19" ht="19.5" customHeight="1">
      <c r="A30" s="356">
        <f t="shared" ref="A30:B30" si="2">C30+I30</f>
        <v>-2.9906327999800766E-2</v>
      </c>
      <c r="B30" s="260">
        <f t="shared" si="2"/>
        <v>0.48783322800111045</v>
      </c>
      <c r="C30" s="358">
        <f t="shared" ref="C30:D30" si="3">E30+G30</f>
        <v>-2.9887999999800741E-2</v>
      </c>
      <c r="D30" s="359">
        <f t="shared" si="3"/>
        <v>1.1808000001110486E-2</v>
      </c>
      <c r="E30" s="250">
        <f>E68-[14]اعتبار!E30</f>
        <v>0</v>
      </c>
      <c r="F30" s="251">
        <f>F68-[14]اعتبار!F30</f>
        <v>0</v>
      </c>
      <c r="G30" s="250">
        <f>G68-[14]اعتبار!G30</f>
        <v>-2.9887999999800741E-2</v>
      </c>
      <c r="H30" s="251">
        <f>H68-[14]اعتبار!H30</f>
        <v>1.1808000001110486E-2</v>
      </c>
      <c r="I30" s="255">
        <f t="shared" ref="I30" si="4">(Q30+O30+M30+K30)/1000</f>
        <v>-1.8328000000025212E-5</v>
      </c>
      <c r="J30" s="256">
        <f>(R30+P30+N30+L30)/1000</f>
        <v>0.47602522799999997</v>
      </c>
      <c r="K30" s="109">
        <f>K68-اعتبار!K30</f>
        <v>0</v>
      </c>
      <c r="L30" s="110">
        <f>L68-اعتبار!L30</f>
        <v>0</v>
      </c>
      <c r="M30" s="108">
        <f>M68-اعتبار!M30</f>
        <v>-4.6568000000007714E-2</v>
      </c>
      <c r="N30" s="122">
        <f>N68-اعتبار!N30</f>
        <v>9.0532839999996213</v>
      </c>
      <c r="O30" s="124">
        <f>O68-اعتبار!O30</f>
        <v>2.8239999999982501E-2</v>
      </c>
      <c r="P30" s="125">
        <f>P68-اعتبار!P30</f>
        <v>466.97194400000035</v>
      </c>
      <c r="Q30" s="124">
        <f>Q68-اعتبار!Q30</f>
        <v>0</v>
      </c>
      <c r="R30" s="125">
        <f>R68-اعتبار!R30</f>
        <v>0</v>
      </c>
      <c r="S30" s="187">
        <v>1378</v>
      </c>
    </row>
    <row r="31" spans="1:19" ht="19.5" customHeight="1">
      <c r="A31" s="322">
        <v>0.265175103999999</v>
      </c>
      <c r="B31" s="256">
        <v>2.5949406239999999</v>
      </c>
      <c r="C31" s="296">
        <f t="shared" si="0"/>
        <v>0.21584135199999899</v>
      </c>
      <c r="D31" s="350">
        <f t="shared" si="1"/>
        <v>0.87507646399999994</v>
      </c>
      <c r="E31" s="255">
        <v>0</v>
      </c>
      <c r="F31" s="256">
        <v>0</v>
      </c>
      <c r="G31" s="255">
        <v>215.84135199999946</v>
      </c>
      <c r="H31" s="256">
        <v>875.07646399999794</v>
      </c>
      <c r="I31" s="314">
        <v>4.9333752000000002E-2</v>
      </c>
      <c r="J31" s="256">
        <v>1.71986416</v>
      </c>
      <c r="K31" s="109">
        <f>K69-اعتبار!K31</f>
        <v>-1.6000000000001791E-2</v>
      </c>
      <c r="L31" s="110">
        <f>L69-اعتبار!L31</f>
        <v>-2.3999999996249244E-4</v>
      </c>
      <c r="M31" s="108">
        <f>M69-اعتبار!M31</f>
        <v>4.5599999998557905E-4</v>
      </c>
      <c r="N31" s="122">
        <f>N69-اعتبار!N31</f>
        <v>3.4734760000001188</v>
      </c>
      <c r="O31" s="126">
        <f>O69-اعتبار!O31</f>
        <v>49.349296000000002</v>
      </c>
      <c r="P31" s="15">
        <f>P69-اعتبار!P31</f>
        <v>1716.390924</v>
      </c>
      <c r="Q31" s="126">
        <f>Q69-اعتبار!Q31</f>
        <v>0</v>
      </c>
      <c r="R31" s="127">
        <f>R69-اعتبار!R31</f>
        <v>0</v>
      </c>
      <c r="S31" s="226">
        <v>1379</v>
      </c>
    </row>
    <row r="32" spans="1:19" ht="19.5" customHeight="1">
      <c r="A32" s="312">
        <v>-0.19599449999999899</v>
      </c>
      <c r="B32" s="297">
        <v>2.7935286960000001</v>
      </c>
      <c r="C32" s="296">
        <f t="shared" si="0"/>
        <v>-0.2157922359999998</v>
      </c>
      <c r="D32" s="350">
        <f t="shared" si="1"/>
        <v>-0.87514978799999987</v>
      </c>
      <c r="E32" s="296">
        <v>0</v>
      </c>
      <c r="F32" s="297">
        <v>0</v>
      </c>
      <c r="G32" s="296">
        <v>-215.79223600000006</v>
      </c>
      <c r="H32" s="297">
        <v>-875.14978800000017</v>
      </c>
      <c r="I32" s="314">
        <v>1.9797736000000801E-2</v>
      </c>
      <c r="J32" s="256">
        <v>3.668678484</v>
      </c>
      <c r="K32" s="126">
        <f>K70-اعتبار!K32</f>
        <v>4.2000000000001592E-2</v>
      </c>
      <c r="L32" s="127">
        <f>L70-اعتبار!L32</f>
        <v>-4.6575999999959095E-2</v>
      </c>
      <c r="M32" s="128">
        <f>M70-اعتبار!M32</f>
        <v>-4.6199999999998909E-2</v>
      </c>
      <c r="N32" s="130">
        <f>N70-اعتبار!N32</f>
        <v>3.4546359999999368</v>
      </c>
      <c r="O32" s="126">
        <f>O70-اعتبار!O32</f>
        <v>19.801936000000751</v>
      </c>
      <c r="P32" s="15">
        <f>P70-اعتبار!P32</f>
        <v>3665.2704240000003</v>
      </c>
      <c r="Q32" s="126">
        <f>Q70-اعتبار!Q32</f>
        <v>0</v>
      </c>
      <c r="R32" s="127">
        <f>R70-اعتبار!R32</f>
        <v>0</v>
      </c>
      <c r="S32" s="226">
        <v>1380</v>
      </c>
    </row>
    <row r="33" spans="1:19" ht="19.5" customHeight="1">
      <c r="A33" s="301">
        <v>6.9712495480000003</v>
      </c>
      <c r="B33" s="256">
        <v>16.046968715999999</v>
      </c>
      <c r="C33" s="255">
        <f t="shared" si="0"/>
        <v>0</v>
      </c>
      <c r="D33" s="346">
        <f t="shared" si="1"/>
        <v>7.1999999999761144E-4</v>
      </c>
      <c r="E33" s="255">
        <v>0</v>
      </c>
      <c r="F33" s="256">
        <v>0.72</v>
      </c>
      <c r="G33" s="255">
        <v>0</v>
      </c>
      <c r="H33" s="256">
        <v>0</v>
      </c>
      <c r="I33" s="301">
        <v>6.9712495480000003</v>
      </c>
      <c r="J33" s="256">
        <v>16.046248716000001</v>
      </c>
      <c r="K33" s="6">
        <f t="shared" ref="K33:R35" si="5">K71</f>
        <v>0</v>
      </c>
      <c r="L33" s="7">
        <f t="shared" si="5"/>
        <v>0</v>
      </c>
      <c r="M33" s="37">
        <f t="shared" si="5"/>
        <v>0</v>
      </c>
      <c r="N33" s="38">
        <f t="shared" si="5"/>
        <v>1.0999999999999999E-2</v>
      </c>
      <c r="O33" s="6">
        <f t="shared" si="5"/>
        <v>7.2932839999999999</v>
      </c>
      <c r="P33" s="7">
        <f t="shared" si="5"/>
        <v>1553.2668120000001</v>
      </c>
      <c r="Q33" s="6">
        <f t="shared" si="5"/>
        <v>6963.9562640000004</v>
      </c>
      <c r="R33" s="7">
        <f t="shared" si="5"/>
        <v>14492.970904</v>
      </c>
      <c r="S33" s="170">
        <v>1381</v>
      </c>
    </row>
    <row r="34" spans="1:19" ht="19.5" customHeight="1">
      <c r="A34" s="301">
        <v>24.154055128</v>
      </c>
      <c r="B34" s="256">
        <v>27.227579095999999</v>
      </c>
      <c r="C34" s="255">
        <f t="shared" si="0"/>
        <v>0</v>
      </c>
      <c r="D34" s="346">
        <f t="shared" si="1"/>
        <v>0.34299999999999997</v>
      </c>
      <c r="E34" s="255">
        <v>0</v>
      </c>
      <c r="F34" s="256">
        <v>343</v>
      </c>
      <c r="G34" s="255">
        <v>0</v>
      </c>
      <c r="H34" s="256">
        <v>0</v>
      </c>
      <c r="I34" s="301">
        <v>24.154055128</v>
      </c>
      <c r="J34" s="256">
        <v>26.884579096</v>
      </c>
      <c r="K34" s="6">
        <f t="shared" si="5"/>
        <v>32</v>
      </c>
      <c r="L34" s="7">
        <f t="shared" si="5"/>
        <v>173.61500000000001</v>
      </c>
      <c r="M34" s="37">
        <f t="shared" si="5"/>
        <v>0</v>
      </c>
      <c r="N34" s="38">
        <f t="shared" si="5"/>
        <v>1.5109999999999999</v>
      </c>
      <c r="O34" s="6">
        <f t="shared" si="5"/>
        <v>137.49601999999999</v>
      </c>
      <c r="P34" s="7">
        <f t="shared" si="5"/>
        <v>2232.21</v>
      </c>
      <c r="Q34" s="6">
        <f t="shared" si="5"/>
        <v>23984.559108000001</v>
      </c>
      <c r="R34" s="7">
        <f t="shared" si="5"/>
        <v>24477.243095999998</v>
      </c>
      <c r="S34" s="170">
        <v>1382</v>
      </c>
    </row>
    <row r="35" spans="1:19" ht="19.5" customHeight="1">
      <c r="A35" s="313">
        <v>22.456884811999998</v>
      </c>
      <c r="B35" s="297">
        <v>20.372550488000002</v>
      </c>
      <c r="C35" s="337">
        <f t="shared" si="0"/>
        <v>0.34371200000000002</v>
      </c>
      <c r="D35" s="338">
        <f t="shared" si="1"/>
        <v>0.88608216400000117</v>
      </c>
      <c r="E35" s="337">
        <v>343.71199999999999</v>
      </c>
      <c r="F35" s="310">
        <v>886.08216400000003</v>
      </c>
      <c r="G35" s="337">
        <v>0</v>
      </c>
      <c r="H35" s="310">
        <v>0</v>
      </c>
      <c r="I35" s="312">
        <v>22.113172811999998</v>
      </c>
      <c r="J35" s="300">
        <v>19.486468324000001</v>
      </c>
      <c r="K35" s="132">
        <f t="shared" si="5"/>
        <v>307.72000000000003</v>
      </c>
      <c r="L35" s="134">
        <f t="shared" si="5"/>
        <v>476.08727199999998</v>
      </c>
      <c r="M35" s="135">
        <f t="shared" si="5"/>
        <v>0</v>
      </c>
      <c r="N35" s="136">
        <f t="shared" si="5"/>
        <v>75.831000000000003</v>
      </c>
      <c r="O35" s="132">
        <f t="shared" si="5"/>
        <v>82.896019999999993</v>
      </c>
      <c r="P35" s="134">
        <f t="shared" si="5"/>
        <v>1590.009356</v>
      </c>
      <c r="Q35" s="132">
        <f t="shared" si="5"/>
        <v>21722.556791999999</v>
      </c>
      <c r="R35" s="134">
        <f t="shared" si="5"/>
        <v>17344.540696</v>
      </c>
      <c r="S35" s="165">
        <v>1383</v>
      </c>
    </row>
    <row r="36" spans="1:19" s="1" customFormat="1" ht="19.5" customHeight="1">
      <c r="A36" s="301">
        <v>7.3367857279999997</v>
      </c>
      <c r="B36" s="256">
        <v>6.9571744039999999</v>
      </c>
      <c r="C36" s="302">
        <f t="shared" si="0"/>
        <v>0.65802499999999942</v>
      </c>
      <c r="D36" s="336">
        <f t="shared" si="1"/>
        <v>0.45229240000000015</v>
      </c>
      <c r="E36" s="308">
        <v>658.02499999999998</v>
      </c>
      <c r="F36" s="305">
        <v>452.29239999999999</v>
      </c>
      <c r="G36" s="308">
        <v>0</v>
      </c>
      <c r="H36" s="305">
        <v>0</v>
      </c>
      <c r="I36" s="301">
        <v>6.6787607280000003</v>
      </c>
      <c r="J36" s="256">
        <v>6.5048820039999997</v>
      </c>
      <c r="K36" s="88">
        <f>'[3]بيمه دانا'!$H$47/1000000</f>
        <v>161.555792</v>
      </c>
      <c r="L36" s="26">
        <f>'[3]بيمه دانا'!$P$47/1000000</f>
        <v>415.80819600000001</v>
      </c>
      <c r="M36" s="102">
        <f>'[3]بيمه البرز'!$H$47</f>
        <v>0</v>
      </c>
      <c r="N36" s="28">
        <f>'[3]بيمه البرز'!$P$47/1000000</f>
        <v>99.245000000000005</v>
      </c>
      <c r="O36" s="88">
        <f>'[3]بيمه آسيا'!$H$47/1000000</f>
        <v>113</v>
      </c>
      <c r="P36" s="26">
        <f>'[3]بيمه آسيا'!$P$47/1000000</f>
        <v>1492.094216</v>
      </c>
      <c r="Q36" s="88">
        <f>'[3]بيمه ايران'!$H$47/1000000</f>
        <v>6404.2049360000001</v>
      </c>
      <c r="R36" s="26">
        <f>'[3]بيمه ايران'!$P$47/1000000</f>
        <v>4497.7345919999998</v>
      </c>
      <c r="S36" s="199">
        <v>1384</v>
      </c>
    </row>
    <row r="37" spans="1:19" s="1" customFormat="1" ht="19.5" customHeight="1">
      <c r="A37" s="322">
        <v>2.8076770120000001</v>
      </c>
      <c r="B37" s="260">
        <v>1.8181778040000001</v>
      </c>
      <c r="C37" s="331">
        <f t="shared" si="0"/>
        <v>5.9732552000000272E-2</v>
      </c>
      <c r="D37" s="330">
        <f t="shared" si="1"/>
        <v>0.13696064399999996</v>
      </c>
      <c r="E37" s="331"/>
      <c r="F37" s="331"/>
      <c r="G37" s="331"/>
      <c r="H37" s="331"/>
      <c r="I37" s="315">
        <v>2.7479444599999998</v>
      </c>
      <c r="J37" s="260">
        <v>1.6812171600000001</v>
      </c>
      <c r="K37" s="235"/>
      <c r="L37" s="235"/>
      <c r="M37" s="236"/>
      <c r="N37" s="236"/>
      <c r="O37" s="235"/>
      <c r="P37" s="235"/>
      <c r="Q37" s="235"/>
      <c r="R37" s="235"/>
      <c r="S37" s="237">
        <v>1385</v>
      </c>
    </row>
    <row r="38" spans="1:19" s="1" customFormat="1" ht="19.5" customHeight="1">
      <c r="A38" s="301">
        <v>3.3230219600000002</v>
      </c>
      <c r="B38" s="256">
        <v>5.7747300079999997</v>
      </c>
      <c r="C38" s="308">
        <f t="shared" si="0"/>
        <v>0.19208150000000002</v>
      </c>
      <c r="D38" s="305">
        <f t="shared" si="1"/>
        <v>0.11808459999999954</v>
      </c>
      <c r="E38" s="308"/>
      <c r="F38" s="308"/>
      <c r="G38" s="308"/>
      <c r="H38" s="308"/>
      <c r="I38" s="298">
        <v>3.1309404600000001</v>
      </c>
      <c r="J38" s="256">
        <v>5.6566454080000002</v>
      </c>
      <c r="K38" s="88"/>
      <c r="L38" s="88"/>
      <c r="M38" s="102"/>
      <c r="N38" s="102"/>
      <c r="O38" s="88"/>
      <c r="P38" s="88"/>
      <c r="Q38" s="88"/>
      <c r="R38" s="88"/>
      <c r="S38" s="199">
        <v>1386</v>
      </c>
    </row>
    <row r="39" spans="1:19" s="1" customFormat="1" ht="19.5" customHeight="1">
      <c r="A39" s="301">
        <v>2.9786226120000001</v>
      </c>
      <c r="B39" s="256">
        <v>6.8573554080000001</v>
      </c>
      <c r="C39" s="308">
        <f t="shared" si="0"/>
        <v>0.17648054399999991</v>
      </c>
      <c r="D39" s="305">
        <f t="shared" si="1"/>
        <v>1.0036534640000001</v>
      </c>
      <c r="E39" s="308"/>
      <c r="F39" s="308"/>
      <c r="G39" s="308"/>
      <c r="H39" s="308"/>
      <c r="I39" s="298">
        <v>2.8021420680000002</v>
      </c>
      <c r="J39" s="256">
        <v>5.853701944</v>
      </c>
      <c r="K39" s="88"/>
      <c r="L39" s="88"/>
      <c r="M39" s="102"/>
      <c r="N39" s="102"/>
      <c r="O39" s="88"/>
      <c r="P39" s="88"/>
      <c r="Q39" s="88"/>
      <c r="R39" s="88"/>
      <c r="S39" s="199">
        <v>1387</v>
      </c>
    </row>
    <row r="40" spans="1:19" s="1" customFormat="1" ht="19.5" customHeight="1">
      <c r="A40" s="301">
        <v>6.4994501839999996</v>
      </c>
      <c r="B40" s="256">
        <v>18.7</v>
      </c>
      <c r="C40" s="308">
        <f t="shared" si="0"/>
        <v>4.5363439319999994</v>
      </c>
      <c r="D40" s="305">
        <f t="shared" si="1"/>
        <v>12.103861243999999</v>
      </c>
      <c r="E40" s="308"/>
      <c r="F40" s="308"/>
      <c r="G40" s="308"/>
      <c r="H40" s="308"/>
      <c r="I40" s="298">
        <v>1.963106252</v>
      </c>
      <c r="J40" s="256">
        <v>6.5961387560000002</v>
      </c>
      <c r="K40" s="88"/>
      <c r="L40" s="88"/>
      <c r="M40" s="102"/>
      <c r="N40" s="102"/>
      <c r="O40" s="88"/>
      <c r="P40" s="88"/>
      <c r="Q40" s="88"/>
      <c r="R40" s="88"/>
      <c r="S40" s="199">
        <v>1388</v>
      </c>
    </row>
    <row r="41" spans="1:19" s="1" customFormat="1" ht="19.5" customHeight="1">
      <c r="A41" s="301">
        <v>10.747998568</v>
      </c>
      <c r="B41" s="256">
        <v>29.776977196000001</v>
      </c>
      <c r="C41" s="308">
        <f t="shared" si="0"/>
        <v>10.747998568</v>
      </c>
      <c r="D41" s="305">
        <f t="shared" si="1"/>
        <v>29.776977196000001</v>
      </c>
      <c r="E41" s="308"/>
      <c r="F41" s="308"/>
      <c r="G41" s="308"/>
      <c r="H41" s="308"/>
      <c r="I41" s="298">
        <v>0</v>
      </c>
      <c r="J41" s="256">
        <v>0</v>
      </c>
      <c r="K41" s="88"/>
      <c r="L41" s="88"/>
      <c r="M41" s="102"/>
      <c r="N41" s="102"/>
      <c r="O41" s="88"/>
      <c r="P41" s="88"/>
      <c r="Q41" s="88"/>
      <c r="R41" s="88"/>
      <c r="S41" s="199">
        <v>1389</v>
      </c>
    </row>
    <row r="42" spans="1:19" s="1" customFormat="1" ht="19.5" customHeight="1">
      <c r="A42" s="424">
        <f>16.9</f>
        <v>16.899999999999999</v>
      </c>
      <c r="B42" s="423">
        <f>35.2</f>
        <v>35.200000000000003</v>
      </c>
      <c r="C42" s="448">
        <f t="shared" ref="C42:D51" si="6">A42-I42</f>
        <v>16.899999999999999</v>
      </c>
      <c r="D42" s="447">
        <f t="shared" si="6"/>
        <v>35.200000000000003</v>
      </c>
      <c r="E42" s="449"/>
      <c r="F42" s="449"/>
      <c r="G42" s="449"/>
      <c r="H42" s="449"/>
      <c r="I42" s="425">
        <f>0</f>
        <v>0</v>
      </c>
      <c r="J42" s="423">
        <f>0</f>
        <v>0</v>
      </c>
      <c r="K42" s="405"/>
      <c r="L42" s="405"/>
      <c r="M42" s="405"/>
      <c r="N42" s="405"/>
      <c r="O42" s="405"/>
      <c r="P42" s="405"/>
      <c r="Q42" s="405"/>
      <c r="R42" s="405"/>
      <c r="S42" s="409">
        <v>1390</v>
      </c>
    </row>
    <row r="43" spans="1:19" s="1" customFormat="1" ht="19.5" customHeight="1">
      <c r="A43" s="428">
        <v>39.799999999999997</v>
      </c>
      <c r="B43" s="432">
        <v>78</v>
      </c>
      <c r="C43" s="448">
        <f t="shared" si="6"/>
        <v>39.5</v>
      </c>
      <c r="D43" s="447">
        <f t="shared" si="6"/>
        <v>77.3</v>
      </c>
      <c r="E43" s="452"/>
      <c r="F43" s="452"/>
      <c r="G43" s="452"/>
      <c r="H43" s="453"/>
      <c r="I43" s="422">
        <v>0.3</v>
      </c>
      <c r="J43" s="423">
        <v>0.7</v>
      </c>
      <c r="K43" s="410"/>
      <c r="L43" s="411"/>
      <c r="M43" s="411"/>
      <c r="N43" s="411"/>
      <c r="O43" s="411"/>
      <c r="P43" s="411"/>
      <c r="Q43" s="411"/>
      <c r="R43" s="411"/>
      <c r="S43" s="413">
        <v>1391</v>
      </c>
    </row>
    <row r="44" spans="1:19" s="1" customFormat="1" ht="19.5" customHeight="1">
      <c r="A44" s="422">
        <v>25</v>
      </c>
      <c r="B44" s="436">
        <v>54.9</v>
      </c>
      <c r="C44" s="448">
        <f t="shared" si="6"/>
        <v>24.9</v>
      </c>
      <c r="D44" s="447">
        <f t="shared" si="6"/>
        <v>54.8</v>
      </c>
      <c r="E44" s="456"/>
      <c r="F44" s="456"/>
      <c r="G44" s="456"/>
      <c r="H44" s="457"/>
      <c r="I44" s="422">
        <v>0.1</v>
      </c>
      <c r="J44" s="423">
        <v>0.1</v>
      </c>
      <c r="K44" s="374"/>
      <c r="L44" s="375"/>
      <c r="M44" s="375"/>
      <c r="N44" s="375"/>
      <c r="O44" s="375"/>
      <c r="P44" s="375"/>
      <c r="Q44" s="375"/>
      <c r="R44" s="375"/>
      <c r="S44" s="415">
        <v>1392</v>
      </c>
    </row>
    <row r="45" spans="1:19" s="1" customFormat="1" ht="19.5" customHeight="1">
      <c r="A45" s="422">
        <v>26.5</v>
      </c>
      <c r="B45" s="436">
        <v>65.900000000000006</v>
      </c>
      <c r="C45" s="448">
        <f t="shared" si="6"/>
        <v>26.5</v>
      </c>
      <c r="D45" s="447">
        <f t="shared" si="6"/>
        <v>65.900000000000006</v>
      </c>
      <c r="E45" s="456"/>
      <c r="F45" s="456"/>
      <c r="G45" s="456"/>
      <c r="H45" s="457"/>
      <c r="I45" s="422">
        <v>0</v>
      </c>
      <c r="J45" s="423">
        <v>0</v>
      </c>
      <c r="K45" s="374"/>
      <c r="L45" s="375"/>
      <c r="M45" s="375"/>
      <c r="N45" s="375"/>
      <c r="O45" s="375"/>
      <c r="P45" s="375"/>
      <c r="Q45" s="375"/>
      <c r="R45" s="375"/>
      <c r="S45" s="415">
        <v>1393</v>
      </c>
    </row>
    <row r="46" spans="1:19" s="1" customFormat="1" ht="19.5" customHeight="1">
      <c r="A46" s="422">
        <v>8</v>
      </c>
      <c r="B46" s="436">
        <v>83.2</v>
      </c>
      <c r="C46" s="448">
        <f t="shared" si="6"/>
        <v>8</v>
      </c>
      <c r="D46" s="447">
        <f t="shared" si="6"/>
        <v>83.2</v>
      </c>
      <c r="E46" s="456"/>
      <c r="F46" s="456"/>
      <c r="G46" s="456"/>
      <c r="H46" s="457"/>
      <c r="I46" s="422">
        <v>0</v>
      </c>
      <c r="J46" s="423">
        <v>0</v>
      </c>
      <c r="K46" s="374"/>
      <c r="L46" s="375"/>
      <c r="M46" s="375"/>
      <c r="N46" s="375"/>
      <c r="O46" s="375"/>
      <c r="P46" s="375"/>
      <c r="Q46" s="375"/>
      <c r="R46" s="375"/>
      <c r="S46" s="415">
        <v>1394</v>
      </c>
    </row>
    <row r="47" spans="1:19" s="1" customFormat="1" ht="19.5" customHeight="1">
      <c r="A47" s="422">
        <v>66.400000000000006</v>
      </c>
      <c r="B47" s="436">
        <v>341.9</v>
      </c>
      <c r="C47" s="448">
        <f t="shared" si="6"/>
        <v>66.400000000000006</v>
      </c>
      <c r="D47" s="447">
        <f t="shared" si="6"/>
        <v>341.9</v>
      </c>
      <c r="E47" s="456"/>
      <c r="F47" s="456"/>
      <c r="G47" s="456"/>
      <c r="H47" s="457"/>
      <c r="I47" s="422">
        <v>0</v>
      </c>
      <c r="J47" s="423">
        <v>0</v>
      </c>
      <c r="K47" s="374"/>
      <c r="L47" s="375"/>
      <c r="M47" s="375"/>
      <c r="N47" s="375"/>
      <c r="O47" s="375"/>
      <c r="P47" s="375"/>
      <c r="Q47" s="375"/>
      <c r="R47" s="375"/>
      <c r="S47" s="415">
        <v>1395</v>
      </c>
    </row>
    <row r="48" spans="1:19" s="1" customFormat="1" ht="19.5" customHeight="1">
      <c r="A48" s="422">
        <v>35.6</v>
      </c>
      <c r="B48" s="436">
        <v>115.8</v>
      </c>
      <c r="C48" s="448">
        <f t="shared" si="6"/>
        <v>35.6</v>
      </c>
      <c r="D48" s="447">
        <f t="shared" si="6"/>
        <v>115.8</v>
      </c>
      <c r="E48" s="456"/>
      <c r="F48" s="456"/>
      <c r="G48" s="456"/>
      <c r="H48" s="457"/>
      <c r="I48" s="422">
        <v>0</v>
      </c>
      <c r="J48" s="423">
        <v>0</v>
      </c>
      <c r="K48" s="374"/>
      <c r="L48" s="375"/>
      <c r="M48" s="375"/>
      <c r="N48" s="375"/>
      <c r="O48" s="375"/>
      <c r="P48" s="375"/>
      <c r="Q48" s="375"/>
      <c r="R48" s="375"/>
      <c r="S48" s="415">
        <v>1396</v>
      </c>
    </row>
    <row r="49" spans="1:19" s="1" customFormat="1" ht="19.5" customHeight="1">
      <c r="A49" s="422">
        <v>32.6</v>
      </c>
      <c r="B49" s="436">
        <v>71.3</v>
      </c>
      <c r="C49" s="448">
        <f t="shared" si="6"/>
        <v>32.6</v>
      </c>
      <c r="D49" s="447">
        <f t="shared" si="6"/>
        <v>71.3</v>
      </c>
      <c r="E49" s="456"/>
      <c r="F49" s="456"/>
      <c r="G49" s="456"/>
      <c r="H49" s="457"/>
      <c r="I49" s="422">
        <v>0</v>
      </c>
      <c r="J49" s="423">
        <v>0</v>
      </c>
      <c r="K49" s="374"/>
      <c r="L49" s="375"/>
      <c r="M49" s="375"/>
      <c r="N49" s="375"/>
      <c r="O49" s="375"/>
      <c r="P49" s="375"/>
      <c r="Q49" s="375"/>
      <c r="R49" s="375"/>
      <c r="S49" s="415">
        <v>1397</v>
      </c>
    </row>
    <row r="50" spans="1:19" s="1" customFormat="1" ht="19.5" customHeight="1">
      <c r="A50" s="422">
        <v>29.1</v>
      </c>
      <c r="B50" s="436">
        <v>87.7</v>
      </c>
      <c r="C50" s="448">
        <f t="shared" si="6"/>
        <v>29.1</v>
      </c>
      <c r="D50" s="447">
        <f t="shared" si="6"/>
        <v>87.7</v>
      </c>
      <c r="E50" s="456"/>
      <c r="F50" s="456"/>
      <c r="G50" s="456"/>
      <c r="H50" s="457"/>
      <c r="I50" s="422">
        <v>0</v>
      </c>
      <c r="J50" s="423">
        <v>0</v>
      </c>
      <c r="K50" s="374"/>
      <c r="L50" s="375"/>
      <c r="M50" s="375"/>
      <c r="N50" s="375"/>
      <c r="O50" s="375"/>
      <c r="P50" s="375"/>
      <c r="Q50" s="375"/>
      <c r="R50" s="375"/>
      <c r="S50" s="415">
        <v>1398</v>
      </c>
    </row>
    <row r="51" spans="1:19" s="1" customFormat="1" ht="19.5" customHeight="1" thickBot="1">
      <c r="A51" s="469">
        <v>11.4</v>
      </c>
      <c r="B51" s="472">
        <v>405.9</v>
      </c>
      <c r="C51" s="498">
        <f t="shared" si="6"/>
        <v>11.4</v>
      </c>
      <c r="D51" s="501">
        <f t="shared" si="6"/>
        <v>405.9</v>
      </c>
      <c r="E51" s="500"/>
      <c r="F51" s="500"/>
      <c r="G51" s="500"/>
      <c r="H51" s="499"/>
      <c r="I51" s="469">
        <v>0</v>
      </c>
      <c r="J51" s="470">
        <v>0</v>
      </c>
      <c r="K51" s="383"/>
      <c r="L51" s="384"/>
      <c r="M51" s="384"/>
      <c r="N51" s="384"/>
      <c r="O51" s="384"/>
      <c r="P51" s="384"/>
      <c r="Q51" s="384"/>
      <c r="R51" s="384"/>
      <c r="S51" s="518">
        <v>1399</v>
      </c>
    </row>
    <row r="52" spans="1:19" ht="19.5" customHeight="1">
      <c r="A52" s="565" t="s">
        <v>32</v>
      </c>
      <c r="B52" s="565"/>
      <c r="C52" s="565"/>
      <c r="D52" s="565"/>
      <c r="E52" s="565"/>
      <c r="F52" s="565"/>
      <c r="G52" s="565"/>
      <c r="H52" s="565"/>
      <c r="I52" s="565"/>
      <c r="J52" s="565"/>
      <c r="K52" s="565"/>
      <c r="L52" s="565"/>
      <c r="M52" s="565"/>
      <c r="N52" s="565"/>
      <c r="O52" s="565"/>
      <c r="P52" s="565"/>
      <c r="Q52" s="565"/>
      <c r="R52" s="565"/>
      <c r="S52" s="565"/>
    </row>
    <row r="53" spans="1:19" ht="19.5" customHeight="1">
      <c r="A53" s="263"/>
      <c r="B53" s="263"/>
      <c r="C53" s="563" t="s">
        <v>54</v>
      </c>
      <c r="D53" s="563"/>
      <c r="E53" s="563"/>
      <c r="F53" s="563"/>
      <c r="G53" s="563"/>
      <c r="H53" s="563"/>
      <c r="I53" s="563"/>
      <c r="J53" s="563"/>
      <c r="K53" s="563"/>
      <c r="L53" s="563"/>
      <c r="M53" s="563"/>
      <c r="N53" s="563"/>
      <c r="O53" s="563"/>
      <c r="P53" s="563"/>
      <c r="Q53" s="563"/>
      <c r="R53" s="563"/>
      <c r="S53" s="563"/>
    </row>
    <row r="54" spans="1:19" ht="14.1" hidden="1" customHeight="1"/>
    <row r="55" spans="1:19" ht="14.1" hidden="1" customHeight="1">
      <c r="A55">
        <f t="shared" ref="A55:A70" si="7">SUM(G55,K55,M55,O55,Q55)</f>
        <v>1099.5520000000001</v>
      </c>
      <c r="B55">
        <f t="shared" ref="B55:B70" si="8">SUM(H55,L55,N55,P55,R55)</f>
        <v>702.63999999999987</v>
      </c>
      <c r="E55">
        <v>0</v>
      </c>
      <c r="F55">
        <v>0</v>
      </c>
      <c r="G55">
        <v>0</v>
      </c>
      <c r="H55">
        <v>0</v>
      </c>
      <c r="K55">
        <v>533</v>
      </c>
      <c r="L55">
        <v>-2</v>
      </c>
      <c r="M55">
        <f>15-0.048</f>
        <v>14.952</v>
      </c>
      <c r="N55">
        <f>12-5.32</f>
        <v>6.68</v>
      </c>
      <c r="O55">
        <f>381-1.4</f>
        <v>379.6</v>
      </c>
      <c r="P55">
        <f>604-52.08</f>
        <v>551.91999999999996</v>
      </c>
      <c r="Q55">
        <v>172</v>
      </c>
      <c r="R55">
        <f>178-31.96</f>
        <v>146.04</v>
      </c>
      <c r="S55">
        <v>1365</v>
      </c>
    </row>
    <row r="56" spans="1:19" ht="14.1" hidden="1" customHeight="1">
      <c r="A56">
        <f t="shared" si="7"/>
        <v>853.78800000000001</v>
      </c>
      <c r="B56">
        <f t="shared" si="8"/>
        <v>844.68000000000006</v>
      </c>
      <c r="E56">
        <v>0</v>
      </c>
      <c r="F56">
        <v>0</v>
      </c>
      <c r="G56">
        <v>0</v>
      </c>
      <c r="H56">
        <v>0</v>
      </c>
      <c r="K56">
        <v>0</v>
      </c>
      <c r="L56">
        <v>0</v>
      </c>
      <c r="M56">
        <f>22-0.052</f>
        <v>21.948</v>
      </c>
      <c r="N56">
        <f>22-5.16</f>
        <v>16.84</v>
      </c>
      <c r="O56">
        <f>623-0.76</f>
        <v>622.24</v>
      </c>
      <c r="P56">
        <f>656-53.76</f>
        <v>602.24</v>
      </c>
      <c r="Q56">
        <f>214-4.4</f>
        <v>209.6</v>
      </c>
      <c r="R56">
        <f>334-108.4</f>
        <v>225.6</v>
      </c>
      <c r="S56">
        <v>1366</v>
      </c>
    </row>
    <row r="57" spans="1:19" ht="14.1" hidden="1" customHeight="1">
      <c r="A57">
        <f t="shared" si="7"/>
        <v>447.74</v>
      </c>
      <c r="B57">
        <f t="shared" si="8"/>
        <v>233</v>
      </c>
      <c r="E57">
        <v>0</v>
      </c>
      <c r="F57">
        <v>0</v>
      </c>
      <c r="G57">
        <v>0</v>
      </c>
      <c r="H57">
        <v>0</v>
      </c>
      <c r="K57">
        <v>0</v>
      </c>
      <c r="L57">
        <v>0</v>
      </c>
      <c r="M57">
        <f>29-0.42</f>
        <v>28.58</v>
      </c>
      <c r="N57">
        <f>30-3.32</f>
        <v>26.68</v>
      </c>
      <c r="O57">
        <f>221-0</f>
        <v>221</v>
      </c>
      <c r="P57">
        <f>109-52.12</f>
        <v>56.88</v>
      </c>
      <c r="Q57">
        <f>210-11.84</f>
        <v>198.16</v>
      </c>
      <c r="R57">
        <f>309-159.56</f>
        <v>149.44</v>
      </c>
      <c r="S57">
        <v>1367</v>
      </c>
    </row>
    <row r="58" spans="1:19" ht="14.1" hidden="1" customHeight="1">
      <c r="A58">
        <f t="shared" si="7"/>
        <v>372</v>
      </c>
      <c r="B58">
        <f t="shared" si="8"/>
        <v>558</v>
      </c>
      <c r="E58">
        <v>0</v>
      </c>
      <c r="F58">
        <v>0</v>
      </c>
      <c r="G58">
        <v>0</v>
      </c>
      <c r="H58">
        <v>0</v>
      </c>
      <c r="K58">
        <v>0</v>
      </c>
      <c r="L58">
        <v>0</v>
      </c>
      <c r="M58">
        <v>32</v>
      </c>
      <c r="N58">
        <v>34</v>
      </c>
      <c r="O58">
        <v>119</v>
      </c>
      <c r="P58">
        <v>182</v>
      </c>
      <c r="Q58">
        <v>221</v>
      </c>
      <c r="R58">
        <v>342</v>
      </c>
      <c r="S58">
        <v>1368</v>
      </c>
    </row>
    <row r="59" spans="1:19" ht="14.1" hidden="1" customHeight="1">
      <c r="A59">
        <f t="shared" si="7"/>
        <v>562.52</v>
      </c>
      <c r="B59">
        <f t="shared" si="8"/>
        <v>430.05600000000004</v>
      </c>
      <c r="E59">
        <v>0</v>
      </c>
      <c r="F59">
        <v>0</v>
      </c>
      <c r="G59">
        <v>0</v>
      </c>
      <c r="H59">
        <v>0</v>
      </c>
      <c r="K59">
        <v>6</v>
      </c>
      <c r="L59">
        <v>2</v>
      </c>
      <c r="M59">
        <f>82-0.44</f>
        <v>81.56</v>
      </c>
      <c r="N59">
        <f>59-4.76</f>
        <v>54.24</v>
      </c>
      <c r="O59">
        <f>182-19.52</f>
        <v>162.47999999999999</v>
      </c>
      <c r="P59">
        <f>144-60.4</f>
        <v>83.6</v>
      </c>
      <c r="Q59">
        <f>323-10.52</f>
        <v>312.48</v>
      </c>
      <c r="R59">
        <f>442-151.784</f>
        <v>290.21600000000001</v>
      </c>
      <c r="S59">
        <v>1369</v>
      </c>
    </row>
    <row r="60" spans="1:19" ht="14.1" hidden="1" customHeight="1">
      <c r="A60">
        <f t="shared" si="7"/>
        <v>873</v>
      </c>
      <c r="B60">
        <f t="shared" si="8"/>
        <v>1084</v>
      </c>
      <c r="E60">
        <v>0</v>
      </c>
      <c r="F60">
        <v>0</v>
      </c>
      <c r="G60">
        <v>0</v>
      </c>
      <c r="H60">
        <v>0</v>
      </c>
      <c r="K60">
        <v>10</v>
      </c>
      <c r="L60">
        <v>362</v>
      </c>
      <c r="M60">
        <f>133-5</f>
        <v>128</v>
      </c>
      <c r="N60">
        <f>92-4</f>
        <v>88</v>
      </c>
      <c r="O60">
        <f>265-20</f>
        <v>245</v>
      </c>
      <c r="P60">
        <f>388-187</f>
        <v>201</v>
      </c>
      <c r="Q60">
        <f>494-4</f>
        <v>490</v>
      </c>
      <c r="R60">
        <f>684-251</f>
        <v>433</v>
      </c>
      <c r="S60">
        <v>1370</v>
      </c>
    </row>
    <row r="61" spans="1:19" ht="14.1" hidden="1" customHeight="1">
      <c r="A61">
        <f t="shared" si="7"/>
        <v>1736.9</v>
      </c>
      <c r="B61">
        <f t="shared" si="8"/>
        <v>1948.3</v>
      </c>
      <c r="E61">
        <v>0</v>
      </c>
      <c r="F61">
        <v>0</v>
      </c>
      <c r="G61">
        <v>0</v>
      </c>
      <c r="H61">
        <v>0</v>
      </c>
      <c r="K61">
        <v>290</v>
      </c>
      <c r="L61">
        <v>900</v>
      </c>
      <c r="M61">
        <v>247</v>
      </c>
      <c r="N61">
        <f>129-8</f>
        <v>121</v>
      </c>
      <c r="O61">
        <f>469-0</f>
        <v>469</v>
      </c>
      <c r="P61">
        <f>669-302.7</f>
        <v>366.3</v>
      </c>
      <c r="Q61">
        <f>741-10.1</f>
        <v>730.9</v>
      </c>
      <c r="R61">
        <f>790-229</f>
        <v>561</v>
      </c>
      <c r="S61">
        <v>1371</v>
      </c>
    </row>
    <row r="62" spans="1:19" ht="14.1" hidden="1" customHeight="1">
      <c r="A62">
        <f t="shared" si="7"/>
        <v>3551</v>
      </c>
      <c r="B62">
        <f t="shared" si="8"/>
        <v>6158.1</v>
      </c>
      <c r="E62">
        <v>0</v>
      </c>
      <c r="F62">
        <v>0</v>
      </c>
      <c r="G62">
        <v>0</v>
      </c>
      <c r="H62">
        <v>0</v>
      </c>
      <c r="K62">
        <v>898</v>
      </c>
      <c r="L62">
        <v>3219</v>
      </c>
      <c r="M62">
        <f>328-0.7</f>
        <v>327.3</v>
      </c>
      <c r="N62">
        <f>243-25.9</f>
        <v>217.1</v>
      </c>
      <c r="O62" s="121">
        <f>957-مسئوليت!O24</f>
        <v>861.3</v>
      </c>
      <c r="P62" s="121">
        <f>1456-مسئوليت!P24</f>
        <v>858.6</v>
      </c>
      <c r="Q62" s="121">
        <f>1472-مسئوليت!Q24</f>
        <v>1464.4</v>
      </c>
      <c r="R62" s="121">
        <f>2276-مسئوليت!R24</f>
        <v>1863.4</v>
      </c>
      <c r="S62">
        <v>1372</v>
      </c>
    </row>
    <row r="63" spans="1:19" ht="14.1" hidden="1" customHeight="1">
      <c r="A63">
        <f t="shared" si="7"/>
        <v>24.9</v>
      </c>
      <c r="B63">
        <f t="shared" si="8"/>
        <v>430.40000000000003</v>
      </c>
      <c r="E63">
        <v>0</v>
      </c>
      <c r="F63">
        <v>0</v>
      </c>
      <c r="G63">
        <v>0</v>
      </c>
      <c r="H63">
        <v>0</v>
      </c>
      <c r="K63">
        <v>0</v>
      </c>
      <c r="L63">
        <v>0</v>
      </c>
      <c r="M63">
        <f>1-1.1</f>
        <v>-0.10000000000000009</v>
      </c>
      <c r="N63">
        <f>196-190.3</f>
        <v>5.6999999999999886</v>
      </c>
      <c r="O63">
        <f>170-145</f>
        <v>25</v>
      </c>
      <c r="P63">
        <f>1463-1038.3</f>
        <v>424.70000000000005</v>
      </c>
      <c r="Q63">
        <v>0</v>
      </c>
      <c r="R63">
        <v>0</v>
      </c>
      <c r="S63">
        <v>1373</v>
      </c>
    </row>
    <row r="64" spans="1:19" ht="14.1" hidden="1" customHeight="1">
      <c r="A64">
        <f t="shared" si="7"/>
        <v>144</v>
      </c>
      <c r="B64">
        <f t="shared" si="8"/>
        <v>2042.5999160000001</v>
      </c>
      <c r="E64">
        <v>0</v>
      </c>
      <c r="F64">
        <v>0</v>
      </c>
      <c r="G64">
        <v>0</v>
      </c>
      <c r="H64">
        <f>517.599916</f>
        <v>517.59991600000001</v>
      </c>
      <c r="K64">
        <v>0</v>
      </c>
      <c r="L64">
        <v>0</v>
      </c>
      <c r="M64">
        <f>20-18</f>
        <v>2</v>
      </c>
      <c r="N64">
        <f>1184-279</f>
        <v>905</v>
      </c>
      <c r="O64">
        <f>566-424</f>
        <v>142</v>
      </c>
      <c r="P64">
        <f>3872-3252</f>
        <v>620</v>
      </c>
      <c r="Q64">
        <f>19-19</f>
        <v>0</v>
      </c>
      <c r="R64">
        <f>3572-3572</f>
        <v>0</v>
      </c>
      <c r="S64">
        <v>1374</v>
      </c>
    </row>
    <row r="65" spans="1:19" ht="14.1" hidden="1" customHeight="1">
      <c r="A65">
        <f t="shared" si="7"/>
        <v>1630</v>
      </c>
      <c r="B65">
        <f t="shared" si="8"/>
        <v>6918</v>
      </c>
      <c r="E65">
        <v>0</v>
      </c>
      <c r="F65">
        <v>0</v>
      </c>
      <c r="G65">
        <v>0</v>
      </c>
      <c r="H65">
        <v>2577</v>
      </c>
      <c r="K65">
        <v>0</v>
      </c>
      <c r="L65">
        <v>0</v>
      </c>
      <c r="M65">
        <f>158-12</f>
        <v>146</v>
      </c>
      <c r="N65">
        <f>4148-677</f>
        <v>3471</v>
      </c>
      <c r="O65">
        <f>2537-1053</f>
        <v>1484</v>
      </c>
      <c r="P65">
        <f>7522-6652</f>
        <v>870</v>
      </c>
      <c r="Q65">
        <v>0</v>
      </c>
      <c r="R65">
        <v>0</v>
      </c>
      <c r="S65">
        <v>1375</v>
      </c>
    </row>
    <row r="66" spans="1:19" ht="14.1" hidden="1" customHeight="1">
      <c r="A66">
        <f t="shared" si="7"/>
        <v>3067</v>
      </c>
      <c r="B66">
        <f t="shared" si="8"/>
        <v>7993</v>
      </c>
      <c r="E66">
        <v>0</v>
      </c>
      <c r="F66">
        <v>0</v>
      </c>
      <c r="G66">
        <v>3950</v>
      </c>
      <c r="H66">
        <v>3369</v>
      </c>
      <c r="K66">
        <v>0</v>
      </c>
      <c r="L66">
        <v>0</v>
      </c>
      <c r="M66">
        <v>899</v>
      </c>
      <c r="N66">
        <v>4397</v>
      </c>
      <c r="O66">
        <v>-1782</v>
      </c>
      <c r="P66">
        <v>227</v>
      </c>
      <c r="Q66">
        <v>0</v>
      </c>
      <c r="R66">
        <v>0</v>
      </c>
      <c r="S66">
        <v>1376</v>
      </c>
    </row>
    <row r="67" spans="1:19" ht="14.1" hidden="1" customHeight="1">
      <c r="A67">
        <f t="shared" si="7"/>
        <v>5139</v>
      </c>
      <c r="B67">
        <f t="shared" si="8"/>
        <v>9732</v>
      </c>
      <c r="E67">
        <v>0</v>
      </c>
      <c r="F67">
        <v>0</v>
      </c>
      <c r="G67">
        <v>6165</v>
      </c>
      <c r="H67">
        <v>5359</v>
      </c>
      <c r="K67">
        <v>0</v>
      </c>
      <c r="L67">
        <v>0</v>
      </c>
      <c r="M67">
        <v>17</v>
      </c>
      <c r="N67">
        <v>3154</v>
      </c>
      <c r="O67">
        <v>-1043</v>
      </c>
      <c r="P67">
        <v>1219</v>
      </c>
      <c r="Q67">
        <v>0</v>
      </c>
      <c r="R67">
        <v>0</v>
      </c>
      <c r="S67">
        <v>1377</v>
      </c>
    </row>
    <row r="68" spans="1:19" ht="14.1" hidden="1" customHeight="1">
      <c r="A68">
        <f t="shared" si="7"/>
        <v>-910.5999999999998</v>
      </c>
      <c r="B68">
        <f t="shared" si="8"/>
        <v>16067.6</v>
      </c>
      <c r="E68">
        <v>0</v>
      </c>
      <c r="F68">
        <v>0</v>
      </c>
      <c r="G68">
        <f>-1650.6</f>
        <v>-1650.6</v>
      </c>
      <c r="H68">
        <f>11742.6</f>
        <v>11742.6</v>
      </c>
      <c r="K68">
        <v>0</v>
      </c>
      <c r="L68">
        <v>0</v>
      </c>
      <c r="M68">
        <f>183.9+0</f>
        <v>183.9</v>
      </c>
      <c r="N68">
        <f>9.1+2549.2</f>
        <v>2558.2999999999997</v>
      </c>
      <c r="O68">
        <f>0+556.1+0</f>
        <v>556.1</v>
      </c>
      <c r="P68">
        <f>12.9+1299.7+454.1</f>
        <v>1766.7000000000003</v>
      </c>
      <c r="Q68">
        <v>0</v>
      </c>
      <c r="R68">
        <v>0</v>
      </c>
      <c r="S68">
        <v>1378</v>
      </c>
    </row>
    <row r="69" spans="1:19" ht="14.1" hidden="1" customHeight="1">
      <c r="A69">
        <f t="shared" si="7"/>
        <v>10241.300000000001</v>
      </c>
      <c r="B69">
        <f t="shared" si="8"/>
        <v>22550.5</v>
      </c>
      <c r="E69">
        <v>0</v>
      </c>
      <c r="F69">
        <v>0</v>
      </c>
      <c r="G69">
        <f>0+0+8110.5+215.8</f>
        <v>8326.2999999999993</v>
      </c>
      <c r="H69">
        <f>115.8+15036.8+18.8+740.5</f>
        <v>15911.899999999998</v>
      </c>
      <c r="K69">
        <f>29.2</f>
        <v>29.2</v>
      </c>
      <c r="L69">
        <f>377.1</f>
        <v>377.1</v>
      </c>
      <c r="M69">
        <f>1820.1</f>
        <v>1820.1</v>
      </c>
      <c r="N69">
        <f>3.5+2967</f>
        <v>2970.5</v>
      </c>
      <c r="O69">
        <f>7.3+16.4+42</f>
        <v>65.7</v>
      </c>
      <c r="P69">
        <f>5.3+1574.6+1711.1</f>
        <v>3291</v>
      </c>
      <c r="Q69">
        <v>0</v>
      </c>
      <c r="R69">
        <v>0</v>
      </c>
      <c r="S69">
        <v>1379</v>
      </c>
    </row>
    <row r="70" spans="1:19" ht="14.1" hidden="1" customHeight="1">
      <c r="A70">
        <f t="shared" si="7"/>
        <v>7493.1</v>
      </c>
      <c r="B70">
        <f t="shared" si="8"/>
        <v>14469.900000000001</v>
      </c>
      <c r="E70">
        <v>0</v>
      </c>
      <c r="F70">
        <v>0</v>
      </c>
      <c r="G70">
        <f>716.8-0-215.8</f>
        <v>500.99999999999994</v>
      </c>
      <c r="H70">
        <f>3387.5-740.5-18.8-115.8</f>
        <v>2512.3999999999996</v>
      </c>
      <c r="K70">
        <v>28.8</v>
      </c>
      <c r="L70">
        <f>1805.5</f>
        <v>1805.5</v>
      </c>
      <c r="M70">
        <f>1326.9</f>
        <v>1326.9</v>
      </c>
      <c r="N70">
        <f>3.5+2091.6</f>
        <v>2095.1</v>
      </c>
      <c r="O70">
        <f>5616.6+19.8</f>
        <v>5636.4000000000005</v>
      </c>
      <c r="P70">
        <f>4391.6+3665.3</f>
        <v>8056.9000000000005</v>
      </c>
      <c r="Q70">
        <v>0</v>
      </c>
      <c r="R70">
        <v>0</v>
      </c>
      <c r="S70">
        <v>1380</v>
      </c>
    </row>
    <row r="71" spans="1:19" ht="14.1" hidden="1" customHeight="1">
      <c r="A71">
        <f t="shared" ref="A71:B73" si="9">E71+G71+K71+M71+O71+Q71</f>
        <v>6971.2495480000007</v>
      </c>
      <c r="B71">
        <f t="shared" si="9"/>
        <v>16046.968715999999</v>
      </c>
      <c r="E71">
        <f>'[15]بازار خصوصي'!$K$47</f>
        <v>0</v>
      </c>
      <c r="F71">
        <f>'[15]بازار خصوصي'!$R$47/1000000</f>
        <v>0.72</v>
      </c>
      <c r="G71">
        <v>0</v>
      </c>
      <c r="H71">
        <v>0</v>
      </c>
      <c r="K71">
        <f>'[1]بيمه دانا'!$I$47</f>
        <v>0</v>
      </c>
      <c r="L71">
        <f>'[1]بيمه دانا'!$Q$47</f>
        <v>0</v>
      </c>
      <c r="M71">
        <f>'[1]بيمه البرز'!$I$47</f>
        <v>0</v>
      </c>
      <c r="N71">
        <f>'[1]بيمه البرز'!$Q$47/1000000</f>
        <v>1.0999999999999999E-2</v>
      </c>
      <c r="O71">
        <f>'[1]بيمه آسيا'!$I$47/1000000</f>
        <v>7.2932839999999999</v>
      </c>
      <c r="P71">
        <f>'[1]بيمه آسيا'!$Q$47/1000000</f>
        <v>1553.2668120000001</v>
      </c>
      <c r="Q71">
        <f>'[1]بيمه ايران'!$I$47/1000000</f>
        <v>6963.9562640000004</v>
      </c>
      <c r="R71">
        <f>'[1]بيمه ايران'!$Q$47/1000000</f>
        <v>14492.970904</v>
      </c>
      <c r="S71">
        <v>1381</v>
      </c>
    </row>
    <row r="72" spans="1:19" ht="14.1" hidden="1" customHeight="1">
      <c r="A72">
        <f t="shared" si="9"/>
        <v>24154.055128</v>
      </c>
      <c r="B72">
        <f t="shared" si="9"/>
        <v>27227.579095999998</v>
      </c>
      <c r="E72">
        <f>'[16]بازار خصوصی'!$K$47</f>
        <v>0</v>
      </c>
      <c r="F72">
        <f>'[16]بازار خصوصی'!$R$47/1000000</f>
        <v>343</v>
      </c>
      <c r="G72">
        <v>0</v>
      </c>
      <c r="H72">
        <v>0</v>
      </c>
      <c r="K72">
        <f>'[2]بيمه دانا'!$I$47/1000000</f>
        <v>32</v>
      </c>
      <c r="L72">
        <f>'[2]بيمه دانا'!$Q$47/1000000</f>
        <v>173.61500000000001</v>
      </c>
      <c r="M72">
        <f>'[2]بيمه البرز'!$I$47</f>
        <v>0</v>
      </c>
      <c r="N72">
        <f>'[2]بيمه البرز'!$Q$47/1000000</f>
        <v>1.5109999999999999</v>
      </c>
      <c r="O72">
        <f>'[2]بيمه آسيا'!$I$47/1000000</f>
        <v>137.49601999999999</v>
      </c>
      <c r="P72">
        <f>'[2]بيمه آسيا'!$Q$47/1000000</f>
        <v>2232.21</v>
      </c>
      <c r="Q72">
        <f>'[2]بيمه ايران'!$I$47/1000000</f>
        <v>23984.559108000001</v>
      </c>
      <c r="R72">
        <f>'[2]بيمه ايران'!$Q$47/1000000</f>
        <v>24477.243095999998</v>
      </c>
      <c r="S72">
        <v>1382</v>
      </c>
    </row>
    <row r="73" spans="1:19" ht="14.1" hidden="1" customHeight="1">
      <c r="A73">
        <f t="shared" si="9"/>
        <v>22456.884812</v>
      </c>
      <c r="B73">
        <f t="shared" si="9"/>
        <v>20369.445228</v>
      </c>
      <c r="E73">
        <f>'[16]بازار خصوصی'!$J$47/1000000</f>
        <v>343.71199999999999</v>
      </c>
      <c r="F73">
        <f>'[16]بازار خصوصی'!$Q$47/1000000</f>
        <v>882.97690399999999</v>
      </c>
      <c r="G73">
        <v>0</v>
      </c>
      <c r="H73">
        <v>0</v>
      </c>
      <c r="K73">
        <f>'[2]بيمه دانا'!$H$47/1000000</f>
        <v>307.72000000000003</v>
      </c>
      <c r="L73">
        <f>'[2]بيمه دانا'!$P$47/1000000</f>
        <v>476.08727199999998</v>
      </c>
      <c r="M73">
        <v>0</v>
      </c>
      <c r="N73">
        <f>'[2]بيمه البرز'!$P$47/1000000</f>
        <v>75.831000000000003</v>
      </c>
      <c r="O73">
        <f>'[2]بيمه آسيا'!$H$47/1000000</f>
        <v>82.896019999999993</v>
      </c>
      <c r="P73">
        <f>'[2]بيمه آسيا'!$P$47/1000000</f>
        <v>1590.009356</v>
      </c>
      <c r="Q73">
        <f>'[2]بيمه ايران'!$H$47/1000000</f>
        <v>21722.556791999999</v>
      </c>
      <c r="R73">
        <f>'[2]بيمه ايران'!$P$47/1000000</f>
        <v>17344.540696</v>
      </c>
      <c r="S73">
        <v>1383</v>
      </c>
    </row>
  </sheetData>
  <mergeCells count="15">
    <mergeCell ref="A3:B3"/>
    <mergeCell ref="A1:S1"/>
    <mergeCell ref="A2:S2"/>
    <mergeCell ref="I4:J4"/>
    <mergeCell ref="M4:N4"/>
    <mergeCell ref="O4:P4"/>
    <mergeCell ref="E4:F4"/>
    <mergeCell ref="Q4:R4"/>
    <mergeCell ref="S4:S5"/>
    <mergeCell ref="C53:S53"/>
    <mergeCell ref="A52:S52"/>
    <mergeCell ref="A4:B4"/>
    <mergeCell ref="G4:H4"/>
    <mergeCell ref="K4:L4"/>
    <mergeCell ref="C4:D4"/>
  </mergeCells>
  <phoneticPr fontId="0" type="noConversion"/>
  <printOptions horizontalCentered="1" verticalCentered="1"/>
  <pageMargins left="0.23622047244094491" right="0.35433070866141736" top="0.98425196850393704" bottom="0.98425196850393704" header="0.51181102362204722" footer="0.51181102362204722"/>
  <pageSetup paperSize="9" scale="49" orientation="landscape" horizontalDpi="180" verticalDpi="18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 customHeight="1">
      <c r="A1" s="585" t="s">
        <v>9</v>
      </c>
      <c r="B1" s="585"/>
      <c r="C1" s="585"/>
      <c r="D1" s="585"/>
      <c r="E1" s="585"/>
      <c r="F1" s="585"/>
      <c r="G1" s="585"/>
      <c r="H1" s="585"/>
      <c r="I1" s="585"/>
      <c r="J1" s="585"/>
      <c r="K1" s="585"/>
      <c r="L1" s="585"/>
      <c r="M1" s="585"/>
      <c r="N1" s="585"/>
      <c r="O1" s="585"/>
      <c r="P1" s="585"/>
      <c r="Q1" s="585"/>
      <c r="R1" s="585"/>
      <c r="S1" s="585"/>
    </row>
    <row r="2" spans="1:29" ht="21" customHeight="1">
      <c r="A2" s="585" t="s">
        <v>58</v>
      </c>
      <c r="B2" s="585"/>
      <c r="C2" s="585"/>
      <c r="D2" s="585"/>
      <c r="E2" s="585"/>
      <c r="F2" s="585"/>
      <c r="G2" s="585"/>
      <c r="H2" s="585"/>
      <c r="I2" s="585"/>
      <c r="J2" s="585"/>
      <c r="K2" s="585"/>
      <c r="L2" s="585"/>
      <c r="M2" s="585"/>
      <c r="N2" s="585"/>
      <c r="O2" s="585"/>
      <c r="P2" s="585"/>
      <c r="Q2" s="585"/>
      <c r="R2" s="585"/>
      <c r="S2" s="585"/>
      <c r="Y2" s="2"/>
      <c r="Z2" s="2"/>
      <c r="AA2" s="2"/>
      <c r="AB2" s="2"/>
      <c r="AC2" s="2"/>
    </row>
    <row r="3" spans="1:29" ht="14.1" customHeight="1" thickBot="1">
      <c r="A3" s="584" t="s">
        <v>56</v>
      </c>
      <c r="B3" s="584"/>
      <c r="C3" s="104"/>
      <c r="D3" s="104"/>
      <c r="E3" s="104"/>
      <c r="F3" s="104"/>
      <c r="G3" s="82"/>
      <c r="H3" s="82"/>
      <c r="I3" s="82"/>
      <c r="J3" s="82"/>
      <c r="K3" s="82"/>
      <c r="L3" s="82"/>
      <c r="M3" s="82"/>
      <c r="N3" s="82"/>
      <c r="O3" s="82"/>
      <c r="P3" s="82"/>
      <c r="Q3" s="82"/>
      <c r="R3" s="82"/>
      <c r="S3" s="82"/>
      <c r="Y3" s="2"/>
      <c r="Z3" s="2"/>
      <c r="AA3" s="2"/>
      <c r="AB3" s="2"/>
      <c r="AC3" s="2"/>
    </row>
    <row r="4" spans="1:29" ht="21" customHeight="1">
      <c r="A4" s="569" t="s">
        <v>7</v>
      </c>
      <c r="B4" s="570"/>
      <c r="C4" s="569" t="s">
        <v>33</v>
      </c>
      <c r="D4" s="570"/>
      <c r="E4" s="569" t="s">
        <v>6</v>
      </c>
      <c r="F4" s="570"/>
      <c r="G4" s="569" t="s">
        <v>21</v>
      </c>
      <c r="H4" s="570"/>
      <c r="I4" s="569" t="s">
        <v>21</v>
      </c>
      <c r="J4" s="570"/>
      <c r="K4" s="578" t="s">
        <v>5</v>
      </c>
      <c r="L4" s="579"/>
      <c r="M4" s="578" t="s">
        <v>4</v>
      </c>
      <c r="N4" s="579"/>
      <c r="O4" s="578" t="s">
        <v>3</v>
      </c>
      <c r="P4" s="579"/>
      <c r="Q4" s="578" t="s">
        <v>2</v>
      </c>
      <c r="R4" s="579"/>
      <c r="S4" s="586" t="s">
        <v>8</v>
      </c>
    </row>
    <row r="5" spans="1:29" ht="21" customHeight="1" thickBot="1">
      <c r="A5" s="185" t="s">
        <v>25</v>
      </c>
      <c r="B5" s="186" t="s">
        <v>34</v>
      </c>
      <c r="C5" s="185" t="s">
        <v>25</v>
      </c>
      <c r="D5" s="186" t="s">
        <v>34</v>
      </c>
      <c r="E5" s="41" t="s">
        <v>1</v>
      </c>
      <c r="F5" s="42" t="s">
        <v>0</v>
      </c>
      <c r="G5" s="41" t="s">
        <v>1</v>
      </c>
      <c r="H5" s="42" t="s">
        <v>0</v>
      </c>
      <c r="I5" s="185" t="s">
        <v>25</v>
      </c>
      <c r="J5" s="186" t="s">
        <v>34</v>
      </c>
      <c r="K5" s="39" t="s">
        <v>1</v>
      </c>
      <c r="L5" s="40" t="s">
        <v>0</v>
      </c>
      <c r="M5" s="39" t="s">
        <v>1</v>
      </c>
      <c r="N5" s="40" t="s">
        <v>0</v>
      </c>
      <c r="O5" s="39" t="s">
        <v>1</v>
      </c>
      <c r="P5" s="40" t="s">
        <v>0</v>
      </c>
      <c r="Q5" s="39" t="s">
        <v>1</v>
      </c>
      <c r="R5" s="40" t="s">
        <v>0</v>
      </c>
      <c r="S5" s="587"/>
    </row>
    <row r="6" spans="1:29" ht="20.25" customHeight="1">
      <c r="A6" s="253">
        <f>'آتش سوزى'!A6+باربرى!A6+حوادث!A6+'حوادث راننده'!A6+'بدنه اتومبيل'!A6+'شخص ثالث و مازاد'!A6+درمان!A6+كشتى!A6+هواپيما!A6+مهندسى!A6+پول!A6+مسئوليت!A6+اعتبار!A6+'نفت و انرژی'!A6+'ساير انواع'!A6</f>
        <v>7.5087899999999994</v>
      </c>
      <c r="B6" s="254">
        <f>'آتش سوزى'!B6+باربرى!B6+حوادث!B6+'حوادث راننده'!B6+'بدنه اتومبيل'!B6+'شخص ثالث و مازاد'!B6+درمان!B6+كشتى!B6+هواپيما!B6+مهندسى!B6+پول!B6+مسئوليت!B6+اعتبار!B6+'نفت و انرژی'!B6+'ساير انواع'!B6</f>
        <v>17.829028000000001</v>
      </c>
      <c r="C6" s="253">
        <f t="shared" ref="C6:C41" si="0">A6-I6</f>
        <v>0</v>
      </c>
      <c r="D6" s="254">
        <f t="shared" ref="D6:D41" si="1">B6-J6</f>
        <v>0</v>
      </c>
      <c r="E6" s="360"/>
      <c r="F6" s="361"/>
      <c r="G6" s="360"/>
      <c r="H6" s="361"/>
      <c r="I6" s="253">
        <f>'آتش سوزى'!I6+باربرى!I6+حوادث!I6+'حوادث راننده'!I6+'بدنه اتومبيل'!I6+'شخص ثالث و مازاد'!I6+درمان!I6+كشتى!G6+هواپيما!G6+مهندسى!I6+پول!G6+مسئوليت!I6+اعتبار!I6+'نفت و انرژی'!G6+'ساير انواع'!I6</f>
        <v>7.5087899999999994</v>
      </c>
      <c r="J6" s="254">
        <f>'آتش سوزى'!J6+باربرى!J6+حوادث!J6+'حوادث راننده'!J6+'بدنه اتومبيل'!J6+'شخص ثالث و مازاد'!J6+درمان!J6+كشتى!H6+هواپيما!H6+مهندسى!J6+پول!H6+مسئوليت!J6+اعتبار!J6+'نفت و انرژی'!H6+'ساير انواع'!J6</f>
        <v>17.829028000000001</v>
      </c>
      <c r="K6" s="43">
        <f>'آتش سوزى'!K6+باربرى!K6+حوادث!K6+'حوادث راننده'!K6+'بدنه اتومبيل'!K6+'شخص ثالث و مازاد'!K6+درمان!K6+كشتى!I6+هواپيما!I6+مسئوليت!K6+مهندسى!K6+پول!I6+اعتبار!K6+'نفت و انرژی'!I6+'ساير انواع'!K6</f>
        <v>3076.47</v>
      </c>
      <c r="L6" s="44">
        <f>'آتش سوزى'!L6+باربرى!L6+حوادث!L6+'حوادث راننده'!L6+'بدنه اتومبيل'!L6+'شخص ثالث و مازاد'!L6+درمان!L6+كشتى!J6+هواپيما!J6+مسئوليت!L6+مهندسى!L6+پول!J6+اعتبار!L6+'نفت و انرژی'!J6+'ساير انواع'!L6</f>
        <v>6349</v>
      </c>
      <c r="M6" s="43">
        <f>'آتش سوزى'!M6+باربرى!M6+حوادث!M6+'حوادث راننده'!M6+'بدنه اتومبيل'!M6+'شخص ثالث و مازاد'!M6+درمان!M6+كشتى!K6+هواپيما!K6+مسئوليت!M6+مهندسى!M6+پول!K6+اعتبار!M6+'نفت و انرژی'!K6+'ساير انواع'!M6</f>
        <v>866</v>
      </c>
      <c r="N6" s="44">
        <f>'آتش سوزى'!N6+باربرى!N6+حوادث!N6+'حوادث راننده'!N6+'بدنه اتومبيل'!N6+'شخص ثالث و مازاد'!N6+درمان!N6+كشتى!L6+هواپيما!L6+مسئوليت!N6+مهندسى!N6+پول!L6+اعتبار!N6+'نفت و انرژی'!L6+'ساير انواع'!N6</f>
        <v>1439.008</v>
      </c>
      <c r="O6" s="43">
        <f>'آتش سوزى'!O6+باربرى!O6+حوادث!O6+'حوادث راننده'!O6+'بدنه اتومبيل'!O6+'شخص ثالث و مازاد'!O6+درمان!O6+كشتى!M6+هواپيما!M6+مسئوليت!O6+مهندسى!O6+پول!M6+اعتبار!O6+'نفت و انرژی'!M6+'ساير انواع'!O6</f>
        <v>509.32</v>
      </c>
      <c r="P6" s="44">
        <f>'آتش سوزى'!P6+باربرى!P6+حوادث!P6+'حوادث راننده'!P6+'بدنه اتومبيل'!P6+'شخص ثالث و مازاد'!P6+درمان!P6+كشتى!N6+هواپيما!N6+مسئوليت!P6+مهندسى!P6+پول!N6+اعتبار!P6+'نفت و انرژی'!N6+'ساير انواع'!P6</f>
        <v>522.02</v>
      </c>
      <c r="Q6" s="43">
        <f>'آتش سوزى'!Q6+باربرى!Q6+حوادث!Q6+'حوادث راننده'!Q6+'بدنه اتومبيل'!Q6+'شخص ثالث و مازاد'!Q6+درمان!Q6+كشتى!O6+هواپيما!O6+مسئوليت!Q6+مهندسى!Q6+پول!O6+اعتبار!Q6+'نفت و انرژی'!O6+'ساير انواع'!Q6</f>
        <v>3057</v>
      </c>
      <c r="R6" s="76">
        <f>'آتش سوزى'!R6+باربرى!R6+حوادث!R6+'حوادث راننده'!R6+'بدنه اتومبيل'!R6+'شخص ثالث و مازاد'!R6+درمان!R6+كشتى!P6+هواپيما!P6+مسئوليت!R6+مهندسى!R6+پول!P6+اعتبار!R6+'نفت و انرژی'!P6+'ساير انواع'!R6</f>
        <v>9519</v>
      </c>
      <c r="S6" s="208">
        <v>1354</v>
      </c>
    </row>
    <row r="7" spans="1:29" ht="20.25" customHeight="1">
      <c r="A7" s="255">
        <f>'آتش سوزى'!A7+باربرى!A7+حوادث!A7+'حوادث راننده'!A7+'بدنه اتومبيل'!A7+'شخص ثالث و مازاد'!A7+درمان!A7+كشتى!A7+هواپيما!A7+مهندسى!A7+پول!A7+مسئوليت!A7+اعتبار!A7+'نفت و انرژی'!A7+'ساير انواع'!A7</f>
        <v>11.460380000000001</v>
      </c>
      <c r="B7" s="256">
        <f>'آتش سوزى'!B7+باربرى!B7+حوادث!B7+'حوادث راننده'!B7+'بدنه اتومبيل'!B7+'شخص ثالث و مازاد'!B7+درمان!B7+كشتى!B7+هواپيما!B7+مهندسى!B7+پول!B7+مسئوليت!B7+اعتبار!B7+'نفت و انرژی'!B7+'ساير انواع'!B7</f>
        <v>24.164007999999999</v>
      </c>
      <c r="C7" s="255">
        <f t="shared" si="0"/>
        <v>0</v>
      </c>
      <c r="D7" s="256">
        <f t="shared" si="1"/>
        <v>0</v>
      </c>
      <c r="E7" s="332"/>
      <c r="F7" s="333"/>
      <c r="G7" s="332"/>
      <c r="H7" s="333"/>
      <c r="I7" s="255">
        <f>'آتش سوزى'!I7+باربرى!I7+حوادث!I7+'حوادث راننده'!I7+'بدنه اتومبيل'!I7+'شخص ثالث و مازاد'!I7+درمان!I7+كشتى!G7+هواپيما!G7+مهندسى!I7+پول!G7+مسئوليت!I7+اعتبار!I7+'نفت و انرژی'!G7+'ساير انواع'!I7</f>
        <v>11.460380000000001</v>
      </c>
      <c r="J7" s="256">
        <f>'آتش سوزى'!J7+باربرى!J7+حوادث!J7+'حوادث راننده'!J7+'بدنه اتومبيل'!J7+'شخص ثالث و مازاد'!J7+درمان!J7+كشتى!H7+هواپيما!H7+مهندسى!J7+پول!H7+مسئوليت!J7+اعتبار!J7+'نفت و انرژی'!H7+'ساير انواع'!J7</f>
        <v>24.164007999999999</v>
      </c>
      <c r="K7" s="37">
        <f>'آتش سوزى'!K7+باربرى!K7+حوادث!K7+'حوادث راننده'!K7+'بدنه اتومبيل'!K7+'شخص ثالث و مازاد'!K7+درمان!K7+كشتى!I7+هواپيما!I7+مسئوليت!K7+مهندسى!K7+پول!I7+اعتبار!K7+'نفت و انرژی'!I7+'ساير انواع'!K7</f>
        <v>5110</v>
      </c>
      <c r="L7" s="38">
        <f>'آتش سوزى'!L7+باربرى!L7+حوادث!L7+'حوادث راننده'!L7+'بدنه اتومبيل'!L7+'شخص ثالث و مازاد'!L7+درمان!L7+كشتى!J7+هواپيما!J7+مسئوليت!L7+مهندسى!L7+پول!J7+اعتبار!L7+'نفت و انرژی'!J7+'ساير انواع'!L7</f>
        <v>7981</v>
      </c>
      <c r="M7" s="37">
        <f>'آتش سوزى'!M7+باربرى!M7+حوادث!M7+'حوادث راننده'!M7+'بدنه اتومبيل'!M7+'شخص ثالث و مازاد'!M7+درمان!M7+كشتى!K7+هواپيما!K7+مسئوليت!M7+مهندسى!M7+پول!K7+اعتبار!M7+'نفت و انرژی'!K7+'ساير انواع'!M7</f>
        <v>1249</v>
      </c>
      <c r="N7" s="38">
        <f>'آتش سوزى'!N7+باربرى!N7+حوادث!N7+'حوادث راننده'!N7+'بدنه اتومبيل'!N7+'شخص ثالث و مازاد'!N7+درمان!N7+كشتى!L7+هواپيما!L7+مسئوليت!N7+مهندسى!N7+پول!L7+اعتبار!N7+'نفت و انرژی'!L7+'ساير انواع'!N7</f>
        <v>1516.008</v>
      </c>
      <c r="O7" s="37">
        <f>'آتش سوزى'!O7+باربرى!O7+حوادث!O7+'حوادث راننده'!O7+'بدنه اتومبيل'!O7+'شخص ثالث و مازاد'!O7+درمان!O7+كشتى!M7+هواپيما!M7+مسئوليت!O7+مهندسى!O7+پول!M7+اعتبار!O7+'نفت و انرژی'!M7+'ساير انواع'!O7</f>
        <v>681.38</v>
      </c>
      <c r="P7" s="38">
        <f>'آتش سوزى'!P7+باربرى!P7+حوادث!P7+'حوادث راننده'!P7+'بدنه اتومبيل'!P7+'شخص ثالث و مازاد'!P7+درمان!P7+كشتى!N7+هواپيما!N7+مسئوليت!P7+مهندسى!P7+پول!N7+اعتبار!P7+'نفت و انرژی'!N7+'ساير انواع'!P7</f>
        <v>900</v>
      </c>
      <c r="Q7" s="37">
        <f>'آتش سوزى'!Q7+باربرى!Q7+حوادث!Q7+'حوادث راننده'!Q7+'بدنه اتومبيل'!Q7+'شخص ثالث و مازاد'!Q7+درمان!Q7+كشتى!O7+هواپيما!O7+مسئوليت!Q7+مهندسى!Q7+پول!O7+اعتبار!Q7+'نفت و انرژی'!O7+'ساير انواع'!Q7</f>
        <v>4420</v>
      </c>
      <c r="R7" s="77">
        <f>'آتش سوزى'!R7+باربرى!R7+حوادث!R7+'حوادث راننده'!R7+'بدنه اتومبيل'!R7+'شخص ثالث و مازاد'!R7+درمان!R7+كشتى!P7+هواپيما!P7+مسئوليت!R7+مهندسى!R7+پول!P7+اعتبار!R7+'نفت و انرژی'!P7+'ساير انواع'!R7</f>
        <v>13767</v>
      </c>
      <c r="S7" s="209">
        <v>1355</v>
      </c>
    </row>
    <row r="8" spans="1:29" ht="20.25" customHeight="1">
      <c r="A8" s="255">
        <f>'آتش سوزى'!A8+باربرى!A8+حوادث!A8+'حوادث راننده'!A8+'بدنه اتومبيل'!A8+'شخص ثالث و مازاد'!A8+درمان!A8+كشتى!A8+هواپيما!A8+مهندسى!A8+پول!A8+مسئوليت!A8+اعتبار!A8+'نفت و انرژی'!A8+'ساير انواع'!A8</f>
        <v>14.69933</v>
      </c>
      <c r="B8" s="256">
        <f>'آتش سوزى'!B8+باربرى!B8+حوادث!B8+'حوادث راننده'!B8+'بدنه اتومبيل'!B8+'شخص ثالث و مازاد'!B8+درمان!B8+كشتى!B8+هواپيما!B8+مهندسى!B8+پول!B8+مسئوليت!B8+اعتبار!B8+'نفت و انرژی'!B8+'ساير انواع'!B8</f>
        <v>25.386199999999999</v>
      </c>
      <c r="C8" s="255">
        <f t="shared" si="0"/>
        <v>0</v>
      </c>
      <c r="D8" s="256">
        <f t="shared" si="1"/>
        <v>0</v>
      </c>
      <c r="E8" s="332"/>
      <c r="F8" s="333"/>
      <c r="G8" s="332"/>
      <c r="H8" s="333"/>
      <c r="I8" s="255">
        <f>'آتش سوزى'!I8+باربرى!I8+حوادث!I8+'حوادث راننده'!I8+'بدنه اتومبيل'!I8+'شخص ثالث و مازاد'!I8+درمان!I8+كشتى!G8+هواپيما!G8+مهندسى!I8+پول!G8+مسئوليت!I8+اعتبار!I8+'نفت و انرژی'!G8+'ساير انواع'!I8</f>
        <v>14.69933</v>
      </c>
      <c r="J8" s="256">
        <f>'آتش سوزى'!J8+باربرى!J8+حوادث!J8+'حوادث راننده'!J8+'بدنه اتومبيل'!J8+'شخص ثالث و مازاد'!J8+درمان!J8+كشتى!H8+هواپيما!H8+مهندسى!J8+پول!H8+مسئوليت!J8+اعتبار!J8+'نفت و انرژی'!H8+'ساير انواع'!J8</f>
        <v>25.386199999999999</v>
      </c>
      <c r="K8" s="37">
        <f>'آتش سوزى'!K8+باربرى!K8+حوادث!K8+'حوادث راننده'!K8+'بدنه اتومبيل'!K8+'شخص ثالث و مازاد'!K8+درمان!K8+كشتى!I8+هواپيما!I8+مسئوليت!K8+مهندسى!K8+پول!I8+اعتبار!K8+'نفت و انرژی'!I8+'ساير انواع'!K8</f>
        <v>6901.95</v>
      </c>
      <c r="L8" s="38">
        <f>'آتش سوزى'!L8+باربرى!L8+حوادث!L8+'حوادث راننده'!L8+'بدنه اتومبيل'!L8+'شخص ثالث و مازاد'!L8+درمان!L8+كشتى!J8+هواپيما!J8+مسئوليت!L8+مهندسى!L8+پول!J8+اعتبار!L8+'نفت و انرژی'!J8+'ساير انواع'!L8</f>
        <v>9374</v>
      </c>
      <c r="M8" s="37">
        <f>'آتش سوزى'!M8+باربرى!M8+حوادث!M8+'حوادث راننده'!M8+'بدنه اتومبيل'!M8+'شخص ثالث و مازاد'!M8+درمان!M8+كشتى!K8+هواپيما!K8+مسئوليت!M8+مهندسى!M8+پول!K8+اعتبار!M8+'نفت و انرژی'!K8+'ساير انواع'!M8</f>
        <v>1036</v>
      </c>
      <c r="N8" s="38">
        <f>'آتش سوزى'!N8+باربرى!N8+حوادث!N8+'حوادث راننده'!N8+'بدنه اتومبيل'!N8+'شخص ثالث و مازاد'!N8+درمان!N8+كشتى!L8+هواپيما!L8+مسئوليت!N8+مهندسى!N8+پول!L8+اعتبار!N8+'نفت و انرژی'!L8+'ساير انواع'!N8</f>
        <v>1703.01</v>
      </c>
      <c r="O8" s="37">
        <f>'آتش سوزى'!O8+باربرى!O8+حوادث!O8+'حوادث راننده'!O8+'بدنه اتومبيل'!O8+'شخص ثالث و مازاد'!O8+درمان!O8+كشتى!M8+هواپيما!M8+مسئوليت!O8+مهندسى!O8+پول!M8+اعتبار!O8+'نفت و انرژی'!M8+'ساير انواع'!O8</f>
        <v>509.38</v>
      </c>
      <c r="P8" s="38">
        <f>'آتش سوزى'!P8+باربرى!P8+حوادث!P8+'حوادث راننده'!P8+'بدنه اتومبيل'!P8+'شخص ثالث و مازاد'!P8+درمان!P8+كشتى!N8+هواپيما!N8+مسئوليت!P8+مهندسى!P8+پول!N8+اعتبار!P8+'نفت و انرژی'!N8+'ساير انواع'!P8</f>
        <v>1102.19</v>
      </c>
      <c r="Q8" s="37">
        <f>'آتش سوزى'!Q8+باربرى!Q8+حوادث!Q8+'حوادث راننده'!Q8+'بدنه اتومبيل'!Q8+'شخص ثالث و مازاد'!Q8+درمان!Q8+كشتى!O8+هواپيما!O8+مسئوليت!Q8+مهندسى!Q8+پول!O8+اعتبار!Q8+'نفت و انرژی'!O8+'ساير انواع'!Q8</f>
        <v>6252</v>
      </c>
      <c r="R8" s="77">
        <f>'آتش سوزى'!R8+باربرى!R8+حوادث!R8+'حوادث راننده'!R8+'بدنه اتومبيل'!R8+'شخص ثالث و مازاد'!R8+درمان!R8+كشتى!P8+هواپيما!P8+مسئوليت!R8+مهندسى!R8+پول!P8+اعتبار!R8+'نفت و انرژی'!P8+'ساير انواع'!R8</f>
        <v>13207</v>
      </c>
      <c r="S8" s="209">
        <v>1356</v>
      </c>
    </row>
    <row r="9" spans="1:29" ht="20.25" customHeight="1">
      <c r="A9" s="255">
        <f>'آتش سوزى'!A9+باربرى!A9+حوادث!A9+'حوادث راننده'!A9+'بدنه اتومبيل'!A9+'شخص ثالث و مازاد'!A9+درمان!A9+كشتى!A9+هواپيما!A9+مهندسى!A9+پول!A9+مسئوليت!A9+اعتبار!A9+'نفت و انرژی'!A9+'ساير انواع'!A9</f>
        <v>12.303459999999999</v>
      </c>
      <c r="B9" s="256">
        <f>'آتش سوزى'!B9+باربرى!B9+حوادث!B9+'حوادث راننده'!B9+'بدنه اتومبيل'!B9+'شخص ثالث و مازاد'!B9+درمان!B9+كشتى!B9+هواپيما!B9+مهندسى!B9+پول!B9+مسئوليت!B9+اعتبار!B9+'نفت و انرژی'!B9+'ساير انواع'!B9</f>
        <v>26.136079999999996</v>
      </c>
      <c r="C9" s="255">
        <f t="shared" si="0"/>
        <v>0</v>
      </c>
      <c r="D9" s="256">
        <f t="shared" si="1"/>
        <v>0</v>
      </c>
      <c r="E9" s="332"/>
      <c r="F9" s="333"/>
      <c r="G9" s="332"/>
      <c r="H9" s="333"/>
      <c r="I9" s="255">
        <f>'آتش سوزى'!I9+باربرى!I9+حوادث!I9+'حوادث راننده'!I9+'بدنه اتومبيل'!I9+'شخص ثالث و مازاد'!I9+درمان!I9+كشتى!G9+هواپيما!G9+مهندسى!I9+پول!G9+مسئوليت!I9+اعتبار!I9+'نفت و انرژی'!G9+'ساير انواع'!I9</f>
        <v>12.303459999999999</v>
      </c>
      <c r="J9" s="256">
        <f>'آتش سوزى'!J9+باربرى!J9+حوادث!J9+'حوادث راننده'!J9+'بدنه اتومبيل'!J9+'شخص ثالث و مازاد'!J9+درمان!J9+كشتى!H9+هواپيما!H9+مهندسى!J9+پول!H9+مسئوليت!J9+اعتبار!J9+'نفت و انرژی'!H9+'ساير انواع'!J9</f>
        <v>26.136079999999996</v>
      </c>
      <c r="K9" s="37">
        <f>'آتش سوزى'!K9+باربرى!K9+حوادث!K9+'حوادث راننده'!K9+'بدنه اتومبيل'!K9+'شخص ثالث و مازاد'!K9+درمان!K9+كشتى!I9+هواپيما!I9+مسئوليت!K9+مهندسى!K9+پول!I9+اعتبار!K9+'نفت و انرژی'!I9+'ساير انواع'!K9</f>
        <v>6303</v>
      </c>
      <c r="L9" s="38">
        <f>'آتش سوزى'!L9+باربرى!L9+حوادث!L9+'حوادث راننده'!L9+'بدنه اتومبيل'!L9+'شخص ثالث و مازاد'!L9+درمان!L9+كشتى!J9+هواپيما!J9+مسئوليت!L9+مهندسى!L9+پول!J9+اعتبار!L9+'نفت و انرژی'!J9+'ساير انواع'!L9</f>
        <v>9394</v>
      </c>
      <c r="M9" s="37">
        <f>'آتش سوزى'!M9+باربرى!M9+حوادث!M9+'حوادث راننده'!M9+'بدنه اتومبيل'!M9+'شخص ثالث و مازاد'!M9+درمان!M9+كشتى!K9+هواپيما!K9+مسئوليت!M9+مهندسى!M9+پول!K9+اعتبار!M9+'نفت و انرژی'!K9+'ساير انواع'!M9</f>
        <v>708</v>
      </c>
      <c r="N9" s="38">
        <f>'آتش سوزى'!N9+باربرى!N9+حوادث!N9+'حوادث راننده'!N9+'بدنه اتومبيل'!N9+'شخص ثالث و مازاد'!N9+درمان!N9+كشتى!L9+هواپيما!L9+مسئوليت!N9+مهندسى!N9+پول!L9+اعتبار!N9+'نفت و انرژی'!L9+'ساير انواع'!N9</f>
        <v>1476.01</v>
      </c>
      <c r="O9" s="37">
        <f>'آتش سوزى'!O9+باربرى!O9+حوادث!O9+'حوادث راننده'!O9+'بدنه اتومبيل'!O9+'شخص ثالث و مازاد'!O9+درمان!O9+كشتى!M9+هواپيما!M9+مسئوليت!O9+مهندسى!O9+پول!M9+اعتبار!O9+'نفت و انرژی'!M9+'ساير انواع'!O9</f>
        <v>463.46</v>
      </c>
      <c r="P9" s="38">
        <f>'آتش سوزى'!P9+باربرى!P9+حوادث!P9+'حوادث راننده'!P9+'بدنه اتومبيل'!P9+'شخص ثالث و مازاد'!P9+درمان!P9+كشتى!N9+هواپيما!N9+مسئوليت!P9+مهندسى!P9+پول!N9+اعتبار!P9+'نفت و انرژی'!N9+'ساير انواع'!P9</f>
        <v>824.07</v>
      </c>
      <c r="Q9" s="37">
        <f>'آتش سوزى'!Q9+باربرى!Q9+حوادث!Q9+'حوادث راننده'!Q9+'بدنه اتومبيل'!Q9+'شخص ثالث و مازاد'!Q9+درمان!Q9+كشتى!O9+هواپيما!O9+مسئوليت!Q9+مهندسى!Q9+پول!O9+اعتبار!Q9+'نفت و انرژی'!O9+'ساير انواع'!Q9</f>
        <v>4829</v>
      </c>
      <c r="R9" s="77">
        <f>'آتش سوزى'!R9+باربرى!R9+حوادث!R9+'حوادث راننده'!R9+'بدنه اتومبيل'!R9+'شخص ثالث و مازاد'!R9+درمان!R9+كشتى!P9+هواپيما!P9+مسئوليت!R9+مهندسى!R9+پول!P9+اعتبار!R9+'نفت و انرژی'!P9+'ساير انواع'!R9</f>
        <v>14442</v>
      </c>
      <c r="S9" s="209">
        <v>1357</v>
      </c>
    </row>
    <row r="10" spans="1:29" ht="20.25" customHeight="1">
      <c r="A10" s="255">
        <f>'آتش سوزى'!A10+باربرى!A10+حوادث!A10+'حوادث راننده'!A10+'بدنه اتومبيل'!A10+'شخص ثالث و مازاد'!A10+درمان!A10+كشتى!A10+هواپيما!A10+مهندسى!A10+پول!A10+مسئوليت!A10+اعتبار!A10+'نفت و انرژی'!A10+'ساير انواع'!A10</f>
        <v>9.3172599999999992</v>
      </c>
      <c r="B10" s="256">
        <f>'آتش سوزى'!B10+باربرى!B10+حوادث!B10+'حوادث راننده'!B10+'بدنه اتومبيل'!B10+'شخص ثالث و مازاد'!B10+درمان!B10+كشتى!B10+هواپيما!B10+مهندسى!B10+پول!B10+مسئوليت!B10+اعتبار!B10+'نفت و انرژی'!B10+'ساير انواع'!B10</f>
        <v>20.504960000000004</v>
      </c>
      <c r="C10" s="255">
        <f t="shared" si="0"/>
        <v>0</v>
      </c>
      <c r="D10" s="256">
        <f t="shared" si="1"/>
        <v>0</v>
      </c>
      <c r="E10" s="332"/>
      <c r="F10" s="333"/>
      <c r="G10" s="332"/>
      <c r="H10" s="333"/>
      <c r="I10" s="255">
        <f>'آتش سوزى'!I10+باربرى!I10+حوادث!I10+'حوادث راننده'!I10+'بدنه اتومبيل'!I10+'شخص ثالث و مازاد'!I10+درمان!I10+كشتى!G10+هواپيما!G10+مهندسى!I10+پول!G10+مسئوليت!I10+اعتبار!I10+'نفت و انرژی'!G10+'ساير انواع'!I10</f>
        <v>9.3172599999999992</v>
      </c>
      <c r="J10" s="256">
        <f>'آتش سوزى'!J10+باربرى!J10+حوادث!J10+'حوادث راننده'!J10+'بدنه اتومبيل'!J10+'شخص ثالث و مازاد'!J10+درمان!J10+كشتى!H10+هواپيما!H10+مهندسى!J10+پول!H10+مسئوليت!J10+اعتبار!J10+'نفت و انرژی'!H10+'ساير انواع'!J10</f>
        <v>20.504960000000004</v>
      </c>
      <c r="K10" s="37">
        <f>'آتش سوزى'!K10+باربرى!K10+حوادث!K10+'حوادث راننده'!K10+'بدنه اتومبيل'!K10+'شخص ثالث و مازاد'!K10+درمان!K10+كشتى!I10+هواپيما!I10+مسئوليت!K10+مهندسى!K10+پول!I10+اعتبار!K10+'نفت و انرژی'!I10+'ساير انواع'!K10</f>
        <v>2872.98</v>
      </c>
      <c r="L10" s="38">
        <f>'آتش سوزى'!L10+باربرى!L10+حوادث!L10+'حوادث راننده'!L10+'بدنه اتومبيل'!L10+'شخص ثالث و مازاد'!L10+درمان!L10+كشتى!J10+هواپيما!J10+مسئوليت!L10+مهندسى!L10+پول!J10+اعتبار!L10+'نفت و انرژی'!J10+'ساير انواع'!L10</f>
        <v>6768.6</v>
      </c>
      <c r="M10" s="37">
        <f>'آتش سوزى'!M10+باربرى!M10+حوادث!M10+'حوادث راننده'!M10+'بدنه اتومبيل'!M10+'شخص ثالث و مازاد'!M10+درمان!M10+كشتى!K10+هواپيما!K10+مسئوليت!M10+مهندسى!M10+پول!K10+اعتبار!M10+'نفت و انرژی'!K10+'ساير انواع'!M10</f>
        <v>455</v>
      </c>
      <c r="N10" s="38">
        <f>'آتش سوزى'!N10+باربرى!N10+حوادث!N10+'حوادث راننده'!N10+'بدنه اتومبيل'!N10+'شخص ثالث و مازاد'!N10+درمان!N10+كشتى!L10+هواپيما!L10+مسئوليت!N10+مهندسى!N10+پول!L10+اعتبار!N10+'نفت و انرژی'!L10+'ساير انواع'!N10</f>
        <v>1579.2</v>
      </c>
      <c r="O10" s="37">
        <f>'آتش سوزى'!O10+باربرى!O10+حوادث!O10+'حوادث راننده'!O10+'بدنه اتومبيل'!O10+'شخص ثالث و مازاد'!O10+درمان!O10+كشتى!M10+هواپيما!M10+مسئوليت!O10+مهندسى!O10+پول!M10+اعتبار!O10+'نفت و انرژی'!M10+'ساير انواع'!O10</f>
        <v>264.27999999999997</v>
      </c>
      <c r="P10" s="38">
        <f>'آتش سوزى'!P10+باربرى!P10+حوادث!P10+'حوادث راننده'!P10+'بدنه اتومبيل'!P10+'شخص ثالث و مازاد'!P10+درمان!P10+كشتى!N10+هواپيما!N10+مسئوليت!P10+مهندسى!P10+پول!N10+اعتبار!P10+'نفت و انرژی'!N10+'ساير انواع'!P10</f>
        <v>946.16</v>
      </c>
      <c r="Q10" s="37">
        <f>'آتش سوزى'!Q10+باربرى!Q10+حوادث!Q10+'حوادث راننده'!Q10+'بدنه اتومبيل'!Q10+'شخص ثالث و مازاد'!Q10+درمان!Q10+كشتى!O10+هواپيما!O10+مسئوليت!Q10+مهندسى!Q10+پول!O10+اعتبار!Q10+'نفت و انرژی'!O10+'ساير انواع'!Q10</f>
        <v>5725</v>
      </c>
      <c r="R10" s="77">
        <f>'آتش سوزى'!R10+باربرى!R10+حوادث!R10+'حوادث راننده'!R10+'بدنه اتومبيل'!R10+'شخص ثالث و مازاد'!R10+درمان!R10+كشتى!P10+هواپيما!P10+مسئوليت!R10+مهندسى!R10+پول!P10+اعتبار!R10+'نفت و انرژی'!P10+'ساير انواع'!R10</f>
        <v>11211</v>
      </c>
      <c r="S10" s="209">
        <v>1358</v>
      </c>
    </row>
    <row r="11" spans="1:29" ht="20.25" customHeight="1">
      <c r="A11" s="255">
        <f>'آتش سوزى'!A11+باربرى!A11+حوادث!A11+'حوادث راننده'!A11+'بدنه اتومبيل'!A11+'شخص ثالث و مازاد'!A11+درمان!A11+كشتى!A11+هواپيما!A11+مهندسى!A11+پول!A11+مسئوليت!A11+اعتبار!A11+'نفت و انرژی'!A11+'ساير انواع'!A11</f>
        <v>7.5101299999999993</v>
      </c>
      <c r="B11" s="256">
        <f>'آتش سوزى'!B11+باربرى!B11+حوادث!B11+'حوادث راننده'!B11+'بدنه اتومبيل'!B11+'شخص ثالث و مازاد'!B11+درمان!B11+كشتى!B11+هواپيما!B11+مهندسى!B11+پول!B11+مسئوليت!B11+اعتبار!B11+'نفت و انرژی'!B11+'ساير انواع'!B11</f>
        <v>25.89676</v>
      </c>
      <c r="C11" s="255">
        <f t="shared" si="0"/>
        <v>0</v>
      </c>
      <c r="D11" s="256">
        <f t="shared" si="1"/>
        <v>0</v>
      </c>
      <c r="E11" s="332"/>
      <c r="F11" s="333"/>
      <c r="G11" s="332"/>
      <c r="H11" s="333"/>
      <c r="I11" s="255">
        <f>'آتش سوزى'!I11+باربرى!I11+حوادث!I11+'حوادث راننده'!I11+'بدنه اتومبيل'!I11+'شخص ثالث و مازاد'!I11+درمان!I11+كشتى!G11+هواپيما!G11+مهندسى!I11+پول!G11+مسئوليت!I11+اعتبار!I11+'نفت و انرژی'!G11+'ساير انواع'!I11</f>
        <v>7.5101299999999993</v>
      </c>
      <c r="J11" s="256">
        <f>'آتش سوزى'!J11+باربرى!J11+حوادث!J11+'حوادث راننده'!J11+'بدنه اتومبيل'!J11+'شخص ثالث و مازاد'!J11+درمان!J11+كشتى!H11+هواپيما!H11+مهندسى!J11+پول!H11+مسئوليت!J11+اعتبار!J11+'نفت و انرژی'!H11+'ساير انواع'!J11</f>
        <v>25.89676</v>
      </c>
      <c r="K11" s="37">
        <f>'آتش سوزى'!K11+باربرى!K11+حوادث!K11+'حوادث راننده'!K11+'بدنه اتومبيل'!K11+'شخص ثالث و مازاد'!K11+درمان!K11+كشتى!I11+هواپيما!I11+مسئوليت!K11+مهندسى!K11+پول!I11+اعتبار!K11+'نفت و انرژی'!I11+'ساير انواع'!K11</f>
        <v>2504.9</v>
      </c>
      <c r="L11" s="38">
        <f>'آتش سوزى'!L11+باربرى!L11+حوادث!L11+'حوادث راننده'!L11+'بدنه اتومبيل'!L11+'شخص ثالث و مازاد'!L11+درمان!L11+كشتى!J11+هواپيما!J11+مسئوليت!L11+مهندسى!L11+پول!J11+اعتبار!L11+'نفت و انرژی'!J11+'ساير انواع'!L11</f>
        <v>7495.4</v>
      </c>
      <c r="M11" s="37">
        <f>'آتش سوزى'!M11+باربرى!M11+حوادث!M11+'حوادث راننده'!M11+'بدنه اتومبيل'!M11+'شخص ثالث و مازاد'!M11+درمان!M11+كشتى!K11+هواپيما!K11+مسئوليت!M11+مهندسى!M11+پول!K11+اعتبار!M11+'نفت و انرژی'!K11+'ساير انواع'!M11</f>
        <v>472.04999999999995</v>
      </c>
      <c r="N11" s="38">
        <f>'آتش سوزى'!N11+باربرى!N11+حوادث!N11+'حوادث راننده'!N11+'بدنه اتومبيل'!N11+'شخص ثالث و مازاد'!N11+درمان!N11+كشتى!L11+هواپيما!L11+مسئوليت!N11+مهندسى!N11+پول!L11+اعتبار!N11+'نفت و انرژی'!L11+'ساير انواع'!N11</f>
        <v>1647.3</v>
      </c>
      <c r="O11" s="37">
        <f>'آتش سوزى'!O11+باربرى!O11+حوادث!O11+'حوادث راننده'!O11+'بدنه اتومبيل'!O11+'شخص ثالث و مازاد'!O11+درمان!O11+كشتى!M11+هواپيما!M11+مسئوليت!O11+مهندسى!O11+پول!M11+اعتبار!O11+'نفت و انرژی'!M11+'ساير انواع'!O11</f>
        <v>246.18</v>
      </c>
      <c r="P11" s="38">
        <f>'آتش سوزى'!P11+باربرى!P11+حوادث!P11+'حوادث راننده'!P11+'بدنه اتومبيل'!P11+'شخص ثالث و مازاد'!P11+درمان!P11+كشتى!N11+هواپيما!N11+مسئوليت!P11+مهندسى!P11+پول!N11+اعتبار!P11+'نفت و انرژی'!N11+'ساير انواع'!P11</f>
        <v>1302.06</v>
      </c>
      <c r="Q11" s="37">
        <f>'آتش سوزى'!Q11+باربرى!Q11+حوادث!Q11+'حوادث راننده'!Q11+'بدنه اتومبيل'!Q11+'شخص ثالث و مازاد'!Q11+درمان!Q11+كشتى!O11+هواپيما!O11+مسئوليت!Q11+مهندسى!Q11+پول!O11+اعتبار!Q11+'نفت و انرژی'!O11+'ساير انواع'!Q11</f>
        <v>4287</v>
      </c>
      <c r="R11" s="77">
        <f>'آتش سوزى'!R11+باربرى!R11+حوادث!R11+'حوادث راننده'!R11+'بدنه اتومبيل'!R11+'شخص ثالث و مازاد'!R11+درمان!R11+كشتى!P11+هواپيما!P11+مسئوليت!R11+مهندسى!R11+پول!P11+اعتبار!R11+'نفت و انرژی'!P11+'ساير انواع'!R11</f>
        <v>15452</v>
      </c>
      <c r="S11" s="209">
        <v>1359</v>
      </c>
    </row>
    <row r="12" spans="1:29" ht="20.25" customHeight="1">
      <c r="A12" s="255">
        <f>'آتش سوزى'!A12+باربرى!A12+حوادث!A12+'حوادث راننده'!A12+'بدنه اتومبيل'!A12+'شخص ثالث و مازاد'!A12+درمان!A12+كشتى!A12+هواپيما!A12+مهندسى!A12+پول!A12+مسئوليت!A12+اعتبار!A12+'نفت و انرژی'!A12+'ساير انواع'!A12</f>
        <v>10.226560000000003</v>
      </c>
      <c r="B12" s="256">
        <f>'آتش سوزى'!B12+باربرى!B12+حوادث!B12+'حوادث راننده'!B12+'بدنه اتومبيل'!B12+'شخص ثالث و مازاد'!B12+درمان!B12+كشتى!B12+هواپيما!B12+مهندسى!B12+پول!B12+مسئوليت!B12+اعتبار!B12+'نفت و انرژی'!B12+'ساير انواع'!B12</f>
        <v>25.12631</v>
      </c>
      <c r="C12" s="255">
        <f t="shared" si="0"/>
        <v>0</v>
      </c>
      <c r="D12" s="256">
        <f t="shared" si="1"/>
        <v>0</v>
      </c>
      <c r="E12" s="332"/>
      <c r="F12" s="333"/>
      <c r="G12" s="332"/>
      <c r="H12" s="333"/>
      <c r="I12" s="255">
        <f>'آتش سوزى'!I12+باربرى!I12+حوادث!I12+'حوادث راننده'!I12+'بدنه اتومبيل'!I12+'شخص ثالث و مازاد'!I12+درمان!I12+كشتى!G12+هواپيما!G12+مهندسى!I12+پول!G12+مسئوليت!I12+اعتبار!I12+'نفت و انرژی'!G12+'ساير انواع'!I12</f>
        <v>10.226560000000003</v>
      </c>
      <c r="J12" s="256">
        <f>'آتش سوزى'!J12+باربرى!J12+حوادث!J12+'حوادث راننده'!J12+'بدنه اتومبيل'!J12+'شخص ثالث و مازاد'!J12+درمان!J12+كشتى!H12+هواپيما!H12+مهندسى!J12+پول!H12+مسئوليت!J12+اعتبار!J12+'نفت و انرژی'!H12+'ساير انواع'!J12</f>
        <v>25.12631</v>
      </c>
      <c r="K12" s="37">
        <f>'آتش سوزى'!K12+باربرى!K12+حوادث!K12+'حوادث راننده'!K12+'بدنه اتومبيل'!K12+'شخص ثالث و مازاد'!K12+درمان!K12+كشتى!I12+هواپيما!I12+مسئوليت!K12+مهندسى!K12+پول!I12+اعتبار!K12+'نفت و انرژی'!I12+'ساير انواع'!K12</f>
        <v>2348.1999999999998</v>
      </c>
      <c r="L12" s="38">
        <f>'آتش سوزى'!L12+باربرى!L12+حوادث!L12+'حوادث راننده'!L12+'بدنه اتومبيل'!L12+'شخص ثالث و مازاد'!L12+درمان!L12+كشتى!J12+هواپيما!J12+مسئوليت!L12+مهندسى!L12+پول!J12+اعتبار!L12+'نفت و انرژی'!J12+'ساير انواع'!L12</f>
        <v>2633.03</v>
      </c>
      <c r="M12" s="37">
        <f>'آتش سوزى'!M12+باربرى!M12+حوادث!M12+'حوادث راننده'!M12+'بدنه اتومبيل'!M12+'شخص ثالث و مازاد'!M12+درمان!M12+كشتى!K12+هواپيما!K12+مسئوليت!M12+مهندسى!M12+پول!K12+اعتبار!M12+'نفت و انرژی'!K12+'ساير انواع'!M12</f>
        <v>197.36</v>
      </c>
      <c r="N12" s="38">
        <f>'آتش سوزى'!N12+باربرى!N12+حوادث!N12+'حوادث راننده'!N12+'بدنه اتومبيل'!N12+'شخص ثالث و مازاد'!N12+درمان!N12+كشتى!L12+هواپيما!L12+مسئوليت!N12+مهندسى!N12+پول!L12+اعتبار!N12+'نفت و انرژی'!L12+'ساير انواع'!N12</f>
        <v>1865</v>
      </c>
      <c r="O12" s="37">
        <f>'آتش سوزى'!O12+باربرى!O12+حوادث!O12+'حوادث راننده'!O12+'بدنه اتومبيل'!O12+'شخص ثالث و مازاد'!O12+درمان!O12+كشتى!M12+هواپيما!M12+مسئوليت!O12+مهندسى!O12+پول!M12+اعتبار!O12+'نفت و انرژی'!M12+'ساير انواع'!O12</f>
        <v>275</v>
      </c>
      <c r="P12" s="38">
        <f>'آتش سوزى'!P12+باربرى!P12+حوادث!P12+'حوادث راننده'!P12+'بدنه اتومبيل'!P12+'شخص ثالث و مازاد'!P12+درمان!P12+كشتى!N12+هواپيما!N12+مسئوليت!P12+مهندسى!P12+پول!N12+اعتبار!P12+'نفت و انرژی'!N12+'ساير انواع'!P12</f>
        <v>3019.28</v>
      </c>
      <c r="Q12" s="37">
        <f>'آتش سوزى'!Q12+باربرى!Q12+حوادث!Q12+'حوادث راننده'!Q12+'بدنه اتومبيل'!Q12+'شخص ثالث و مازاد'!Q12+درمان!Q12+كشتى!O12+هواپيما!O12+مسئوليت!Q12+مهندسى!Q12+پول!O12+اعتبار!Q12+'نفت و انرژی'!O12+'ساير انواع'!Q12</f>
        <v>7406</v>
      </c>
      <c r="R12" s="77">
        <f>'آتش سوزى'!R12+باربرى!R12+حوادث!R12+'حوادث راننده'!R12+'بدنه اتومبيل'!R12+'شخص ثالث و مازاد'!R12+درمان!R12+كشتى!P12+هواپيما!P12+مسئوليت!R12+مهندسى!R12+پول!P12+اعتبار!R12+'نفت و انرژی'!P12+'ساير انواع'!R12</f>
        <v>17609</v>
      </c>
      <c r="S12" s="209">
        <v>1360</v>
      </c>
    </row>
    <row r="13" spans="1:29" ht="20.25" customHeight="1">
      <c r="A13" s="255">
        <f>'آتش سوزى'!A13+باربرى!A13+حوادث!A13+'حوادث راننده'!A13+'بدنه اتومبيل'!A13+'شخص ثالث و مازاد'!A13+درمان!A13+كشتى!A13+هواپيما!A13+مهندسى!A13+پول!A13+مسئوليت!A13+اعتبار!A13+'نفت و انرژی'!A13+'ساير انواع'!A13</f>
        <v>13.556930000000001</v>
      </c>
      <c r="B13" s="256">
        <f>'آتش سوزى'!B13+باربرى!B13+حوادث!B13+'حوادث راننده'!B13+'بدنه اتومبيل'!B13+'شخص ثالث و مازاد'!B13+درمان!B13+كشتى!B13+هواپيما!B13+مهندسى!B13+پول!B13+مسئوليت!B13+اعتبار!B13+'نفت و انرژی'!B13+'ساير انواع'!B13</f>
        <v>39.31741000000001</v>
      </c>
      <c r="C13" s="255">
        <f t="shared" si="0"/>
        <v>0</v>
      </c>
      <c r="D13" s="256">
        <f t="shared" si="1"/>
        <v>0</v>
      </c>
      <c r="E13" s="332"/>
      <c r="F13" s="333"/>
      <c r="G13" s="332"/>
      <c r="H13" s="333"/>
      <c r="I13" s="255">
        <f>'آتش سوزى'!I13+باربرى!I13+حوادث!I13+'حوادث راننده'!I13+'بدنه اتومبيل'!I13+'شخص ثالث و مازاد'!I13+درمان!I13+كشتى!G13+هواپيما!G13+مهندسى!I13+پول!G13+مسئوليت!I13+اعتبار!I13+'نفت و انرژی'!G13+'ساير انواع'!I13</f>
        <v>13.556930000000001</v>
      </c>
      <c r="J13" s="256">
        <f>'آتش سوزى'!J13+باربرى!J13+حوادث!J13+'حوادث راننده'!J13+'بدنه اتومبيل'!J13+'شخص ثالث و مازاد'!J13+درمان!J13+كشتى!H13+هواپيما!H13+مهندسى!J13+پول!H13+مسئوليت!J13+اعتبار!J13+'نفت و انرژی'!H13+'ساير انواع'!J13</f>
        <v>39.31741000000001</v>
      </c>
      <c r="K13" s="37">
        <f>'آتش سوزى'!K13+باربرى!K13+حوادث!K13+'حوادث راننده'!K13+'بدنه اتومبيل'!K13+'شخص ثالث و مازاد'!K13+درمان!K13+كشتى!I13+هواپيما!I13+مسئوليت!K13+مهندسى!K13+پول!I13+اعتبار!K13+'نفت و انرژی'!I13+'ساير انواع'!K13</f>
        <v>1100</v>
      </c>
      <c r="L13" s="38">
        <f>'آتش سوزى'!L13+باربرى!L13+حوادث!L13+'حوادث راننده'!L13+'بدنه اتومبيل'!L13+'شخص ثالث و مازاد'!L13+درمان!L13+كشتى!J13+هواپيما!J13+مسئوليت!L13+مهندسى!L13+پول!J13+اعتبار!L13+'نفت و انرژی'!J13+'ساير انواع'!L13</f>
        <v>-344.96</v>
      </c>
      <c r="M13" s="37">
        <f>'آتش سوزى'!M13+باربرى!M13+حوادث!M13+'حوادث راننده'!M13+'بدنه اتومبيل'!M13+'شخص ثالث و مازاد'!M13+درمان!M13+كشتى!K13+هواپيما!K13+مسئوليت!M13+مهندسى!M13+پول!K13+اعتبار!M13+'نفت و انرژی'!K13+'ساير انواع'!M13</f>
        <v>545.92999999999995</v>
      </c>
      <c r="N13" s="38">
        <f>'آتش سوزى'!N13+باربرى!N13+حوادث!N13+'حوادث راننده'!N13+'بدنه اتومبيل'!N13+'شخص ثالث و مازاد'!N13+درمان!N13+كشتى!L13+هواپيما!L13+مسئوليت!N13+مهندسى!N13+پول!L13+اعتبار!N13+'نفت و انرژی'!L13+'ساير انواع'!N13</f>
        <v>3533.0899999999997</v>
      </c>
      <c r="O13" s="37">
        <f>'آتش سوزى'!O13+باربرى!O13+حوادث!O13+'حوادث راننده'!O13+'بدنه اتومبيل'!O13+'شخص ثالث و مازاد'!O13+درمان!O13+كشتى!M13+هواپيما!M13+مسئوليت!O13+مهندسى!O13+پول!M13+اعتبار!O13+'نفت و انرژی'!M13+'ساير انواع'!O13</f>
        <v>1149</v>
      </c>
      <c r="P13" s="38">
        <f>'آتش سوزى'!P13+باربرى!P13+حوادث!P13+'حوادث راننده'!P13+'بدنه اتومبيل'!P13+'شخص ثالث و مازاد'!P13+درمان!P13+كشتى!N13+هواپيما!N13+مسئوليت!P13+مهندسى!P13+پول!N13+اعتبار!P13+'نفت و انرژی'!N13+'ساير انواع'!P13</f>
        <v>6204.28</v>
      </c>
      <c r="Q13" s="37">
        <f>'آتش سوزى'!Q13+باربرى!Q13+حوادث!Q13+'حوادث راننده'!Q13+'بدنه اتومبيل'!Q13+'شخص ثالث و مازاد'!Q13+درمان!Q13+كشتى!O13+هواپيما!O13+مسئوليت!Q13+مهندسى!Q13+پول!O13+اعتبار!Q13+'نفت و انرژی'!O13+'ساير انواع'!Q13</f>
        <v>10762</v>
      </c>
      <c r="R13" s="77">
        <f>'آتش سوزى'!R13+باربرى!R13+حوادث!R13+'حوادث راننده'!R13+'بدنه اتومبيل'!R13+'شخص ثالث و مازاد'!R13+درمان!R13+كشتى!P13+هواپيما!P13+مسئوليت!R13+مهندسى!R13+پول!P13+اعتبار!R13+'نفت و انرژی'!P13+'ساير انواع'!R13</f>
        <v>29925</v>
      </c>
      <c r="S13" s="209">
        <v>1361</v>
      </c>
    </row>
    <row r="14" spans="1:29" ht="20.25" customHeight="1">
      <c r="A14" s="255">
        <f>'آتش سوزى'!A14+باربرى!A14+حوادث!A14+'حوادث راننده'!A14+'بدنه اتومبيل'!A14+'شخص ثالث و مازاد'!A14+درمان!A14+كشتى!A14+هواپيما!A14+مهندسى!A14+پول!A14+مسئوليت!A14+اعتبار!A14+'نفت و انرژی'!A14+'ساير انواع'!A14</f>
        <v>10.659510000000001</v>
      </c>
      <c r="B14" s="256">
        <f>'آتش سوزى'!B14+باربرى!B14+حوادث!B14+'حوادث راننده'!B14+'بدنه اتومبيل'!B14+'شخص ثالث و مازاد'!B14+درمان!B14+كشتى!B14+هواپيما!B14+مهندسى!B14+پول!B14+مسئوليت!B14+اعتبار!B14+'نفت و انرژی'!B14+'ساير انواع'!B14</f>
        <v>41.962490000000003</v>
      </c>
      <c r="C14" s="255">
        <f t="shared" si="0"/>
        <v>0</v>
      </c>
      <c r="D14" s="256">
        <f t="shared" si="1"/>
        <v>0</v>
      </c>
      <c r="E14" s="332"/>
      <c r="F14" s="333"/>
      <c r="G14" s="332"/>
      <c r="H14" s="333"/>
      <c r="I14" s="255">
        <f>'آتش سوزى'!I14+باربرى!I14+حوادث!I14+'حوادث راننده'!I14+'بدنه اتومبيل'!I14+'شخص ثالث و مازاد'!I14+درمان!I14+كشتى!G14+هواپيما!G14+مهندسى!I14+پول!G14+مسئوليت!I14+اعتبار!I14+'نفت و انرژی'!G14+'ساير انواع'!I14</f>
        <v>10.659510000000001</v>
      </c>
      <c r="J14" s="256">
        <f>'آتش سوزى'!J14+باربرى!J14+حوادث!J14+'حوادث راننده'!J14+'بدنه اتومبيل'!J14+'شخص ثالث و مازاد'!J14+درمان!J14+كشتى!H14+هواپيما!H14+مهندسى!J14+پول!H14+مسئوليت!J14+اعتبار!J14+'نفت و انرژی'!H14+'ساير انواع'!J14</f>
        <v>41.962490000000003</v>
      </c>
      <c r="K14" s="37">
        <f>'آتش سوزى'!K14+باربرى!K14+حوادث!K14+'حوادث راننده'!K14+'بدنه اتومبيل'!K14+'شخص ثالث و مازاد'!K14+درمان!K14+كشتى!I14+هواپيما!I14+مسئوليت!K14+مهندسى!K14+پول!I14+اعتبار!K14+'نفت و انرژی'!I14+'ساير انواع'!K14</f>
        <v>271</v>
      </c>
      <c r="L14" s="38">
        <f>'آتش سوزى'!L14+باربرى!L14+حوادث!L14+'حوادث راننده'!L14+'بدنه اتومبيل'!L14+'شخص ثالث و مازاد'!L14+درمان!L14+كشتى!J14+هواپيما!J14+مسئوليت!L14+مهندسى!L14+پول!J14+اعتبار!L14+'نفت و انرژی'!J14+'ساير انواع'!L14</f>
        <v>-97.509999999999991</v>
      </c>
      <c r="M14" s="37">
        <f>'آتش سوزى'!M14+باربرى!M14+حوادث!M14+'حوادث راننده'!M14+'بدنه اتومبيل'!M14+'شخص ثالث و مازاد'!M14+درمان!M14+كشتى!K14+هواپيما!K14+مسئوليت!M14+مهندسى!M14+پول!K14+اعتبار!M14+'نفت و انرژی'!K14+'ساير انواع'!M14</f>
        <v>560.42999999999995</v>
      </c>
      <c r="N14" s="38">
        <f>'آتش سوزى'!N14+باربرى!N14+حوادث!N14+'حوادث راننده'!N14+'بدنه اتومبيل'!N14+'شخص ثالث و مازاد'!N14+درمان!N14+كشتى!L14+هواپيما!L14+مسئوليت!N14+مهندسى!N14+پول!L14+اعتبار!N14+'نفت و انرژی'!L14+'ساير انواع'!N14</f>
        <v>3677</v>
      </c>
      <c r="O14" s="37">
        <f>'آتش سوزى'!O14+باربرى!O14+حوادث!O14+'حوادث راننده'!O14+'بدنه اتومبيل'!O14+'شخص ثالث و مازاد'!O14+درمان!O14+كشتى!M14+هواپيما!M14+مسئوليت!O14+مهندسى!O14+پول!M14+اعتبار!O14+'نفت و انرژی'!M14+'ساير انواع'!O14</f>
        <v>2453</v>
      </c>
      <c r="P14" s="38">
        <f>'آتش سوزى'!P14+باربرى!P14+حوادث!P14+'حوادث راننده'!P14+'بدنه اتومبيل'!P14+'شخص ثالث و مازاد'!P14+درمان!P14+كشتى!N14+هواپيما!N14+مسئوليت!P14+مهندسى!P14+پول!N14+اعتبار!P14+'نفت و انرژی'!N14+'ساير انواع'!P14</f>
        <v>6310</v>
      </c>
      <c r="Q14" s="37">
        <f>'آتش سوزى'!Q14+باربرى!Q14+حوادث!Q14+'حوادث راننده'!Q14+'بدنه اتومبيل'!Q14+'شخص ثالث و مازاد'!Q14+درمان!Q14+كشتى!O14+هواپيما!O14+مسئوليت!Q14+مهندسى!Q14+پول!O14+اعتبار!Q14+'نفت و انرژی'!O14+'ساير انواع'!Q14</f>
        <v>7375.08</v>
      </c>
      <c r="R14" s="77">
        <f>'آتش سوزى'!R14+باربرى!R14+حوادث!R14+'حوادث راننده'!R14+'بدنه اتومبيل'!R14+'شخص ثالث و مازاد'!R14+درمان!R14+كشتى!P14+هواپيما!P14+مسئوليت!R14+مهندسى!R14+پول!P14+اعتبار!R14+'نفت و انرژی'!P14+'ساير انواع'!R14</f>
        <v>32073</v>
      </c>
      <c r="S14" s="209">
        <v>1362</v>
      </c>
    </row>
    <row r="15" spans="1:29" ht="20.25" customHeight="1">
      <c r="A15" s="255">
        <f>'آتش سوزى'!A15+باربرى!A15+حوادث!A15+'حوادث راننده'!A15+'بدنه اتومبيل'!A15+'شخص ثالث و مازاد'!A15+درمان!A15+كشتى!A15+هواپيما!A15+مهندسى!A15+پول!A15+مسئوليت!A15+اعتبار!A15+'نفت و انرژی'!A15+'ساير انواع'!A15</f>
        <v>14.3636</v>
      </c>
      <c r="B15" s="256">
        <f>'آتش سوزى'!B15+باربرى!B15+حوادث!B15+'حوادث راننده'!B15+'بدنه اتومبيل'!B15+'شخص ثالث و مازاد'!B15+درمان!B15+كشتى!B15+هواپيما!B15+مهندسى!B15+پول!B15+مسئوليت!B15+اعتبار!B15+'نفت و انرژی'!B15+'ساير انواع'!B15</f>
        <v>37.020900000000005</v>
      </c>
      <c r="C15" s="255">
        <f t="shared" si="0"/>
        <v>0</v>
      </c>
      <c r="D15" s="256">
        <f t="shared" si="1"/>
        <v>0</v>
      </c>
      <c r="E15" s="332"/>
      <c r="F15" s="333"/>
      <c r="G15" s="332"/>
      <c r="H15" s="333"/>
      <c r="I15" s="255">
        <f>'آتش سوزى'!I15+باربرى!I15+حوادث!I15+'حوادث راننده'!I15+'بدنه اتومبيل'!I15+'شخص ثالث و مازاد'!I15+درمان!I15+كشتى!G15+هواپيما!G15+مهندسى!I15+پول!G15+مسئوليت!I15+اعتبار!I15+'نفت و انرژی'!G15+'ساير انواع'!I15</f>
        <v>14.3636</v>
      </c>
      <c r="J15" s="256">
        <f>'آتش سوزى'!J15+باربرى!J15+حوادث!J15+'حوادث راننده'!J15+'بدنه اتومبيل'!J15+'شخص ثالث و مازاد'!J15+درمان!J15+كشتى!H15+هواپيما!H15+مهندسى!J15+پول!H15+مسئوليت!J15+اعتبار!J15+'نفت و انرژی'!H15+'ساير انواع'!J15</f>
        <v>37.020900000000005</v>
      </c>
      <c r="K15" s="37">
        <f>'آتش سوزى'!K15+باربرى!K15+حوادث!K15+'حوادث راننده'!K15+'بدنه اتومبيل'!K15+'شخص ثالث و مازاد'!K15+درمان!K15+كشتى!I15+هواپيما!I15+مسئوليت!K15+مهندسى!K15+پول!I15+اعتبار!K15+'نفت و انرژی'!I15+'ساير انواع'!K15</f>
        <v>286.3</v>
      </c>
      <c r="L15" s="38">
        <f>'آتش سوزى'!L15+باربرى!L15+حوادث!L15+'حوادث راننده'!L15+'بدنه اتومبيل'!L15+'شخص ثالث و مازاد'!L15+درمان!L15+كشتى!J15+هواپيما!J15+مسئوليت!L15+مهندسى!L15+پول!J15+اعتبار!L15+'نفت و انرژی'!J15+'ساير انواع'!L15</f>
        <v>-161.1</v>
      </c>
      <c r="M15" s="37">
        <f>'آتش سوزى'!M15+باربرى!M15+حوادث!M15+'حوادث راننده'!M15+'بدنه اتومبيل'!M15+'شخص ثالث و مازاد'!M15+درمان!M15+كشتى!K15+هواپيما!K15+مسئوليت!M15+مهندسى!M15+پول!K15+اعتبار!M15+'نفت و انرژی'!K15+'ساير انواع'!M15</f>
        <v>1596.6699999999998</v>
      </c>
      <c r="N15" s="38">
        <f>'آتش سوزى'!N15+باربرى!N15+حوادث!N15+'حوادث راننده'!N15+'بدنه اتومبيل'!N15+'شخص ثالث و مازاد'!N15+درمان!N15+كشتى!L15+هواپيما!L15+مسئوليت!N15+مهندسى!N15+پول!L15+اعتبار!N15+'نفت و انرژی'!L15+'ساير انواع'!N15</f>
        <v>3923</v>
      </c>
      <c r="O15" s="37">
        <f>'آتش سوزى'!O15+باربرى!O15+حوادث!O15+'حوادث راننده'!O15+'بدنه اتومبيل'!O15+'شخص ثالث و مازاد'!O15+درمان!O15+كشتى!M15+هواپيما!M15+مسئوليت!O15+مهندسى!O15+پول!M15+اعتبار!O15+'نفت و انرژی'!M15+'ساير انواع'!O15</f>
        <v>3025.63</v>
      </c>
      <c r="P15" s="38">
        <f>'آتش سوزى'!P15+باربرى!P15+حوادث!P15+'حوادث راننده'!P15+'بدنه اتومبيل'!P15+'شخص ثالث و مازاد'!P15+درمان!P15+كشتى!N15+هواپيما!N15+مسئوليت!P15+مهندسى!P15+پول!N15+اعتبار!P15+'نفت و انرژی'!N15+'ساير انواع'!P15</f>
        <v>6524</v>
      </c>
      <c r="Q15" s="37">
        <f>'آتش سوزى'!Q15+باربرى!Q15+حوادث!Q15+'حوادث راننده'!Q15+'بدنه اتومبيل'!Q15+'شخص ثالث و مازاد'!Q15+درمان!Q15+كشتى!O15+هواپيما!O15+مسئوليت!Q15+مهندسى!Q15+پول!O15+اعتبار!Q15+'نفت و انرژی'!O15+'ساير انواع'!Q15</f>
        <v>9455</v>
      </c>
      <c r="R15" s="77">
        <f>'آتش سوزى'!R15+باربرى!R15+حوادث!R15+'حوادث راننده'!R15+'بدنه اتومبيل'!R15+'شخص ثالث و مازاد'!R15+درمان!R15+كشتى!P15+هواپيما!P15+مسئوليت!R15+مهندسى!R15+پول!P15+اعتبار!R15+'نفت و انرژی'!P15+'ساير انواع'!R15</f>
        <v>26735</v>
      </c>
      <c r="S15" s="209">
        <v>1363</v>
      </c>
    </row>
    <row r="16" spans="1:29" ht="20.25" customHeight="1">
      <c r="A16" s="255">
        <f>'آتش سوزى'!A16+باربرى!A16+حوادث!A16+'حوادث راننده'!A16+'بدنه اتومبيل'!A16+'شخص ثالث و مازاد'!A16+درمان!A16+كشتى!A16+هواپيما!A16+مهندسى!A16+پول!A16+مسئوليت!A16+اعتبار!A16+'نفت و انرژی'!A16+'ساير انواع'!A16</f>
        <v>15.166759999999998</v>
      </c>
      <c r="B16" s="256">
        <f>'آتش سوزى'!B16+باربرى!B16+حوادث!B16+'حوادث راننده'!B16+'بدنه اتومبيل'!B16+'شخص ثالث و مازاد'!B16+درمان!B16+كشتى!B16+هواپيما!B16+مهندسى!B16+پول!B16+مسئوليت!B16+اعتبار!B16+'نفت و انرژی'!B16+'ساير انواع'!B16</f>
        <v>38.986289999999997</v>
      </c>
      <c r="C16" s="255">
        <f t="shared" si="0"/>
        <v>0</v>
      </c>
      <c r="D16" s="256">
        <f t="shared" si="1"/>
        <v>0</v>
      </c>
      <c r="E16" s="332"/>
      <c r="F16" s="333"/>
      <c r="G16" s="332"/>
      <c r="H16" s="333"/>
      <c r="I16" s="255">
        <f>'آتش سوزى'!I16+باربرى!I16+حوادث!I16+'حوادث راننده'!I16+'بدنه اتومبيل'!I16+'شخص ثالث و مازاد'!I16+درمان!I16+كشتى!G16+هواپيما!G16+مهندسى!I16+پول!G16+مسئوليت!I16+اعتبار!I16+'نفت و انرژی'!G16+'ساير انواع'!I16</f>
        <v>15.166759999999998</v>
      </c>
      <c r="J16" s="256">
        <f>'آتش سوزى'!J16+باربرى!J16+حوادث!J16+'حوادث راننده'!J16+'بدنه اتومبيل'!J16+'شخص ثالث و مازاد'!J16+درمان!J16+كشتى!H16+هواپيما!H16+مهندسى!J16+پول!H16+مسئوليت!J16+اعتبار!J16+'نفت و انرژی'!H16+'ساير انواع'!J16</f>
        <v>38.986289999999997</v>
      </c>
      <c r="K16" s="37">
        <f>'آتش سوزى'!K16+باربرى!K16+حوادث!K16+'حوادث راننده'!K16+'بدنه اتومبيل'!K16+'شخص ثالث و مازاد'!K16+درمان!K16+كشتى!I16+هواپيما!I16+مسئوليت!K16+مهندسى!K16+پول!I16+اعتبار!K16+'نفت و انرژی'!I16+'ساير انواع'!K16</f>
        <v>298.35000000000002</v>
      </c>
      <c r="L16" s="38">
        <f>'آتش سوزى'!L16+باربرى!L16+حوادث!L16+'حوادث راننده'!L16+'بدنه اتومبيل'!L16+'شخص ثالث و مازاد'!L16+درمان!L16+كشتى!J16+هواپيما!J16+مسئوليت!L16+مهندسى!L16+پول!J16+اعتبار!L16+'نفت و انرژی'!J16+'ساير انواع'!L16</f>
        <v>-379.71000000000004</v>
      </c>
      <c r="M16" s="37">
        <f>'آتش سوزى'!M16+باربرى!M16+حوادث!M16+'حوادث راننده'!M16+'بدنه اتومبيل'!M16+'شخص ثالث و مازاد'!M16+درمان!M16+كشتى!K16+هواپيما!K16+مسئوليت!M16+مهندسى!M16+پول!K16+اعتبار!M16+'نفت و انرژی'!K16+'ساير انواع'!M16</f>
        <v>851.41</v>
      </c>
      <c r="N16" s="38">
        <f>'آتش سوزى'!N16+باربرى!N16+حوادث!N16+'حوادث راننده'!N16+'بدنه اتومبيل'!N16+'شخص ثالث و مازاد'!N16+درمان!N16+كشتى!L16+هواپيما!L16+مسئوليت!N16+مهندسى!N16+پول!L16+اعتبار!N16+'نفت و انرژی'!L16+'ساير انواع'!N16</f>
        <v>4769</v>
      </c>
      <c r="O16" s="37">
        <f>'آتش سوزى'!O16+باربرى!O16+حوادث!O16+'حوادث راننده'!O16+'بدنه اتومبيل'!O16+'شخص ثالث و مازاد'!O16+درمان!O16+كشتى!M16+هواپيما!M16+مسئوليت!O16+مهندسى!O16+پول!M16+اعتبار!O16+'نفت و انرژی'!M16+'ساير انواع'!O16</f>
        <v>1926</v>
      </c>
      <c r="P16" s="38">
        <f>'آتش سوزى'!P16+باربرى!P16+حوادث!P16+'حوادث راننده'!P16+'بدنه اتومبيل'!P16+'شخص ثالث و مازاد'!P16+درمان!P16+كشتى!N16+هواپيما!N16+مسئوليت!P16+مهندسى!P16+پول!N16+اعتبار!P16+'نفت و انرژی'!N16+'ساير انواع'!P16</f>
        <v>7395</v>
      </c>
      <c r="Q16" s="37">
        <f>'آتش سوزى'!Q16+باربرى!Q16+حوادث!Q16+'حوادث راننده'!Q16+'بدنه اتومبيل'!Q16+'شخص ثالث و مازاد'!Q16+درمان!Q16+كشتى!O16+هواپيما!O16+مسئوليت!Q16+مهندسى!Q16+پول!O16+اعتبار!Q16+'نفت و انرژی'!O16+'ساير انواع'!Q16</f>
        <v>12091</v>
      </c>
      <c r="R16" s="77">
        <f>'آتش سوزى'!R16+باربرى!R16+حوادث!R16+'حوادث راننده'!R16+'بدنه اتومبيل'!R16+'شخص ثالث و مازاد'!R16+درمان!R16+كشتى!P16+هواپيما!P16+مسئوليت!R16+مهندسى!R16+پول!P16+اعتبار!R16+'نفت و انرژی'!P16+'ساير انواع'!R16</f>
        <v>27202</v>
      </c>
      <c r="S16" s="209">
        <v>1364</v>
      </c>
    </row>
    <row r="17" spans="1:19" ht="20.25" customHeight="1">
      <c r="A17" s="255">
        <f>'آتش سوزى'!A17+باربرى!A17+حوادث!A17+'حوادث راننده'!A17+'بدنه اتومبيل'!A17+'شخص ثالث و مازاد'!A17+درمان!A17+كشتى!A17+هواپيما!A17+مهندسى!A17+پول!A17+مسئوليت!A17+اعتبار!A17+'نفت و انرژی'!A17+'ساير انواع'!A17</f>
        <v>15.35666844</v>
      </c>
      <c r="B17" s="256">
        <f>'آتش سوزى'!B17+باربرى!B17+حوادث!B17+'حوادث راننده'!B17+'بدنه اتومبيل'!B17+'شخص ثالث و مازاد'!B17+درمان!B17+كشتى!B17+هواپيما!B17+مهندسى!B17+پول!B17+مسئوليت!B17+اعتبار!B17+'نفت و انرژی'!B17+'ساير انواع'!B17</f>
        <v>35.829349920000006</v>
      </c>
      <c r="C17" s="255">
        <f t="shared" si="0"/>
        <v>0</v>
      </c>
      <c r="D17" s="256">
        <f t="shared" si="1"/>
        <v>0</v>
      </c>
      <c r="E17" s="332"/>
      <c r="F17" s="333"/>
      <c r="G17" s="332"/>
      <c r="H17" s="333"/>
      <c r="I17" s="255">
        <f>'آتش سوزى'!I17+باربرى!I17+حوادث!I17+'حوادث راننده'!I17+'بدنه اتومبيل'!I17+'شخص ثالث و مازاد'!I17+درمان!I17+كشتى!G17+هواپيما!G17+مهندسى!I17+پول!G17+مسئوليت!I17+اعتبار!I17+'نفت و انرژی'!G17+'ساير انواع'!I17</f>
        <v>15.35666844</v>
      </c>
      <c r="J17" s="256">
        <f>'آتش سوزى'!J17+باربرى!J17+حوادث!J17+'حوادث راننده'!J17+'بدنه اتومبيل'!J17+'شخص ثالث و مازاد'!J17+درمان!J17+كشتى!H17+هواپيما!H17+مهندسى!J17+پول!H17+مسئوليت!J17+اعتبار!J17+'نفت و انرژی'!H17+'ساير انواع'!J17</f>
        <v>35.829349920000006</v>
      </c>
      <c r="K17" s="37">
        <f>'آتش سوزى'!K17+باربرى!K17+حوادث!K17+'حوادث راننده'!K17+'بدنه اتومبيل'!K17+'شخص ثالث و مازاد'!K17+درمان!K17+كشتى!I17+هواپيما!I17+مسئوليت!K17+مهندسى!K17+پول!I17+اعتبار!K17+'نفت و انرژی'!I17+'ساير انواع'!K17</f>
        <v>546.03</v>
      </c>
      <c r="L17" s="38">
        <f>'آتش سوزى'!L17+باربرى!L17+حوادث!L17+'حوادث راننده'!L17+'بدنه اتومبيل'!L17+'شخص ثالث و مازاد'!L17+درمان!L17+كشتى!J17+هواپيما!J17+مسئوليت!L17+مهندسى!L17+پول!J17+اعتبار!L17+'نفت و انرژی'!J17+'ساير انواع'!L17</f>
        <v>-10.41</v>
      </c>
      <c r="M17" s="37">
        <f>'آتش سوزى'!M17+باربرى!M17+حوادث!M17+'حوادث راننده'!M17+'بدنه اتومبيل'!M17+'شخص ثالث و مازاد'!M17+درمان!M17+كشتى!K17+هواپيما!K17+مسئوليت!M17+مهندسى!M17+پول!K17+اعتبار!M17+'نفت و انرژی'!K17+'ساير انواع'!M17</f>
        <v>601.41</v>
      </c>
      <c r="N17" s="38">
        <f>'آتش سوزى'!N17+باربرى!N17+حوادث!N17+'حوادث راننده'!N17+'بدنه اتومبيل'!N17+'شخص ثالث و مازاد'!N17+درمان!N17+كشتى!L17+هواپيما!L17+مسئوليت!N17+مهندسى!N17+پول!L17+اعتبار!N17+'نفت و انرژی'!L17+'ساير انواع'!N17</f>
        <v>2952</v>
      </c>
      <c r="O17" s="37">
        <f>'آتش سوزى'!O17+باربرى!O17+حوادث!O17+'حوادث راننده'!O17+'بدنه اتومبيل'!O17+'شخص ثالث و مازاد'!O17+درمان!O17+كشتى!M17+هواپيما!M17+مسئوليت!O17+مهندسى!O17+پول!M17+اعتبار!O17+'نفت و انرژی'!M17+'ساير انواع'!O17</f>
        <v>2661.1039999999998</v>
      </c>
      <c r="P17" s="38">
        <f>'آتش سوزى'!P17+باربرى!P17+حوادث!P17+'حوادث راننده'!P17+'بدنه اتومبيل'!P17+'شخص ثالث و مازاد'!P17+درمان!P17+كشتى!N17+هواپيما!N17+مسئوليت!P17+مهندسى!P17+پول!N17+اعتبار!P17+'نفت و انرژی'!N17+'ساير انواع'!P17</f>
        <v>6061</v>
      </c>
      <c r="Q17" s="37">
        <f>'آتش سوزى'!Q17+باربرى!Q17+حوادث!Q17+'حوادث راننده'!Q17+'بدنه اتومبيل'!Q17+'شخص ثالث و مازاد'!Q17+درمان!Q17+كشتى!O17+هواپيما!O17+مسئوليت!Q17+مهندسى!Q17+پول!O17+اعتبار!Q17+'نفت و انرژی'!O17+'ساير انواع'!Q17</f>
        <v>11548.12444</v>
      </c>
      <c r="R17" s="77">
        <f>'آتش سوزى'!R17+باربرى!R17+حوادث!R17+'حوادث راننده'!R17+'بدنه اتومبيل'!R17+'شخص ثالث و مازاد'!R17+درمان!R17+كشتى!P17+هواپيما!P17+مسئوليت!R17+مهندسى!R17+پول!P17+اعتبار!R17+'نفت و انرژی'!P17+'ساير انواع'!R17</f>
        <v>26826.75992</v>
      </c>
      <c r="S17" s="209">
        <v>1365</v>
      </c>
    </row>
    <row r="18" spans="1:19" ht="20.25" customHeight="1">
      <c r="A18" s="255">
        <f>'آتش سوزى'!A18+باربرى!A18+حوادث!A18+'حوادث راننده'!A18+'بدنه اتومبيل'!A18+'شخص ثالث و مازاد'!A18+درمان!A18+كشتى!A18+هواپيما!A18+مهندسى!A18+پول!A18+مسئوليت!A18+اعتبار!A18+'نفت و انرژی'!A18+'ساير انواع'!A18</f>
        <v>15.983375364</v>
      </c>
      <c r="B18" s="256">
        <f>'آتش سوزى'!B18+باربرى!B18+حوادث!B18+'حوادث راننده'!B18+'بدنه اتومبيل'!B18+'شخص ثالث و مازاد'!B18+درمان!B18+كشتى!B18+هواپيما!B18+مهندسى!B18+پول!B18+مسئوليت!B18+اعتبار!B18+'نفت و انرژی'!B18+'ساير انواع'!B18</f>
        <v>40.535231759999995</v>
      </c>
      <c r="C18" s="255">
        <f t="shared" si="0"/>
        <v>0</v>
      </c>
      <c r="D18" s="256">
        <f t="shared" si="1"/>
        <v>0</v>
      </c>
      <c r="E18" s="332"/>
      <c r="F18" s="333"/>
      <c r="G18" s="332"/>
      <c r="H18" s="333"/>
      <c r="I18" s="255">
        <f>'آتش سوزى'!I18+باربرى!I18+حوادث!I18+'حوادث راننده'!I18+'بدنه اتومبيل'!I18+'شخص ثالث و مازاد'!I18+درمان!I18+كشتى!G18+هواپيما!G18+مهندسى!I18+پول!G18+مسئوليت!I18+اعتبار!I18+'نفت و انرژی'!G18+'ساير انواع'!I18</f>
        <v>15.983375364</v>
      </c>
      <c r="J18" s="256">
        <f>'آتش سوزى'!J18+باربرى!J18+حوادث!J18+'حوادث راننده'!J18+'بدنه اتومبيل'!J18+'شخص ثالث و مازاد'!J18+درمان!J18+كشتى!H18+هواپيما!H18+مهندسى!J18+پول!H18+مسئوليت!J18+اعتبار!J18+'نفت و انرژی'!H18+'ساير انواع'!J18</f>
        <v>40.535231759999995</v>
      </c>
      <c r="K18" s="37">
        <f>'آتش سوزى'!K18+باربرى!K18+حوادث!K18+'حوادث راننده'!K18+'بدنه اتومبيل'!K18+'شخص ثالث و مازاد'!K18+درمان!K18+كشتى!I18+هواپيما!I18+مسئوليت!K18+مهندسى!K18+پول!I18+اعتبار!K18+'نفت و انرژی'!I18+'ساير انواع'!K18</f>
        <v>49</v>
      </c>
      <c r="L18" s="38">
        <f>'آتش سوزى'!L18+باربرى!L18+حوادث!L18+'حوادث راننده'!L18+'بدنه اتومبيل'!L18+'شخص ثالث و مازاد'!L18+درمان!L18+كشتى!J18+هواپيما!J18+مسئوليت!L18+مهندسى!L18+پول!J18+اعتبار!L18+'نفت و انرژی'!J18+'ساير انواع'!L18</f>
        <v>-17.080000000000002</v>
      </c>
      <c r="M18" s="37">
        <f>'آتش سوزى'!M18+باربرى!M18+حوادث!M18+'حوادث راننده'!M18+'بدنه اتومبيل'!M18+'شخص ثالث و مازاد'!M18+درمان!M18+كشتى!K18+هواپيما!K18+مسئوليت!M18+مهندسى!M18+پول!K18+اعتبار!M18+'نفت و انرژی'!K18+'ساير انواع'!M18</f>
        <v>743.92000000000007</v>
      </c>
      <c r="N18" s="38">
        <f>'آتش سوزى'!N18+باربرى!N18+حوادث!N18+'حوادث راننده'!N18+'بدنه اتومبيل'!N18+'شخص ثالث و مازاد'!N18+درمان!N18+كشتى!L18+هواپيما!L18+مسئوليت!N18+مهندسى!N18+پول!L18+اعتبار!N18+'نفت و انرژی'!L18+'ساير انواع'!N18</f>
        <v>4424.1200000000008</v>
      </c>
      <c r="O18" s="37">
        <f>'آتش سوزى'!O18+باربرى!O18+حوادث!O18+'حوادث راننده'!O18+'بدنه اتومبيل'!O18+'شخص ثالث و مازاد'!O18+درمان!O18+كشتى!M18+هواپيما!M18+مسئوليت!O18+مهندسى!O18+پول!M18+اعتبار!O18+'نفت و انرژی'!M18+'ساير انواع'!O18</f>
        <v>3110.92</v>
      </c>
      <c r="P18" s="38">
        <f>'آتش سوزى'!P18+باربرى!P18+حوادث!P18+'حوادث راننده'!P18+'بدنه اتومبيل'!P18+'شخص ثالث و مازاد'!P18+درمان!P18+كشتى!N18+هواپيما!N18+مسئوليت!P18+مهندسى!P18+پول!N18+اعتبار!P18+'نفت و انرژی'!N18+'ساير انواع'!P18</f>
        <v>7546.78</v>
      </c>
      <c r="Q18" s="37">
        <f>'آتش سوزى'!Q18+باربرى!Q18+حوادث!Q18+'حوادث راننده'!Q18+'بدنه اتومبيل'!Q18+'شخص ثالث و مازاد'!Q18+درمان!Q18+كشتى!O18+هواپيما!O18+مسئوليت!Q18+مهندسى!Q18+پول!O18+اعتبار!Q18+'نفت و انرژی'!O18+'ساير انواع'!Q18</f>
        <v>12079.535363999999</v>
      </c>
      <c r="R18" s="77">
        <f>'آتش سوزى'!R18+باربرى!R18+حوادث!R18+'حوادث راننده'!R18+'بدنه اتومبيل'!R18+'شخص ثالث و مازاد'!R18+درمان!R18+كشتى!P18+هواپيما!P18+مسئوليت!R18+مهندسى!R18+پول!P18+اعتبار!R18+'نفت و انرژی'!P18+'ساير انواع'!R18</f>
        <v>28581.411759999999</v>
      </c>
      <c r="S18" s="209">
        <v>1366</v>
      </c>
    </row>
    <row r="19" spans="1:19" ht="20.25" customHeight="1">
      <c r="A19" s="255">
        <f>'آتش سوزى'!A19+باربرى!A19+حوادث!A19+'حوادث راننده'!A19+'بدنه اتومبيل'!A19+'شخص ثالث و مازاد'!A19+درمان!A19+كشتى!A19+هواپيما!A19+مهندسى!A19+پول!A19+مسئوليت!A19+اعتبار!A19+'نفت و انرژی'!A19+'ساير انواع'!A19</f>
        <v>15.017489999999999</v>
      </c>
      <c r="B19" s="256">
        <f>'آتش سوزى'!B19+باربرى!B19+حوادث!B19+'حوادث راننده'!B19+'بدنه اتومبيل'!B19+'شخص ثالث و مازاد'!B19+درمان!B19+كشتى!B19+هواپيما!B19+مهندسى!B19+پول!B19+مسئوليت!B19+اعتبار!B19+'نفت و انرژی'!B19+'ساير انواع'!B19</f>
        <v>40.999199999999995</v>
      </c>
      <c r="C19" s="255">
        <f t="shared" si="0"/>
        <v>0</v>
      </c>
      <c r="D19" s="256">
        <f t="shared" si="1"/>
        <v>-0.64800000000000324</v>
      </c>
      <c r="E19" s="332"/>
      <c r="F19" s="333"/>
      <c r="G19" s="332"/>
      <c r="H19" s="333"/>
      <c r="I19" s="255">
        <f>'آتش سوزى'!I19+باربرى!I19+حوادث!I19+'حوادث راننده'!I19+'بدنه اتومبيل'!I19+'شخص ثالث و مازاد'!I19+درمان!I19+كشتى!G19+هواپيما!G19+مهندسى!I19+پول!G19+مسئوليت!I19+اعتبار!I19+'نفت و انرژی'!G19+'ساير انواع'!I19</f>
        <v>15.017489999999999</v>
      </c>
      <c r="J19" s="256">
        <f>'آتش سوزى'!J19+باربرى!J19+حوادث!J19+'حوادث راننده'!J19+'بدنه اتومبيل'!J19+'شخص ثالث و مازاد'!J19+درمان!J19+كشتى!H19+هواپيما!H19+مهندسى!J19+پول!H19+مسئوليت!J19+اعتبار!J19+'نفت و انرژی'!H19+'ساير انواع'!J19</f>
        <v>41.647199999999998</v>
      </c>
      <c r="K19" s="37">
        <f>'آتش سوزى'!K19+باربرى!K19+حوادث!K19+'حوادث راننده'!K19+'بدنه اتومبيل'!K19+'شخص ثالث و مازاد'!K19+درمان!K19+كشتى!I19+هواپيما!I19+مسئوليت!K19+مهندسى!K19+پول!I19+اعتبار!K19+'نفت و انرژی'!I19+'ساير انواع'!K19</f>
        <v>18.7</v>
      </c>
      <c r="L19" s="38">
        <f>'آتش سوزى'!L19+باربرى!L19+حوادث!L19+'حوادث راننده'!L19+'بدنه اتومبيل'!L19+'شخص ثالث و مازاد'!L19+درمان!L19+كشتى!J19+هواپيما!J19+مسئوليت!L19+مهندسى!L19+پول!J19+اعتبار!L19+'نفت و انرژی'!J19+'ساير انواع'!L19</f>
        <v>-171</v>
      </c>
      <c r="M19" s="37">
        <f>'آتش سوزى'!M19+باربرى!M19+حوادث!M19+'حوادث راننده'!M19+'بدنه اتومبيل'!M19+'شخص ثالث و مازاد'!M19+درمان!M19+كشتى!K19+هواپيما!K19+مسئوليت!M19+مهندسى!M19+پول!K19+اعتبار!M19+'نفت و انرژی'!K19+'ساير انواع'!M19</f>
        <v>1067.8800000000001</v>
      </c>
      <c r="N19" s="38">
        <f>'آتش سوزى'!N19+باربرى!N19+حوادث!N19+'حوادث راننده'!N19+'بدنه اتومبيل'!N19+'شخص ثالث و مازاد'!N19+درمان!N19+كشتى!L19+هواپيما!L19+مسئوليت!N19+مهندسى!N19+پول!L19+اعتبار!N19+'نفت و انرژی'!L19+'ساير انواع'!N19</f>
        <v>4922.72</v>
      </c>
      <c r="O19" s="37">
        <f>'آتش سوزى'!O19+باربرى!O19+حوادث!O19+'حوادث راننده'!O19+'بدنه اتومبيل'!O19+'شخص ثالث و مازاد'!O19+درمان!O19+كشتى!M19+هواپيما!M19+مسئوليت!O19+مهندسى!O19+پول!M19+اعتبار!O19+'نفت و انرژی'!M19+'ساير انواع'!O19</f>
        <v>2928.59</v>
      </c>
      <c r="P19" s="38">
        <f>'آتش سوزى'!P19+باربرى!P19+حوادث!P19+'حوادث راننده'!P19+'بدنه اتومبيل'!P19+'شخص ثالث و مازاد'!P19+درمان!P19+كشتى!N19+هواپيما!N19+مسئوليت!P19+مهندسى!P19+پول!N19+اعتبار!P19+'نفت و انرژی'!N19+'ساير انواع'!P19</f>
        <v>8071.84</v>
      </c>
      <c r="Q19" s="37">
        <f>'آتش سوزى'!Q19+باربرى!Q19+حوادث!Q19+'حوادث راننده'!Q19+'بدنه اتومبيل'!Q19+'شخص ثالث و مازاد'!Q19+درمان!Q19+كشتى!O19+هواپيما!O19+مسئوليت!Q19+مهندسى!Q19+پول!O19+اعتبار!Q19+'نفت و انرژی'!O19+'ساير انواع'!Q19</f>
        <v>11002.32</v>
      </c>
      <c r="R19" s="77">
        <f>'آتش سوزى'!R19+باربرى!R19+حوادث!R19+'حوادث راننده'!R19+'بدنه اتومبيل'!R19+'شخص ثالث و مازاد'!R19+درمان!R19+كشتى!P19+هواپيما!P19+مسئوليت!R19+مهندسى!R19+پول!P19+اعتبار!R19+'نفت و انرژی'!P19+'ساير انواع'!R19</f>
        <v>28823.64</v>
      </c>
      <c r="S19" s="209">
        <v>1367</v>
      </c>
    </row>
    <row r="20" spans="1:19" ht="20.25" customHeight="1">
      <c r="A20" s="255">
        <f>'آتش سوزى'!A20+باربرى!A20+حوادث!A20+'بدنه اتومبيل'!A20+'شخص ثالث و مازاد'!A20+درمان!A20+كشتى!A20+هواپيما!A20+مهندسى!A20+پول!A20+'ساير انواع'!A20</f>
        <v>22.4541</v>
      </c>
      <c r="B20" s="256">
        <f>'آتش سوزى'!B20+باربرى!B20+حوادث!B20+'بدنه اتومبيل'!B20+'شخص ثالث و مازاد'!B20+درمان!B20+كشتى!B20+هواپيما!B20+مهندسى!B20+پول!B20+'ساير انواع'!B20</f>
        <v>58.278000000000006</v>
      </c>
      <c r="C20" s="255">
        <f>'آتش سوزى'!C20+باربرى!C20+حوادث!C20+'بدنه اتومبيل'!C20+'شخص ثالث و مازاد'!C20+درمان!C20+كشتى!A20+هواپيما!A20+مهندسى!C20+پول!A20+اعتبار!C20+'نفت و انرژی'!A20+'ساير انواع'!C20</f>
        <v>0.372</v>
      </c>
      <c r="D20" s="256">
        <f>'آتش سوزى'!D20+باربرى!D20+حوادث!D20+'بدنه اتومبيل'!D20+'شخص ثالث و مازاد'!D20+درمان!D20+كشتى!B20+هواپيما!B20+مهندسى!D20+پول!B20+اعتبار!D20+'نفت و انرژی'!B20+'ساير انواع'!D20</f>
        <v>1.3260000000000001</v>
      </c>
      <c r="E20" s="332">
        <f>'آتش سوزى'!E20+باربرى!E20+حوادث!E20+'بدنه اتومبيل'!E20+'شخص ثالث و مازاد'!E20+درمان!E20+كشتى!C20+هواپيما!C20+مهندسى!E20+پول!C20+اعتبار!E20+'نفت و انرژی'!C20+'ساير انواع'!E20</f>
        <v>0</v>
      </c>
      <c r="F20" s="333">
        <f>'آتش سوزى'!F20+باربرى!F20+حوادث!F20+'بدنه اتومبيل'!F20+'شخص ثالث و مازاد'!F20+درمان!F20+كشتى!D20+هواپيما!D20+مهندسى!F20+پول!D20+اعتبار!F20+'نفت و انرژی'!D20+'ساير انواع'!F20</f>
        <v>0</v>
      </c>
      <c r="G20" s="332">
        <f>'آتش سوزى'!G20+باربرى!G20+حوادث!G20+'بدنه اتومبيل'!G20+'شخص ثالث و مازاد'!G20+درمان!G20+كشتى!E20+هواپيما!E20+مهندسى!G20+پول!E20+اعتبار!G20+'نفت و انرژی'!E20+'ساير انواع'!G20</f>
        <v>0</v>
      </c>
      <c r="H20" s="333">
        <f>'آتش سوزى'!H20+باربرى!H20+حوادث!H20+'بدنه اتومبيل'!H20+'شخص ثالث و مازاد'!H20+درمان!H20+كشتى!F20+هواپيما!F20+مهندسى!H20+پول!F20+اعتبار!H20+'نفت و انرژی'!F20+'ساير انواع'!H20</f>
        <v>0</v>
      </c>
      <c r="I20" s="255">
        <f>'آتش سوزى'!I20+باربرى!I20+حوادث!I20+'بدنه اتومبيل'!I20+'شخص ثالث و مازاد'!I20+درمان!I20+كشتى!G20+هواپيما!G20+مهندسى!I20+پول!G20+اعتبار!I20+'نفت و انرژی'!G20+'ساير انواع'!I20</f>
        <v>22.4541</v>
      </c>
      <c r="J20" s="256">
        <f>'آتش سوزى'!J20+باربرى!J20+حوادث!J20+'بدنه اتومبيل'!J20+'شخص ثالث و مازاد'!J20+درمان!J20+كشتى!H20+هواپيما!H20+مهندسى!J20+پول!H20+اعتبار!J20+'نفت و انرژی'!H20+'ساير انواع'!J20</f>
        <v>58.278000000000006</v>
      </c>
      <c r="K20" s="37">
        <f>'آتش سوزى'!K20+باربرى!K20+حوادث!K20+'حوادث راننده'!K20+'بدنه اتومبيل'!K20+'شخص ثالث و مازاد'!K20+درمان!K20+كشتى!I20+هواپيما!I20+مسئوليت!K20+مهندسى!K20+پول!I20+اعتبار!K20+'نفت و انرژی'!I20+'ساير انواع'!K20</f>
        <v>28.1</v>
      </c>
      <c r="L20" s="38">
        <f>'آتش سوزى'!L20+باربرى!L20+حوادث!L20+'حوادث راننده'!L20+'بدنه اتومبيل'!L20+'شخص ثالث و مازاد'!L20+درمان!L20+كشتى!J20+هواپيما!J20+مسئوليت!L20+مهندسى!L20+پول!J20+اعتبار!L20+'نفت و انرژی'!J20+'ساير انواع'!L20</f>
        <v>-34</v>
      </c>
      <c r="M20" s="37">
        <f>'آتش سوزى'!M20+باربرى!M20+حوادث!M20+'حوادث راننده'!M20+'بدنه اتومبيل'!M20+'شخص ثالث و مازاد'!M20+درمان!M20+كشتى!K20+هواپيما!K20+مسئوليت!M20+مهندسى!M20+پول!K20+اعتبار!M20+'نفت و انرژی'!K20+'ساير انواع'!M20</f>
        <v>1365</v>
      </c>
      <c r="N20" s="38">
        <f>'آتش سوزى'!N20+باربرى!N20+حوادث!N20+'حوادث راننده'!N20+'بدنه اتومبيل'!N20+'شخص ثالث و مازاد'!N20+درمان!N20+كشتى!L20+هواپيما!L20+مسئوليت!N20+مهندسى!N20+پول!L20+اعتبار!N20+'نفت و انرژی'!L20+'ساير انواع'!N20</f>
        <v>8390</v>
      </c>
      <c r="O20" s="37">
        <f>'آتش سوزى'!O20+باربرى!O20+حوادث!O20+'حوادث راننده'!O20+'بدنه اتومبيل'!O20+'شخص ثالث و مازاد'!O20+درمان!O20+كشتى!M20+هواپيما!M20+مسئوليت!O20+مهندسى!O20+پول!M20+اعتبار!O20+'نفت و انرژی'!M20+'ساير انواع'!O20</f>
        <v>4287</v>
      </c>
      <c r="P20" s="38">
        <f>'آتش سوزى'!P20+باربرى!P20+حوادث!P20+'حوادث راننده'!P20+'بدنه اتومبيل'!P20+'شخص ثالث و مازاد'!P20+درمان!P20+كشتى!N20+هواپيما!N20+مسئوليت!P20+مهندسى!P20+پول!N20+اعتبار!P20+'نفت و انرژی'!N20+'ساير انواع'!P20</f>
        <v>13108</v>
      </c>
      <c r="Q20" s="37">
        <f>'آتش سوزى'!Q20+باربرى!Q20+حوادث!Q20+'حوادث راننده'!Q20+'بدنه اتومبيل'!Q20+'شخص ثالث و مازاد'!Q20+درمان!Q20+كشتى!O20+هواپيما!O20+مسئوليت!Q20+مهندسى!Q20+پول!O20+اعتبار!Q20+'نفت و انرژی'!O20+'ساير انواع'!Q20</f>
        <v>16774</v>
      </c>
      <c r="R20" s="77">
        <f>'آتش سوزى'!R20+باربرى!R20+حوادث!R20+'حوادث راننده'!R20+'بدنه اتومبيل'!R20+'شخص ثالث و مازاد'!R20+درمان!R20+كشتى!P20+هواپيما!P20+مسئوليت!R20+مهندسى!R20+پول!P20+اعتبار!R20+'نفت و انرژی'!P20+'ساير انواع'!R20</f>
        <v>36814</v>
      </c>
      <c r="S20" s="209">
        <v>1368</v>
      </c>
    </row>
    <row r="21" spans="1:19" ht="20.25" customHeight="1">
      <c r="A21" s="255">
        <f>'آتش سوزى'!A21+باربرى!A21+حوادث!A21+'حوادث راننده'!A21+'بدنه اتومبيل'!A21+'شخص ثالث و مازاد'!A21+درمان!A21+كشتى!A21+هواپيما!A21+مهندسى!A21+پول!A21+مسئوليت!A21+اعتبار!A21+'نفت و انرژی'!A21+'ساير انواع'!A21</f>
        <v>27.938790000000004</v>
      </c>
      <c r="B21" s="256">
        <f>'آتش سوزى'!B21+باربرى!B21+حوادث!B21+'حوادث راننده'!B21+'بدنه اتومبيل'!B21+'شخص ثالث و مازاد'!B21+درمان!B21+كشتى!B21+هواپيما!B21+مهندسى!B21+پول!B21+مسئوليت!B21+اعتبار!B21+'نفت و انرژی'!B21+'ساير انواع'!B21</f>
        <v>95.712872000000004</v>
      </c>
      <c r="C21" s="255">
        <f t="shared" si="0"/>
        <v>0</v>
      </c>
      <c r="D21" s="256">
        <f t="shared" si="1"/>
        <v>0</v>
      </c>
      <c r="E21" s="332"/>
      <c r="F21" s="333"/>
      <c r="G21" s="332"/>
      <c r="H21" s="333"/>
      <c r="I21" s="255">
        <f>'آتش سوزى'!I21+باربرى!I21+حوادث!I21+'حوادث راننده'!I21+'بدنه اتومبيل'!I21+'شخص ثالث و مازاد'!I21+درمان!I21+كشتى!G21+هواپيما!G21+مهندسى!I21+پول!G21+مسئوليت!I21+اعتبار!I21+'نفت و انرژی'!G21+'ساير انواع'!I21</f>
        <v>27.938790000000004</v>
      </c>
      <c r="J21" s="256">
        <f>'آتش سوزى'!J21+باربرى!J21+حوادث!J21+'حوادث راننده'!J21+'بدنه اتومبيل'!J21+'شخص ثالث و مازاد'!J21+درمان!J21+كشتى!H21+هواپيما!H21+مهندسى!J21+پول!H21+مسئوليت!J21+اعتبار!J21+'نفت و انرژی'!H21+'ساير انواع'!J21</f>
        <v>95.712872000000004</v>
      </c>
      <c r="K21" s="37">
        <f>'آتش سوزى'!K21+باربرى!K21+حوادث!K21+'حوادث راننده'!K21+'بدنه اتومبيل'!K21+'شخص ثالث و مازاد'!K21+درمان!K21+كشتى!I21+هواپيما!I21+مسئوليت!K21+مهندسى!K21+پول!I21+اعتبار!K21+'نفت و انرژی'!I21+'ساير انواع'!K21</f>
        <v>6</v>
      </c>
      <c r="L21" s="38">
        <f>'آتش سوزى'!L21+باربرى!L21+حوادث!L21+'حوادث راننده'!L21+'بدنه اتومبيل'!L21+'شخص ثالث و مازاد'!L21+درمان!L21+كشتى!J21+هواپيما!J21+مسئوليت!L21+مهندسى!L21+پول!J21+اعتبار!L21+'نفت و انرژی'!J21+'ساير انواع'!L21</f>
        <v>10</v>
      </c>
      <c r="M21" s="37">
        <f>'آتش سوزى'!M21+باربرى!M21+حوادث!M21+'حوادث راننده'!M21+'بدنه اتومبيل'!M21+'شخص ثالث و مازاد'!M21+درمان!M21+كشتى!K21+هواپيما!K21+مسئوليت!M21+مهندسى!M21+پول!K21+اعتبار!M21+'نفت و انرژی'!K21+'ساير انواع'!M21</f>
        <v>2524</v>
      </c>
      <c r="N21" s="38">
        <f>'آتش سوزى'!N21+باربرى!N21+حوادث!N21+'حوادث راننده'!N21+'بدنه اتومبيل'!N21+'شخص ثالث و مازاد'!N21+درمان!N21+كشتى!L21+هواپيما!L21+مسئوليت!N21+مهندسى!N21+پول!L21+اعتبار!N21+'نفت و انرژی'!L21+'ساير انواع'!N21</f>
        <v>16930.855999999996</v>
      </c>
      <c r="O21" s="37">
        <f>'آتش سوزى'!O21+باربرى!O21+حوادث!O21+'حوادث راننده'!O21+'بدنه اتومبيل'!O21+'شخص ثالث و مازاد'!O21+درمان!O21+كشتى!M21+هواپيما!M21+مسئوليت!O21+مهندسى!O21+پول!M21+اعتبار!O21+'نفت و انرژی'!M21+'ساير انواع'!O21</f>
        <v>6627.4699999999993</v>
      </c>
      <c r="P21" s="38">
        <f>'آتش سوزى'!P21+باربرى!P21+حوادث!P21+'حوادث راننده'!P21+'بدنه اتومبيل'!P21+'شخص ثالث و مازاد'!P21+درمان!P21+كشتى!N21+هواپيما!N21+مسئوليت!P21+مهندسى!P21+پول!N21+اعتبار!P21+'نفت و انرژی'!N21+'ساير انواع'!P21</f>
        <v>23918.400000000001</v>
      </c>
      <c r="Q21" s="37">
        <f>'آتش سوزى'!Q21+باربرى!Q21+حوادث!Q21+'حوادث راننده'!Q21+'بدنه اتومبيل'!Q21+'شخص ثالث و مازاد'!Q21+درمان!Q21+كشتى!O21+هواپيما!O21+مسئوليت!Q21+مهندسى!Q21+پول!O21+اعتبار!Q21+'نفت و انرژی'!O21+'ساير انواع'!Q21</f>
        <v>18781.32</v>
      </c>
      <c r="R21" s="77">
        <f>'آتش سوزى'!R21+باربرى!R21+حوادث!R21+'حوادث راننده'!R21+'بدنه اتومبيل'!R21+'شخص ثالث و مازاد'!R21+درمان!R21+كشتى!P21+هواپيما!P21+مسئوليت!R21+مهندسى!R21+پول!P21+اعتبار!R21+'نفت و انرژی'!P21+'ساير انواع'!R21</f>
        <v>54853.616000000002</v>
      </c>
      <c r="S21" s="209">
        <v>1369</v>
      </c>
    </row>
    <row r="22" spans="1:19" ht="20.25" customHeight="1">
      <c r="A22" s="255">
        <f>'آتش سوزى'!A22+باربرى!A22+حوادث!A22+'بدنه اتومبيل'!A22+'شخص ثالث و مازاد'!A22+درمان!A22+كشتى!A22+هواپيما!A22+مهندسى!A22+پول!A22+مسئوليت!A22+'ساير انواع'!A22</f>
        <v>35.788878999999994</v>
      </c>
      <c r="B22" s="256">
        <f>'آتش سوزى'!B22+باربرى!B22+حوادث!B22+'بدنه اتومبيل'!B22+'شخص ثالث و مازاد'!B22+درمان!B22+كشتى!B22+هواپيما!B22+مهندسى!B22+پول!B22+مسئوليت!B22+'ساير انواع'!B22</f>
        <v>142.27849999999998</v>
      </c>
      <c r="C22" s="255">
        <f>'آتش سوزى'!C22+باربرى!C22+حوادث!C22+'بدنه اتومبيل'!C22+'شخص ثالث و مازاد'!C22+درمان!C22+كشتى!A22+هواپيما!A22+مهندسى!C22+پول!A22+مسئوليت!C22+اعتبار!C22+'نفت و انرژی'!A22+'ساير انواع'!C22</f>
        <v>0.65944000000000003</v>
      </c>
      <c r="D22" s="256">
        <f>'آتش سوزى'!D22+باربرى!D22+حوادث!D22+'بدنه اتومبيل'!D22+'شخص ثالث و مازاد'!D22+درمان!D22+كشتى!B22+هواپيما!B22+مهندسى!D22+پول!B22+مسئوليت!D22+اعتبار!D22+'نفت و انرژی'!B22+'ساير انواع'!D22</f>
        <v>1.6909999999999998</v>
      </c>
      <c r="E22" s="332">
        <f>'آتش سوزى'!E22+باربرى!E22+حوادث!E22+'بدنه اتومبيل'!E22+'شخص ثالث و مازاد'!E22+درمان!E22+كشتى!C22+هواپيما!C22+مهندسى!E22+پول!C22+مسئوليت!E22+اعتبار!E22+'نفت و انرژی'!C22+'ساير انواع'!E22</f>
        <v>0</v>
      </c>
      <c r="F22" s="333">
        <f>'آتش سوزى'!F22+باربرى!F22+حوادث!F22+'بدنه اتومبيل'!F22+'شخص ثالث و مازاد'!F22+درمان!F22+كشتى!D22+هواپيما!D22+مهندسى!F22+پول!D22+مسئوليت!F22+اعتبار!F22+'نفت و انرژی'!D22+'ساير انواع'!F22</f>
        <v>0</v>
      </c>
      <c r="G22" s="332">
        <f>'آتش سوزى'!G22+باربرى!G22+حوادث!G22+'بدنه اتومبيل'!G22+'شخص ثالث و مازاد'!G22+درمان!G22+كشتى!E22+هواپيما!E22+مهندسى!G22+پول!E22+مسئوليت!G22+اعتبار!G22+'نفت و انرژی'!E22+'ساير انواع'!G22</f>
        <v>0</v>
      </c>
      <c r="H22" s="333">
        <f>'آتش سوزى'!H22+باربرى!H22+حوادث!H22+'بدنه اتومبيل'!H22+'شخص ثالث و مازاد'!H22+درمان!H22+كشتى!F22+هواپيما!F22+مهندسى!H22+پول!F22+مسئوليت!H22+اعتبار!H22+'نفت و انرژی'!F22+'ساير انواع'!H22</f>
        <v>0</v>
      </c>
      <c r="I22" s="255">
        <f>'آتش سوزى'!I22+باربرى!I22+حوادث!I22+'بدنه اتومبيل'!I22+'شخص ثالث و مازاد'!I22+درمان!I22+كشتى!G22+هواپيما!G22+مهندسى!I22+پول!G22+مسئوليت!I22+اعتبار!I22+'نفت و انرژی'!G22+'ساير انواع'!I22</f>
        <v>35.788878999999994</v>
      </c>
      <c r="J22" s="256">
        <f>'آتش سوزى'!J22+باربرى!J22+حوادث!J22+'بدنه اتومبيل'!J22+'شخص ثالث و مازاد'!J22+درمان!J22+كشتى!H22+هواپيما!H22+مهندسى!J22+پول!H22+مسئوليت!J22+اعتبار!J22+'نفت و انرژی'!H22+'ساير انواع'!J22</f>
        <v>142.27849999999998</v>
      </c>
      <c r="K22" s="37">
        <f>'آتش سوزى'!K22+باربرى!K22+حوادث!K22+'حوادث راننده'!K22+'بدنه اتومبيل'!K22+'شخص ثالث و مازاد'!K22+درمان!K22+كشتى!I22+هواپيما!I22+مسئوليت!K22+مهندسى!K22+پول!I22+اعتبار!K22+'نفت و انرژی'!I22+'ساير انواع'!K22</f>
        <v>10.939</v>
      </c>
      <c r="L22" s="38">
        <f>'آتش سوزى'!L22+باربرى!L22+حوادث!L22+'حوادث راننده'!L22+'بدنه اتومبيل'!L22+'شخص ثالث و مازاد'!L22+درمان!L22+كشتى!J22+هواپيما!J22+مسئوليت!L22+مهندسى!L22+پول!J22+اعتبار!L22+'نفت و انرژی'!J22+'ساير انواع'!L22</f>
        <v>412</v>
      </c>
      <c r="M22" s="37">
        <f>'آتش سوزى'!M22+باربرى!M22+حوادث!M22+'حوادث راننده'!M22+'بدنه اتومبيل'!M22+'شخص ثالث و مازاد'!M22+درمان!M22+كشتى!K22+هواپيما!K22+مسئوليت!M22+مهندسى!M22+پول!K22+اعتبار!M22+'نفت و انرژی'!K22+'ساير انواع'!M22</f>
        <v>5058.6499999999996</v>
      </c>
      <c r="N22" s="38">
        <f>'آتش سوزى'!N22+باربرى!N22+حوادث!N22+'حوادث راننده'!N22+'بدنه اتومبيل'!N22+'شخص ثالث و مازاد'!N22+درمان!N22+كشتى!L22+هواپيما!L22+مسئوليت!N22+مهندسى!N22+پول!L22+اعتبار!N22+'نفت و انرژی'!L22+'ساير انواع'!N22</f>
        <v>23997.200000000001</v>
      </c>
      <c r="O22" s="37">
        <f>'آتش سوزى'!O22+باربرى!O22+حوادث!O22+'حوادث راننده'!O22+'بدنه اتومبيل'!O22+'شخص ثالث و مازاد'!O22+درمان!O22+كشتى!M22+هواپيما!M22+مسئوليت!O22+مهندسى!O22+پول!M22+اعتبار!O22+'نفت و انرژی'!M22+'ساير انواع'!O22</f>
        <v>7528.2</v>
      </c>
      <c r="P22" s="38">
        <f>'آتش سوزى'!P22+باربرى!P22+حوادث!P22+'حوادث راننده'!P22+'بدنه اتومبيل'!P22+'شخص ثالث و مازاد'!P22+درمان!P22+كشتى!N22+هواپيما!N22+مسئوليت!P22+مهندسى!P22+پول!N22+اعتبار!P22+'نفت و انرژی'!N22+'ساير انواع'!P22</f>
        <v>36049.199999999997</v>
      </c>
      <c r="Q22" s="37">
        <f>'آتش سوزى'!Q22+باربرى!Q22+حوادث!Q22+'حوادث راننده'!Q22+'بدنه اتومبيل'!Q22+'شخص ثالث و مازاد'!Q22+درمان!Q22+كشتى!O22+هواپيما!O22+مسئوليت!Q22+مهندسى!Q22+پول!O22+اعتبار!Q22+'نفت و انرژی'!O22+'ساير انواع'!Q22</f>
        <v>23191.09</v>
      </c>
      <c r="R22" s="77">
        <f>'آتش سوزى'!R22+باربرى!R22+حوادث!R22+'حوادث راننده'!R22+'بدنه اتومبيل'!R22+'شخص ثالث و مازاد'!R22+درمان!R22+كشتى!P22+هواپيما!P22+مسئوليت!R22+مهندسى!R22+پول!P22+اعتبار!R22+'نفت و انرژی'!P22+'ساير انواع'!R22</f>
        <v>81820.100000000006</v>
      </c>
      <c r="S22" s="209">
        <v>1370</v>
      </c>
    </row>
    <row r="23" spans="1:19" ht="20.25" customHeight="1">
      <c r="A23" s="255">
        <f>'آتش سوزى'!A23+باربرى!A23+حوادث!A23+'حوادث راننده'!A23+'بدنه اتومبيل'!A23+'شخص ثالث و مازاد'!A23+درمان!A23+كشتى!A23+هواپيما!A23+مهندسى!A23+پول!A23+مسئوليت!A23+اعتبار!A23+'نفت و انرژی'!A23+'ساير انواع'!A23</f>
        <v>63.993699999999997</v>
      </c>
      <c r="B23" s="256">
        <f>'آتش سوزى'!B23+باربرى!B23+حوادث!B23+'حوادث راننده'!B23+'بدنه اتومبيل'!B23+'شخص ثالث و مازاد'!B23+درمان!B23+كشتى!B23+هواپيما!B23+مهندسى!B23+پول!B23+مسئوليت!B23+اعتبار!B23+'نفت و انرژی'!B23+'ساير انواع'!B23</f>
        <v>206.00290000000007</v>
      </c>
      <c r="C23" s="255">
        <f t="shared" si="0"/>
        <v>0</v>
      </c>
      <c r="D23" s="256">
        <f t="shared" si="1"/>
        <v>0</v>
      </c>
      <c r="E23" s="332"/>
      <c r="F23" s="333"/>
      <c r="G23" s="332"/>
      <c r="H23" s="333"/>
      <c r="I23" s="255">
        <f>'آتش سوزى'!I23+باربرى!I23+حوادث!I23+'حوادث راننده'!I23+'بدنه اتومبيل'!I23+'شخص ثالث و مازاد'!I23+درمان!I23+كشتى!G23+هواپيما!G23+مهندسى!I23+پول!G23+مسئوليت!I23+اعتبار!I23+'نفت و انرژی'!G23+'ساير انواع'!I23</f>
        <v>63.993699999999997</v>
      </c>
      <c r="J23" s="256">
        <f>'آتش سوزى'!J23+باربرى!J23+حوادث!J23+'حوادث راننده'!J23+'بدنه اتومبيل'!J23+'شخص ثالث و مازاد'!J23+درمان!J23+كشتى!H23+هواپيما!H23+مهندسى!J23+پول!H23+مسئوليت!J23+اعتبار!J23+'نفت و انرژی'!H23+'ساير انواع'!J23</f>
        <v>206.00290000000007</v>
      </c>
      <c r="K23" s="37">
        <f>'آتش سوزى'!K23+باربرى!K23+حوادث!K23+'حوادث راننده'!K23+'بدنه اتومبيل'!K23+'شخص ثالث و مازاد'!K23+درمان!K23+كشتى!I23+هواپيما!I23+مسئوليت!K23+مهندسى!K23+پول!I23+اعتبار!K23+'نفت و انرژی'!I23+'ساير انواع'!K23</f>
        <v>317</v>
      </c>
      <c r="L23" s="38">
        <f>'آتش سوزى'!L23+باربرى!L23+حوادث!L23+'حوادث راننده'!L23+'بدنه اتومبيل'!L23+'شخص ثالث و مازاد'!L23+درمان!L23+كشتى!J23+هواپيما!J23+مسئوليت!L23+مهندسى!L23+پول!J23+اعتبار!L23+'نفت و انرژی'!J23+'ساير انواع'!L23</f>
        <v>1172</v>
      </c>
      <c r="M23" s="37">
        <f>'آتش سوزى'!M23+باربرى!M23+حوادث!M23+'حوادث راننده'!M23+'بدنه اتومبيل'!M23+'شخص ثالث و مازاد'!M23+درمان!M23+كشتى!K23+هواپيما!K23+مسئوليت!M23+مهندسى!M23+پول!K23+اعتبار!M23+'نفت و انرژی'!K23+'ساير انواع'!M23</f>
        <v>5777</v>
      </c>
      <c r="N23" s="38">
        <f>'آتش سوزى'!N23+باربرى!N23+حوادث!N23+'حوادث راننده'!N23+'بدنه اتومبيل'!N23+'شخص ثالث و مازاد'!N23+درمان!N23+كشتى!L23+هواپيما!L23+مسئوليت!N23+مهندسى!N23+پول!L23+اعتبار!N23+'نفت و انرژی'!L23+'ساير انواع'!N23</f>
        <v>33709.9</v>
      </c>
      <c r="O23" s="37">
        <f>'آتش سوزى'!O23+باربرى!O23+حوادث!O23+'حوادث راننده'!O23+'بدنه اتومبيل'!O23+'شخص ثالث و مازاد'!O23+درمان!O23+كشتى!M23+هواپيما!M23+مسئوليت!O23+مهندسى!O23+پول!M23+اعتبار!O23+'نفت و انرژی'!M23+'ساير انواع'!O23</f>
        <v>16999.7</v>
      </c>
      <c r="P23" s="38">
        <f>'آتش سوزى'!P23+باربرى!P23+حوادث!P23+'حوادث راننده'!P23+'بدنه اتومبيل'!P23+'شخص ثالث و مازاد'!P23+درمان!P23+كشتى!N23+هواپيما!N23+مسئوليت!P23+مهندسى!P23+پول!N23+اعتبار!P23+'نفت و انرژی'!N23+'ساير انواع'!P23</f>
        <v>45616.4</v>
      </c>
      <c r="Q23" s="37">
        <f>'آتش سوزى'!Q23+باربرى!Q23+حوادث!Q23+'حوادث راننده'!Q23+'بدنه اتومبيل'!Q23+'شخص ثالث و مازاد'!Q23+درمان!Q23+كشتى!O23+هواپيما!O23+مسئوليت!Q23+مهندسى!Q23+پول!O23+اعتبار!Q23+'نفت و انرژی'!O23+'ساير انواع'!Q23</f>
        <v>40900</v>
      </c>
      <c r="R23" s="77">
        <f>'آتش سوزى'!R23+باربرى!R23+حوادث!R23+'حوادث راننده'!R23+'بدنه اتومبيل'!R23+'شخص ثالث و مازاد'!R23+درمان!R23+كشتى!P23+هواپيما!P23+مسئوليت!R23+مهندسى!R23+پول!P23+اعتبار!R23+'نفت و انرژی'!P23+'ساير انواع'!R23</f>
        <v>125504.60000000002</v>
      </c>
      <c r="S23" s="209">
        <v>1371</v>
      </c>
    </row>
    <row r="24" spans="1:19" ht="20.25" customHeight="1">
      <c r="A24" s="255">
        <f>'آتش سوزى'!A24+باربرى!A24+حوادث!A24+'حوادث راننده'!A24+'بدنه اتومبيل'!A24+'شخص ثالث و مازاد'!A24+درمان!A24+كشتى!A24+هواپيما!A24+مهندسى!A24+پول!A24+مسئوليت!A24+اعتبار!A24+'نفت و انرژی'!A24+'ساير انواع'!A24</f>
        <v>121.61834999999998</v>
      </c>
      <c r="B24" s="256">
        <f>'آتش سوزى'!B24+باربرى!B24+حوادث!B24+'حوادث راننده'!B24+'بدنه اتومبيل'!B24+'شخص ثالث و مازاد'!B24+درمان!B24+كشتى!B24+هواپيما!B24+مهندسى!B24+پول!B24+مسئوليت!B24+اعتبار!B24+'نفت و انرژی'!B24+'ساير انواع'!B24</f>
        <v>354.88250000000011</v>
      </c>
      <c r="C24" s="255">
        <f t="shared" si="0"/>
        <v>0</v>
      </c>
      <c r="D24" s="256">
        <f t="shared" si="1"/>
        <v>0</v>
      </c>
      <c r="E24" s="332"/>
      <c r="F24" s="333"/>
      <c r="G24" s="332"/>
      <c r="H24" s="333"/>
      <c r="I24" s="255">
        <f>'آتش سوزى'!I24+باربرى!I24+حوادث!I24+'حوادث راننده'!I24+'بدنه اتومبيل'!I24+'شخص ثالث و مازاد'!I24+درمان!I24+كشتى!G24+هواپيما!G24+مهندسى!I24+پول!G24+مسئوليت!I24+اعتبار!I24+'نفت و انرژی'!G24+'ساير انواع'!I24</f>
        <v>121.61834999999998</v>
      </c>
      <c r="J24" s="256">
        <f>'آتش سوزى'!J24+باربرى!J24+حوادث!J24+'حوادث راننده'!J24+'بدنه اتومبيل'!J24+'شخص ثالث و مازاد'!J24+درمان!J24+كشتى!H24+هواپيما!H24+مهندسى!J24+پول!H24+مسئوليت!J24+اعتبار!J24+'نفت و انرژی'!H24+'ساير انواع'!J24</f>
        <v>354.88250000000011</v>
      </c>
      <c r="K24" s="37">
        <f>'آتش سوزى'!K24+باربرى!K24+حوادث!K24+'حوادث راننده'!K24+'بدنه اتومبيل'!K24+'شخص ثالث و مازاد'!K24+درمان!K24+كشتى!I24+هواپيما!I24+مسئوليت!K24+مهندسى!K24+پول!I24+اعتبار!K24+'نفت و انرژی'!I24+'ساير انواع'!K24</f>
        <v>970</v>
      </c>
      <c r="L24" s="38">
        <f>'آتش سوزى'!L24+باربرى!L24+حوادث!L24+'حوادث راننده'!L24+'بدنه اتومبيل'!L24+'شخص ثالث و مازاد'!L24+درمان!L24+كشتى!J24+هواپيما!J24+مسئوليت!L24+مهندسى!L24+پول!J24+اعتبار!L24+'نفت و انرژی'!J24+'ساير انواع'!L24</f>
        <v>3491</v>
      </c>
      <c r="M24" s="37">
        <f>'آتش سوزى'!M24+باربرى!M24+حوادث!M24+'حوادث راننده'!M24+'بدنه اتومبيل'!M24+'شخص ثالث و مازاد'!M24+درمان!M24+كشتى!K24+هواپيما!K24+مسئوليت!M24+مهندسى!M24+پول!K24+اعتبار!M24+'نفت و انرژی'!K24+'ساير انواع'!M24</f>
        <v>8883</v>
      </c>
      <c r="N24" s="38">
        <f>'آتش سوزى'!N24+باربرى!N24+حوادث!N24+'حوادث راننده'!N24+'بدنه اتومبيل'!N24+'شخص ثالث و مازاد'!N24+درمان!N24+كشتى!L24+هواپيما!L24+مسئوليت!N24+مهندسى!N24+پول!L24+اعتبار!N24+'نفت و انرژی'!L24+'ساير انواع'!N24</f>
        <v>37034</v>
      </c>
      <c r="O24" s="37">
        <f>'آتش سوزى'!O24+باربرى!O24+حوادث!O24+'حوادث راننده'!O24+'بدنه اتومبيل'!O24+'شخص ثالث و مازاد'!O24+درمان!O24+كشتى!M24+هواپيما!M24+مسئوليت!O24+مهندسى!O24+پول!M24+اعتبار!O24+'نفت و انرژی'!M24+'ساير انواع'!O24</f>
        <v>28016.35</v>
      </c>
      <c r="P24" s="38">
        <f>'آتش سوزى'!P24+باربرى!P24+حوادث!P24+'حوادث راننده'!P24+'بدنه اتومبيل'!P24+'شخص ثالث و مازاد'!P24+درمان!P24+كشتى!N24+هواپيما!N24+مسئوليت!P24+مهندسى!P24+پول!N24+اعتبار!P24+'نفت و انرژی'!N24+'ساير انواع'!P24</f>
        <v>72226</v>
      </c>
      <c r="Q24" s="37">
        <f>'آتش سوزى'!Q24+باربرى!Q24+حوادث!Q24+'حوادث راننده'!Q24+'بدنه اتومبيل'!Q24+'شخص ثالث و مازاد'!Q24+درمان!Q24+كشتى!O24+هواپيما!O24+مسئوليت!Q24+مهندسى!Q24+پول!O24+اعتبار!Q24+'نفت و انرژی'!O24+'ساير انواع'!Q24</f>
        <v>83749</v>
      </c>
      <c r="R24" s="77">
        <f>'آتش سوزى'!R24+باربرى!R24+حوادث!R24+'حوادث راننده'!R24+'بدنه اتومبيل'!R24+'شخص ثالث و مازاد'!R24+درمان!R24+كشتى!P24+هواپيما!P24+مسئوليت!R24+مهندسى!R24+پول!P24+اعتبار!R24+'نفت و انرژی'!P24+'ساير انواع'!R24</f>
        <v>242131.5</v>
      </c>
      <c r="S24" s="209">
        <v>1372</v>
      </c>
    </row>
    <row r="25" spans="1:19" ht="20.25" customHeight="1">
      <c r="A25" s="255">
        <f>'آتش سوزى'!A25+باربرى!A25+حوادث!A25+'حوادث راننده'!A25+'بدنه اتومبيل'!A25+'شخص ثالث و مازاد'!A25+درمان!A25+كشتى!A25+هواپيما!A25+مهندسى!A25+پول!A25+مسئوليت!A25+اعتبار!A25+'نفت و انرژی'!A25+'ساير انواع'!A25</f>
        <v>201.30229999999997</v>
      </c>
      <c r="B25" s="256">
        <f>'آتش سوزى'!B25+باربرى!B25+حوادث!B25+'حوادث راننده'!B25+'بدنه اتومبيل'!B25+'شخص ثالث و مازاد'!B25+درمان!B25+كشتى!B25+هواپيما!B25+مهندسى!B25+پول!B25+مسئوليت!B25+اعتبار!B25+'نفت و انرژی'!B25+'ساير انواع'!B25</f>
        <v>476.78909999999996</v>
      </c>
      <c r="C25" s="255">
        <f t="shared" si="0"/>
        <v>0</v>
      </c>
      <c r="D25" s="256">
        <f t="shared" si="1"/>
        <v>0</v>
      </c>
      <c r="E25" s="332"/>
      <c r="F25" s="333"/>
      <c r="G25" s="332"/>
      <c r="H25" s="333"/>
      <c r="I25" s="255">
        <f>'آتش سوزى'!I25+باربرى!I25+حوادث!I25+'حوادث راننده'!I25+'بدنه اتومبيل'!I25+'شخص ثالث و مازاد'!I25+درمان!I25+كشتى!G25+هواپيما!G25+مهندسى!I25+پول!G25+مسئوليت!I25+اعتبار!I25+'نفت و انرژی'!G25+'ساير انواع'!I25</f>
        <v>201.30229999999997</v>
      </c>
      <c r="J25" s="256">
        <f>'آتش سوزى'!J25+باربرى!J25+حوادث!J25+'حوادث راننده'!J25+'بدنه اتومبيل'!J25+'شخص ثالث و مازاد'!J25+درمان!J25+كشتى!H25+هواپيما!H25+مهندسى!J25+پول!H25+مسئوليت!J25+اعتبار!J25+'نفت و انرژی'!H25+'ساير انواع'!J25</f>
        <v>476.78909999999996</v>
      </c>
      <c r="K25" s="37">
        <f>'آتش سوزى'!K25+باربرى!K25+حوادث!K25+'حوادث راننده'!K25+'بدنه اتومبيل'!K25+'شخص ثالث و مازاد'!K25+درمان!K25+كشتى!I25+هواپيما!I25+مسئوليت!K25+مهندسى!K25+پول!I25+اعتبار!K25+'نفت و انرژی'!I25+'ساير انواع'!K25</f>
        <v>5142</v>
      </c>
      <c r="L25" s="38">
        <f>'آتش سوزى'!L25+باربرى!L25+حوادث!L25+'حوادث راننده'!L25+'بدنه اتومبيل'!L25+'شخص ثالث و مازاد'!L25+درمان!L25+كشتى!J25+هواپيما!J25+مسئوليت!L25+مهندسى!L25+پول!J25+اعتبار!L25+'نفت و انرژی'!J25+'ساير انواع'!L25</f>
        <v>14457</v>
      </c>
      <c r="M25" s="37">
        <f>'آتش سوزى'!M25+باربرى!M25+حوادث!M25+'حوادث راننده'!M25+'بدنه اتومبيل'!M25+'شخص ثالث و مازاد'!M25+درمان!M25+كشتى!K25+هواپيما!K25+مسئوليت!M25+مهندسى!M25+پول!K25+اعتبار!M25+'نفت و انرژی'!K25+'ساير انواع'!M25</f>
        <v>13857</v>
      </c>
      <c r="N25" s="38">
        <f>'آتش سوزى'!N25+باربرى!N25+حوادث!N25+'حوادث راننده'!N25+'بدنه اتومبيل'!N25+'شخص ثالث و مازاد'!N25+درمان!N25+كشتى!L25+هواپيما!L25+مسئوليت!N25+مهندسى!N25+پول!L25+اعتبار!N25+'نفت و انرژی'!L25+'ساير انواع'!N25</f>
        <v>75792</v>
      </c>
      <c r="O25" s="37">
        <f>'آتش سوزى'!O25+باربرى!O25+حوادث!O25+'حوادث راننده'!O25+'بدنه اتومبيل'!O25+'شخص ثالث و مازاد'!O25+درمان!O25+كشتى!M25+هواپيما!M25+مسئوليت!O25+مهندسى!O25+پول!M25+اعتبار!O25+'نفت و انرژی'!M25+'ساير انواع'!O25</f>
        <v>61437</v>
      </c>
      <c r="P25" s="38">
        <f>'آتش سوزى'!P25+باربرى!P25+حوادث!P25+'حوادث راننده'!P25+'بدنه اتومبيل'!P25+'شخص ثالث و مازاد'!P25+درمان!P25+كشتى!N25+هواپيما!N25+مسئوليت!P25+مهندسى!P25+پول!N25+اعتبار!P25+'نفت و انرژی'!N25+'ساير انواع'!P25</f>
        <v>112288</v>
      </c>
      <c r="Q25" s="37">
        <f>'آتش سوزى'!Q25+باربرى!Q25+حوادث!Q25+'حوادث راننده'!Q25+'بدنه اتومبيل'!Q25+'شخص ثالث و مازاد'!Q25+درمان!Q25+كشتى!O25+هواپيما!O25+مسئوليت!Q25+مهندسى!Q25+پول!O25+اعتبار!Q25+'نفت و انرژی'!O25+'ساير انواع'!Q25</f>
        <v>120866.3</v>
      </c>
      <c r="R25" s="77">
        <f>'آتش سوزى'!R25+باربرى!R25+حوادث!R25+'حوادث راننده'!R25+'بدنه اتومبيل'!R25+'شخص ثالث و مازاد'!R25+درمان!R25+كشتى!P25+هواپيما!P25+مسئوليت!R25+مهندسى!R25+پول!P25+اعتبار!R25+'نفت و انرژی'!P25+'ساير انواع'!R25</f>
        <v>274252.09999999998</v>
      </c>
      <c r="S25" s="209">
        <v>1373</v>
      </c>
    </row>
    <row r="26" spans="1:19" ht="20.25" customHeight="1">
      <c r="A26" s="255">
        <f>'آتش سوزى'!A26+باربرى!A26+حوادث!A26+'حوادث راننده'!A26+'بدنه اتومبيل'!A26+'شخص ثالث و مازاد'!A26+درمان!A26+كشتى!A26+هواپيما!A26+مهندسى!A26+پول!A26+مسئوليت!A26+اعتبار!A26+'نفت و انرژی'!A26+'ساير انواع'!A26</f>
        <v>398.53092100000003</v>
      </c>
      <c r="B26" s="256">
        <f>'آتش سوزى'!B26+باربرى!B26+حوادث!B26+'حوادث راننده'!B26+'بدنه اتومبيل'!B26+'شخص ثالث و مازاد'!B26+درمان!B26+كشتى!B26+هواپيما!B26+مهندسى!B26+پول!B26+مسئوليت!B26+اعتبار!B26+'نفت و انرژی'!B26+'ساير انواع'!B26</f>
        <v>825.87189991599996</v>
      </c>
      <c r="C26" s="255">
        <f t="shared" si="0"/>
        <v>5.2099999999200008E-4</v>
      </c>
      <c r="D26" s="256">
        <f t="shared" si="1"/>
        <v>0.51759991599999466</v>
      </c>
      <c r="E26" s="332"/>
      <c r="F26" s="333"/>
      <c r="G26" s="332"/>
      <c r="H26" s="333"/>
      <c r="I26" s="255">
        <f>'آتش سوزى'!I26+باربرى!I26+حوادث!I26+'حوادث راننده'!I26+'بدنه اتومبيل'!I26+'شخص ثالث و مازاد'!I26+درمان!I26+كشتى!G26+هواپيما!G26+مهندسى!I26+پول!G26+مسئوليت!I26+اعتبار!I26+'نفت و انرژی'!G26+'ساير انواع'!I26</f>
        <v>398.53040000000004</v>
      </c>
      <c r="J26" s="256">
        <f>'آتش سوزى'!J26+باربرى!J26+حوادث!J26+'حوادث راننده'!J26+'بدنه اتومبيل'!J26+'شخص ثالث و مازاد'!J26+درمان!J26+كشتى!H26+هواپيما!H26+مهندسى!J26+پول!H26+مسئوليت!J26+اعتبار!J26+'نفت و انرژی'!H26+'ساير انواع'!J26</f>
        <v>825.35429999999997</v>
      </c>
      <c r="K26" s="37">
        <f>'آتش سوزى'!K26+باربرى!K26+حوادث!K26+'حوادث راننده'!K26+'بدنه اتومبيل'!K26+'شخص ثالث و مازاد'!K26+درمان!K26+كشتى!I26+هواپيما!I26+مسئوليت!K26+مهندسى!K26+پول!I26+اعتبار!K26+'نفت و انرژی'!I26+'ساير انواع'!K26</f>
        <v>38860</v>
      </c>
      <c r="L26" s="38">
        <f>'آتش سوزى'!L26+باربرى!L26+حوادث!L26+'حوادث راننده'!L26+'بدنه اتومبيل'!L26+'شخص ثالث و مازاد'!L26+درمان!L26+كشتى!J26+هواپيما!J26+مسئوليت!L26+مهندسى!L26+پول!J26+اعتبار!L26+'نفت و انرژی'!J26+'ساير انواع'!L26</f>
        <v>73478</v>
      </c>
      <c r="M26" s="37">
        <f>'آتش سوزى'!M26+باربرى!M26+حوادث!M26+'حوادث راننده'!M26+'بدنه اتومبيل'!M26+'شخص ثالث و مازاد'!M26+درمان!M26+كشتى!K26+هواپيما!K26+مسئوليت!M26+مهندسى!M26+پول!K26+اعتبار!M26+'نفت و انرژی'!K26+'ساير انواع'!M26</f>
        <v>31613.1</v>
      </c>
      <c r="N26" s="38">
        <f>'آتش سوزى'!N26+باربرى!N26+حوادث!N26+'حوادث راننده'!N26+'بدنه اتومبيل'!N26+'شخص ثالث و مازاد'!N26+درمان!N26+كشتى!L26+هواپيما!L26+مسئوليت!N26+مهندسى!N26+پول!L26+اعتبار!N26+'نفت و انرژی'!L26+'ساير انواع'!N26</f>
        <v>95224.4</v>
      </c>
      <c r="O26" s="37">
        <f>'آتش سوزى'!O26+باربرى!O26+حوادث!O26+'حوادث راننده'!O26+'بدنه اتومبيل'!O26+'شخص ثالث و مازاد'!O26+درمان!O26+كشتى!M26+هواپيما!M26+مسئوليت!O26+مهندسى!O26+پول!M26+اعتبار!O26+'نفت و انرژی'!M26+'ساير انواع'!O26</f>
        <v>112275</v>
      </c>
      <c r="P26" s="38">
        <f>'آتش سوزى'!P26+باربرى!P26+حوادث!P26+'حوادث راننده'!P26+'بدنه اتومبيل'!P26+'شخص ثالث و مازاد'!P26+درمان!P26+كشتى!N26+هواپيما!N26+مسئوليت!P26+مهندسى!P26+پول!N26+اعتبار!P26+'نفت و انرژی'!N26+'ساير انواع'!P26</f>
        <v>188968.9</v>
      </c>
      <c r="Q26" s="37">
        <f>'آتش سوزى'!Q26+باربرى!Q26+حوادث!Q26+'حوادث راننده'!Q26+'بدنه اتومبيل'!Q26+'شخص ثالث و مازاد'!Q26+درمان!Q26+كشتى!O26+هواپيما!O26+مسئوليت!Q26+مهندسى!Q26+پول!O26+اعتبار!Q26+'نفت و انرژی'!O26+'ساير انواع'!Q26</f>
        <v>215782.3</v>
      </c>
      <c r="R26" s="77">
        <f>'آتش سوزى'!R26+باربرى!R26+حوادث!R26+'حوادث راننده'!R26+'بدنه اتومبيل'!R26+'شخص ثالث و مازاد'!R26+درمان!R26+كشتى!P26+هواپيما!P26+مسئوليت!R26+مهندسى!R26+پول!P26+اعتبار!R26+'نفت و انرژی'!P26+'ساير انواع'!R26</f>
        <v>467683</v>
      </c>
      <c r="S26" s="209">
        <v>1374</v>
      </c>
    </row>
    <row r="27" spans="1:19" ht="20.25" customHeight="1">
      <c r="A27" s="255">
        <f>'آتش سوزى'!A27+باربرى!A27+حوادث!A27+'حوادث راننده'!A27+'بدنه اتومبيل'!A27+'شخص ثالث و مازاد'!A27+درمان!A27+كشتى!A27+هواپيما!A27+مهندسى!A27+پول!A27+مسئوليت!A27+اعتبار!A27+'نفت و انرژی'!A27+'ساير انواع'!A27</f>
        <v>710.30499999999995</v>
      </c>
      <c r="B27" s="256">
        <f>'آتش سوزى'!B27+باربرى!B27+حوادث!B27+'حوادث راننده'!B27+'بدنه اتومبيل'!B27+'شخص ثالث و مازاد'!B27+درمان!B27+كشتى!B27+هواپيما!B27+مهندسى!B27+پول!B27+مسئوليت!B27+اعتبار!B27+'نفت و انرژی'!B27+'ساير انواع'!B27</f>
        <v>1221.5129999999997</v>
      </c>
      <c r="C27" s="255">
        <f t="shared" si="0"/>
        <v>0</v>
      </c>
      <c r="D27" s="256">
        <f t="shared" si="1"/>
        <v>33.578999999999951</v>
      </c>
      <c r="E27" s="332"/>
      <c r="F27" s="333"/>
      <c r="G27" s="332"/>
      <c r="H27" s="333"/>
      <c r="I27" s="255">
        <f>'آتش سوزى'!I27+باربرى!I27+حوادث!I27+'حوادث راننده'!I27+'بدنه اتومبيل'!I27+'شخص ثالث و مازاد'!I27+درمان!I27+كشتى!G27+هواپيما!G27+مهندسى!I27+پول!G27+مسئوليت!I27+اعتبار!I27+'نفت و انرژی'!G27+'ساير انواع'!I27</f>
        <v>710.30499999999995</v>
      </c>
      <c r="J27" s="256">
        <f>'آتش سوزى'!J27+باربرى!J27+حوادث!J27+'حوادث راننده'!J27+'بدنه اتومبيل'!J27+'شخص ثالث و مازاد'!J27+درمان!J27+كشتى!H27+هواپيما!H27+مهندسى!J27+پول!H27+مسئوليت!J27+اعتبار!J27+'نفت و انرژی'!H27+'ساير انواع'!J27</f>
        <v>1187.9339999999997</v>
      </c>
      <c r="K27" s="37">
        <f>'آتش سوزى'!K27+باربرى!K27+حوادث!K27+'حوادث راننده'!K27+'بدنه اتومبيل'!K27+'شخص ثالث و مازاد'!K27+درمان!K27+كشتى!I27+هواپيما!I27+مسئوليت!K27+مهندسى!K27+پول!I27+اعتبار!K27+'نفت و انرژی'!I27+'ساير انواع'!K27</f>
        <v>61099</v>
      </c>
      <c r="L27" s="38">
        <f>'آتش سوزى'!L27+باربرى!L27+حوادث!L27+'حوادث راننده'!L27+'بدنه اتومبيل'!L27+'شخص ثالث و مازاد'!L27+درمان!L27+كشتى!J27+هواپيما!J27+مسئوليت!L27+مهندسى!L27+پول!J27+اعتبار!L27+'نفت و انرژی'!J27+'ساير انواع'!L27</f>
        <v>91371</v>
      </c>
      <c r="M27" s="37">
        <f>'آتش سوزى'!M27+باربرى!M27+حوادث!M27+'حوادث راننده'!M27+'بدنه اتومبيل'!M27+'شخص ثالث و مازاد'!M27+درمان!M27+كشتى!K27+هواپيما!K27+مسئوليت!M27+مهندسى!M27+پول!K27+اعتبار!M27+'نفت و انرژی'!K27+'ساير انواع'!M27</f>
        <v>51799</v>
      </c>
      <c r="N27" s="38">
        <f>'آتش سوزى'!N27+باربرى!N27+حوادث!N27+'حوادث راننده'!N27+'بدنه اتومبيل'!N27+'شخص ثالث و مازاد'!N27+درمان!N27+كشتى!L27+هواپيما!L27+مسئوليت!N27+مهندسى!N27+پول!L27+اعتبار!N27+'نفت و انرژی'!L27+'ساير انواع'!N27</f>
        <v>146027</v>
      </c>
      <c r="O27" s="37">
        <f>'آتش سوزى'!O27+باربرى!O27+حوادث!O27+'حوادث راننده'!O27+'بدنه اتومبيل'!O27+'شخص ثالث و مازاد'!O27+درمان!O27+كشتى!M27+هواپيما!M27+مسئوليت!O27+مهندسى!O27+پول!M27+اعتبار!O27+'نفت و انرژی'!M27+'ساير انواع'!O27</f>
        <v>187181</v>
      </c>
      <c r="P27" s="38">
        <f>'آتش سوزى'!P27+باربرى!P27+حوادث!P27+'حوادث راننده'!P27+'بدنه اتومبيل'!P27+'شخص ثالث و مازاد'!P27+درمان!P27+كشتى!N27+هواپيما!N27+مسئوليت!P27+مهندسى!P27+پول!N27+اعتبار!P27+'نفت و انرژی'!N27+'ساير انواع'!P27</f>
        <v>269612</v>
      </c>
      <c r="Q27" s="37">
        <f>'آتش سوزى'!Q27+باربرى!Q27+حوادث!Q27+'حوادث راننده'!Q27+'بدنه اتومبيل'!Q27+'شخص ثالث و مازاد'!Q27+درمان!Q27+كشتى!O27+هواپيما!O27+مسئوليت!Q27+مهندسى!Q27+پول!O27+اعتبار!Q27+'نفت و انرژی'!O27+'ساير انواع'!Q27</f>
        <v>410226</v>
      </c>
      <c r="R27" s="77">
        <f>'آتش سوزى'!R27+باربرى!R27+حوادث!R27+'حوادث راننده'!R27+'بدنه اتومبيل'!R27+'شخص ثالث و مازاد'!R27+درمان!R27+كشتى!P27+هواپيما!P27+مسئوليت!R27+مهندسى!R27+پول!P27+اعتبار!R27+'نفت و انرژی'!P27+'ساير انواع'!R27</f>
        <v>680924</v>
      </c>
      <c r="S27" s="209">
        <v>1375</v>
      </c>
    </row>
    <row r="28" spans="1:19" ht="20.25" customHeight="1">
      <c r="A28" s="255">
        <f>'آتش سوزى'!A28+باربرى!A28+حوادث!A28+'حوادث راننده'!A28+'بدنه اتومبيل'!A28+'شخص ثالث و مازاد'!A28+درمان!A28+كشتى!A28+هواپيما!A28+مهندسى!A28+پول!A28+مسئوليت!A28+اعتبار!A28+'نفت و انرژی'!A28+'ساير انواع'!A28</f>
        <v>912.10730000000012</v>
      </c>
      <c r="B28" s="256">
        <f>'آتش سوزى'!B28+باربرى!B28+حوادث!B28+'حوادث راننده'!B28+'بدنه اتومبيل'!B28+'شخص ثالث و مازاد'!B28+درمان!B28+كشتى!B28+هواپيما!B28+مهندسى!B28+پول!B28+مسئوليت!B28+اعتبار!B28+'نفت و انرژی'!B28+'ساير انواع'!B28</f>
        <v>1401.5170000000001</v>
      </c>
      <c r="C28" s="255">
        <f t="shared" si="0"/>
        <v>3.9500000000000455</v>
      </c>
      <c r="D28" s="256">
        <f t="shared" si="1"/>
        <v>7.3689999999999145</v>
      </c>
      <c r="E28" s="332"/>
      <c r="F28" s="333"/>
      <c r="G28" s="332"/>
      <c r="H28" s="333"/>
      <c r="I28" s="255">
        <f>'آتش سوزى'!I28+باربرى!I28+حوادث!I28+'حوادث راننده'!I28+'بدنه اتومبيل'!I28+'شخص ثالث و مازاد'!I28+درمان!I28+كشتى!G28+هواپيما!G28+مهندسى!I28+پول!G28+مسئوليت!I28+اعتبار!I28+'نفت و انرژی'!G28+'ساير انواع'!I28</f>
        <v>908.15730000000008</v>
      </c>
      <c r="J28" s="256">
        <f>'آتش سوزى'!J28+باربرى!J28+حوادث!J28+'حوادث راننده'!J28+'بدنه اتومبيل'!J28+'شخص ثالث و مازاد'!J28+درمان!J28+كشتى!H28+هواپيما!H28+مهندسى!J28+پول!H28+مسئوليت!J28+اعتبار!J28+'نفت و انرژی'!H28+'ساير انواع'!J28</f>
        <v>1394.1480000000001</v>
      </c>
      <c r="K28" s="37">
        <f>'آتش سوزى'!K28+باربرى!K28+حوادث!K28+'حوادث راننده'!K28+'بدنه اتومبيل'!K28+'شخص ثالث و مازاد'!K28+درمان!K28+كشتى!I28+هواپيما!I28+مسئوليت!K28+مهندسى!K28+پول!I28+اعتبار!K28+'نفت و انرژی'!I28+'ساير انواع'!K28</f>
        <v>70063</v>
      </c>
      <c r="L28" s="38">
        <f>'آتش سوزى'!L28+باربرى!L28+حوادث!L28+'حوادث راننده'!L28+'بدنه اتومبيل'!L28+'شخص ثالث و مازاد'!L28+درمان!L28+كشتى!J28+هواپيما!J28+مسئوليت!L28+مهندسى!L28+پول!J28+اعتبار!L28+'نفت و انرژی'!J28+'ساير انواع'!L28</f>
        <v>95646</v>
      </c>
      <c r="M28" s="37">
        <f>'آتش سوزى'!M28+باربرى!M28+حوادث!M28+'حوادث راننده'!M28+'بدنه اتومبيل'!M28+'شخص ثالث و مازاد'!M28+درمان!M28+كشتى!K28+هواپيما!K28+مسئوليت!M28+مهندسى!M28+پول!K28+اعتبار!M28+'نفت و انرژی'!K28+'ساير انواع'!M28</f>
        <v>92472.1</v>
      </c>
      <c r="N28" s="38">
        <f>'آتش سوزى'!N28+باربرى!N28+حوادث!N28+'حوادث راننده'!N28+'بدنه اتومبيل'!N28+'شخص ثالث و مازاد'!N28+درمان!N28+كشتى!L28+هواپيما!L28+مسئوليت!N28+مهندسى!N28+پول!L28+اعتبار!N28+'نفت و انرژی'!L28+'ساير انواع'!N28</f>
        <v>168451</v>
      </c>
      <c r="O28" s="37">
        <f>'آتش سوزى'!O28+باربرى!O28+حوادث!O28+'حوادث راننده'!O28+'بدنه اتومبيل'!O28+'شخص ثالث و مازاد'!O28+درمان!O28+كشتى!M28+هواپيما!M28+مسئوليت!O28+مهندسى!O28+پول!M28+اعتبار!O28+'نفت و انرژی'!M28+'ساير انواع'!O28</f>
        <v>234687.1</v>
      </c>
      <c r="P28" s="38">
        <f>'آتش سوزى'!P28+باربرى!P28+حوادث!P28+'حوادث راننده'!P28+'بدنه اتومبيل'!P28+'شخص ثالث و مازاد'!P28+درمان!P28+كشتى!N28+هواپيما!N28+مسئوليت!P28+مهندسى!P28+پول!N28+اعتبار!P28+'نفت و انرژی'!N28+'ساير انواع'!P28</f>
        <v>311800</v>
      </c>
      <c r="Q28" s="37">
        <f>'آتش سوزى'!Q28+باربرى!Q28+حوادث!Q28+'حوادث راننده'!Q28+'بدنه اتومبيل'!Q28+'شخص ثالث و مازاد'!Q28+درمان!Q28+كشتى!O28+هواپيما!O28+مسئوليت!Q28+مهندسى!Q28+پول!O28+اعتبار!Q28+'نفت و انرژی'!O28+'ساير انواع'!Q28</f>
        <v>510935.1</v>
      </c>
      <c r="R28" s="77">
        <f>'آتش سوزى'!R28+باربرى!R28+حوادث!R28+'حوادث راننده'!R28+'بدنه اتومبيل'!R28+'شخص ثالث و مازاد'!R28+درمان!R28+كشتى!P28+هواپيما!P28+مسئوليت!R28+مهندسى!R28+پول!P28+اعتبار!R28+'نفت و انرژی'!P28+'ساير انواع'!R28</f>
        <v>818251</v>
      </c>
      <c r="S28" s="209">
        <v>1376</v>
      </c>
    </row>
    <row r="29" spans="1:19" ht="20.25" customHeight="1">
      <c r="A29" s="255">
        <f>'آتش سوزى'!A29+باربرى!A29+حوادث!A29+'حوادث راننده'!A29+'بدنه اتومبيل'!A29+'شخص ثالث و مازاد'!A29+درمان!A29+كشتى!A29+هواپيما!A29+مهندسى!A29+پول!A29+مسئوليت!A29+اعتبار!A29+'نفت و انرژی'!A29+'ساير انواع'!A29</f>
        <v>1153.2202826759999</v>
      </c>
      <c r="B29" s="256">
        <f>'آتش سوزى'!B29+باربرى!B29+حوادث!B29+'حوادث راننده'!B29+'بدنه اتومبيل'!B29+'شخص ثالث و مازاد'!B29+درمان!B29+كشتى!B29+هواپيما!B29+مهندسى!B29+پول!B29+مسئوليت!B29+اعتبار!B29+'نفت و انرژی'!B29+'ساير انواع'!B29</f>
        <v>1801.3317399999999</v>
      </c>
      <c r="C29" s="255">
        <f t="shared" si="0"/>
        <v>6.1649999999997362</v>
      </c>
      <c r="D29" s="256">
        <f t="shared" si="1"/>
        <v>15.028999999999996</v>
      </c>
      <c r="E29" s="332"/>
      <c r="F29" s="333"/>
      <c r="G29" s="332"/>
      <c r="H29" s="333"/>
      <c r="I29" s="255">
        <f>'آتش سوزى'!I29+باربرى!I29+حوادث!I29+'حوادث راننده'!I29+'بدنه اتومبيل'!I29+'شخص ثالث و مازاد'!I29+درمان!I29+كشتى!G29+هواپيما!G29+مهندسى!I29+پول!G29+مسئوليت!I29+اعتبار!I29+'نفت و انرژی'!G29+'ساير انواع'!I29</f>
        <v>1147.0552826760002</v>
      </c>
      <c r="J29" s="256">
        <f>'آتش سوزى'!J29+باربرى!J29+حوادث!J29+'حوادث راننده'!J29+'بدنه اتومبيل'!J29+'شخص ثالث و مازاد'!J29+درمان!J29+كشتى!H29+هواپيما!H29+مهندسى!J29+پول!H29+مسئوليت!J29+اعتبار!J29+'نفت و انرژی'!H29+'ساير انواع'!J29</f>
        <v>1786.3027399999999</v>
      </c>
      <c r="K29" s="37">
        <f>'آتش سوزى'!K29+باربرى!K29+حوادث!K29+'حوادث راننده'!K29+'بدنه اتومبيل'!K29+'شخص ثالث و مازاد'!K29+درمان!K29+كشتى!I29+هواپيما!I29+مسئوليت!K29+مهندسى!K29+پول!I29+اعتبار!K29+'نفت و انرژی'!I29+'ساير انواع'!K29</f>
        <v>108961.545388</v>
      </c>
      <c r="L29" s="38">
        <f>'آتش سوزى'!L29+باربرى!L29+حوادث!L29+'حوادث راننده'!L29+'بدنه اتومبيل'!L29+'شخص ثالث و مازاد'!L29+درمان!L29+كشتى!J29+هواپيما!J29+مسئوليت!L29+مهندسى!L29+پول!J29+اعتبار!L29+'نفت و انرژی'!J29+'ساير انواع'!L29</f>
        <v>177276.72</v>
      </c>
      <c r="M29" s="37">
        <f>'آتش سوزى'!M29+باربرى!M29+حوادث!M29+'حوادث راننده'!M29+'بدنه اتومبيل'!M29+'شخص ثالث و مازاد'!M29+درمان!M29+كشتى!K29+هواپيما!K29+مسئوليت!M29+مهندسى!M29+پول!K29+اعتبار!M29+'نفت و انرژی'!K29+'ساير انواع'!M29</f>
        <v>71838.960227999996</v>
      </c>
      <c r="N29" s="38">
        <f>'آتش سوزى'!N29+باربرى!N29+حوادث!N29+'حوادث راننده'!N29+'بدنه اتومبيل'!N29+'شخص ثالث و مازاد'!N29+درمان!N29+كشتى!L29+هواپيما!L29+مسئوليت!N29+مهندسى!N29+پول!L29+اعتبار!N29+'نفت و انرژی'!L29+'ساير انواع'!N29</f>
        <v>188158.28999999998</v>
      </c>
      <c r="O29" s="37">
        <f>'آتش سوزى'!O29+باربرى!O29+حوادث!O29+'حوادث راننده'!O29+'بدنه اتومبيل'!O29+'شخص ثالث و مازاد'!O29+درمان!O29+كشتى!M29+هواپيما!M29+مسئوليت!O29+مهندسى!O29+پول!M29+اعتبار!O29+'نفت و انرژی'!M29+'ساير انواع'!O29</f>
        <v>295914.26039199997</v>
      </c>
      <c r="P29" s="38">
        <f>'آتش سوزى'!P29+باربرى!P29+حوادث!P29+'حوادث راننده'!P29+'بدنه اتومبيل'!P29+'شخص ثالث و مازاد'!P29+درمان!P29+كشتى!N29+هواپيما!N29+مسئوليت!P29+مهندسى!P29+پول!N29+اعتبار!P29+'نفت و انرژی'!N29+'ساير انواع'!P29</f>
        <v>406162.07</v>
      </c>
      <c r="Q29" s="37">
        <f>'آتش سوزى'!Q29+باربرى!Q29+حوادث!Q29+'حوادث راننده'!Q29+'بدنه اتومبيل'!Q29+'شخص ثالث و مازاد'!Q29+درمان!Q29+كشتى!O29+هواپيما!O29+مسئوليت!Q29+مهندسى!Q29+پول!O29+اعتبار!Q29+'نفت و انرژی'!O29+'ساير انواع'!Q29</f>
        <v>670340.51666800003</v>
      </c>
      <c r="R29" s="77">
        <f>'آتش سوزى'!R29+باربرى!R29+حوادث!R29+'حوادث راننده'!R29+'بدنه اتومبيل'!R29+'شخص ثالث و مازاد'!R29+درمان!R29+كشتى!P29+هواپيما!P29+مسئوليت!R29+مهندسى!R29+پول!P29+اعتبار!R29+'نفت و انرژی'!P29+'ساير انواع'!R29</f>
        <v>1014705.66</v>
      </c>
      <c r="S29" s="209">
        <v>1377</v>
      </c>
    </row>
    <row r="30" spans="1:19" ht="20.25" customHeight="1">
      <c r="A30" s="255">
        <f>'آتش سوزى'!A30+باربرى!A30+حوادث!A30+'حوادث راننده'!A30+'بدنه اتومبيل'!A30+'شخص ثالث و مازاد'!A30+درمان!A30+كشتى!A30+هواپيما!A30+مهندسى!A30+پول!A30+مسئوليت!A30+اعتبار!A30+'نفت و انرژی'!A30+'ساير انواع'!A30</f>
        <v>1578.1177518880004</v>
      </c>
      <c r="B30" s="256">
        <f>'آتش سوزى'!B30+باربرى!B30+حوادث!B30+'حوادث راننده'!B30+'بدنه اتومبيل'!B30+'شخص ثالث و مازاد'!B30+درمان!B30+كشتى!B30+هواپيما!B30+مهندسى!B30+پول!B30+مسئوليت!B30+اعتبار!B30+'نفت و انرژی'!B30+'ساير انواع'!B30</f>
        <v>3183.9200631400013</v>
      </c>
      <c r="C30" s="255">
        <f t="shared" si="0"/>
        <v>-1.6800981119997687</v>
      </c>
      <c r="D30" s="256">
        <f t="shared" si="1"/>
        <v>495.78379619200086</v>
      </c>
      <c r="E30" s="362"/>
      <c r="F30" s="363"/>
      <c r="G30" s="362"/>
      <c r="H30" s="363"/>
      <c r="I30" s="255">
        <f>'آتش سوزى'!I30+باربرى!I30+حوادث!I30+'حوادث راننده'!I30+'بدنه اتومبيل'!I30+'شخص ثالث و مازاد'!I30+درمان!I30+كشتى!G30+هواپيما!G30+مهندسى!I30+پول!G30+مسئوليت!I30+اعتبار!I30+'نفت و انرژی'!G30+'ساير انواع'!I30</f>
        <v>1579.7978500000002</v>
      </c>
      <c r="J30" s="256">
        <f>'آتش سوزى'!J30+باربرى!J30+حوادث!J30+'حوادث راننده'!J30+'بدنه اتومبيل'!J30+'شخص ثالث و مازاد'!J30+درمان!J30+كشتى!H30+هواپيما!H30+مهندسى!J30+پول!H30+مسئوليت!J30+اعتبار!J30+'نفت و انرژی'!H30+'ساير انواع'!J30</f>
        <v>2688.1362669480004</v>
      </c>
      <c r="K30" s="78">
        <f>'آتش سوزى'!K30+باربرى!K30+حوادث!K30+'حوادث راننده'!K30+'بدنه اتومبيل'!K30+'شخص ثالث و مازاد'!K30+درمان!K30+كشتى!I30+هواپيما!I30+مسئوليت!K30+مهندسى!K30+پول!I30+اعتبار!K30+'ساير انواع'!K30</f>
        <v>236842.33000000005</v>
      </c>
      <c r="L30" s="21">
        <f>'آتش سوزى'!L30+باربرى!L30+حوادث!L30+'حوادث راننده'!L30+'بدنه اتومبيل'!L30+'شخص ثالث و مازاد'!L30+درمان!L30+كشتى!J30+هواپيما!J30+مسئوليت!L30+مهندسى!L30+پول!J30+اعتبار!L30+'ساير انواع'!L30</f>
        <v>409426.22964400001</v>
      </c>
      <c r="M30" s="20">
        <f>'آتش سوزى'!M30+باربرى!M30+حوادث!M30+'حوادث راننده'!M30+'بدنه اتومبيل'!M30+'شخص ثالث و مازاد'!M30+درمان!M30+كشتى!K30+هواپيما!K30+مسئوليت!M30+مهندسى!M30+پول!K30+اعتبار!M30+'ساير انواع'!M30</f>
        <v>95385.51999999999</v>
      </c>
      <c r="N30" s="21">
        <f>'آتش سوزى'!N30+باربرى!N30+حوادث!N30+'حوادث راننده'!N30+'بدنه اتومبيل'!N30+'شخص ثالث و مازاد'!N30+درمان!N30+كشتى!L30+هواپيما!L30+مسئوليت!N30+مهندسى!N30+پول!L30+اعتبار!N30+'ساير انواع'!N30</f>
        <v>254007.23999999996</v>
      </c>
      <c r="O30" s="78">
        <f>'آتش سوزى'!O30+باربرى!O30+حوادث!O30+'حوادث راننده'!O30+'بدنه اتومبيل'!O30+'شخص ثالث و مازاد'!O30+درمان!O30+كشتى!M30+هواپيما!M30+مسئوليت!O30+مهندسى!O30+پول!M30+اعتبار!O30+'ساير انواع'!O30</f>
        <v>359853.90000000008</v>
      </c>
      <c r="P30" s="79">
        <f>'آتش سوزى'!P30+باربرى!P30+حوادث!P30+'حوادث راننده'!P30+'بدنه اتومبيل'!P30+'شخص ثالث و مازاد'!P30+درمان!P30+كشتى!N30+هواپيما!N30+مسئوليت!P30+مهندسى!P30+پول!N30+اعتبار!P30+'ساير انواع'!P30</f>
        <v>578049.60999999975</v>
      </c>
      <c r="Q30" s="20">
        <f>'آتش سوزى'!Q30+باربرى!Q30+حوادث!Q30+'حوادث راننده'!Q30+'بدنه اتومبيل'!Q30+'شخص ثالث و مازاد'!Q30+درمان!Q30+كشتى!O30+هواپيما!O30+مسئوليت!Q30+مهندسى!Q30+پول!O30+اعتبار!Q30+'ساير انواع'!Q30</f>
        <v>887716.10000000009</v>
      </c>
      <c r="R30" s="79">
        <f>'آتش سوزى'!R30+باربرى!R30+حوادث!R30+'حوادث راننده'!R30+'بدنه اتومبيل'!R30+'شخص ثالث و مازاد'!R30+درمان!R30+كشتى!P30+هواپيما!P30+مسئوليت!R30+مهندسى!R30+پول!P30+اعتبار!R30+'ساير انواع'!R30</f>
        <v>1441222.83</v>
      </c>
      <c r="S30" s="210">
        <v>1378</v>
      </c>
    </row>
    <row r="31" spans="1:19" ht="20.25" customHeight="1">
      <c r="A31" s="255">
        <f>'آتش سوزى'!A31+باربرى!A31+حوادث!A31+'حوادث راننده'!A31+'بدنه اتومبيل'!A31+'شخص ثالث و مازاد'!A31+درمان!A31+كشتى!A31+هواپيما!A31+مهندسى!A31+پول!A31+مسئوليت!A31+اعتبار!A31+'نفت و انرژی'!A31+'ساير انواع'!A31</f>
        <v>2178.1164399999998</v>
      </c>
      <c r="B31" s="256">
        <f>'آتش سوزى'!B31+باربرى!B31+حوادث!B31+'حوادث راننده'!B31+'بدنه اتومبيل'!B31+'شخص ثالث و مازاد'!B31+درمان!B31+كشتى!B31+هواپيما!B31+مهندسى!B31+پول!B31+مسئوليت!B31+اعتبار!B31+'نفت و انرژی'!B31+'ساير انواع'!B31</f>
        <v>4307.7683936499998</v>
      </c>
      <c r="C31" s="255">
        <f t="shared" si="0"/>
        <v>16.537399999999707</v>
      </c>
      <c r="D31" s="256">
        <f t="shared" si="1"/>
        <v>835.92931928499956</v>
      </c>
      <c r="E31" s="362"/>
      <c r="F31" s="364"/>
      <c r="G31" s="362"/>
      <c r="H31" s="364"/>
      <c r="I31" s="255">
        <f>'آتش سوزى'!I31+باربرى!I31+حوادث!I31+'حوادث راننده'!I31+'بدنه اتومبيل'!I31+'شخص ثالث و مازاد'!I31+درمان!I31+كشتى!G31+هواپيما!G31+مهندسى!I31+پول!G31+مسئوليت!I31+اعتبار!I31+'نفت و انرژی'!G31+'ساير انواع'!I31</f>
        <v>2161.5790400000001</v>
      </c>
      <c r="J31" s="256">
        <f>'آتش سوزى'!J31+باربرى!J31+حوادث!J31+'حوادث راننده'!J31+'بدنه اتومبيل'!J31+'شخص ثالث و مازاد'!J31+درمان!J31+كشتى!H31+هواپيما!H31+مهندسى!J31+پول!H31+مسئوليت!J31+اعتبار!J31+'نفت و انرژی'!H31+'ساير انواع'!J31</f>
        <v>3471.8390743650002</v>
      </c>
      <c r="K31" s="80">
        <f>'آتش سوزى'!K31+باربرى!K31+حوادث!K31+'حوادث راننده'!K31+'بدنه اتومبيل'!K31+'شخص ثالث و مازاد'!K31+درمان!K31+كشتى!I31+هواپيما!I31+مسئوليت!K31+مهندسى!K31+پول!I31+اعتبار!K31+'ساير انواع'!K31</f>
        <v>296396.29000000004</v>
      </c>
      <c r="L31" s="23">
        <f>'آتش سوزى'!L31+باربرى!L31+حوادث!L31+'حوادث راننده'!L31+'بدنه اتومبيل'!L31+'شخص ثالث و مازاد'!L31+درمان!L31+كشتى!J31+هواپيما!J31+مسئوليت!L31+مهندسى!L31+پول!J31+اعتبار!L31+'ساير انواع'!L31</f>
        <v>406762.76</v>
      </c>
      <c r="M31" s="22">
        <f>'آتش سوزى'!M31+باربرى!M31+حوادث!M31+'حوادث راننده'!M31+'بدنه اتومبيل'!M31+'شخص ثالث و مازاد'!M31+درمان!M31+كشتى!K31+هواپيما!K31+مسئوليت!M31+مهندسى!M31+پول!K31+اعتبار!M31+'ساير انواع'!M31</f>
        <v>112695.17</v>
      </c>
      <c r="N31" s="23">
        <f>'آتش سوزى'!N31+باربرى!N31+حوادث!N31+'حوادث راننده'!N31+'بدنه اتومبيل'!N31+'شخص ثالث و مازاد'!N31+درمان!N31+كشتى!L31+هواپيما!L31+مسئوليت!N31+مهندسى!N31+پول!L31+اعتبار!N31+'ساير انواع'!N31</f>
        <v>240845.29000000004</v>
      </c>
      <c r="O31" s="80">
        <f>'آتش سوزى'!O31+باربرى!O31+حوادث!O31+'حوادث راننده'!O31+'بدنه اتومبيل'!O31+'شخص ثالث و مازاد'!O31+درمان!O31+كشتى!M31+هواپيما!M31+مسئوليت!O31+مهندسى!O31+پول!M31+اعتبار!O31+'ساير انواع'!O31</f>
        <v>536675.90000000014</v>
      </c>
      <c r="P31" s="81">
        <f>'آتش سوزى'!P31+باربرى!P31+حوادث!P31+'حوادث راننده'!P31+'بدنه اتومبيل'!P31+'شخص ثالث و مازاد'!P31+درمان!P31+كشتى!N31+هواپيما!N31+مسئوليت!P31+مهندسى!P31+پول!N31+اعتبار!P31+'ساير انواع'!P31</f>
        <v>859231.18</v>
      </c>
      <c r="Q31" s="22">
        <f>'آتش سوزى'!Q31+باربرى!Q31+حوادث!Q31+'حوادث راننده'!Q31+'بدنه اتومبيل'!Q31+'شخص ثالث و مازاد'!Q31+درمان!Q31+كشتى!O31+هواپيما!O31+مسئوليت!Q31+مهندسى!Q31+پول!O31+اعتبار!Q31+'ساير انواع'!Q31</f>
        <v>1215811.6800000002</v>
      </c>
      <c r="R31" s="81">
        <f>'آتش سوزى'!R31+باربرى!R31+حوادث!R31+'حوادث راننده'!R31+'بدنه اتومبيل'!R31+'شخص ثالث و مازاد'!R31+درمان!R31+كشتى!P31+هواپيما!P31+مسئوليت!R31+مهندسى!R31+پول!P31+اعتبار!R31+'ساير انواع'!R31</f>
        <v>1938102.12</v>
      </c>
      <c r="S31" s="211">
        <v>1379</v>
      </c>
    </row>
    <row r="32" spans="1:19" ht="20.25" customHeight="1">
      <c r="A32" s="296">
        <f>'آتش سوزى'!A32+باربرى!A32+حوادث!A32+'حوادث راننده'!A32+'بدنه اتومبيل'!A32+'شخص ثالث و مازاد'!A32+درمان!A32+كشتى!A32+هواپيما!A32+مهندسى!A32+پول!A32+مسئوليت!A32+اعتبار!A32+'نفت و انرژی'!A32+'ساير انواع'!A32</f>
        <v>3515.5067252739996</v>
      </c>
      <c r="B32" s="297">
        <f>'آتش سوزى'!B32+باربرى!B32+حوادث!B32+'حوادث راننده'!B32+'بدنه اتومبيل'!B32+'شخص ثالث و مازاد'!B32+درمان!B32+كشتى!B32+هواپيما!B32+مهندسى!B32+پول!B32+مسئوليت!B32+اعتبار!B32+'نفت و انرژی'!B32+'ساير انواع'!B32</f>
        <v>9440.1108855959974</v>
      </c>
      <c r="C32" s="296">
        <f t="shared" si="0"/>
        <v>158.42610000000013</v>
      </c>
      <c r="D32" s="297">
        <f t="shared" si="1"/>
        <v>4259.0827999999965</v>
      </c>
      <c r="E32" s="362"/>
      <c r="F32" s="364"/>
      <c r="G32" s="362"/>
      <c r="H32" s="364"/>
      <c r="I32" s="255">
        <f>'آتش سوزى'!I32+باربرى!I32+حوادث!I32+'حوادث راننده'!I32+'بدنه اتومبيل'!I32+'شخص ثالث و مازاد'!I32+درمان!I32+كشتى!G32+هواپيما!G32+مهندسى!I32+پول!G32+مسئوليت!I32+اعتبار!I32+'نفت و انرژی'!G32+'ساير انواع'!I32</f>
        <v>3357.0806252739994</v>
      </c>
      <c r="J32" s="256">
        <f>'آتش سوزى'!J32+باربرى!J32+حوادث!J32+'حوادث راننده'!J32+'بدنه اتومبيل'!J32+'شخص ثالث و مازاد'!J32+درمان!J32+كشتى!H32+هواپيما!H32+مهندسى!J32+پول!H32+مسئوليت!J32+اعتبار!J32+'نفت و انرژی'!H32+'ساير انواع'!J32</f>
        <v>5181.0280855960009</v>
      </c>
      <c r="K32" s="80">
        <f>'آتش سوزى'!K32+باربرى!K32+حوادث!K32+'حوادث راننده'!K32+'بدنه اتومبيل'!K32+'شخص ثالث و مازاد'!K32+درمان!K32+كشتى!I32+هواپيما!I32+مسئوليت!K32+مهندسى!K32+پول!I32+اعتبار!K32+'ساير انواع'!K32</f>
        <v>402338.17126799998</v>
      </c>
      <c r="L32" s="23">
        <f>'آتش سوزى'!L32+باربرى!L32+حوادث!L32+'حوادث راننده'!L32+'بدنه اتومبيل'!L32+'شخص ثالث و مازاد'!L32+درمان!L32+كشتى!J32+هواپيما!J32+مسئوليت!L32+مهندسى!L32+پول!J32+اعتبار!L32+'ساير انواع'!L32</f>
        <v>690440.37</v>
      </c>
      <c r="M32" s="22">
        <f>'آتش سوزى'!M32+باربرى!M32+حوادث!M32+'حوادث راننده'!M32+'بدنه اتومبيل'!M32+'شخص ثالث و مازاد'!M32+درمان!M32+كشتى!K32+هواپيما!K32+مسئوليت!M32+مهندسى!M32+پول!K32+اعتبار!M32+'ساير انواع'!M32</f>
        <v>134856.03018799998</v>
      </c>
      <c r="N32" s="23">
        <f>'آتش سوزى'!N32+باربرى!N32+حوادث!N32+'حوادث راننده'!N32+'بدنه اتومبيل'!N32+'شخص ثالث و مازاد'!N32+درمان!N32+كشتى!L32+هواپيما!L32+مسئوليت!N32+مهندسى!N32+پول!L32+اعتبار!N32+'ساير انواع'!N32</f>
        <v>296179.40000000002</v>
      </c>
      <c r="O32" s="80">
        <f>'آتش سوزى'!O32+باربرى!O32+حوادث!O32+'حوادث راننده'!O32+'بدنه اتومبيل'!O32+'شخص ثالث و مازاد'!O32+درمان!O32+كشتى!M32+هواپيما!M32+مسئوليت!O32+مهندسى!O32+پول!M32+اعتبار!O32+'ساير انواع'!O32</f>
        <v>754410.22912800009</v>
      </c>
      <c r="P32" s="81">
        <f>'آتش سوزى'!P32+باربرى!P32+حوادث!P32+'حوادث راننده'!P32+'بدنه اتومبيل'!P32+'شخص ثالث و مازاد'!P32+درمان!P32+كشتى!N32+هواپيما!N32+مسئوليت!P32+مهندسى!P32+پول!N32+اعتبار!P32+'ساير انواع'!P32</f>
        <v>1197984</v>
      </c>
      <c r="Q32" s="22">
        <f>'آتش سوزى'!Q32+باربرى!Q32+حوادث!Q32+'حوادث راننده'!Q32+'بدنه اتومبيل'!Q32+'شخص ثالث و مازاد'!Q32+درمان!Q32+كشتى!O32+هواپيما!O32+مسئوليت!Q32+مهندسى!Q32+پول!O32+اعتبار!Q32+'ساير انواع'!Q32</f>
        <v>2064920.4779679999</v>
      </c>
      <c r="R32" s="81">
        <f>'آتش سوزى'!R32+باربرى!R32+حوادث!R32+'حوادث راننده'!R32+'بدنه اتومبيل'!R32+'شخص ثالث و مازاد'!R32+درمان!R32+كشتى!P32+هواپيما!P32+مسئوليت!R32+مهندسى!R32+پول!P32+اعتبار!R32+'ساير انواع'!R32</f>
        <v>2977895.9499999993</v>
      </c>
      <c r="S32" s="211">
        <v>1380</v>
      </c>
    </row>
    <row r="33" spans="1:20" ht="20.25" customHeight="1">
      <c r="A33" s="255">
        <f>'آتش سوزى'!A33+باربرى!A33+حوادث!A33+'حوادث راننده'!A33+'بدنه اتومبيل'!A33+'شخص ثالث و مازاد'!A33+درمان!A33+كشتى!A33+هواپيما!A33+مهندسى!A33+پول!A33+مسئوليت!A33+اعتبار!A33+'نفت و انرژی'!A33+'ساير انواع'!A33</f>
        <v>5085.311757421</v>
      </c>
      <c r="B33" s="256">
        <f>'آتش سوزى'!B33+باربرى!B33+حوادث!B33+'حوادث راننده'!B33+'بدنه اتومبيل'!B33+'شخص ثالث و مازاد'!B33+درمان!B33+كشتى!B33+هواپيما!B33+مهندسى!B33+پول!B33+مسئوليت!B33+اعتبار!B33+'نفت و انرژی'!B33+'ساير انواع'!B33</f>
        <v>8289.4421424089996</v>
      </c>
      <c r="C33" s="255">
        <f t="shared" si="0"/>
        <v>1.2939236199990773</v>
      </c>
      <c r="D33" s="256">
        <f t="shared" si="1"/>
        <v>92.918119283000124</v>
      </c>
      <c r="E33" s="332"/>
      <c r="F33" s="333"/>
      <c r="G33" s="332"/>
      <c r="H33" s="333"/>
      <c r="I33" s="301">
        <f>'آتش سوزى'!I33+باربرى!I33+حوادث!I33+'حوادث راننده'!I33+'بدنه اتومبيل'!I33+'شخص ثالث و مازاد'!I33+درمان!I33+كشتى!G33+هواپيما!G33+مهندسى!I33+پول!G33+مسئوليت!I33+اعتبار!I33+'نفت و انرژی'!G33+'ساير انواع'!I33</f>
        <v>5084.017833801001</v>
      </c>
      <c r="J33" s="256">
        <f>'آتش سوزى'!J33+باربرى!J33+حوادث!J33+'حوادث راننده'!J33+'بدنه اتومبيل'!J33+'شخص ثالث و مازاد'!J33+درمان!J33+كشتى!H33+هواپيما!H33+مهندسى!J33+پول!H33+مسئوليت!J33+اعتبار!J33+'نفت و انرژی'!H33+'ساير انواع'!J33</f>
        <v>8196.5240231259995</v>
      </c>
      <c r="K33" s="107">
        <f>'آتش سوزى'!K33+باربرى!K33+حوادث!K33+'حوادث راننده'!K33+'بدنه اتومبيل'!K33+'شخص ثالث و مازاد'!K33+درمان!K33+كشتى!I33+هواپيما!I33+مسئوليت!K33+مهندسى!K33+پول!I33+اعتبار!K33+'نفت و انرژی'!I33+'ساير انواع'!K33</f>
        <v>669854.3865619998</v>
      </c>
      <c r="L33" s="38">
        <f>'آتش سوزى'!L33+باربرى!L33+حوادث!L33+'حوادث راننده'!L33+'بدنه اتومبيل'!L33+'شخص ثالث و مازاد'!L33+درمان!L33+كشتى!J33+هواپيما!J33+مسئوليت!L33+مهندسى!L33+پول!J33+اعتبار!L33+'نفت و انرژی'!J33+'ساير انواع'!L33</f>
        <v>1109152.9204469998</v>
      </c>
      <c r="M33" s="37">
        <f>'آتش سوزى'!M33+باربرى!M33+حوادث!M33+'حوادث راننده'!M33+'بدنه اتومبيل'!M33+'شخص ثالث و مازاد'!M33+درمان!M33+كشتى!K33+هواپيما!K33+مسئوليت!M33+مهندسى!M33+پول!K33+اعتبار!M33+'نفت و انرژی'!K33+'ساير انواع'!M33</f>
        <v>218872.10456200002</v>
      </c>
      <c r="N33" s="38">
        <f>'آتش سوزى'!N33+باربرى!N33+حوادث!N33+'حوادث راننده'!N33+'بدنه اتومبيل'!N33+'شخص ثالث و مازاد'!N33+درمان!N33+كشتى!L33+هواپيما!L33+مسئوليت!N33+مهندسى!N33+پول!L33+اعتبار!N33+'نفت و انرژی'!L33+'ساير انواع'!N33</f>
        <v>463841.99566399999</v>
      </c>
      <c r="O33" s="107">
        <f>'آتش سوزى'!O33+باربرى!O33+حوادث!O33+'حوادث راننده'!O33+'بدنه اتومبيل'!O33+'شخص ثالث و مازاد'!O33+درمان!O33+كشتى!M33+هواپيما!M33+مسئوليت!O33+مهندسى!O33+پول!M33+اعتبار!O33+'نفت و انرژی'!M33+'ساير انواع'!O33</f>
        <v>1362261.1044670001</v>
      </c>
      <c r="P33" s="77">
        <f>'آتش سوزى'!P33+باربرى!P33+حوادث!P33+'حوادث راننده'!P33+'بدنه اتومبيل'!P33+'شخص ثالث و مازاد'!P33+درمان!P33+كشتى!N33+هواپيما!N33+مسئوليت!P33+مهندسى!P33+پول!N33+اعتبار!P33+'نفت و انرژی'!N33+'ساير انواع'!P33</f>
        <v>2055875.9614850003</v>
      </c>
      <c r="Q33" s="37">
        <f>'آتش سوزى'!Q33+باربرى!Q33+حوادث!Q33+'حوادث راننده'!Q33+'بدنه اتومبيل'!Q33+'شخص ثالث و مازاد'!Q33+درمان!Q33+كشتى!O33+هواپيما!O33+مسئوليت!Q33+مهندسى!Q33+پول!O33+اعتبار!Q33+'نفت و انرژی'!O33+'ساير انواع'!Q33</f>
        <v>2833030.2382099992</v>
      </c>
      <c r="R33" s="77">
        <f>'آتش سوزى'!R33+باربرى!R33+حوادث!R33+'حوادث راننده'!R33+'بدنه اتومبيل'!R33+'شخص ثالث و مازاد'!R33+درمان!R33+كشتى!P33+هواپيما!P33+مسئوليت!R33+مهندسى!R33+پول!P33+اعتبار!R33+'نفت و انرژی'!P33+'ساير انواع'!R33</f>
        <v>4567653.1455300013</v>
      </c>
      <c r="S33" s="209">
        <v>1381</v>
      </c>
    </row>
    <row r="34" spans="1:20" ht="20.25" customHeight="1">
      <c r="A34" s="255">
        <f>'آتش سوزى'!A34+باربرى!A34+حوادث!A34+'حوادث راننده'!A34+'بدنه اتومبيل'!A34+'شخص ثالث و مازاد'!A34+درمان!A34+كشتى!A34+هواپيما!A34+مهندسى!A34+پول!A34+مسئوليت!A34+اعتبار!A34+'نفت و انرژی'!A34+'ساير انواع'!A34</f>
        <v>7113.6557862460013</v>
      </c>
      <c r="B34" s="256">
        <f>'آتش سوزى'!B34+باربرى!B34+حوادث!B34+'حوادث راننده'!B34+'بدنه اتومبيل'!B34+'شخص ثالث و مازاد'!B34+درمان!B34+كشتى!B34+هواپيما!B34+مهندسى!B34+پول!B34+مسئوليت!B34+اعتبار!B34+'نفت و انرژی'!B34+'ساير انواع'!B34</f>
        <v>11704.954323312999</v>
      </c>
      <c r="C34" s="301">
        <f t="shared" si="0"/>
        <v>7.9355434660001265</v>
      </c>
      <c r="D34" s="256">
        <f t="shared" si="1"/>
        <v>371.52899683699616</v>
      </c>
      <c r="E34" s="332"/>
      <c r="F34" s="365"/>
      <c r="G34" s="332"/>
      <c r="H34" s="365"/>
      <c r="I34" s="301">
        <f>'آتش سوزى'!I34+باربرى!I34+حوادث!I34+'حوادث راننده'!I34+'بدنه اتومبيل'!I34+'شخص ثالث و مازاد'!I34+درمان!I34+كشتى!G34+هواپيما!G34+مهندسى!I34+پول!G34+مسئوليت!I34+اعتبار!I34+'نفت و انرژی'!G34+'ساير انواع'!I34</f>
        <v>7105.7202427800012</v>
      </c>
      <c r="J34" s="256">
        <f>'آتش سوزى'!J34+باربرى!J34+حوادث!J34+'حوادث راننده'!J34+'بدنه اتومبيل'!J34+'شخص ثالث و مازاد'!J34+درمان!J34+كشتى!H34+هواپيما!H34+مهندسى!J34+پول!H34+مسئوليت!J34+اعتبار!J34+'نفت و انرژی'!H34+'ساير انواع'!J34</f>
        <v>11333.425326476003</v>
      </c>
      <c r="K34" s="37">
        <f>'آتش سوزى'!K34+باربرى!K34+حوادث!K34+'حوادث راننده'!K34+'بدنه اتومبيل'!K34+'شخص ثالث و مازاد'!K34+درمان!K34+كشتى!I34+هواپيما!I34+مسئوليت!K34+مهندسى!K34+پول!I34+اعتبار!K34+'نفت و انرژی'!I34+'ساير انواع'!K34</f>
        <v>1123076.843412</v>
      </c>
      <c r="L34" s="103">
        <f>'آتش سوزى'!L34+باربرى!L34+حوادث!L34+'حوادث راننده'!L34+'بدنه اتومبيل'!L34+'شخص ثالث و مازاد'!L34+درمان!L34+كشتى!J34+هواپيما!J34+مسئوليت!L34+مهندسى!L34+پول!J34+اعتبار!L34+'نفت و انرژی'!J34+'ساير انواع'!L34</f>
        <v>1509254.3151439996</v>
      </c>
      <c r="M34" s="37">
        <f>'آتش سوزى'!M34+باربرى!M34+حوادث!M34+'حوادث راننده'!M34+'بدنه اتومبيل'!M34+'شخص ثالث و مازاد'!M34+درمان!M34+كشتى!K34+هواپيما!K34+مسئوليت!M34+مهندسى!M34+پول!K34+اعتبار!M34+'نفت و انرژی'!K34+'ساير انواع'!M34</f>
        <v>357177.46399199998</v>
      </c>
      <c r="N34" s="103">
        <f>'آتش سوزى'!N34+باربرى!N34+حوادث!N34+'حوادث راننده'!N34+'بدنه اتومبيل'!N34+'شخص ثالث و مازاد'!N34+درمان!N34+كشتى!L34+هواپيما!L34+مسئوليت!N34+مهندسى!N34+پول!L34+اعتبار!N34+'نفت و انرژی'!L34+'ساير انواع'!N34</f>
        <v>880741.56023200008</v>
      </c>
      <c r="O34" s="37">
        <f>'آتش سوزى'!O34+باربرى!O34+حوادث!O34+'حوادث راننده'!O34+'بدنه اتومبيل'!O34+'شخص ثالث و مازاد'!O34+درمان!O34+كشتى!M34+هواپيما!M34+مسئوليت!O34+مهندسى!O34+پول!M34+اعتبار!O34+'نفت و انرژی'!M34+'ساير انواع'!O34</f>
        <v>1855803.6749560002</v>
      </c>
      <c r="P34" s="103">
        <f>'آتش سوزى'!P34+باربرى!P34+حوادث!P34+'حوادث راننده'!P34+'بدنه اتومبيل'!P34+'شخص ثالث و مازاد'!P34+درمان!P34+كشتى!N34+هواپيما!N34+مسئوليت!P34+مهندسى!P34+پول!N34+اعتبار!P34+'نفت و انرژی'!N34+'ساير انواع'!P34</f>
        <v>2631939.7860559998</v>
      </c>
      <c r="Q34" s="37">
        <f>'آتش سوزى'!Q34+باربرى!Q34+حوادث!Q34+'حوادث راننده'!Q34+'بدنه اتومبيل'!Q34+'شخص ثالث و مازاد'!Q34+درمان!Q34+كشتى!O34+هواپيما!O34+مسئوليت!Q34+مهندسى!Q34+پول!O34+اعتبار!Q34+'نفت و انرژی'!O34+'ساير انواع'!Q34</f>
        <v>3769662.2604200002</v>
      </c>
      <c r="R34" s="103">
        <f>'آتش سوزى'!R34+باربرى!R34+حوادث!R34+'حوادث راننده'!R34+'بدنه اتومبيل'!R34+'شخص ثالث و مازاد'!R34+درمان!R34+كشتى!P34+هواپيما!P34+مسئوليت!R34+مهندسى!R34+پول!P34+اعتبار!R34+'نفت و انرژی'!P34+'ساير انواع'!R34</f>
        <v>6311489.6650440013</v>
      </c>
      <c r="S34" s="209">
        <v>1382</v>
      </c>
    </row>
    <row r="35" spans="1:20" ht="20.25" customHeight="1">
      <c r="A35" s="296">
        <f>'آتش سوزى'!A35+باربرى!A35+حوادث!A35+'حوادث راننده'!A35+'بدنه اتومبيل'!A35+'شخص ثالث و مازاد'!A35+درمان!A35+كشتى!A35+هواپيما!A35+مهندسى!A35+پول!A35+مسئوليت!A35+اعتبار!A35+'نفت و انرژی'!A35+'ساير انواع'!A35</f>
        <v>9421.9936303330014</v>
      </c>
      <c r="B35" s="297">
        <f>'آتش سوزى'!B35+باربرى!B35+حوادث!B35+'حوادث راننده'!B35+'بدنه اتومبيل'!B35+'شخص ثالث و مازاد'!B35+درمان!B35+كشتى!B35+هواپيما!B35+مهندسى!B35+پول!B35+مسئوليت!B35+اعتبار!B35+'نفت و انرژی'!B35+'ساير انواع'!B35</f>
        <v>16253.652752507</v>
      </c>
      <c r="C35" s="313">
        <f t="shared" si="0"/>
        <v>125.77894066499903</v>
      </c>
      <c r="D35" s="297">
        <f t="shared" si="1"/>
        <v>1891.3452051509994</v>
      </c>
      <c r="E35" s="366"/>
      <c r="F35" s="367"/>
      <c r="G35" s="366"/>
      <c r="H35" s="367"/>
      <c r="I35" s="312">
        <f>'آتش سوزى'!I35+باربرى!I35+حوادث!I35+'حوادث راننده'!I35+'بدنه اتومبيل'!I35+'شخص ثالث و مازاد'!I35+درمان!I35+كشتى!G35+هواپيما!G35+مهندسى!I35+پول!G35+مسئوليت!I35+اعتبار!I35+'نفت و انرژی'!G35+'ساير انواع'!I35</f>
        <v>9296.2146896680024</v>
      </c>
      <c r="J35" s="300">
        <f>'آتش سوزى'!J35+باربرى!J35+حوادث!J35+'حوادث راننده'!J35+'بدنه اتومبيل'!J35+'شخص ثالث و مازاد'!J35+درمان!J35+كشتى!H35+هواپيما!H35+مهندسى!J35+پول!H35+مسئوليت!J35+اعتبار!J35+'نفت و انرژی'!H35+'ساير انواع'!J35</f>
        <v>14362.307547356</v>
      </c>
      <c r="K35" s="20">
        <f>'آتش سوزى'!K35+باربرى!K35+حوادث!K35+'حوادث راننده'!K35+'بدنه اتومبيل'!K35+'شخص ثالث و مازاد'!K35+درمان!K35+كشتى!I35+هواپيما!I35+مسئوليت!K35+مهندسى!K35+پول!I35+اعتبار!K35+'نفت و انرژی'!I35+'ساير انواع'!K35</f>
        <v>1316985.56666</v>
      </c>
      <c r="L35" s="105">
        <f>'آتش سوزى'!L35+باربرى!L35+حوادث!L35+'حوادث راننده'!L35+'بدنه اتومبيل'!L35+'شخص ثالث و مازاد'!L35+درمان!L35+كشتى!J35+هواپيما!J35+مسئوليت!L35+مهندسى!L35+پول!J35+اعتبار!L35+'نفت و انرژی'!J35+'ساير انواع'!L35</f>
        <v>1467318.0337759999</v>
      </c>
      <c r="M35" s="20">
        <f>'آتش سوزى'!M35+باربرى!M35+حوادث!M35+'حوادث راننده'!M35+'بدنه اتومبيل'!M35+'شخص ثالث و مازاد'!M35+درمان!M35+كشتى!K35+هواپيما!K35+مسئوليت!M35+مهندسى!M35+پول!K35+اعتبار!M35+'نفت و انرژی'!K35+'ساير انواع'!M35</f>
        <v>568641.02255200001</v>
      </c>
      <c r="N35" s="105">
        <f>'آتش سوزى'!N35+باربرى!N35+حوادث!N35+'حوادث راننده'!N35+'بدنه اتومبيل'!N35+'شخص ثالث و مازاد'!N35+درمان!N35+كشتى!L35+هواپيما!L35+مسئوليت!N35+مهندسى!N35+پول!L35+اعتبار!N35+'نفت و انرژی'!L35+'ساير انواع'!N35</f>
        <v>1143645.1674960002</v>
      </c>
      <c r="O35" s="20">
        <f>'آتش سوزى'!O35+باربرى!O35+حوادث!O35+'حوادث راننده'!O35+'بدنه اتومبيل'!O35+'شخص ثالث و مازاد'!O35+درمان!O35+كشتى!M35+هواپيما!M35+مسئوليت!O35+مهندسى!O35+پول!M35+اعتبار!O35+'نفت و انرژی'!M35+'ساير انواع'!O35</f>
        <v>2435512.050811999</v>
      </c>
      <c r="P35" s="105">
        <f>'آتش سوزى'!P35+باربرى!P35+حوادث!P35+'حوادث راننده'!P35+'بدنه اتومبيل'!P35+'شخص ثالث و مازاد'!P35+درمان!P35+كشتى!N35+هواپيما!N35+مسئوليت!P35+مهندسى!P35+پول!N35+اعتبار!P35+'نفت و انرژی'!N35+'ساير انواع'!P35</f>
        <v>3178455.1922880001</v>
      </c>
      <c r="Q35" s="20">
        <f>'آتش سوزى'!Q35+باربرى!Q35+حوادث!Q35+'حوادث راننده'!Q35+'بدنه اتومبيل'!Q35+'شخص ثالث و مازاد'!Q35+درمان!Q35+كشتى!O35+هواپيما!O35+مسئوليت!Q35+مهندسى!Q35+پول!O35+اعتبار!Q35+'نفت و انرژی'!O35+'ساير انواع'!Q35</f>
        <v>4975076.0410079993</v>
      </c>
      <c r="R35" s="105">
        <f>'آتش سوزى'!R35+باربرى!R35+حوادث!R35+'حوادث راننده'!R35+'بدنه اتومبيل'!R35+'شخص ثالث و مازاد'!R35+درمان!R35+كشتى!P35+هواپيما!P35+مسئوليت!R35+مهندسى!R35+پول!P35+اعتبار!R35+'نفت و انرژی'!P35+'ساير انواع'!R35</f>
        <v>8572889.1537960004</v>
      </c>
      <c r="S35" s="210">
        <v>1383</v>
      </c>
    </row>
    <row r="36" spans="1:20" s="1" customFormat="1" ht="20.25" customHeight="1">
      <c r="A36" s="255">
        <f>'آتش سوزى'!A36+باربرى!A36+حوادث!A36+'حوادث راننده'!A36+'بدنه اتومبيل'!A36+'شخص ثالث و مازاد'!A36+درمان!A36+كشتى!A36+هواپيما!A36+مهندسى!A36+پول!A36+مسئوليت!A36+اعتبار!A36+'نفت و انرژی'!A36+'ساير انواع'!A36</f>
        <v>13854.184220333998</v>
      </c>
      <c r="B36" s="256">
        <f>'آتش سوزى'!B36+باربرى!B36+حوادث!B36+'حوادث راننده'!B36+'بدنه اتومبيل'!B36+'شخص ثالث و مازاد'!B36+درمان!B36+كشتى!B36+هواپيما!B36+مهندسى!B36+پول!B36+مسئوليت!B36+اعتبار!B36+'نفت و انرژی'!B36+'ساير انواع'!B36</f>
        <v>20109.540348401002</v>
      </c>
      <c r="C36" s="255">
        <f t="shared" si="0"/>
        <v>1227.4946111139998</v>
      </c>
      <c r="D36" s="256">
        <f t="shared" si="1"/>
        <v>2865.3145579770026</v>
      </c>
      <c r="E36" s="365"/>
      <c r="F36" s="333"/>
      <c r="G36" s="365"/>
      <c r="H36" s="333"/>
      <c r="I36" s="301">
        <f>'آتش سوزى'!I36+باربرى!I36+حوادث!I36+'حوادث راننده'!I36+'بدنه اتومبيل'!I36+'شخص ثالث و مازاد'!I36+درمان!I36+كشتى!G36+هواپيما!G36+مهندسى!I36+پول!G36+مسئوليت!I36+اعتبار!I36+'نفت و انرژی'!G36+'ساير انواع'!I36</f>
        <v>12626.689609219999</v>
      </c>
      <c r="J36" s="256">
        <f>'آتش سوزى'!J36+باربرى!J36+حوادث!J36+'حوادث راننده'!J36+'بدنه اتومبيل'!J36+'شخص ثالث و مازاد'!J36+درمان!J36+كشتى!H36+هواپيما!H36+مهندسى!J36+پول!H36+مسئوليت!J36+اعتبار!J36+'نفت و انرژی'!H36+'ساير انواع'!J36</f>
        <v>17244.225790424</v>
      </c>
      <c r="K36" s="103">
        <f>'آتش سوزى'!K36+باربرى!K36+حوادث!K36+'حوادث راننده'!K36+'بدنه اتومبيل'!K36+'شخص ثالث و مازاد'!K36+درمان!K36+كشتى!I36+هواپيما!I36+مسئوليت!K36+مهندسى!K36+پول!I36+اعتبار!K36+'نفت و انرژی'!I36+'ساير انواع'!K36</f>
        <v>1313328.873044</v>
      </c>
      <c r="L36" s="38">
        <f>'آتش سوزى'!L36+باربرى!L36+حوادث!L36+'حوادث راننده'!L36+'بدنه اتومبيل'!L36+'شخص ثالث و مازاد'!L36+درمان!L36+كشتى!J36+هواپيما!J36+مسئوليت!L36+مهندسى!L36+پول!J36+اعتبار!L36+'نفت و انرژی'!J36+'ساير انواع'!L36</f>
        <v>1792833.6032160001</v>
      </c>
      <c r="M36" s="103">
        <f>'آتش سوزى'!M36+باربرى!M36+حوادث!M36+'حوادث راننده'!M36+'بدنه اتومبيل'!M36+'شخص ثالث و مازاد'!M36+درمان!M36+كشتى!K36+هواپيما!K36+مسئوليت!M36+مهندسى!M36+پول!K36+اعتبار!M36+'نفت و انرژی'!K36+'ساير انواع'!M36</f>
        <v>756457.17442799977</v>
      </c>
      <c r="N36" s="38">
        <f>'آتش سوزى'!N36+باربرى!N36+حوادث!N36+'حوادث راننده'!N36+'بدنه اتومبيل'!N36+'شخص ثالث و مازاد'!N36+درمان!N36+كشتى!L36+هواپيما!L36+مسئوليت!N36+مهندسى!N36+پول!L36+اعتبار!N36+'نفت و انرژی'!L36+'ساير انواع'!N36</f>
        <v>1384981.6051840002</v>
      </c>
      <c r="O36" s="103">
        <f>'آتش سوزى'!O36+باربرى!O36+حوادث!O36+'حوادث راننده'!O36+'بدنه اتومبيل'!O36+'شخص ثالث و مازاد'!O36+درمان!O36+كشتى!M36+هواپيما!M36+مسئوليت!O36+مهندسى!O36+پول!M36+اعتبار!O36+'نفت و انرژی'!M36+'ساير انواع'!O36</f>
        <v>2837460.8871439993</v>
      </c>
      <c r="P36" s="38">
        <f>'آتش سوزى'!P36+باربرى!P36+حوادث!P36+'حوادث راننده'!P36+'بدنه اتومبيل'!P36+'شخص ثالث و مازاد'!P36+درمان!P36+كشتى!N36+هواپيما!N36+مسئوليت!P36+مهندسى!P36+پول!N36+اعتبار!P36+'نفت و انرژی'!N36+'ساير انواع'!P36</f>
        <v>3455628.072408</v>
      </c>
      <c r="Q36" s="103">
        <f>'آتش سوزى'!Q36+باربرى!Q36+حوادث!Q36+'حوادث راننده'!Q36+'بدنه اتومبيل'!Q36+'شخص ثالث و مازاد'!Q36+درمان!Q36+كشتى!O36+هواپيما!O36+مسئوليت!Q36+مهندسى!Q36+پول!O36+اعتبار!Q36+'نفت و انرژی'!O36+'ساير انواع'!Q36</f>
        <v>7719442.6746040005</v>
      </c>
      <c r="R36" s="38">
        <f>'آتش سوزى'!R36+باربرى!R36+حوادث!R36+'حوادث راننده'!R36+'بدنه اتومبيل'!R36+'شخص ثالث و مازاد'!R36+درمان!R36+كشتى!P36+هواپيما!P36+مسئوليت!R36+مهندسى!R36+پول!P36+اعتبار!R36+'نفت و انرژی'!P36+'ساير انواع'!R36</f>
        <v>10610782.509616001</v>
      </c>
      <c r="S36" s="212">
        <v>1384</v>
      </c>
    </row>
    <row r="37" spans="1:20" s="1" customFormat="1" ht="20.25" customHeight="1">
      <c r="A37" s="259">
        <f>'آتش سوزى'!A37+باربرى!A37+حوادث!A37+'حوادث راننده'!A37+'بدنه اتومبيل'!A37+'شخص ثالث و مازاد'!A37+درمان!A37+كشتى!A37+هواپيما!A37+مهندسى!A37+پول!A37+مسئوليت!A37+اعتبار!A37+'نفت و انرژی'!A37+'ساير انواع'!A37</f>
        <v>15742.225420820003</v>
      </c>
      <c r="B37" s="260">
        <f>'آتش سوزى'!B37+باربرى!B37+حوادث!B37+'حوادث راننده'!B37+'بدنه اتومبيل'!B37+'شخص ثالث و مازاد'!B37+درمان!B37+كشتى!B37+هواپيما!B37+مهندسى!B37+پول!B37+مسئوليت!B37+اعتبار!B37+'نفت و انرژی'!B37+'ساير انواع'!B37</f>
        <v>24932.402648655003</v>
      </c>
      <c r="C37" s="315">
        <f t="shared" si="0"/>
        <v>1715.6058160880057</v>
      </c>
      <c r="D37" s="260">
        <f t="shared" si="1"/>
        <v>4082.2802387800002</v>
      </c>
      <c r="E37" s="368"/>
      <c r="F37" s="368"/>
      <c r="G37" s="368"/>
      <c r="H37" s="368"/>
      <c r="I37" s="315">
        <f>'آتش سوزى'!I37+باربرى!I37+حوادث!I37+'حوادث راننده'!I37+'بدنه اتومبيل'!I37+'شخص ثالث و مازاد'!I37+درمان!I37+كشتى!G37+هواپيما!G37+مهندسى!I37+پول!G37+مسئوليت!I37+اعتبار!I37+'نفت و انرژی'!G37+'ساير انواع'!I37</f>
        <v>14026.619604731997</v>
      </c>
      <c r="J37" s="260">
        <f>'آتش سوزى'!J37+باربرى!J37+حوادث!J37+'حوادث راننده'!J37+'بدنه اتومبيل'!J37+'شخص ثالث و مازاد'!J37+درمان!J37+كشتى!H37+هواپيما!H37+مهندسى!J37+پول!H37+مسئوليت!J37+اعتبار!J37+'نفت و انرژی'!H37+'ساير انواع'!J37</f>
        <v>20850.122409875003</v>
      </c>
      <c r="K37" s="229"/>
      <c r="L37" s="229"/>
      <c r="M37" s="229"/>
      <c r="N37" s="229"/>
      <c r="O37" s="229"/>
      <c r="P37" s="229"/>
      <c r="Q37" s="229"/>
      <c r="R37" s="229"/>
      <c r="S37" s="238">
        <v>1385</v>
      </c>
    </row>
    <row r="38" spans="1:20" s="1" customFormat="1" ht="20.25" customHeight="1">
      <c r="A38" s="255">
        <f>'آتش سوزى'!A38+باربرى!A38+حوادث!A38+'حوادث راننده'!A38+'بدنه اتومبيل'!A38+'شخص ثالث و مازاد'!A38+درمان!A38+كشتى!A38+هواپيما!A38+مهندسى!A38+پول!A38+مسئوليت!A38+اعتبار!A38+'نفت و انرژی'!A38+'ساير انواع'!A38</f>
        <v>20090.632880175999</v>
      </c>
      <c r="B38" s="256">
        <f>'آتش سوزى'!B38+باربرى!B38+حوادث!B38+'حوادث راننده'!B38+'بدنه اتومبيل'!B38+'شخص ثالث و مازاد'!B38+درمان!B38+كشتى!B38+هواپيما!B38+مهندسى!B38+پول!B38+مسئوليت!B38+اعتبار!B38+'نفت و انرژی'!B38+'ساير انواع'!B38</f>
        <v>31931.862098292</v>
      </c>
      <c r="C38" s="298">
        <f t="shared" si="0"/>
        <v>3119.8786276399987</v>
      </c>
      <c r="D38" s="256">
        <f t="shared" si="1"/>
        <v>6993.4016913320011</v>
      </c>
      <c r="E38" s="365"/>
      <c r="F38" s="365"/>
      <c r="G38" s="365"/>
      <c r="H38" s="365"/>
      <c r="I38" s="298">
        <f>'آتش سوزى'!I38+باربرى!I38+حوادث!I38+'حوادث راننده'!I38+'بدنه اتومبيل'!I38+'شخص ثالث و مازاد'!I38+درمان!I38+كشتى!G38+هواپيما!G38+مهندسى!I38+پول!G38+مسئوليت!I38+اعتبار!I38+'نفت و انرژی'!G38+'ساير انواع'!I38</f>
        <v>16970.754252536</v>
      </c>
      <c r="J38" s="256">
        <f>'آتش سوزى'!J38+باربرى!J38+حوادث!J38+'حوادث راننده'!J38+'بدنه اتومبيل'!J38+'شخص ثالث و مازاد'!J38+درمان!J38+كشتى!H38+هواپيما!H38+مهندسى!J38+پول!H38+مسئوليت!J38+اعتبار!J38+'نفت و انرژی'!H38+'ساير انواع'!J38</f>
        <v>24938.460406959999</v>
      </c>
      <c r="K38" s="103"/>
      <c r="L38" s="103"/>
      <c r="M38" s="103"/>
      <c r="N38" s="103"/>
      <c r="O38" s="103"/>
      <c r="P38" s="103"/>
      <c r="Q38" s="103"/>
      <c r="R38" s="103"/>
      <c r="S38" s="212">
        <v>1386</v>
      </c>
    </row>
    <row r="39" spans="1:20" s="1" customFormat="1" ht="20.25" customHeight="1">
      <c r="A39" s="255">
        <f>'آتش سوزى'!A39+باربرى!A39+حوادث!A39+'حوادث راننده'!A39+'بدنه اتومبيل'!A39+'شخص ثالث و مازاد'!A39+درمان!A39+كشتى!A39+هواپيما!A39+مهندسى!A39+پول!A39+مسئوليت!A39+اعتبار!A39+'نفت و انرژی'!A39+'ساير انواع'!A39</f>
        <v>23798.995340408004</v>
      </c>
      <c r="B39" s="256">
        <f>'آتش سوزى'!B39+باربرى!B39+حوادث!B39+'حوادث راننده'!B39+'بدنه اتومبيل'!B39+'شخص ثالث و مازاد'!B39+درمان!B39+كشتى!B39+هواپيما!B39+مهندسى!B39+پول!B39+مسئوليت!B39+اعتبار!B39+'نفت و انرژی'!B39+'ساير انواع'!B39</f>
        <v>38445.289139072003</v>
      </c>
      <c r="C39" s="298">
        <f t="shared" si="0"/>
        <v>4330.9051096760013</v>
      </c>
      <c r="D39" s="256">
        <f t="shared" si="1"/>
        <v>9394.5308632160013</v>
      </c>
      <c r="E39" s="365"/>
      <c r="F39" s="365"/>
      <c r="G39" s="365"/>
      <c r="H39" s="365"/>
      <c r="I39" s="298">
        <f>'آتش سوزى'!I39+باربرى!I39+حوادث!I39+'حوادث راننده'!I39+'بدنه اتومبيل'!I39+'شخص ثالث و مازاد'!I39+درمان!I39+كشتى!G39+هواپيما!G39+مهندسى!I39+پول!G39+مسئوليت!I39+اعتبار!I39+'نفت و انرژی'!G39+'ساير انواع'!I39</f>
        <v>19468.090230732003</v>
      </c>
      <c r="J39" s="256">
        <f>'آتش سوزى'!J39+باربرى!J39+حوادث!J39+'حوادث راننده'!J39+'بدنه اتومبيل'!J39+'شخص ثالث و مازاد'!J39+درمان!J39+كشتى!H39+هواپيما!H39+مهندسى!J39+پول!H39+مسئوليت!J39+اعتبار!J39+'نفت و انرژی'!H39+'ساير انواع'!J39</f>
        <v>29050.758275856002</v>
      </c>
      <c r="K39" s="103"/>
      <c r="L39" s="103"/>
      <c r="M39" s="103"/>
      <c r="N39" s="103"/>
      <c r="O39" s="103"/>
      <c r="P39" s="103"/>
      <c r="Q39" s="103"/>
      <c r="R39" s="103"/>
      <c r="S39" s="212">
        <v>1387</v>
      </c>
    </row>
    <row r="40" spans="1:20" s="1" customFormat="1" ht="20.25" customHeight="1">
      <c r="A40" s="255">
        <f>'آتش سوزى'!A40+باربرى!A40+حوادث!A40+'حوادث راننده'!A40+'بدنه اتومبيل'!A40+'شخص ثالث و مازاد'!A40+درمان!A40+كشتى!A40+هواپيما!A40+مهندسى!A40+پول!A40+مسئوليت!A40+اعتبار!A40+'نفت و انرژی'!A40+'ساير انواع'!A40</f>
        <v>29405.401115384</v>
      </c>
      <c r="B40" s="256">
        <f>'آتش سوزى'!B40+باربرى!B40+حوادث!B40+'حوادث راننده'!B40+'بدنه اتومبيل'!B40+'شخص ثالث و مازاد'!B40+درمان!B40+كشتى!B40+هواپيما!B40+مهندسى!B40+پول!B40+مسئوليت!B40+اعتبار!B40+'نفت و انرژی'!B40+'ساير انواع'!B40</f>
        <v>43231.995567729995</v>
      </c>
      <c r="C40" s="298">
        <f t="shared" si="0"/>
        <v>12281.403805792001</v>
      </c>
      <c r="D40" s="256">
        <f t="shared" si="1"/>
        <v>20330.782666440002</v>
      </c>
      <c r="E40" s="365"/>
      <c r="F40" s="365"/>
      <c r="G40" s="365"/>
      <c r="H40" s="365"/>
      <c r="I40" s="298">
        <f>'آتش سوزى'!I40+باربرى!I40+حوادث!I40+'حوادث راننده'!I40+'بدنه اتومبيل'!I40+'شخص ثالث و مازاد'!I40+درمان!I40+كشتى!G40+هواپيما!G40+مهندسى!I40+پول!G40+مسئوليت!I40+اعتبار!I40+'نفت و انرژی'!G40+'ساير انواع'!I40</f>
        <v>17123.997309592</v>
      </c>
      <c r="J40" s="256">
        <f>'آتش سوزى'!J40+باربرى!J40+حوادث!J40+'حوادث راننده'!J40+'بدنه اتومبيل'!J40+'شخص ثالث و مازاد'!J40+درمان!J40+كشتى!H40+هواپيما!H40+مهندسى!J40+پول!H40+مسئوليت!J40+اعتبار!J40+'نفت و انرژی'!H40+'ساير انواع'!J40</f>
        <v>22901.212901289993</v>
      </c>
      <c r="K40" s="103"/>
      <c r="L40" s="103"/>
      <c r="M40" s="103"/>
      <c r="N40" s="103"/>
      <c r="O40" s="103"/>
      <c r="P40" s="103"/>
      <c r="Q40" s="103"/>
      <c r="R40" s="103"/>
      <c r="S40" s="212">
        <v>1388</v>
      </c>
    </row>
    <row r="41" spans="1:20" s="1" customFormat="1" ht="20.25" customHeight="1">
      <c r="A41" s="255">
        <f>'آتش سوزى'!A41+باربرى!A41+حوادث!A41+'حوادث راننده'!A41+'بدنه اتومبيل'!A41+'شخص ثالث و مازاد'!A41+درمان!A41+كشتى!A41+هواپيما!A41+مهندسى!A41+پول!A41+مسئوليت!A41+اعتبار!A41+'نفت و انرژی'!A41+'ساير انواع'!A41</f>
        <v>37524.998810311998</v>
      </c>
      <c r="B41" s="256">
        <f>'آتش سوزى'!B41+باربرى!B41+حوادث!B41+'حوادث راننده'!B41+'بدنه اتومبيل'!B41+'شخص ثالث و مازاد'!B41+درمان!B41+كشتى!B41+هواپيما!B41+مهندسى!B41+پول!B41+مسئوليت!B41+اعتبار!B41+'نفت و انرژی'!B41+'ساير انواع'!B41</f>
        <v>54474.539675603999</v>
      </c>
      <c r="C41" s="298">
        <f t="shared" si="0"/>
        <v>18828.365086483918</v>
      </c>
      <c r="D41" s="256">
        <f t="shared" si="1"/>
        <v>28781.190227304</v>
      </c>
      <c r="E41" s="365"/>
      <c r="F41" s="365"/>
      <c r="G41" s="365"/>
      <c r="H41" s="365"/>
      <c r="I41" s="298">
        <f>'آتش سوزى'!I41+باربرى!I41+حوادث!I41+'حوادث راننده'!I41+'بدنه اتومبيل'!I41+'شخص ثالث و مازاد'!I41+درمان!I41+كشتى!G41+هواپيما!G41+مهندسى!I41+پول!G41+مسئوليت!I41+اعتبار!I41+'نفت و انرژی'!G41+'ساير انواع'!I41</f>
        <v>18696.633723828079</v>
      </c>
      <c r="J41" s="256">
        <f>'آتش سوزى'!J41+باربرى!J41+حوادث!J41+'حوادث راننده'!J41+'بدنه اتومبيل'!J41+'شخص ثالث و مازاد'!J41+درمان!J41+كشتى!H41+هواپيما!H41+مهندسى!J41+پول!H41+مسئوليت!J41+اعتبار!J41+'نفت و انرژی'!H41+'ساير انواع'!J41</f>
        <v>25693.349448299999</v>
      </c>
      <c r="K41" s="103"/>
      <c r="L41" s="103"/>
      <c r="M41" s="103"/>
      <c r="N41" s="103"/>
      <c r="O41" s="103"/>
      <c r="P41" s="103"/>
      <c r="Q41" s="103"/>
      <c r="R41" s="103"/>
      <c r="S41" s="212">
        <v>1389</v>
      </c>
    </row>
    <row r="42" spans="1:20" s="1" customFormat="1" ht="20.25" customHeight="1">
      <c r="A42" s="422">
        <f>'آتش سوزى'!A42+باربرى!A42+حوادث!A42+'حوادث راننده'!A42+'بدنه اتومبيل'!A42+'شخص ثالث و مازاد'!A42+درمان!A42+كشتى!A42+هواپيما!A42+مهندسى!A42+پول!A42+مسئوليت!A42+اعتبار!A42+'نفت و انرژی'!A42+'ساير انواع'!A42</f>
        <v>51368.100000000006</v>
      </c>
      <c r="B42" s="423">
        <f>'آتش سوزى'!B42+باربرى!B42+حوادث!B42+'حوادث راننده'!B42+'بدنه اتومبيل'!B42+'شخص ثالث و مازاد'!B42+درمان!B42+كشتى!B42+هواپيما!B42+مهندسى!B42+پول!B42+مسئوليت!B42+اعتبار!B42+'نفت و انرژی'!B42+'ساير انواع'!B42</f>
        <v>79222.300000000017</v>
      </c>
      <c r="C42" s="424">
        <f>A42-I42</f>
        <v>24862.700000000012</v>
      </c>
      <c r="D42" s="423">
        <f>B42-J42</f>
        <v>41173.900000000031</v>
      </c>
      <c r="E42" s="425"/>
      <c r="F42" s="425"/>
      <c r="G42" s="425"/>
      <c r="H42" s="425"/>
      <c r="I42" s="425">
        <f>'آتش سوزى'!I42+باربرى!I42+حوادث!I42+'حوادث راننده'!I42+'بدنه اتومبيل'!I42+'شخص ثالث و مازاد'!I42+درمان!I42+كشتى!G42+هواپيما!G42+مهندسى!I42+پول!G42+مسئوليت!I42+اعتبار!I42+'نفت و انرژی'!G42+'ساير انواع'!I42</f>
        <v>26505.399999999994</v>
      </c>
      <c r="J42" s="423">
        <f>'آتش سوزى'!J42+باربرى!J42+حوادث!J42+'حوادث راننده'!J42+'بدنه اتومبيل'!J42+'شخص ثالث و مازاد'!J42+درمان!J42+كشتى!H42+هواپيما!H42+مهندسى!J42+پول!H42+مسئوليت!J42+اعتبار!J42+'نفت و انرژی'!H42+'ساير انواع'!J42</f>
        <v>38048.399999999987</v>
      </c>
      <c r="K42" s="426"/>
      <c r="L42" s="426"/>
      <c r="M42" s="426"/>
      <c r="N42" s="426"/>
      <c r="O42" s="426"/>
      <c r="P42" s="426"/>
      <c r="Q42" s="426"/>
      <c r="R42" s="426"/>
      <c r="S42" s="427">
        <v>1390</v>
      </c>
    </row>
    <row r="43" spans="1:20" s="1" customFormat="1" ht="20.25" customHeight="1">
      <c r="A43" s="428">
        <f>'آتش سوزى'!A43+باربرى!A43+حوادث!A43+'حوادث راننده'!A43+'بدنه اتومبيل'!A43+'شخص ثالث و مازاد'!A43+درمان!A43+كشتى!A43+هواپيما!A43+مهندسى!A43+پول!A43+مسئوليت!A43+اعتبار!A43+'نفت و انرژی'!A43+'ساير انواع'!A43</f>
        <v>74832.999999999971</v>
      </c>
      <c r="B43" s="423">
        <f>'آتش سوزى'!B43+باربرى!B43+حوادث!B43+'حوادث راننده'!B43+'بدنه اتومبيل'!B43+'شخص ثالث و مازاد'!B43+درمان!B43+كشتى!B43+هواپيما!B43+مهندسى!B43+پول!B43+مسئوليت!B43+اعتبار!B43+'نفت و انرژی'!B43+'ساير انواع'!B43</f>
        <v>121318.99999999999</v>
      </c>
      <c r="C43" s="424">
        <f t="shared" ref="C43:C51" si="2">A43-I43</f>
        <v>37382.899999999965</v>
      </c>
      <c r="D43" s="423">
        <f t="shared" ref="D43:D51" si="3">B43-J43</f>
        <v>63943.6</v>
      </c>
      <c r="E43" s="430"/>
      <c r="F43" s="431"/>
      <c r="G43" s="431"/>
      <c r="H43" s="431"/>
      <c r="I43" s="431">
        <f>'آتش سوزى'!I43+باربرى!I43+حوادث!I43+'حوادث راننده'!I43+'بدنه اتومبيل'!I43+'شخص ثالث و مازاد'!I43+درمان!I43+كشتى!G43+هواپيما!G43+مهندسى!I43+پول!G43+مسئوليت!I43+اعتبار!I43+'نفت و انرژی'!G43+'ساير انواع'!I43</f>
        <v>37450.100000000006</v>
      </c>
      <c r="J43" s="423">
        <f>'آتش سوزى'!J43+باربرى!J43+حوادث!J43+'حوادث راننده'!J43+'بدنه اتومبيل'!J43+'شخص ثالث و مازاد'!J43+درمان!J43+كشتى!H43+هواپيما!H43+مهندسى!J43+پول!H43+مسئوليت!J43+اعتبار!J43+'نفت و انرژی'!H43+'ساير انواع'!J43</f>
        <v>57375.399999999987</v>
      </c>
      <c r="K43" s="473"/>
      <c r="L43" s="474"/>
      <c r="M43" s="474"/>
      <c r="N43" s="474"/>
      <c r="O43" s="474"/>
      <c r="P43" s="474"/>
      <c r="Q43" s="474"/>
      <c r="R43" s="474"/>
      <c r="S43" s="475">
        <v>1391</v>
      </c>
      <c r="T43" s="265"/>
    </row>
    <row r="44" spans="1:20" s="1" customFormat="1" ht="20.25" customHeight="1">
      <c r="A44" s="422">
        <f>'آتش سوزى'!A44+باربرى!A44+حوادث!A44+'حوادث راننده'!A44+'بدنه اتومبيل'!A44+'شخص ثالث و مازاد'!A44+درمان!A44+كشتى!A44+هواپيما!A44+مهندسى!A44+پول!A44+مسئوليت!A44+اعتبار!A44+'نفت و انرژی'!A44+'ساير انواع'!A44</f>
        <v>100198.70000000003</v>
      </c>
      <c r="B44" s="423">
        <f>'آتش سوزى'!B44+باربرى!B44+حوادث!B44+'حوادث راننده'!B44+'بدنه اتومبيل'!B44+'شخص ثالث و مازاد'!B44+درمان!B44+كشتى!B44+هواپيما!B44+مهندسى!B44+پول!B44+مسئوليت!B44+اعتبار!B44+'نفت و انرژی'!B44+'ساير انواع'!B44</f>
        <v>147274.1</v>
      </c>
      <c r="C44" s="424">
        <f t="shared" si="2"/>
        <v>50299.200000000026</v>
      </c>
      <c r="D44" s="423">
        <f t="shared" si="3"/>
        <v>80200.2</v>
      </c>
      <c r="E44" s="434"/>
      <c r="F44" s="435"/>
      <c r="G44" s="435"/>
      <c r="H44" s="435"/>
      <c r="I44" s="435">
        <f>'آتش سوزى'!I44+باربرى!I44+حوادث!I44+'حوادث راننده'!I44+'بدنه اتومبيل'!I44+'شخص ثالث و مازاد'!I44+درمان!I44+كشتى!G44+هواپيما!G44+مهندسى!I44+پول!G44+مسئوليت!I44+اعتبار!I44+'نفت و انرژی'!G44+'ساير انواع'!I44</f>
        <v>49899.5</v>
      </c>
      <c r="J44" s="423">
        <f>'آتش سوزى'!J44+باربرى!J44+حوادث!J44+'حوادث راننده'!J44+'بدنه اتومبيل'!J44+'شخص ثالث و مازاد'!J44+درمان!J44+كشتى!H44+هواپيما!H44+مهندسى!J44+پول!H44+مسئوليت!J44+اعتبار!J44+'نفت و انرژی'!H44+'ساير انواع'!J44</f>
        <v>67073.900000000009</v>
      </c>
      <c r="K44" s="476"/>
      <c r="L44" s="477"/>
      <c r="M44" s="477"/>
      <c r="N44" s="477"/>
      <c r="O44" s="477"/>
      <c r="P44" s="477"/>
      <c r="Q44" s="477"/>
      <c r="R44" s="477"/>
      <c r="S44" s="478">
        <v>1392</v>
      </c>
    </row>
    <row r="45" spans="1:20" s="1" customFormat="1" ht="20.25" customHeight="1">
      <c r="A45" s="422">
        <f>'آتش سوزى'!A45+باربرى!A45+حوادث!A45+'حوادث راننده'!A45+'بدنه اتومبيل'!A45+'شخص ثالث و مازاد'!A45+درمان!A45+كشتى!A45+هواپيما!A45+مهندسى!A45+پول!A45+مسئوليت!A45+اعتبار!A45+'نفت و انرژی'!A45+'ساير انواع'!A45</f>
        <v>117039.40000000001</v>
      </c>
      <c r="B45" s="423">
        <f>'آتش سوزى'!B45+باربرى!B45+حوادث!B45+'حوادث راننده'!B45+'بدنه اتومبيل'!B45+'شخص ثالث و مازاد'!B45+درمان!B45+كشتى!B45+هواپيما!B45+مهندسى!B45+پول!B45+مسئوليت!B45+اعتبار!B45+'نفت و انرژی'!B45+'ساير انواع'!B45</f>
        <v>186033.60000000006</v>
      </c>
      <c r="C45" s="424">
        <f t="shared" si="2"/>
        <v>58738.000000000007</v>
      </c>
      <c r="D45" s="423">
        <f t="shared" si="3"/>
        <v>104811.20000000007</v>
      </c>
      <c r="E45" s="434"/>
      <c r="F45" s="435"/>
      <c r="G45" s="435"/>
      <c r="H45" s="435"/>
      <c r="I45" s="435">
        <f>'آتش سوزى'!I45+باربرى!I45+حوادث!I45+'حوادث راننده'!I45+'بدنه اتومبيل'!I45+'شخص ثالث و مازاد'!I45+درمان!I45+كشتى!G45+هواپيما!G45+مهندسى!I45+پول!G45+مسئوليت!I45+اعتبار!I45+'نفت و انرژی'!G45+'ساير انواع'!I45</f>
        <v>58301.4</v>
      </c>
      <c r="J45" s="423">
        <f>'آتش سوزى'!J45+باربرى!J45+حوادث!J45+'حوادث راننده'!J45+'بدنه اتومبيل'!J45+'شخص ثالث و مازاد'!J45+درمان!J45+كشتى!H45+هواپيما!H45+مهندسى!J45+پول!H45+مسئوليت!J45+اعتبار!J45+'نفت و انرژی'!H45+'ساير انواع'!J45</f>
        <v>81222.399999999994</v>
      </c>
      <c r="K45" s="476"/>
      <c r="L45" s="477"/>
      <c r="M45" s="477"/>
      <c r="N45" s="477"/>
      <c r="O45" s="477"/>
      <c r="P45" s="477"/>
      <c r="Q45" s="477"/>
      <c r="R45" s="477"/>
      <c r="S45" s="478">
        <v>1393</v>
      </c>
    </row>
    <row r="46" spans="1:20" s="1" customFormat="1" ht="20.25" customHeight="1">
      <c r="A46" s="422">
        <f>'آتش سوزى'!A46+باربرى!A46+حوادث!A46+'حوادث راننده'!A46+'بدنه اتومبيل'!A46+'شخص ثالث و مازاد'!A46+درمان!A46+كشتى!A46+هواپيما!A46+مهندسى!A46+پول!A46+مسئوليت!A46+اعتبار!A46+'نفت و انرژی'!A46+'ساير انواع'!A46</f>
        <v>138031.79999999999</v>
      </c>
      <c r="B46" s="423">
        <f>'آتش سوزى'!B46+باربرى!B46+حوادث!B46+'حوادث راننده'!B46+'بدنه اتومبيل'!B46+'شخص ثالث و مازاد'!B46+درمان!B46+كشتى!B46+هواپيما!B46+مهندسى!B46+پول!B46+مسئوليت!B46+اعتبار!B46+'نفت و انرژی'!B46+'ساير انواع'!B46</f>
        <v>200570.20000000004</v>
      </c>
      <c r="C46" s="424">
        <f t="shared" si="2"/>
        <v>75327.399999999994</v>
      </c>
      <c r="D46" s="423">
        <f t="shared" si="3"/>
        <v>113593.80000000005</v>
      </c>
      <c r="E46" s="434"/>
      <c r="F46" s="435"/>
      <c r="G46" s="435"/>
      <c r="H46" s="435"/>
      <c r="I46" s="435">
        <f>'آتش سوزى'!I46+باربرى!I46+حوادث!I46+'حوادث راننده'!I46+'بدنه اتومبيل'!I46+'شخص ثالث و مازاد'!I46+درمان!I46+كشتى!G46+هواپيما!G46+مهندسى!I46+پول!G46+مسئوليت!I46+اعتبار!I46+'نفت و انرژی'!G46+'ساير انواع'!I46</f>
        <v>62704.4</v>
      </c>
      <c r="J46" s="423">
        <f>'آتش سوزى'!J46+باربرى!J46+حوادث!J46+'حوادث راننده'!J46+'بدنه اتومبيل'!J46+'شخص ثالث و مازاد'!J46+درمان!J46+كشتى!H46+هواپيما!H46+مهندسى!J46+پول!H46+مسئوليت!J46+اعتبار!J46+'نفت و انرژی'!H46+'ساير انواع'!J46</f>
        <v>86976.4</v>
      </c>
      <c r="K46" s="476"/>
      <c r="L46" s="477"/>
      <c r="M46" s="477"/>
      <c r="N46" s="477"/>
      <c r="O46" s="477"/>
      <c r="P46" s="477"/>
      <c r="Q46" s="477"/>
      <c r="R46" s="477"/>
      <c r="S46" s="478">
        <v>1394</v>
      </c>
    </row>
    <row r="47" spans="1:20" s="1" customFormat="1" ht="20.25" customHeight="1">
      <c r="A47" s="422">
        <f>'آتش سوزى'!A47+باربرى!A47+حوادث!A47+'حوادث راننده'!A47+'بدنه اتومبيل'!A47+'شخص ثالث و مازاد'!A47+درمان!A47+كشتى!A47+هواپيما!A47+مهندسى!A47+پول!A47+مسئوليت!A47+اعتبار!A47+'نفت و انرژی'!A47+'ساير انواع'!A47</f>
        <v>171737.59999999995</v>
      </c>
      <c r="B47" s="423">
        <f>'آتش سوزى'!B47+باربرى!B47+حوادث!B47+'حوادث راننده'!B47+'بدنه اتومبيل'!B47+'شخص ثالث و مازاد'!B47+درمان!B47+كشتى!B47+هواپيما!B47+مهندسى!B47+پول!B47+مسئوليت!B47+اعتبار!B47+'نفت و انرژی'!B47+'ساير انواع'!B47</f>
        <v>242223.8</v>
      </c>
      <c r="C47" s="424">
        <f t="shared" si="2"/>
        <v>95424.899999999951</v>
      </c>
      <c r="D47" s="423">
        <f t="shared" si="3"/>
        <v>141237</v>
      </c>
      <c r="E47" s="434"/>
      <c r="F47" s="435"/>
      <c r="G47" s="435"/>
      <c r="H47" s="435"/>
      <c r="I47" s="435">
        <f>'آتش سوزى'!I47+باربرى!I47+حوادث!I47+'حوادث راننده'!I47+'بدنه اتومبيل'!I47+'شخص ثالث و مازاد'!I47+درمان!I47+كشتى!G47+هواپيما!G47+مهندسى!I47+پول!G47+مسئوليت!I47+اعتبار!I47+'نفت و انرژی'!G47+'ساير انواع'!I47</f>
        <v>76312.7</v>
      </c>
      <c r="J47" s="423">
        <f>'آتش سوزى'!J47+باربرى!J47+حوادث!J47+'حوادث راننده'!J47+'بدنه اتومبيل'!J47+'شخص ثالث و مازاد'!J47+درمان!J47+كشتى!H47+هواپيما!H47+مهندسى!J47+پول!H47+مسئوليت!J47+اعتبار!J47+'نفت و انرژی'!H47+'ساير انواع'!J47</f>
        <v>100986.8</v>
      </c>
      <c r="K47" s="476"/>
      <c r="L47" s="477"/>
      <c r="M47" s="477"/>
      <c r="N47" s="477"/>
      <c r="O47" s="477"/>
      <c r="P47" s="477"/>
      <c r="Q47" s="477"/>
      <c r="R47" s="477"/>
      <c r="S47" s="478">
        <v>1395</v>
      </c>
    </row>
    <row r="48" spans="1:20" s="1" customFormat="1" ht="20.25" customHeight="1">
      <c r="A48" s="422">
        <f>'آتش سوزى'!A48+باربرى!A48+حوادث!A48+'حوادث راننده'!A48+'بدنه اتومبيل'!A48+'شخص ثالث و مازاد'!A48+درمان!A48+كشتى!A48+هواپيما!A48+مهندسى!A48+پول!A48+مسئوليت!A48+اعتبار!A48+'نفت و انرژی'!A48+'ساير انواع'!A48</f>
        <v>202928.7</v>
      </c>
      <c r="B48" s="423">
        <f>'آتش سوزى'!B48+باربرى!B48+حوادث!B48+'حوادث راننده'!B48+'بدنه اتومبيل'!B48+'شخص ثالث و مازاد'!B48+درمان!B48+كشتى!B48+هواپيما!B48+مهندسى!B48+پول!B48+مسئوليت!B48+اعتبار!B48+'نفت و انرژی'!B48+'ساير انواع'!B48</f>
        <v>294095.09999999998</v>
      </c>
      <c r="C48" s="424">
        <f t="shared" si="2"/>
        <v>114393.90000000002</v>
      </c>
      <c r="D48" s="423">
        <f t="shared" si="3"/>
        <v>185067.09999999998</v>
      </c>
      <c r="E48" s="434"/>
      <c r="F48" s="435"/>
      <c r="G48" s="435"/>
      <c r="H48" s="435"/>
      <c r="I48" s="435">
        <f>'آتش سوزى'!I48+باربرى!I48+حوادث!I48+'حوادث راننده'!I48+'بدنه اتومبيل'!I48+'شخص ثالث و مازاد'!I48+درمان!I48+كشتى!G48+هواپيما!G48+مهندسى!I48+پول!G48+مسئوليت!I48+اعتبار!I48+'نفت و انرژی'!G48+'ساير انواع'!I48</f>
        <v>88534.799999999988</v>
      </c>
      <c r="J48" s="423">
        <f>'آتش سوزى'!J48+باربرى!J48+حوادث!J48+'حوادث راننده'!J48+'بدنه اتومبيل'!J48+'شخص ثالث و مازاد'!J48+درمان!J48+كشتى!H48+هواپيما!H48+مهندسى!J48+پول!H48+مسئوليت!J48+اعتبار!J48+'نفت و انرژی'!H48+'ساير انواع'!J48</f>
        <v>109027.99999999999</v>
      </c>
      <c r="K48" s="476"/>
      <c r="L48" s="477"/>
      <c r="M48" s="477"/>
      <c r="N48" s="477"/>
      <c r="O48" s="477"/>
      <c r="P48" s="477"/>
      <c r="Q48" s="477"/>
      <c r="R48" s="477"/>
      <c r="S48" s="478">
        <v>1396</v>
      </c>
    </row>
    <row r="49" spans="1:19" s="1" customFormat="1" ht="20.25" customHeight="1">
      <c r="A49" s="422">
        <f>'آتش سوزى'!A49+باربرى!A49+حوادث!A49+'حوادث راننده'!A49+'بدنه اتومبيل'!A49+'شخص ثالث و مازاد'!A49+درمان!A49+كشتى!A49+هواپيما!A49+مهندسى!A49+پول!A49+مسئوليت!A49+اعتبار!A49+'نفت و انرژی'!A49+'ساير انواع'!A49</f>
        <v>265150.69999999995</v>
      </c>
      <c r="B49" s="423">
        <f>'آتش سوزى'!B49+باربرى!B49+حوادث!B49+'حوادث راننده'!B49+'بدنه اتومبيل'!B49+'شخص ثالث و مازاد'!B49+درمان!B49+كشتى!B49+هواپيما!B49+مهندسى!B49+پول!B49+مسئوليت!B49+اعتبار!B49+'نفت و انرژی'!B49+'ساير انواع'!B49</f>
        <v>390775.19999999995</v>
      </c>
      <c r="C49" s="424">
        <f t="shared" si="2"/>
        <v>164912.39999999997</v>
      </c>
      <c r="D49" s="423">
        <f t="shared" si="3"/>
        <v>244961.99999999997</v>
      </c>
      <c r="E49" s="434"/>
      <c r="F49" s="435"/>
      <c r="G49" s="435"/>
      <c r="H49" s="435"/>
      <c r="I49" s="435">
        <f>'آتش سوزى'!I49+باربرى!I49+حوادث!I49+'حوادث راننده'!I49+'بدنه اتومبيل'!I49+'شخص ثالث و مازاد'!I49+درمان!I49+كشتى!G49+هواپيما!G49+مهندسى!I49+پول!G49+مسئوليت!I49+اعتبار!I49+'نفت و انرژی'!G49+'ساير انواع'!I49</f>
        <v>100238.29999999999</v>
      </c>
      <c r="J49" s="423">
        <f>'آتش سوزى'!J49+باربرى!J49+حوادث!J49+'حوادث راننده'!J49+'بدنه اتومبيل'!J49+'شخص ثالث و مازاد'!J49+درمان!J49+كشتى!H49+هواپيما!H49+مهندسى!J49+پول!H49+مسئوليت!J49+اعتبار!J49+'نفت و انرژی'!H49+'ساير انواع'!J49</f>
        <v>145813.19999999998</v>
      </c>
      <c r="K49" s="476"/>
      <c r="L49" s="477"/>
      <c r="M49" s="477"/>
      <c r="N49" s="477"/>
      <c r="O49" s="477"/>
      <c r="P49" s="477"/>
      <c r="Q49" s="477"/>
      <c r="R49" s="477"/>
      <c r="S49" s="478">
        <v>1397</v>
      </c>
    </row>
    <row r="50" spans="1:19" s="1" customFormat="1" ht="20.25" customHeight="1">
      <c r="A50" s="422">
        <f>'آتش سوزى'!A50+باربرى!A50+حوادث!A50+'حوادث راننده'!A50+'بدنه اتومبيل'!A50+'شخص ثالث و مازاد'!A50+درمان!A50+كشتى!A50+هواپيما!A50+مهندسى!A50+پول!A50+مسئوليت!A50+اعتبار!A50+'نفت و انرژی'!A50+'ساير انواع'!A50</f>
        <v>310155.8</v>
      </c>
      <c r="B50" s="423">
        <f>'آتش سوزى'!B50+باربرى!B50+حوادث!B50+'حوادث راننده'!B50+'بدنه اتومبيل'!B50+'شخص ثالث و مازاد'!B50+درمان!B50+كشتى!B50+هواپيما!B50+مهندسى!B50+پول!B50+مسئوليت!B50+اعتبار!B50+'نفت و انرژی'!B50+'ساير انواع'!B50</f>
        <v>508241.20000000007</v>
      </c>
      <c r="C50" s="424">
        <f t="shared" si="2"/>
        <v>198977.59999999998</v>
      </c>
      <c r="D50" s="423">
        <f t="shared" si="3"/>
        <v>335712.00000000012</v>
      </c>
      <c r="E50" s="434"/>
      <c r="F50" s="435"/>
      <c r="G50" s="435"/>
      <c r="H50" s="435"/>
      <c r="I50" s="435">
        <f>'آتش سوزى'!I50+باربرى!I50+حوادث!I50+'حوادث راننده'!I50+'بدنه اتومبيل'!I50+'شخص ثالث و مازاد'!I50+درمان!I50+كشتى!G50+هواپيما!G50+مهندسى!I50+پول!G50+مسئوليت!I50+اعتبار!I50+'نفت و انرژی'!G50+'ساير انواع'!I50</f>
        <v>111178.2</v>
      </c>
      <c r="J50" s="423">
        <f>'آتش سوزى'!J50+باربرى!J50+حوادث!J50+'حوادث راننده'!J50+'بدنه اتومبيل'!J50+'شخص ثالث و مازاد'!J50+درمان!J50+كشتى!H50+هواپيما!H50+مهندسى!J50+پول!H50+مسئوليت!J50+اعتبار!J50+'نفت و انرژی'!H50+'ساير انواع'!J50</f>
        <v>172529.19999999995</v>
      </c>
      <c r="K50" s="476"/>
      <c r="L50" s="477"/>
      <c r="M50" s="477"/>
      <c r="N50" s="477"/>
      <c r="O50" s="477"/>
      <c r="P50" s="477"/>
      <c r="Q50" s="477"/>
      <c r="R50" s="477"/>
      <c r="S50" s="478">
        <v>1398</v>
      </c>
    </row>
    <row r="51" spans="1:19" s="1" customFormat="1" ht="20.25" customHeight="1" thickBot="1">
      <c r="A51" s="469">
        <f>'آتش سوزى'!A51+باربرى!A51+حوادث!A51+'حوادث راننده'!A51+'بدنه اتومبيل'!A51+'شخص ثالث و مازاد'!A51+درمان!A51+كشتى!A51+هواپيما!A51+مهندسى!A51+پول!A51+مسئوليت!A51+اعتبار!A51+'نفت و انرژی'!A51+'ساير انواع'!A51</f>
        <v>397719.40000000008</v>
      </c>
      <c r="B51" s="470">
        <f>'آتش سوزى'!B51+باربرى!B51+حوادث!B51+'حوادث راننده'!B51+'بدنه اتومبيل'!B51+'شخص ثالث و مازاد'!B51+درمان!B51+كشتى!B51+هواپيما!B51+مهندسى!B51+پول!B51+مسئوليت!B51+اعتبار!B51+'نفت و انرژی'!B51+'ساير انواع'!B51</f>
        <v>695058.8</v>
      </c>
      <c r="C51" s="471">
        <f t="shared" si="2"/>
        <v>259732.60000000006</v>
      </c>
      <c r="D51" s="470">
        <f t="shared" si="3"/>
        <v>457453.5</v>
      </c>
      <c r="E51" s="490"/>
      <c r="F51" s="491"/>
      <c r="G51" s="491"/>
      <c r="H51" s="491"/>
      <c r="I51" s="491">
        <f>'آتش سوزى'!I51+باربرى!I51+حوادث!I51+'حوادث راننده'!I51+'بدنه اتومبيل'!I51+'شخص ثالث و مازاد'!I51+درمان!I51+كشتى!G51+هواپيما!G51+مهندسى!I51+پول!G51+مسئوليت!I51+اعتبار!I51+'نفت و انرژی'!G51+'ساير انواع'!I51</f>
        <v>137986.80000000002</v>
      </c>
      <c r="J51" s="470">
        <f>'آتش سوزى'!J51+باربرى!J51+حوادث!J51+'حوادث راننده'!J51+'بدنه اتومبيل'!J51+'شخص ثالث و مازاد'!J51+درمان!J51+كشتى!H51+هواپيما!H51+مهندسى!J51+پول!H51+مسئوليت!J51+اعتبار!J51+'نفت و انرژی'!H51+'ساير انواع'!J51</f>
        <v>237605.30000000002</v>
      </c>
      <c r="K51" s="522"/>
      <c r="L51" s="523"/>
      <c r="M51" s="523"/>
      <c r="N51" s="523"/>
      <c r="O51" s="523"/>
      <c r="P51" s="523"/>
      <c r="Q51" s="523"/>
      <c r="R51" s="523"/>
      <c r="S51" s="494">
        <v>1399</v>
      </c>
    </row>
    <row r="52" spans="1:19" s="264" customFormat="1" ht="20.25" customHeight="1">
      <c r="A52" s="566" t="s">
        <v>32</v>
      </c>
      <c r="B52" s="567"/>
      <c r="C52" s="567"/>
      <c r="D52" s="567"/>
      <c r="E52" s="567"/>
      <c r="F52" s="567"/>
      <c r="G52" s="567"/>
      <c r="H52" s="567"/>
      <c r="I52" s="567"/>
      <c r="J52" s="567"/>
      <c r="K52" s="567"/>
      <c r="L52" s="567"/>
      <c r="M52" s="567"/>
      <c r="N52" s="567"/>
      <c r="O52" s="567"/>
      <c r="P52" s="567"/>
      <c r="Q52" s="567"/>
      <c r="R52" s="567"/>
      <c r="S52" s="568"/>
    </row>
    <row r="53" spans="1:19" s="264" customFormat="1" ht="17.25" customHeight="1">
      <c r="A53" s="581" t="s">
        <v>53</v>
      </c>
      <c r="B53" s="582"/>
      <c r="C53" s="582"/>
      <c r="D53" s="582"/>
      <c r="E53" s="582"/>
      <c r="F53" s="582"/>
      <c r="G53" s="582"/>
      <c r="H53" s="582"/>
      <c r="I53" s="582"/>
      <c r="J53" s="582"/>
      <c r="K53" s="582"/>
      <c r="L53" s="582"/>
      <c r="M53" s="582"/>
      <c r="N53" s="582"/>
      <c r="O53" s="582"/>
      <c r="P53" s="582"/>
      <c r="Q53" s="582"/>
      <c r="R53" s="582"/>
      <c r="S53" s="583"/>
    </row>
    <row r="54" spans="1:19" ht="14.1" customHeight="1">
      <c r="A54" s="121"/>
      <c r="B54" s="121"/>
      <c r="C54" s="121"/>
      <c r="D54" s="121"/>
    </row>
    <row r="55" spans="1:19" ht="14.1" customHeight="1">
      <c r="A55" s="121"/>
      <c r="B55" s="121"/>
      <c r="C55" s="121"/>
      <c r="D55" s="121"/>
      <c r="H55" s="152"/>
      <c r="I55" s="152"/>
      <c r="J55" s="152"/>
    </row>
    <row r="56" spans="1:19" ht="14.1" hidden="1" customHeight="1">
      <c r="A56" s="121">
        <f>'آتش سوزى'!A33+باربرى!A33+حوادث!A33+'حوادث راننده'!A33+'بدنه اتومبيل'!A33+'شخص ثالث و مازاد'!A33+درمان!A33+كشتى!A33+هواپيما!A33+مهندسى!A33+پول!A33+مسئوليت!A33+اعتبار!A33+'نفت و انرژی'!A33+'ساير انواع'!A33</f>
        <v>5085.311757421</v>
      </c>
      <c r="B56" s="121">
        <f>'آتش سوزى'!B33+باربرى!B33+حوادث!B33+'حوادث راننده'!B33+'بدنه اتومبيل'!B33+'شخص ثالث و مازاد'!B33+درمان!B33+كشتى!B33+هواپيما!B33+مهندسى!B33+پول!B33+مسئوليت!B33+اعتبار!B33+'نفت و انرژی'!B33+'ساير انواع'!B33</f>
        <v>8289.4421424089996</v>
      </c>
      <c r="C56" s="121">
        <f>'آتش سوزى'!C33+باربرى!C33+حوادث!C33+'حوادث راننده'!C33+'بدنه اتومبيل'!C33+'شخص ثالث و مازاد'!C33+درمان!C33+كشتى!C33+هواپيما!C33+مهندسى!C33+پول!C33+مسئوليت!C33+اعتبار!C33+'نفت و انرژی'!C33+'ساير انواع'!C33</f>
        <v>1.2939236199999939</v>
      </c>
      <c r="D56" s="121">
        <f>'آتش سوزى'!D33+باربرى!D33+حوادث!D33+'حوادث راننده'!D33+'بدنه اتومبيل'!D33+'شخص ثالث و مازاد'!D33+درمان!D33+كشتى!D33+هواپيما!D33+مهندسى!D33+پول!D33+مسئوليت!D33+اعتبار!D33+'نفت و انرژی'!D33+'ساير انواع'!D33</f>
        <v>92.918119282999854</v>
      </c>
      <c r="E56" s="121"/>
      <c r="F56" s="121"/>
      <c r="G56" s="121"/>
      <c r="H56" s="121"/>
      <c r="I56" s="121">
        <f>'آتش سوزى'!I33+باربرى!I33+حوادث!I33+'حوادث راننده'!I33+'بدنه اتومبيل'!I33+'شخص ثالث و مازاد'!I33+درمان!I33+كشتى!G33+هواپيما!G33+مهندسى!I33+پول!G33+مسئوليت!I33+اعتبار!I33+'نفت و انرژی'!G33+'ساير انواع'!I33</f>
        <v>5084.017833801001</v>
      </c>
      <c r="J56" s="121">
        <f>'آتش سوزى'!J33+باربرى!J33+حوادث!J33+'حوادث راننده'!J33+'بدنه اتومبيل'!J33+'شخص ثالث و مازاد'!J33+درمان!J33+كشتى!H33+هواپيما!H33+مهندسى!J33+پول!H33+مسئوليت!J33+اعتبار!J33+'نفت و انرژی'!H33+'ساير انواع'!J33</f>
        <v>8196.5240231259995</v>
      </c>
    </row>
    <row r="57" spans="1:19" ht="14.1" hidden="1" customHeight="1">
      <c r="A57" s="121">
        <f>'آتش سوزى'!A34+باربرى!A34+حوادث!A34+'حوادث راننده'!A34+'بدنه اتومبيل'!A34+'شخص ثالث و مازاد'!A34+درمان!A34+كشتى!A34+هواپيما!A34+مهندسى!A34+پول!A34+مسئوليت!A34+اعتبار!A34+'نفت و انرژی'!A34+'ساير انواع'!A34</f>
        <v>7113.6557862460013</v>
      </c>
      <c r="B57" s="121">
        <f>'آتش سوزى'!B34+باربرى!B34+حوادث!B34+'حوادث راننده'!B34+'بدنه اتومبيل'!B34+'شخص ثالث و مازاد'!B34+درمان!B34+كشتى!B34+هواپيما!B34+مهندسى!B34+پول!B34+مسئوليت!B34+اعتبار!B34+'نفت و انرژی'!B34+'ساير انواع'!B34</f>
        <v>11704.954323312999</v>
      </c>
      <c r="C57" s="121">
        <f>'آتش سوزى'!C34+باربرى!C34+حوادث!C34+'حوادث راننده'!C34+'بدنه اتومبيل'!C34+'شخص ثالث و مازاد'!C34+درمان!C34+كشتى!C34+هواپيما!C34+مهندسى!C34+پول!C34+مسئوليت!C34+اعتبار!C34+'نفت و انرژی'!C34+'ساير انواع'!C34</f>
        <v>7.9355434659997037</v>
      </c>
      <c r="D57" s="121">
        <f>'آتش سوزى'!D34+باربرى!D34+حوادث!D34+'حوادث راننده'!D34+'بدنه اتومبيل'!D34+'شخص ثالث و مازاد'!D34+درمان!D34+كشتى!D34+هواپيما!D34+مهندسى!D34+پول!D34+مسئوليت!D34+اعتبار!D34+'نفت و انرژی'!D34+'ساير انواع'!D34</f>
        <v>371.52899683699997</v>
      </c>
      <c r="E57" s="121"/>
      <c r="F57" s="121"/>
      <c r="G57" s="121"/>
      <c r="H57" s="121"/>
      <c r="I57" s="121">
        <f>'آتش سوزى'!I34+باربرى!I34+حوادث!I34+'حوادث راننده'!I34+'بدنه اتومبيل'!I34+'شخص ثالث و مازاد'!I34+درمان!I34+كشتى!G34+هواپيما!G34+مهندسى!I34+پول!G34+مسئوليت!I34+اعتبار!I34+'نفت و انرژی'!G34+'ساير انواع'!I34</f>
        <v>7105.7202427800012</v>
      </c>
      <c r="J57" s="121">
        <f>'آتش سوزى'!J34+باربرى!J34+حوادث!J34+'حوادث راننده'!J34+'بدنه اتومبيل'!J34+'شخص ثالث و مازاد'!J34+درمان!J34+كشتى!H34+هواپيما!H34+مهندسى!J34+پول!H34+مسئوليت!J34+اعتبار!J34+'نفت و انرژی'!H34+'ساير انواع'!J34</f>
        <v>11333.425326476003</v>
      </c>
    </row>
    <row r="58" spans="1:19" ht="14.1" hidden="1" customHeight="1">
      <c r="A58" s="121">
        <f>'آتش سوزى'!A35+باربرى!A35+حوادث!A35+'حوادث راننده'!A35+'بدنه اتومبيل'!A35+'شخص ثالث و مازاد'!A35+درمان!A35+كشتى!A35+هواپيما!A35+مهندسى!A35+پول!A35+مسئوليت!A35+اعتبار!A35+'نفت و انرژی'!A35+'ساير انواع'!A35</f>
        <v>9421.9936303330014</v>
      </c>
      <c r="B58" s="121">
        <f>'آتش سوزى'!B35+باربرى!B35+حوادث!B35+'حوادث راننده'!B35+'بدنه اتومبيل'!B35+'شخص ثالث و مازاد'!B35+درمان!B35+كشتى!B35+هواپيما!B35+مهندسى!B35+پول!B35+مسئوليت!B35+اعتبار!B35+'نفت و انرژی'!B35+'ساير انواع'!B35</f>
        <v>16253.652752507</v>
      </c>
      <c r="C58" s="121">
        <f>'آتش سوزى'!C35+باربرى!C35+حوادث!C35+'حوادث راننده'!C35+'بدنه اتومبيل'!C35+'شخص ثالث و مازاد'!C35+درمان!C35+كشتى!C35+هواپيما!C35+مهندسى!C35+پول!C35+مسئوليت!C35+اعتبار!C35+'نفت و انرژی'!C35+'ساير انواع'!C35</f>
        <v>125.77894066499991</v>
      </c>
      <c r="D58" s="121">
        <f>'آتش سوزى'!D35+باربرى!D35+حوادث!D35+'حوادث راننده'!D35+'بدنه اتومبيل'!D35+'شخص ثالث و مازاد'!D35+درمان!D35+كشتى!D35+هواپيما!D35+مهندسى!D35+پول!D35+مسئوليت!D35+اعتبار!D35+'نفت و انرژی'!D35+'ساير انواع'!D35</f>
        <v>1891.3452051510001</v>
      </c>
      <c r="E58" s="121"/>
      <c r="F58" s="121"/>
      <c r="G58" s="121"/>
      <c r="H58" s="121"/>
      <c r="I58" s="121">
        <f>'آتش سوزى'!I35+باربرى!I35+حوادث!I35+'حوادث راننده'!I35+'بدنه اتومبيل'!I35+'شخص ثالث و مازاد'!I35+درمان!I35+كشتى!G35+هواپيما!G35+مهندسى!I35+پول!G35+مسئوليت!I35+اعتبار!I35+'نفت و انرژی'!G35+'ساير انواع'!I35</f>
        <v>9296.2146896680024</v>
      </c>
      <c r="J58" s="121">
        <f>'آتش سوزى'!J35+باربرى!J35+حوادث!J35+'حوادث راننده'!J35+'بدنه اتومبيل'!J35+'شخص ثالث و مازاد'!J35+درمان!J35+كشتى!H35+هواپيما!H35+مهندسى!J35+پول!H35+مسئوليت!J35+اعتبار!J35+'نفت و انرژی'!H35+'ساير انواع'!J35</f>
        <v>14362.307547356</v>
      </c>
    </row>
    <row r="59" spans="1:19" ht="14.1" hidden="1" customHeight="1">
      <c r="A59" s="121">
        <f>'آتش سوزى'!A36+باربرى!A36+حوادث!A36+'حوادث راننده'!A36+'بدنه اتومبيل'!A36+'شخص ثالث و مازاد'!A36+درمان!A36+كشتى!A36+هواپيما!A36+مهندسى!A36+پول!A36+مسئوليت!A36+اعتبار!A36+'نفت و انرژی'!A36+'ساير انواع'!A36</f>
        <v>13854.184220333998</v>
      </c>
      <c r="B59" s="121">
        <f>'آتش سوزى'!B36+باربرى!B36+حوادث!B36+'حوادث راننده'!B36+'بدنه اتومبيل'!B36+'شخص ثالث و مازاد'!B36+درمان!B36+كشتى!B36+هواپيما!B36+مهندسى!B36+پول!B36+مسئوليت!B36+اعتبار!B36+'نفت و انرژی'!B36+'ساير انواع'!B36</f>
        <v>20109.540348401002</v>
      </c>
      <c r="C59" s="121">
        <f>'آتش سوزى'!C36+باربرى!C36+حوادث!C36+'حوادث راننده'!C36+'بدنه اتومبيل'!C36+'شخص ثالث و مازاد'!C36+درمان!C36+كشتى!C36+هواپيما!C36+مهندسى!C36+پول!C36+مسئوليت!C36+اعتبار!C36+'نفت و انرژی'!C36+'ساير انواع'!C36</f>
        <v>1227.4946111140009</v>
      </c>
      <c r="D59" s="121">
        <f>'آتش سوزى'!D36+باربرى!D36+حوادث!D36+'حوادث راننده'!D36+'بدنه اتومبيل'!D36+'شخص ثالث و مازاد'!D36+درمان!D36+كشتى!D36+هواپيما!D36+مهندسى!D36+پول!D36+مسئوليت!D36+اعتبار!D36+'نفت و انرژی'!D36+'ساير انواع'!D36</f>
        <v>2865.3145579770003</v>
      </c>
      <c r="E59" s="121"/>
      <c r="F59" s="121"/>
      <c r="G59" s="121"/>
      <c r="H59" s="121"/>
      <c r="I59" s="121">
        <f>'آتش سوزى'!I36+باربرى!I36+حوادث!I36+'حوادث راننده'!I36+'بدنه اتومبيل'!I36+'شخص ثالث و مازاد'!I36+درمان!I36+كشتى!G36+هواپيما!G36+مهندسى!I36+پول!G36+مسئوليت!I36+اعتبار!I36+'نفت و انرژی'!G36+'ساير انواع'!I36</f>
        <v>12626.689609219999</v>
      </c>
      <c r="J59" s="121">
        <f>'آتش سوزى'!J36+باربرى!J36+حوادث!J36+'حوادث راننده'!J36+'بدنه اتومبيل'!J36+'شخص ثالث و مازاد'!J36+درمان!J36+كشتى!H36+هواپيما!H36+مهندسى!J36+پول!H36+مسئوليت!J36+اعتبار!J36+'نفت و انرژی'!H36+'ساير انواع'!J36</f>
        <v>17244.225790424</v>
      </c>
    </row>
    <row r="60" spans="1:19" ht="14.1" hidden="1" customHeight="1">
      <c r="A60" s="121">
        <f>'آتش سوزى'!A37+باربرى!A37+حوادث!A37+'حوادث راننده'!A37+'بدنه اتومبيل'!A37+'شخص ثالث و مازاد'!A37+درمان!A37+كشتى!A37+هواپيما!A37+مهندسى!A37+پول!A37+مسئوليت!A37+اعتبار!A37+'نفت و انرژی'!A37+'ساير انواع'!A37</f>
        <v>15742.225420820003</v>
      </c>
      <c r="B60" s="121">
        <f>'آتش سوزى'!B37+باربرى!B37+حوادث!B37+'حوادث راننده'!B37+'بدنه اتومبيل'!B37+'شخص ثالث و مازاد'!B37+درمان!B37+كشتى!B37+هواپيما!B37+مهندسى!B37+پول!B37+مسئوليت!B37+اعتبار!B37+'نفت و انرژی'!B37+'ساير انواع'!B37</f>
        <v>24932.402648655003</v>
      </c>
      <c r="C60" s="121">
        <f>'آتش سوزى'!C37+باربرى!C37+حوادث!C37+'حوادث راننده'!C37+'بدنه اتومبيل'!C37+'شخص ثالث و مازاد'!C37+درمان!C37+كشتى!C37+هواپيما!C37+مهندسى!C37+پول!C37+مسئوليت!C37+اعتبار!C37+'نفت و انرژی'!C37+'ساير انواع'!C37</f>
        <v>1715.6058160880013</v>
      </c>
      <c r="D60" s="121">
        <f>'آتش سوزى'!D37+باربرى!D37+حوادث!D37+'حوادث راننده'!D37+'بدنه اتومبيل'!D37+'شخص ثالث و مازاد'!D37+درمان!D37+كشتى!D37+هواپيما!D37+مهندسى!D37+پول!D37+مسئوليت!D37+اعتبار!D37+'نفت و انرژی'!D37+'ساير انواع'!D37</f>
        <v>4082.2802387800002</v>
      </c>
      <c r="E60" s="121"/>
      <c r="F60" s="121"/>
      <c r="G60" s="121"/>
      <c r="H60" s="121"/>
      <c r="I60" s="121">
        <f>'آتش سوزى'!I37+باربرى!I37+حوادث!I37+'حوادث راننده'!I37+'بدنه اتومبيل'!I37+'شخص ثالث و مازاد'!I37+درمان!I37+كشتى!G37+هواپيما!G37+مهندسى!I37+پول!G37+مسئوليت!I37+اعتبار!I37+'نفت و انرژی'!G37+'ساير انواع'!I37</f>
        <v>14026.619604731997</v>
      </c>
      <c r="J60" s="121">
        <f>'آتش سوزى'!J37+باربرى!J37+حوادث!J37+'حوادث راننده'!J37+'بدنه اتومبيل'!J37+'شخص ثالث و مازاد'!J37+درمان!J37+كشتى!H37+هواپيما!H37+مهندسى!J37+پول!H37+مسئوليت!J37+اعتبار!J37+'نفت و انرژی'!H37+'ساير انواع'!J37</f>
        <v>20850.122409875003</v>
      </c>
    </row>
    <row r="61" spans="1:19" ht="14.1" hidden="1" customHeight="1">
      <c r="A61" s="121">
        <f>'آتش سوزى'!A38+باربرى!A38+حوادث!A38+'حوادث راننده'!A38+'بدنه اتومبيل'!A38+'شخص ثالث و مازاد'!A38+درمان!A38+كشتى!A38+هواپيما!A38+مهندسى!A38+پول!A38+مسئوليت!A38+اعتبار!A38+'نفت و انرژی'!A38+'ساير انواع'!A38</f>
        <v>20090.632880175999</v>
      </c>
      <c r="B61" s="121">
        <f>'آتش سوزى'!B38+باربرى!B38+حوادث!B38+'حوادث راننده'!B38+'بدنه اتومبيل'!B38+'شخص ثالث و مازاد'!B38+درمان!B38+كشتى!B38+هواپيما!B38+مهندسى!B38+پول!B38+مسئوليت!B38+اعتبار!B38+'نفت و انرژی'!B38+'ساير انواع'!B38</f>
        <v>31931.862098292</v>
      </c>
      <c r="C61" s="121">
        <f>'آتش سوزى'!C38+باربرى!C38+حوادث!C38+'حوادث راننده'!C38+'بدنه اتومبيل'!C38+'شخص ثالث و مازاد'!C38+درمان!C38+كشتى!C38+هواپيما!C38+مهندسى!C38+پول!C38+مسئوليت!C38+اعتبار!C38+'نفت و انرژی'!C38+'ساير انواع'!C38</f>
        <v>3119.8786276400006</v>
      </c>
      <c r="D61" s="121">
        <f>'آتش سوزى'!D38+باربرى!D38+حوادث!D38+'حوادث راننده'!D38+'بدنه اتومبيل'!D38+'شخص ثالث و مازاد'!D38+درمان!D38+كشتى!D38+هواپيما!D38+مهندسى!D38+پول!D38+مسئوليت!D38+اعتبار!D38+'نفت و انرژی'!D38+'ساير انواع'!D38</f>
        <v>6993.401691332002</v>
      </c>
      <c r="E61" s="121"/>
      <c r="F61" s="121"/>
      <c r="G61" s="121"/>
      <c r="H61" s="121"/>
      <c r="I61" s="121">
        <f>'آتش سوزى'!I38+باربرى!I38+حوادث!I38+'حوادث راننده'!I38+'بدنه اتومبيل'!I38+'شخص ثالث و مازاد'!I38+درمان!I38+كشتى!G38+هواپيما!G38+مهندسى!I38+پول!G38+مسئوليت!I38+اعتبار!I38+'نفت و انرژی'!G38+'ساير انواع'!I38</f>
        <v>16970.754252536</v>
      </c>
      <c r="J61" s="121">
        <f>'آتش سوزى'!J38+باربرى!J38+حوادث!J38+'حوادث راننده'!J38+'بدنه اتومبيل'!J38+'شخص ثالث و مازاد'!J38+درمان!J38+كشتى!H38+هواپيما!H38+مهندسى!J38+پول!H38+مسئوليت!J38+اعتبار!J38+'نفت و انرژی'!H38+'ساير انواع'!J38</f>
        <v>24938.460406959999</v>
      </c>
    </row>
    <row r="62" spans="1:19" ht="14.1" hidden="1" customHeight="1">
      <c r="A62" s="121">
        <f>'آتش سوزى'!A39+باربرى!A39+حوادث!A39+'حوادث راننده'!A39+'بدنه اتومبيل'!A39+'شخص ثالث و مازاد'!A39+درمان!A39+كشتى!A39+هواپيما!A39+مهندسى!A39+پول!A39+مسئوليت!A39+اعتبار!A39+'نفت و انرژی'!A39+'ساير انواع'!A39</f>
        <v>23798.995340408004</v>
      </c>
      <c r="B62" s="121">
        <f>'آتش سوزى'!B39+باربرى!B39+حوادث!B39+'حوادث راننده'!B39+'بدنه اتومبيل'!B39+'شخص ثالث و مازاد'!B39+درمان!B39+كشتى!B39+هواپيما!B39+مهندسى!B39+پول!B39+مسئوليت!B39+اعتبار!B39+'نفت و انرژی'!B39+'ساير انواع'!B39</f>
        <v>38445.289139072003</v>
      </c>
      <c r="C62" s="121">
        <f>'آتش سوزى'!C39+باربرى!C39+حوادث!C39+'حوادث راننده'!C39+'بدنه اتومبيل'!C39+'شخص ثالث و مازاد'!C39+درمان!C39+كشتى!C39+هواپيما!C39+مهندسى!C39+پول!C39+مسئوليت!C39+اعتبار!C39+'نفت و انرژی'!C39+'ساير انواع'!C39</f>
        <v>4330.9051096759995</v>
      </c>
      <c r="D62" s="121">
        <f>'آتش سوزى'!D39+باربرى!D39+حوادث!D39+'حوادث راننده'!D39+'بدنه اتومبيل'!D39+'شخص ثالث و مازاد'!D39+درمان!D39+كشتى!D39+هواپيما!D39+مهندسى!D39+پول!D39+مسئوليت!D39+اعتبار!D39+'نفت و انرژی'!D39+'ساير انواع'!D39</f>
        <v>9394.5308632159995</v>
      </c>
      <c r="E62" s="121"/>
      <c r="F62" s="121"/>
      <c r="G62" s="121"/>
      <c r="H62" s="121"/>
      <c r="I62" s="121">
        <f>'آتش سوزى'!I39+باربرى!I39+حوادث!I39+'حوادث راننده'!I39+'بدنه اتومبيل'!I39+'شخص ثالث و مازاد'!I39+درمان!I39+كشتى!G39+هواپيما!G39+مهندسى!I39+پول!G39+مسئوليت!I39+اعتبار!I39+'نفت و انرژی'!G39+'ساير انواع'!I39</f>
        <v>19468.090230732003</v>
      </c>
      <c r="J62" s="121">
        <f>'آتش سوزى'!J39+باربرى!J39+حوادث!J39+'حوادث راننده'!J39+'بدنه اتومبيل'!J39+'شخص ثالث و مازاد'!J39+درمان!J39+كشتى!H39+هواپيما!H39+مهندسى!J39+پول!H39+مسئوليت!J39+اعتبار!J39+'نفت و انرژی'!H39+'ساير انواع'!J39</f>
        <v>29050.758275856002</v>
      </c>
    </row>
    <row r="63" spans="1:19" ht="14.1" hidden="1" customHeight="1">
      <c r="A63" s="121">
        <f>'آتش سوزى'!A40+باربرى!A40+حوادث!A40+'حوادث راننده'!A40+'بدنه اتومبيل'!A40+'شخص ثالث و مازاد'!A40+درمان!A40+كشتى!A40+هواپيما!A40+مهندسى!A40+پول!A40+مسئوليت!A40+اعتبار!A40+'نفت و انرژی'!A40+'ساير انواع'!A40</f>
        <v>29405.401115384</v>
      </c>
      <c r="B63" s="121">
        <f>'آتش سوزى'!B40+باربرى!B40+حوادث!B40+'حوادث راننده'!B40+'بدنه اتومبيل'!B40+'شخص ثالث و مازاد'!B40+درمان!B40+كشتى!B40+هواپيما!B40+مهندسى!B40+پول!B40+مسئوليت!B40+اعتبار!B40+'نفت و انرژی'!B40+'ساير انواع'!B40</f>
        <v>43231.995567729995</v>
      </c>
      <c r="C63" s="121">
        <f>'آتش سوزى'!C40+باربرى!C40+حوادث!C40+'حوادث راننده'!C40+'بدنه اتومبيل'!C40+'شخص ثالث و مازاد'!C40+درمان!C40+كشتى!C40+هواپيما!C40+مهندسى!C40+پول!C40+مسئوليت!C40+اعتبار!C40+'نفت و انرژی'!C40+'ساير انواع'!C40</f>
        <v>12281.403805792001</v>
      </c>
      <c r="D63" s="121">
        <f>'آتش سوزى'!D40+باربرى!D40+حوادث!D40+'حوادث راننده'!D40+'بدنه اتومبيل'!D40+'شخص ثالث و مازاد'!D40+درمان!D40+كشتى!D40+هواپيما!D40+مهندسى!D40+پول!D40+مسئوليت!D40+اعتبار!D40+'نفت و انرژی'!D40+'ساير انواع'!D40</f>
        <v>20330.782666440002</v>
      </c>
      <c r="E63" s="121"/>
      <c r="F63" s="121"/>
      <c r="G63" s="121"/>
      <c r="H63" s="121"/>
      <c r="I63" s="121">
        <f>'آتش سوزى'!I40+باربرى!I40+حوادث!I40+'حوادث راننده'!I40+'بدنه اتومبيل'!I40+'شخص ثالث و مازاد'!I40+درمان!I40+كشتى!G40+هواپيما!G40+مهندسى!I40+پول!G40+مسئوليت!I40+اعتبار!I40+'نفت و انرژی'!G40+'ساير انواع'!I40</f>
        <v>17123.997309592</v>
      </c>
      <c r="J63" s="121">
        <f>'آتش سوزى'!J40+باربرى!J40+حوادث!J40+'حوادث راننده'!J40+'بدنه اتومبيل'!J40+'شخص ثالث و مازاد'!J40+درمان!J40+كشتى!H40+هواپيما!H40+مهندسى!J40+پول!H40+مسئوليت!J40+اعتبار!J40+'نفت و انرژی'!H40+'ساير انواع'!J40</f>
        <v>22901.212901289993</v>
      </c>
    </row>
    <row r="64" spans="1:19" ht="14.1" hidden="1" customHeight="1">
      <c r="A64" s="121">
        <f>'آتش سوزى'!A41+باربرى!A41+حوادث!A41+'حوادث راننده'!A41+'بدنه اتومبيل'!A41+'شخص ثالث و مازاد'!A41+درمان!A41+كشتى!A41+هواپيما!A41+مهندسى!A41+پول!A41+مسئوليت!A41+اعتبار!A41+'نفت و انرژی'!A41+'ساير انواع'!A41</f>
        <v>37524.998810311998</v>
      </c>
      <c r="B64" s="121">
        <f>'آتش سوزى'!B41+باربرى!B41+حوادث!B41+'حوادث راننده'!B41+'بدنه اتومبيل'!B41+'شخص ثالث و مازاد'!B41+درمان!B41+كشتى!B41+هواپيما!B41+مهندسى!B41+پول!B41+مسئوليت!B41+اعتبار!B41+'نفت و انرژی'!B41+'ساير انواع'!B41</f>
        <v>54474.539675603999</v>
      </c>
      <c r="C64" s="121">
        <f>'آتش سوزى'!C41+باربرى!C41+حوادث!C41+'حوادث راننده'!C41+'بدنه اتومبيل'!C41+'شخص ثالث و مازاد'!C41+درمان!C41+كشتى!C41+هواپيما!C41+مهندسى!C41+پول!C41+مسئوليت!C41+اعتبار!C41+'نفت و انرژی'!C41+'ساير انواع'!C41</f>
        <v>20039.423056919914</v>
      </c>
      <c r="D64" s="121">
        <f>'آتش سوزى'!D41+باربرى!D41+حوادث!D41+'حوادث راننده'!D41+'بدنه اتومبيل'!D41+'شخص ثالث و مازاد'!D41+درمان!D41+كشتى!D41+هواپيما!D41+مهندسى!D41+پول!D41+مسئوليت!D41+اعتبار!D41+'نفت و انرژی'!D41+'ساير انواع'!D41</f>
        <v>27570.132256868008</v>
      </c>
      <c r="E64" s="121"/>
      <c r="F64" s="121"/>
      <c r="G64" s="121"/>
      <c r="H64" s="121"/>
      <c r="I64" s="121">
        <f>'آتش سوزى'!I41+باربرى!I41+حوادث!I41+'حوادث راننده'!I41+'بدنه اتومبيل'!I41+'شخص ثالث و مازاد'!I41+درمان!I41+كشتى!G41+هواپيما!G41+مهندسى!I41+پول!G41+مسئوليت!I41+اعتبار!I41+'نفت و انرژی'!G41+'ساير انواع'!I41</f>
        <v>18696.633723828079</v>
      </c>
      <c r="J64" s="121">
        <f>'آتش سوزى'!J41+باربرى!J41+حوادث!J41+'حوادث راننده'!J41+'بدنه اتومبيل'!J41+'شخص ثالث و مازاد'!J41+درمان!J41+كشتى!H41+هواپيما!H41+مهندسى!J41+پول!H41+مسئوليت!J41+اعتبار!J41+'نفت و انرژی'!H41+'ساير انواع'!J41</f>
        <v>25693.349448299999</v>
      </c>
    </row>
    <row r="65" spans="1:10" ht="14.1" hidden="1" customHeight="1">
      <c r="A65" s="121">
        <f>'آتش سوزى'!A42+باربرى!A42+حوادث!A42+'حوادث راننده'!A42+'بدنه اتومبيل'!A42+'شخص ثالث و مازاد'!A42+درمان!A42+كشتى!A42+هواپيما!A42+مهندسى!A42+پول!A42+مسئوليت!A42+اعتبار!A42+'نفت و انرژی'!A42+'ساير انواع'!A42</f>
        <v>51368.100000000006</v>
      </c>
      <c r="B65" s="121">
        <f>'آتش سوزى'!B42+باربرى!B42+حوادث!B42+'حوادث راننده'!B42+'بدنه اتومبيل'!B42+'شخص ثالث و مازاد'!B42+درمان!B42+كشتى!B42+هواپيما!B42+مهندسى!B42+پول!B42+مسئوليت!B42+اعتبار!B42+'نفت و انرژی'!B42+'ساير انواع'!B42</f>
        <v>79222.300000000017</v>
      </c>
      <c r="C65" s="121">
        <f>'آتش سوزى'!C42+باربرى!C42+حوادث!C42+'حوادث راننده'!C42+'بدنه اتومبيل'!C42+'شخص ثالث و مازاد'!C42+درمان!C42+كشتى!C42+هواپيما!C42+مهندسى!C42+پول!C42+مسئوليت!C42+اعتبار!C42+'نفت و انرژی'!C42+'ساير انواع'!C42</f>
        <v>24862.700000000012</v>
      </c>
      <c r="D65" s="121">
        <f>'آتش سوزى'!D42+باربرى!D42+حوادث!D42+'حوادث راننده'!D42+'بدنه اتومبيل'!D42+'شخص ثالث و مازاد'!D42+درمان!D42+كشتى!D42+هواپيما!D42+مهندسى!D42+پول!D51+مسئوليت!D42+اعتبار!D42+'نفت و انرژی'!D42+'ساير انواع'!D42</f>
        <v>41317.19999999999</v>
      </c>
      <c r="E65" s="121"/>
      <c r="F65" s="121"/>
      <c r="G65" s="121"/>
      <c r="H65" s="121"/>
      <c r="I65" s="121">
        <f>'آتش سوزى'!I42+باربرى!I42+حوادث!I42+'حوادث راننده'!I42+'بدنه اتومبيل'!I42+'شخص ثالث و مازاد'!I42+درمان!I42+كشتى!G42+هواپيما!G42+مهندسى!I42+پول!G42+مسئوليت!I42+اعتبار!I42+'نفت و انرژی'!G42+'ساير انواع'!I42</f>
        <v>26505.399999999994</v>
      </c>
      <c r="J65" s="121">
        <f>'آتش سوزى'!J42+باربرى!J42+حوادث!J42+'حوادث راننده'!J42+'بدنه اتومبيل'!J42+'شخص ثالث و مازاد'!J42+درمان!J42+كشتى!H42+هواپيما!H42+مهندسى!J42+پول!H42+مسئوليت!J42+اعتبار!J42+'نفت و انرژی'!H42+'ساير انواع'!J42</f>
        <v>38048.399999999987</v>
      </c>
    </row>
    <row r="66" spans="1:10" ht="14.1" hidden="1" customHeight="1">
      <c r="A66" s="121"/>
      <c r="B66" s="121"/>
      <c r="C66" s="121"/>
      <c r="D66" s="121"/>
      <c r="E66" s="121"/>
      <c r="F66" s="121"/>
      <c r="G66" s="121"/>
      <c r="H66" s="121"/>
      <c r="I66" s="121"/>
      <c r="J66" s="121"/>
    </row>
    <row r="67" spans="1:10" ht="14.1" hidden="1" customHeight="1">
      <c r="A67" s="121"/>
      <c r="B67" s="121"/>
      <c r="C67" s="121"/>
      <c r="D67" s="121"/>
    </row>
    <row r="68" spans="1:10" ht="14.1" hidden="1" customHeight="1">
      <c r="A68" s="121"/>
      <c r="B68" s="121"/>
      <c r="C68" s="121"/>
      <c r="D68" s="121"/>
    </row>
    <row r="69" spans="1:10" ht="14.1" customHeight="1">
      <c r="A69" s="121"/>
      <c r="B69" s="121"/>
      <c r="C69" s="121"/>
      <c r="D69" s="121"/>
    </row>
    <row r="70" spans="1:10" ht="14.1" customHeight="1">
      <c r="A70" s="121"/>
      <c r="B70" s="121"/>
      <c r="C70" s="121"/>
      <c r="D70" s="121"/>
    </row>
    <row r="71" spans="1:10" ht="14.1" customHeight="1">
      <c r="A71" s="121"/>
      <c r="B71" s="121"/>
      <c r="C71" s="121"/>
      <c r="D71" s="121"/>
    </row>
    <row r="72" spans="1:10" ht="14.1" customHeight="1">
      <c r="A72" s="121"/>
      <c r="B72" s="121"/>
      <c r="C72" s="121"/>
      <c r="D72" s="121"/>
    </row>
    <row r="73" spans="1:10" ht="14.1" customHeight="1">
      <c r="A73" s="121"/>
      <c r="B73" s="121"/>
      <c r="C73" s="121"/>
      <c r="D73" s="121"/>
    </row>
    <row r="74" spans="1:10" ht="14.1" customHeight="1">
      <c r="A74" s="121"/>
      <c r="B74" s="121"/>
      <c r="C74" s="121"/>
      <c r="D74" s="121"/>
    </row>
    <row r="75" spans="1:10" ht="14.1" customHeight="1">
      <c r="A75" s="121"/>
      <c r="B75" s="121"/>
      <c r="C75" s="121"/>
      <c r="D75" s="121"/>
    </row>
    <row r="76" spans="1:10" ht="14.1" customHeight="1">
      <c r="A76" s="121"/>
      <c r="B76" s="121"/>
      <c r="C76" s="121"/>
      <c r="D76" s="121"/>
    </row>
    <row r="77" spans="1:10" ht="14.1" customHeight="1">
      <c r="A77" s="121"/>
      <c r="B77" s="121"/>
      <c r="C77" s="121"/>
      <c r="D77" s="121"/>
    </row>
    <row r="78" spans="1:10" ht="14.1" customHeight="1">
      <c r="A78" s="121"/>
      <c r="B78" s="121"/>
      <c r="C78" s="121"/>
      <c r="D78" s="121"/>
    </row>
    <row r="79" spans="1:10" ht="14.1" customHeight="1">
      <c r="A79" s="121"/>
      <c r="B79" s="121"/>
      <c r="C79" s="121"/>
      <c r="D79" s="121"/>
    </row>
    <row r="80" spans="1:10" ht="14.1" customHeight="1">
      <c r="A80" s="121"/>
      <c r="B80" s="121"/>
      <c r="C80" s="121"/>
      <c r="D80" s="121"/>
    </row>
    <row r="81" spans="1:4" ht="14.1" customHeight="1">
      <c r="A81" s="121"/>
      <c r="B81" s="121"/>
      <c r="C81" s="121"/>
      <c r="D81" s="121"/>
    </row>
    <row r="82" spans="1:4" ht="14.1" customHeight="1">
      <c r="A82" s="121"/>
      <c r="B82" s="121"/>
      <c r="C82" s="121"/>
      <c r="D82" s="121"/>
    </row>
    <row r="83" spans="1:4" ht="14.1" customHeight="1">
      <c r="A83" s="121"/>
      <c r="B83" s="121"/>
      <c r="C83" s="121"/>
      <c r="D83" s="121"/>
    </row>
    <row r="84" spans="1:4" ht="14.1" customHeight="1">
      <c r="A84" s="121"/>
      <c r="B84" s="121"/>
      <c r="C84" s="121"/>
      <c r="D84" s="121"/>
    </row>
    <row r="85" spans="1:4" ht="14.1" customHeight="1">
      <c r="A85" s="121"/>
      <c r="B85" s="121"/>
      <c r="C85" s="121"/>
      <c r="D85" s="121"/>
    </row>
    <row r="86" spans="1:4" ht="14.1" customHeight="1">
      <c r="A86" s="121"/>
      <c r="B86" s="121"/>
      <c r="C86" s="121"/>
      <c r="D86" s="121"/>
    </row>
    <row r="87" spans="1:4" ht="14.1" customHeight="1">
      <c r="A87" s="121"/>
      <c r="B87" s="121"/>
      <c r="C87" s="121"/>
      <c r="D87" s="121"/>
    </row>
    <row r="88" spans="1:4" ht="14.1" customHeight="1">
      <c r="A88" s="121"/>
      <c r="B88" s="121"/>
      <c r="C88" s="121"/>
      <c r="D88" s="121"/>
    </row>
    <row r="89" spans="1:4" ht="14.1" customHeight="1">
      <c r="A89" s="121"/>
      <c r="B89" s="121"/>
      <c r="C89" s="121"/>
      <c r="D89" s="121"/>
    </row>
    <row r="90" spans="1:4" ht="14.1" customHeight="1">
      <c r="A90" s="121"/>
      <c r="B90" s="121"/>
      <c r="C90" s="121"/>
      <c r="D90" s="121"/>
    </row>
    <row r="91" spans="1:4" ht="14.1" customHeight="1">
      <c r="A91" s="121"/>
      <c r="B91" s="121"/>
      <c r="C91" s="121"/>
      <c r="D91" s="121"/>
    </row>
    <row r="92" spans="1:4" ht="14.1" customHeight="1">
      <c r="A92" s="121"/>
      <c r="B92" s="121"/>
      <c r="C92" s="121"/>
      <c r="D92" s="121"/>
    </row>
    <row r="93" spans="1:4" ht="14.1" customHeight="1">
      <c r="A93" s="121"/>
      <c r="B93" s="121"/>
      <c r="C93" s="121"/>
      <c r="D93" s="121"/>
    </row>
    <row r="94" spans="1:4" ht="14.1" customHeight="1">
      <c r="A94" s="121"/>
      <c r="B94" s="121"/>
      <c r="C94" s="121"/>
      <c r="D94" s="121"/>
    </row>
    <row r="95" spans="1:4" ht="14.1" customHeight="1">
      <c r="A95" s="121"/>
      <c r="B95" s="121"/>
      <c r="C95" s="121"/>
      <c r="D95" s="121"/>
    </row>
  </sheetData>
  <mergeCells count="15">
    <mergeCell ref="A3:B3"/>
    <mergeCell ref="A2:S2"/>
    <mergeCell ref="A1:S1"/>
    <mergeCell ref="C4:D4"/>
    <mergeCell ref="O4:P4"/>
    <mergeCell ref="Q4:R4"/>
    <mergeCell ref="E4:F4"/>
    <mergeCell ref="I4:J4"/>
    <mergeCell ref="S4:S5"/>
    <mergeCell ref="A53:S53"/>
    <mergeCell ref="A4:B4"/>
    <mergeCell ref="G4:H4"/>
    <mergeCell ref="K4:L4"/>
    <mergeCell ref="M4:N4"/>
    <mergeCell ref="A52:S52"/>
  </mergeCells>
  <phoneticPr fontId="0" type="noConversion"/>
  <printOptions horizontalCentered="1" verticalCentered="1"/>
  <pageMargins left="0.31496062992125984" right="0.31496062992125984" top="0.98425196850393704" bottom="0.98425196850393704" header="0.43307086614173229" footer="0.51181102362204722"/>
  <pageSetup paperSize="9" scale="50" orientation="landscape" horizontalDpi="180" verticalDpi="180" r:id="rId1"/>
  <headerFooter alignWithMargins="0"/>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zoomScale="80" zoomScaleNormal="80" zoomScaleSheetLayoutView="80" workbookViewId="0">
      <selection activeCell="Q4" sqref="Q4:Q5"/>
    </sheetView>
  </sheetViews>
  <sheetFormatPr defaultColWidth="13.88671875" defaultRowHeight="14.1" customHeight="1"/>
  <cols>
    <col min="1" max="4" width="20.6640625" customWidth="1"/>
    <col min="5" max="6" width="13.88671875" hidden="1" customWidth="1"/>
    <col min="7" max="8" width="20.6640625" customWidth="1"/>
    <col min="9" max="16" width="0" hidden="1" customWidth="1"/>
    <col min="17" max="17" width="20.6640625" customWidth="1"/>
  </cols>
  <sheetData>
    <row r="1" spans="1:27" ht="21" customHeight="1">
      <c r="A1" s="549" t="s">
        <v>50</v>
      </c>
      <c r="B1" s="549"/>
      <c r="C1" s="549"/>
      <c r="D1" s="549"/>
      <c r="E1" s="549"/>
      <c r="F1" s="549"/>
      <c r="G1" s="549"/>
      <c r="H1" s="549"/>
      <c r="I1" s="549"/>
      <c r="J1" s="549"/>
      <c r="K1" s="549"/>
      <c r="L1" s="549"/>
      <c r="M1" s="549"/>
      <c r="N1" s="549"/>
      <c r="O1" s="549"/>
      <c r="P1" s="549"/>
      <c r="Q1" s="549"/>
    </row>
    <row r="2" spans="1:27" ht="21" customHeight="1">
      <c r="A2" s="549" t="s">
        <v>58</v>
      </c>
      <c r="B2" s="549"/>
      <c r="C2" s="549"/>
      <c r="D2" s="549"/>
      <c r="E2" s="549"/>
      <c r="F2" s="549"/>
      <c r="G2" s="549"/>
      <c r="H2" s="549"/>
      <c r="I2" s="549"/>
      <c r="J2" s="549"/>
      <c r="K2" s="549"/>
      <c r="L2" s="549"/>
      <c r="M2" s="549"/>
      <c r="N2" s="549"/>
      <c r="O2" s="549"/>
      <c r="P2" s="549"/>
      <c r="Q2" s="549"/>
      <c r="W2" s="2"/>
      <c r="X2" s="2"/>
      <c r="Y2" s="2"/>
      <c r="Z2" s="2"/>
      <c r="AA2" s="2"/>
    </row>
    <row r="3" spans="1:27" ht="14.1" customHeight="1" thickBot="1">
      <c r="A3" s="550" t="s">
        <v>56</v>
      </c>
      <c r="B3" s="550"/>
      <c r="C3" s="86"/>
      <c r="D3" s="86"/>
      <c r="E3" s="1"/>
      <c r="F3" s="1"/>
      <c r="G3" s="1"/>
      <c r="H3" s="1"/>
      <c r="I3" s="1"/>
      <c r="J3" s="1"/>
      <c r="K3" s="1"/>
      <c r="L3" s="1"/>
      <c r="M3" s="1"/>
      <c r="N3" s="1"/>
      <c r="O3" s="1"/>
      <c r="P3" s="1"/>
      <c r="Q3" s="1"/>
      <c r="W3" s="2"/>
      <c r="X3" s="2"/>
      <c r="Y3" s="2"/>
      <c r="Z3" s="2"/>
      <c r="AA3" s="2"/>
    </row>
    <row r="4" spans="1:27" ht="21" customHeight="1">
      <c r="A4" s="569" t="s">
        <v>7</v>
      </c>
      <c r="B4" s="570"/>
      <c r="C4" s="569" t="s">
        <v>33</v>
      </c>
      <c r="D4" s="570"/>
      <c r="E4" s="569" t="s">
        <v>6</v>
      </c>
      <c r="F4" s="570"/>
      <c r="G4" s="569" t="s">
        <v>21</v>
      </c>
      <c r="H4" s="570"/>
      <c r="I4" s="569" t="s">
        <v>21</v>
      </c>
      <c r="J4" s="570"/>
      <c r="K4" s="578" t="s">
        <v>4</v>
      </c>
      <c r="L4" s="579"/>
      <c r="M4" s="576" t="s">
        <v>3</v>
      </c>
      <c r="N4" s="577"/>
      <c r="O4" s="576" t="s">
        <v>2</v>
      </c>
      <c r="P4" s="577"/>
      <c r="Q4" s="574" t="s">
        <v>8</v>
      </c>
    </row>
    <row r="5" spans="1:27" ht="21" customHeight="1" thickBot="1">
      <c r="A5" s="185" t="s">
        <v>25</v>
      </c>
      <c r="B5" s="186" t="s">
        <v>34</v>
      </c>
      <c r="C5" s="185" t="s">
        <v>25</v>
      </c>
      <c r="D5" s="186" t="s">
        <v>34</v>
      </c>
      <c r="E5" s="41" t="s">
        <v>1</v>
      </c>
      <c r="F5" s="42" t="s">
        <v>0</v>
      </c>
      <c r="G5" s="185" t="s">
        <v>25</v>
      </c>
      <c r="H5" s="186" t="s">
        <v>34</v>
      </c>
      <c r="I5" s="185" t="s">
        <v>25</v>
      </c>
      <c r="J5" s="186" t="s">
        <v>24</v>
      </c>
      <c r="K5" s="39" t="s">
        <v>1</v>
      </c>
      <c r="L5" s="40" t="s">
        <v>0</v>
      </c>
      <c r="M5" s="41" t="s">
        <v>1</v>
      </c>
      <c r="N5" s="42" t="s">
        <v>0</v>
      </c>
      <c r="O5" s="41" t="s">
        <v>1</v>
      </c>
      <c r="P5" s="42" t="s">
        <v>0</v>
      </c>
      <c r="Q5" s="575"/>
    </row>
    <row r="6" spans="1:27" ht="18.899999999999999" customHeight="1">
      <c r="A6" s="171">
        <v>0.24553</v>
      </c>
      <c r="B6" s="172">
        <v>0.66800000000000004</v>
      </c>
      <c r="C6" s="171">
        <f>A6-G6</f>
        <v>0</v>
      </c>
      <c r="D6" s="172">
        <f>B6-H6</f>
        <v>0</v>
      </c>
      <c r="E6" s="171">
        <v>0</v>
      </c>
      <c r="F6" s="172">
        <v>0</v>
      </c>
      <c r="G6" s="253">
        <v>0.24553</v>
      </c>
      <c r="H6" s="254">
        <v>0.66800000000000004</v>
      </c>
      <c r="I6" s="18">
        <v>25</v>
      </c>
      <c r="J6" s="19">
        <v>144</v>
      </c>
      <c r="K6" s="43">
        <v>0</v>
      </c>
      <c r="L6" s="44">
        <v>6</v>
      </c>
      <c r="M6" s="59">
        <v>0.53</v>
      </c>
      <c r="N6" s="19">
        <v>21</v>
      </c>
      <c r="O6" s="60">
        <v>220</v>
      </c>
      <c r="P6" s="19">
        <v>497</v>
      </c>
      <c r="Q6" s="201">
        <v>1354</v>
      </c>
    </row>
    <row r="7" spans="1:27" ht="18.899999999999999" customHeight="1">
      <c r="A7" s="173">
        <v>0.38600000000000001</v>
      </c>
      <c r="B7" s="174">
        <v>0.77500000000000002</v>
      </c>
      <c r="C7" s="173">
        <f t="shared" ref="C7:C41" si="0">A7-G7</f>
        <v>0</v>
      </c>
      <c r="D7" s="174">
        <f t="shared" ref="D7:D41" si="1">B7-H7</f>
        <v>0</v>
      </c>
      <c r="E7" s="173">
        <v>0</v>
      </c>
      <c r="F7" s="174">
        <v>0</v>
      </c>
      <c r="G7" s="255">
        <v>0.38600000000000001</v>
      </c>
      <c r="H7" s="256">
        <v>0.77500000000000002</v>
      </c>
      <c r="I7" s="6">
        <v>63</v>
      </c>
      <c r="J7" s="7">
        <v>225</v>
      </c>
      <c r="K7" s="37">
        <v>0</v>
      </c>
      <c r="L7" s="38">
        <v>5</v>
      </c>
      <c r="M7" s="74">
        <v>3</v>
      </c>
      <c r="N7" s="7">
        <v>18</v>
      </c>
      <c r="O7" s="6">
        <v>320</v>
      </c>
      <c r="P7" s="7">
        <v>527</v>
      </c>
      <c r="Q7" s="190">
        <v>1355</v>
      </c>
    </row>
    <row r="8" spans="1:27" ht="18.899999999999999" customHeight="1">
      <c r="A8" s="173">
        <v>0.12601000000000001</v>
      </c>
      <c r="B8" s="174">
        <v>0.92600000000000005</v>
      </c>
      <c r="C8" s="173">
        <f t="shared" si="0"/>
        <v>0</v>
      </c>
      <c r="D8" s="174">
        <f t="shared" si="1"/>
        <v>0</v>
      </c>
      <c r="E8" s="173">
        <v>0</v>
      </c>
      <c r="F8" s="174">
        <v>0</v>
      </c>
      <c r="G8" s="255">
        <v>0.12601000000000001</v>
      </c>
      <c r="H8" s="256">
        <v>0.92600000000000005</v>
      </c>
      <c r="I8" s="6">
        <v>27</v>
      </c>
      <c r="J8" s="7">
        <v>461</v>
      </c>
      <c r="K8" s="53">
        <v>0.01</v>
      </c>
      <c r="L8" s="38">
        <v>8</v>
      </c>
      <c r="M8" s="74">
        <v>4</v>
      </c>
      <c r="N8" s="7">
        <v>20</v>
      </c>
      <c r="O8" s="6">
        <v>95</v>
      </c>
      <c r="P8" s="7">
        <v>437</v>
      </c>
      <c r="Q8" s="190">
        <v>1356</v>
      </c>
    </row>
    <row r="9" spans="1:27" ht="18.899999999999999" customHeight="1">
      <c r="A9" s="173">
        <v>0.13700000000000001</v>
      </c>
      <c r="B9" s="174">
        <v>1.0009999999999999</v>
      </c>
      <c r="C9" s="173">
        <f t="shared" si="0"/>
        <v>0</v>
      </c>
      <c r="D9" s="174">
        <f t="shared" si="1"/>
        <v>0</v>
      </c>
      <c r="E9" s="173">
        <v>0</v>
      </c>
      <c r="F9" s="174">
        <v>0</v>
      </c>
      <c r="G9" s="255">
        <v>0.13700000000000001</v>
      </c>
      <c r="H9" s="256">
        <v>1.0009999999999999</v>
      </c>
      <c r="I9" s="6">
        <v>73</v>
      </c>
      <c r="J9" s="7">
        <v>516</v>
      </c>
      <c r="K9" s="37">
        <v>13</v>
      </c>
      <c r="L9" s="38">
        <v>39</v>
      </c>
      <c r="M9" s="74">
        <v>2</v>
      </c>
      <c r="N9" s="7">
        <v>21</v>
      </c>
      <c r="O9" s="6">
        <v>49</v>
      </c>
      <c r="P9" s="7">
        <v>425</v>
      </c>
      <c r="Q9" s="190">
        <v>1357</v>
      </c>
    </row>
    <row r="10" spans="1:27" ht="18.899999999999999" customHeight="1">
      <c r="A10" s="173">
        <v>0.38300000000000001</v>
      </c>
      <c r="B10" s="174">
        <v>0.97</v>
      </c>
      <c r="C10" s="173">
        <f t="shared" si="0"/>
        <v>0</v>
      </c>
      <c r="D10" s="174">
        <f t="shared" si="1"/>
        <v>0</v>
      </c>
      <c r="E10" s="173">
        <v>0</v>
      </c>
      <c r="F10" s="174">
        <v>0</v>
      </c>
      <c r="G10" s="255">
        <v>0.38300000000000001</v>
      </c>
      <c r="H10" s="256">
        <v>0.97</v>
      </c>
      <c r="I10" s="6">
        <v>144</v>
      </c>
      <c r="J10" s="7">
        <v>391</v>
      </c>
      <c r="K10" s="37">
        <v>0</v>
      </c>
      <c r="L10" s="38">
        <v>0</v>
      </c>
      <c r="M10" s="74">
        <v>5</v>
      </c>
      <c r="N10" s="7">
        <v>6</v>
      </c>
      <c r="O10" s="6">
        <v>234</v>
      </c>
      <c r="P10" s="7">
        <v>573</v>
      </c>
      <c r="Q10" s="190">
        <v>1358</v>
      </c>
    </row>
    <row r="11" spans="1:27" ht="18.899999999999999" customHeight="1">
      <c r="A11" s="217">
        <v>0.81399999999999995</v>
      </c>
      <c r="B11" s="218">
        <v>1.4139999999999999</v>
      </c>
      <c r="C11" s="173">
        <f t="shared" si="0"/>
        <v>0</v>
      </c>
      <c r="D11" s="174">
        <f t="shared" si="1"/>
        <v>0</v>
      </c>
      <c r="E11" s="173">
        <v>0</v>
      </c>
      <c r="F11" s="174">
        <v>0</v>
      </c>
      <c r="G11" s="255">
        <v>0.81399999999999995</v>
      </c>
      <c r="H11" s="256">
        <v>1.4139999999999999</v>
      </c>
      <c r="I11" s="6">
        <v>202</v>
      </c>
      <c r="J11" s="7">
        <v>438</v>
      </c>
      <c r="K11" s="37">
        <v>0</v>
      </c>
      <c r="L11" s="38">
        <v>0</v>
      </c>
      <c r="M11" s="74">
        <v>6</v>
      </c>
      <c r="N11" s="7">
        <v>11</v>
      </c>
      <c r="O11" s="6">
        <v>606</v>
      </c>
      <c r="P11" s="7">
        <v>965</v>
      </c>
      <c r="Q11" s="190">
        <v>1359</v>
      </c>
    </row>
    <row r="12" spans="1:27" ht="18.899999999999999" customHeight="1">
      <c r="A12" s="173">
        <v>0.77800000000000002</v>
      </c>
      <c r="B12" s="174">
        <v>2.173</v>
      </c>
      <c r="C12" s="173">
        <f t="shared" si="0"/>
        <v>0</v>
      </c>
      <c r="D12" s="174">
        <f t="shared" si="1"/>
        <v>0</v>
      </c>
      <c r="E12" s="173">
        <v>0</v>
      </c>
      <c r="F12" s="174">
        <v>0</v>
      </c>
      <c r="G12" s="255">
        <v>0.77800000000000002</v>
      </c>
      <c r="H12" s="256">
        <v>2.173</v>
      </c>
      <c r="I12" s="6">
        <v>127</v>
      </c>
      <c r="J12" s="7">
        <v>480</v>
      </c>
      <c r="K12" s="37">
        <v>0</v>
      </c>
      <c r="L12" s="38">
        <v>0</v>
      </c>
      <c r="M12" s="74">
        <v>6</v>
      </c>
      <c r="N12" s="7">
        <v>181</v>
      </c>
      <c r="O12" s="6">
        <v>645</v>
      </c>
      <c r="P12" s="7">
        <v>1512</v>
      </c>
      <c r="Q12" s="190">
        <v>1360</v>
      </c>
    </row>
    <row r="13" spans="1:27" ht="18.899999999999999" customHeight="1">
      <c r="A13" s="173">
        <v>0.90700000000000003</v>
      </c>
      <c r="B13" s="174">
        <v>2.0179999999999998</v>
      </c>
      <c r="C13" s="173">
        <f t="shared" si="0"/>
        <v>0</v>
      </c>
      <c r="D13" s="174">
        <f t="shared" si="1"/>
        <v>0</v>
      </c>
      <c r="E13" s="173">
        <v>0</v>
      </c>
      <c r="F13" s="174">
        <v>0</v>
      </c>
      <c r="G13" s="255">
        <v>0.90700000000000003</v>
      </c>
      <c r="H13" s="256">
        <v>2.0179999999999998</v>
      </c>
      <c r="I13" s="6">
        <v>45</v>
      </c>
      <c r="J13" s="7">
        <v>-9</v>
      </c>
      <c r="K13" s="37">
        <v>0</v>
      </c>
      <c r="L13" s="38">
        <v>0</v>
      </c>
      <c r="M13" s="74">
        <v>113</v>
      </c>
      <c r="N13" s="7">
        <v>422</v>
      </c>
      <c r="O13" s="6">
        <v>749</v>
      </c>
      <c r="P13" s="7">
        <v>1605</v>
      </c>
      <c r="Q13" s="190">
        <v>1361</v>
      </c>
    </row>
    <row r="14" spans="1:27" ht="18.899999999999999" customHeight="1">
      <c r="A14" s="173">
        <v>1.6439999999999999</v>
      </c>
      <c r="B14" s="174">
        <v>3.56528</v>
      </c>
      <c r="C14" s="173">
        <f t="shared" si="0"/>
        <v>0</v>
      </c>
      <c r="D14" s="174">
        <f t="shared" si="1"/>
        <v>0</v>
      </c>
      <c r="E14" s="173"/>
      <c r="F14" s="174">
        <v>0</v>
      </c>
      <c r="G14" s="255">
        <v>1.6439999999999999</v>
      </c>
      <c r="H14" s="256">
        <v>3.56528</v>
      </c>
      <c r="I14" s="6">
        <v>37</v>
      </c>
      <c r="J14" s="7">
        <v>-83</v>
      </c>
      <c r="K14" s="37">
        <v>0</v>
      </c>
      <c r="L14" s="38">
        <v>-0.72</v>
      </c>
      <c r="M14" s="74">
        <v>321</v>
      </c>
      <c r="N14" s="7">
        <v>1087</v>
      </c>
      <c r="O14" s="6">
        <v>1286</v>
      </c>
      <c r="P14" s="7">
        <v>2562</v>
      </c>
      <c r="Q14" s="190">
        <v>1362</v>
      </c>
    </row>
    <row r="15" spans="1:27" ht="18.899999999999999" customHeight="1">
      <c r="A15" s="173">
        <v>1.915</v>
      </c>
      <c r="B15" s="174">
        <v>2.9239999999999999</v>
      </c>
      <c r="C15" s="173">
        <f t="shared" si="0"/>
        <v>0</v>
      </c>
      <c r="D15" s="174">
        <f t="shared" si="1"/>
        <v>0</v>
      </c>
      <c r="E15" s="173">
        <v>0</v>
      </c>
      <c r="F15" s="174">
        <v>0</v>
      </c>
      <c r="G15" s="255">
        <v>1.915</v>
      </c>
      <c r="H15" s="256">
        <v>2.9239999999999999</v>
      </c>
      <c r="I15" s="6">
        <v>3</v>
      </c>
      <c r="J15" s="7">
        <v>-11</v>
      </c>
      <c r="K15" s="37">
        <v>12</v>
      </c>
      <c r="L15" s="38">
        <v>0</v>
      </c>
      <c r="M15" s="74">
        <v>361</v>
      </c>
      <c r="N15" s="7">
        <v>833</v>
      </c>
      <c r="O15" s="6">
        <v>1539</v>
      </c>
      <c r="P15" s="7">
        <v>2102</v>
      </c>
      <c r="Q15" s="190">
        <v>1363</v>
      </c>
    </row>
    <row r="16" spans="1:27" ht="18.899999999999999" customHeight="1">
      <c r="A16" s="173">
        <v>1.9119999999999999</v>
      </c>
      <c r="B16" s="174">
        <v>2.3332199999999998</v>
      </c>
      <c r="C16" s="173">
        <f t="shared" si="0"/>
        <v>0</v>
      </c>
      <c r="D16" s="174">
        <f t="shared" si="1"/>
        <v>0</v>
      </c>
      <c r="E16" s="173">
        <v>0</v>
      </c>
      <c r="F16" s="174">
        <v>0</v>
      </c>
      <c r="G16" s="255">
        <v>1.9119999999999999</v>
      </c>
      <c r="H16" s="256">
        <v>2.3332199999999998</v>
      </c>
      <c r="I16" s="6">
        <v>29</v>
      </c>
      <c r="J16" s="57">
        <v>0.22</v>
      </c>
      <c r="K16" s="37">
        <v>0</v>
      </c>
      <c r="L16" s="38">
        <v>24</v>
      </c>
      <c r="M16" s="74">
        <v>327</v>
      </c>
      <c r="N16" s="7">
        <v>470</v>
      </c>
      <c r="O16" s="6">
        <v>1556</v>
      </c>
      <c r="P16" s="7">
        <v>1839</v>
      </c>
      <c r="Q16" s="190">
        <v>1364</v>
      </c>
    </row>
    <row r="17" spans="1:17" ht="18.899999999999999" customHeight="1">
      <c r="A17" s="173">
        <v>2.4460000000000002</v>
      </c>
      <c r="B17" s="174">
        <v>3.1360000000000001</v>
      </c>
      <c r="C17" s="173">
        <f t="shared" si="0"/>
        <v>0</v>
      </c>
      <c r="D17" s="174">
        <f t="shared" si="1"/>
        <v>0</v>
      </c>
      <c r="E17" s="173">
        <v>0</v>
      </c>
      <c r="F17" s="174">
        <v>0</v>
      </c>
      <c r="G17" s="255">
        <v>2.4460000000000002</v>
      </c>
      <c r="H17" s="256">
        <v>3.1360000000000001</v>
      </c>
      <c r="I17" s="6">
        <v>0</v>
      </c>
      <c r="J17" s="7">
        <v>0</v>
      </c>
      <c r="K17" s="37">
        <v>212</v>
      </c>
      <c r="L17" s="38">
        <v>368</v>
      </c>
      <c r="M17" s="74">
        <v>366</v>
      </c>
      <c r="N17" s="7">
        <v>576</v>
      </c>
      <c r="O17" s="6">
        <v>1868</v>
      </c>
      <c r="P17" s="7">
        <v>2192</v>
      </c>
      <c r="Q17" s="190">
        <v>1365</v>
      </c>
    </row>
    <row r="18" spans="1:17" ht="18.899999999999999" customHeight="1">
      <c r="A18" s="173">
        <v>2.9990000000000001</v>
      </c>
      <c r="B18" s="174">
        <v>3.3569399999999998</v>
      </c>
      <c r="C18" s="173">
        <f t="shared" si="0"/>
        <v>0</v>
      </c>
      <c r="D18" s="174">
        <f t="shared" si="1"/>
        <v>0</v>
      </c>
      <c r="E18" s="173">
        <v>0</v>
      </c>
      <c r="F18" s="174">
        <v>0</v>
      </c>
      <c r="G18" s="255">
        <v>2.9990000000000001</v>
      </c>
      <c r="H18" s="256">
        <v>3.3569399999999998</v>
      </c>
      <c r="I18" s="6">
        <v>9</v>
      </c>
      <c r="J18" s="7">
        <v>0.94</v>
      </c>
      <c r="K18" s="37">
        <v>243</v>
      </c>
      <c r="L18" s="38">
        <v>291</v>
      </c>
      <c r="M18" s="74">
        <v>349</v>
      </c>
      <c r="N18" s="7">
        <v>638</v>
      </c>
      <c r="O18" s="6">
        <v>2398</v>
      </c>
      <c r="P18" s="7">
        <v>2427</v>
      </c>
      <c r="Q18" s="190">
        <v>1366</v>
      </c>
    </row>
    <row r="19" spans="1:17" ht="18.899999999999999" customHeight="1">
      <c r="A19" s="173">
        <v>3.282</v>
      </c>
      <c r="B19" s="174">
        <v>4.1150000000000002</v>
      </c>
      <c r="C19" s="173">
        <f t="shared" si="0"/>
        <v>0</v>
      </c>
      <c r="D19" s="174">
        <f t="shared" si="1"/>
        <v>0</v>
      </c>
      <c r="E19" s="173">
        <v>0</v>
      </c>
      <c r="F19" s="174">
        <v>0</v>
      </c>
      <c r="G19" s="255">
        <v>3.282</v>
      </c>
      <c r="H19" s="256">
        <v>4.1150000000000002</v>
      </c>
      <c r="I19" s="6">
        <v>0</v>
      </c>
      <c r="J19" s="7">
        <v>0</v>
      </c>
      <c r="K19" s="37">
        <v>283</v>
      </c>
      <c r="L19" s="38">
        <v>577</v>
      </c>
      <c r="M19" s="74">
        <v>557</v>
      </c>
      <c r="N19" s="7">
        <v>1148</v>
      </c>
      <c r="O19" s="6">
        <v>2442</v>
      </c>
      <c r="P19" s="7">
        <v>2390</v>
      </c>
      <c r="Q19" s="190">
        <v>1367</v>
      </c>
    </row>
    <row r="20" spans="1:17" ht="18.899999999999999" customHeight="1">
      <c r="A20" s="173">
        <v>8.4359999999999999</v>
      </c>
      <c r="B20" s="174">
        <v>8.9480000000000004</v>
      </c>
      <c r="C20" s="173">
        <f t="shared" si="0"/>
        <v>0</v>
      </c>
      <c r="D20" s="174">
        <f t="shared" si="1"/>
        <v>0</v>
      </c>
      <c r="E20" s="173">
        <v>0</v>
      </c>
      <c r="F20" s="174">
        <v>0</v>
      </c>
      <c r="G20" s="255">
        <v>8.4359999999999999</v>
      </c>
      <c r="H20" s="256">
        <v>8.9480000000000004</v>
      </c>
      <c r="I20" s="6">
        <v>0</v>
      </c>
      <c r="J20" s="7">
        <v>0</v>
      </c>
      <c r="K20" s="37">
        <v>263</v>
      </c>
      <c r="L20" s="38">
        <v>446</v>
      </c>
      <c r="M20" s="74">
        <v>632</v>
      </c>
      <c r="N20" s="7">
        <v>1289</v>
      </c>
      <c r="O20" s="6">
        <v>7541</v>
      </c>
      <c r="P20" s="7">
        <v>7213</v>
      </c>
      <c r="Q20" s="190">
        <v>1368</v>
      </c>
    </row>
    <row r="21" spans="1:17" ht="18.899999999999999" customHeight="1">
      <c r="A21" s="173">
        <v>11.223000000000001</v>
      </c>
      <c r="B21" s="174">
        <v>11.365</v>
      </c>
      <c r="C21" s="173">
        <f t="shared" si="0"/>
        <v>0</v>
      </c>
      <c r="D21" s="174">
        <f t="shared" si="1"/>
        <v>0</v>
      </c>
      <c r="E21" s="173">
        <v>0</v>
      </c>
      <c r="F21" s="174">
        <v>0</v>
      </c>
      <c r="G21" s="255">
        <v>11.223000000000001</v>
      </c>
      <c r="H21" s="256">
        <v>11.365</v>
      </c>
      <c r="I21" s="6">
        <v>0</v>
      </c>
      <c r="J21" s="7">
        <v>3</v>
      </c>
      <c r="K21" s="37">
        <v>201</v>
      </c>
      <c r="L21" s="38">
        <v>599</v>
      </c>
      <c r="M21" s="74">
        <v>790</v>
      </c>
      <c r="N21" s="7">
        <v>1497</v>
      </c>
      <c r="O21" s="6">
        <v>10232</v>
      </c>
      <c r="P21" s="7">
        <v>9266</v>
      </c>
      <c r="Q21" s="190">
        <v>1369</v>
      </c>
    </row>
    <row r="22" spans="1:17" ht="18.899999999999999" customHeight="1">
      <c r="A22" s="173">
        <v>12.775</v>
      </c>
      <c r="B22" s="174">
        <v>15.225</v>
      </c>
      <c r="C22" s="173">
        <f t="shared" si="0"/>
        <v>0</v>
      </c>
      <c r="D22" s="174">
        <f t="shared" si="1"/>
        <v>0</v>
      </c>
      <c r="E22" s="173">
        <v>0</v>
      </c>
      <c r="F22" s="174">
        <v>0</v>
      </c>
      <c r="G22" s="255">
        <v>12.775</v>
      </c>
      <c r="H22" s="256">
        <v>15.225</v>
      </c>
      <c r="I22" s="6">
        <v>5</v>
      </c>
      <c r="J22" s="7">
        <v>48</v>
      </c>
      <c r="K22" s="37">
        <v>483</v>
      </c>
      <c r="L22" s="38">
        <v>1091</v>
      </c>
      <c r="M22" s="74">
        <v>1400</v>
      </c>
      <c r="N22" s="7">
        <v>2549</v>
      </c>
      <c r="O22" s="6">
        <v>10887</v>
      </c>
      <c r="P22" s="7">
        <v>11537</v>
      </c>
      <c r="Q22" s="190">
        <v>1370</v>
      </c>
    </row>
    <row r="23" spans="1:17" ht="18.899999999999999" customHeight="1">
      <c r="A23" s="173">
        <v>14.612</v>
      </c>
      <c r="B23" s="174">
        <v>20.218</v>
      </c>
      <c r="C23" s="173">
        <f t="shared" si="0"/>
        <v>0</v>
      </c>
      <c r="D23" s="174">
        <f t="shared" si="1"/>
        <v>0</v>
      </c>
      <c r="E23" s="173">
        <v>0</v>
      </c>
      <c r="F23" s="174">
        <v>0</v>
      </c>
      <c r="G23" s="255">
        <v>14.612</v>
      </c>
      <c r="H23" s="256">
        <v>20.218</v>
      </c>
      <c r="I23" s="6">
        <v>56</v>
      </c>
      <c r="J23" s="7">
        <v>628</v>
      </c>
      <c r="K23" s="37">
        <v>583</v>
      </c>
      <c r="L23" s="38">
        <v>1598</v>
      </c>
      <c r="M23" s="74">
        <v>1661</v>
      </c>
      <c r="N23" s="7">
        <v>3420</v>
      </c>
      <c r="O23" s="6">
        <v>12312</v>
      </c>
      <c r="P23" s="7">
        <v>14572</v>
      </c>
      <c r="Q23" s="190">
        <v>1371</v>
      </c>
    </row>
    <row r="24" spans="1:17" ht="18.899999999999999" customHeight="1">
      <c r="A24" s="173">
        <v>18.384</v>
      </c>
      <c r="B24" s="174">
        <v>24.981999999999999</v>
      </c>
      <c r="C24" s="173">
        <f t="shared" si="0"/>
        <v>0</v>
      </c>
      <c r="D24" s="174">
        <f t="shared" si="1"/>
        <v>0</v>
      </c>
      <c r="E24" s="173">
        <v>0</v>
      </c>
      <c r="F24" s="174">
        <v>0</v>
      </c>
      <c r="G24" s="255">
        <v>18.384</v>
      </c>
      <c r="H24" s="256">
        <v>24.981999999999999</v>
      </c>
      <c r="I24" s="6">
        <v>483</v>
      </c>
      <c r="J24" s="7">
        <v>603</v>
      </c>
      <c r="K24" s="37">
        <v>733</v>
      </c>
      <c r="L24" s="38">
        <v>1903</v>
      </c>
      <c r="M24" s="74">
        <v>2494</v>
      </c>
      <c r="N24" s="7">
        <v>3052</v>
      </c>
      <c r="O24" s="6">
        <v>14674</v>
      </c>
      <c r="P24" s="7">
        <v>19424</v>
      </c>
      <c r="Q24" s="190">
        <v>1372</v>
      </c>
    </row>
    <row r="25" spans="1:17" ht="18.899999999999999" customHeight="1">
      <c r="A25" s="173">
        <v>29.274999999999999</v>
      </c>
      <c r="B25" s="174">
        <v>39.457999999999998</v>
      </c>
      <c r="C25" s="173">
        <f t="shared" si="0"/>
        <v>0</v>
      </c>
      <c r="D25" s="174">
        <f t="shared" si="1"/>
        <v>0</v>
      </c>
      <c r="E25" s="173">
        <v>0</v>
      </c>
      <c r="F25" s="174">
        <v>0</v>
      </c>
      <c r="G25" s="255">
        <v>29.274999999999999</v>
      </c>
      <c r="H25" s="256">
        <v>39.457999999999998</v>
      </c>
      <c r="I25" s="6">
        <v>948</v>
      </c>
      <c r="J25" s="7">
        <v>2621</v>
      </c>
      <c r="K25" s="37">
        <v>1325</v>
      </c>
      <c r="L25" s="38">
        <v>3167</v>
      </c>
      <c r="M25" s="74">
        <v>3662</v>
      </c>
      <c r="N25" s="7">
        <v>7252</v>
      </c>
      <c r="O25" s="6">
        <v>23340</v>
      </c>
      <c r="P25" s="7">
        <v>26418</v>
      </c>
      <c r="Q25" s="190">
        <v>1373</v>
      </c>
    </row>
    <row r="26" spans="1:17" ht="18.899999999999999" customHeight="1">
      <c r="A26" s="173">
        <v>39.182000000000002</v>
      </c>
      <c r="B26" s="174">
        <v>61.453000000000003</v>
      </c>
      <c r="C26" s="173">
        <f t="shared" si="0"/>
        <v>0</v>
      </c>
      <c r="D26" s="174">
        <f t="shared" si="1"/>
        <v>0</v>
      </c>
      <c r="E26" s="173">
        <v>0</v>
      </c>
      <c r="F26" s="174">
        <v>0</v>
      </c>
      <c r="G26" s="255">
        <v>39.182000000000002</v>
      </c>
      <c r="H26" s="256">
        <v>61.453000000000003</v>
      </c>
      <c r="I26" s="6">
        <v>3984</v>
      </c>
      <c r="J26" s="7">
        <v>7286</v>
      </c>
      <c r="K26" s="37">
        <v>2542</v>
      </c>
      <c r="L26" s="38">
        <v>4232</v>
      </c>
      <c r="M26" s="6">
        <v>5058</v>
      </c>
      <c r="N26" s="7">
        <v>16725</v>
      </c>
      <c r="O26" s="6">
        <v>27598</v>
      </c>
      <c r="P26" s="7">
        <v>33210</v>
      </c>
      <c r="Q26" s="190">
        <v>1374</v>
      </c>
    </row>
    <row r="27" spans="1:17" ht="18.899999999999999" customHeight="1">
      <c r="A27" s="173">
        <v>53.164999999999999</v>
      </c>
      <c r="B27" s="174">
        <v>74.450999999999993</v>
      </c>
      <c r="C27" s="173">
        <f t="shared" si="0"/>
        <v>0</v>
      </c>
      <c r="D27" s="174">
        <f t="shared" si="1"/>
        <v>0</v>
      </c>
      <c r="E27" s="173">
        <v>0</v>
      </c>
      <c r="F27" s="174">
        <v>0</v>
      </c>
      <c r="G27" s="255">
        <v>53.164999999999999</v>
      </c>
      <c r="H27" s="256">
        <v>74.450999999999993</v>
      </c>
      <c r="I27" s="6">
        <v>7801</v>
      </c>
      <c r="J27" s="7">
        <v>10321</v>
      </c>
      <c r="K27" s="37">
        <v>3577</v>
      </c>
      <c r="L27" s="38">
        <v>5360</v>
      </c>
      <c r="M27" s="6">
        <v>8133</v>
      </c>
      <c r="N27" s="7">
        <v>28286</v>
      </c>
      <c r="O27" s="6">
        <v>33654</v>
      </c>
      <c r="P27" s="7">
        <v>30484</v>
      </c>
      <c r="Q27" s="190">
        <v>1375</v>
      </c>
    </row>
    <row r="28" spans="1:17" ht="18.899999999999999" customHeight="1">
      <c r="A28" s="173">
        <v>81.887</v>
      </c>
      <c r="B28" s="174">
        <v>144.715</v>
      </c>
      <c r="C28" s="173">
        <f t="shared" si="0"/>
        <v>0</v>
      </c>
      <c r="D28" s="174">
        <f t="shared" si="1"/>
        <v>0</v>
      </c>
      <c r="E28" s="173">
        <v>0</v>
      </c>
      <c r="F28" s="174">
        <v>0</v>
      </c>
      <c r="G28" s="255">
        <v>81.887</v>
      </c>
      <c r="H28" s="256">
        <v>144.715</v>
      </c>
      <c r="I28" s="6">
        <v>9236</v>
      </c>
      <c r="J28" s="7">
        <v>14838</v>
      </c>
      <c r="K28" s="37">
        <v>4586</v>
      </c>
      <c r="L28" s="38">
        <v>7764</v>
      </c>
      <c r="M28" s="6">
        <v>12737</v>
      </c>
      <c r="N28" s="7">
        <v>49062</v>
      </c>
      <c r="O28" s="6">
        <v>55328</v>
      </c>
      <c r="P28" s="7">
        <v>73051</v>
      </c>
      <c r="Q28" s="190">
        <v>1376</v>
      </c>
    </row>
    <row r="29" spans="1:17" ht="18.899999999999999" customHeight="1">
      <c r="A29" s="173">
        <v>97.058999999999997</v>
      </c>
      <c r="B29" s="174">
        <v>227.56200000000001</v>
      </c>
      <c r="C29" s="173">
        <f t="shared" si="0"/>
        <v>0</v>
      </c>
      <c r="D29" s="174">
        <f t="shared" si="1"/>
        <v>0</v>
      </c>
      <c r="E29" s="173">
        <v>0</v>
      </c>
      <c r="F29" s="174">
        <v>0</v>
      </c>
      <c r="G29" s="255">
        <v>97.058999999999997</v>
      </c>
      <c r="H29" s="256">
        <v>227.56200000000001</v>
      </c>
      <c r="I29" s="6">
        <v>12725</v>
      </c>
      <c r="J29" s="7">
        <v>22847</v>
      </c>
      <c r="K29" s="37">
        <v>6268</v>
      </c>
      <c r="L29" s="38">
        <v>14730</v>
      </c>
      <c r="M29" s="6">
        <v>12130</v>
      </c>
      <c r="N29" s="7">
        <v>85736</v>
      </c>
      <c r="O29" s="6">
        <v>65936</v>
      </c>
      <c r="P29" s="7">
        <v>104249</v>
      </c>
      <c r="Q29" s="190">
        <v>1377</v>
      </c>
    </row>
    <row r="30" spans="1:17" ht="18.899999999999999" customHeight="1">
      <c r="A30" s="173">
        <v>169.47749999999999</v>
      </c>
      <c r="B30" s="174">
        <v>307.40267</v>
      </c>
      <c r="C30" s="173">
        <f t="shared" si="0"/>
        <v>0</v>
      </c>
      <c r="D30" s="174">
        <f t="shared" si="1"/>
        <v>0</v>
      </c>
      <c r="E30" s="173">
        <v>0</v>
      </c>
      <c r="F30" s="174">
        <v>0</v>
      </c>
      <c r="G30" s="255">
        <v>169.47749999999999</v>
      </c>
      <c r="H30" s="256">
        <v>307.40267</v>
      </c>
      <c r="I30" s="6">
        <v>13576.5</v>
      </c>
      <c r="J30" s="7">
        <v>36295.9</v>
      </c>
      <c r="K30" s="37">
        <f>6901.6</f>
        <v>6901.6</v>
      </c>
      <c r="L30" s="38">
        <f>19540.47</f>
        <v>19540.47</v>
      </c>
      <c r="M30" s="13">
        <v>16348.6</v>
      </c>
      <c r="N30" s="11">
        <v>34723.5</v>
      </c>
      <c r="O30" s="13">
        <v>132650.79999999999</v>
      </c>
      <c r="P30" s="11">
        <v>216842.8</v>
      </c>
      <c r="Q30" s="202">
        <v>1378</v>
      </c>
    </row>
    <row r="31" spans="1:17" ht="18.899999999999999" customHeight="1">
      <c r="A31" s="173">
        <v>283.90499999999997</v>
      </c>
      <c r="B31" s="174">
        <v>601.16</v>
      </c>
      <c r="C31" s="173">
        <f t="shared" si="0"/>
        <v>0</v>
      </c>
      <c r="D31" s="174">
        <f t="shared" si="1"/>
        <v>0</v>
      </c>
      <c r="E31" s="173">
        <v>0</v>
      </c>
      <c r="F31" s="174">
        <v>0</v>
      </c>
      <c r="G31" s="255">
        <v>283.90499999999997</v>
      </c>
      <c r="H31" s="256">
        <v>601.16</v>
      </c>
      <c r="I31" s="6">
        <v>19491</v>
      </c>
      <c r="J31" s="7">
        <v>45965</v>
      </c>
      <c r="K31" s="37">
        <v>8698</v>
      </c>
      <c r="L31" s="38">
        <v>17638</v>
      </c>
      <c r="M31" s="17">
        <v>27632</v>
      </c>
      <c r="N31" s="15">
        <v>120649</v>
      </c>
      <c r="O31" s="17">
        <v>228084</v>
      </c>
      <c r="P31" s="15">
        <v>416908</v>
      </c>
      <c r="Q31" s="203">
        <v>1379</v>
      </c>
    </row>
    <row r="32" spans="1:17" ht="18.899999999999999" customHeight="1">
      <c r="A32" s="180">
        <v>337.09559999999999</v>
      </c>
      <c r="B32" s="181">
        <v>568.76400000000001</v>
      </c>
      <c r="C32" s="180">
        <f t="shared" si="0"/>
        <v>0</v>
      </c>
      <c r="D32" s="181">
        <f t="shared" si="1"/>
        <v>0</v>
      </c>
      <c r="E32" s="180">
        <v>0</v>
      </c>
      <c r="F32" s="181">
        <v>0</v>
      </c>
      <c r="G32" s="255">
        <v>337.09559999999999</v>
      </c>
      <c r="H32" s="256">
        <v>568.76400000000001</v>
      </c>
      <c r="I32" s="17">
        <v>20929</v>
      </c>
      <c r="J32" s="15">
        <v>69517</v>
      </c>
      <c r="K32" s="22">
        <f>13519.8</f>
        <v>13519.8</v>
      </c>
      <c r="L32" s="23">
        <f>25669.9</f>
        <v>25669.9</v>
      </c>
      <c r="M32" s="17">
        <f>33324.4</f>
        <v>33324.400000000001</v>
      </c>
      <c r="N32" s="15">
        <f>159364.5</f>
        <v>159364.5</v>
      </c>
      <c r="O32" s="17">
        <f>269322.4</f>
        <v>269322.40000000002</v>
      </c>
      <c r="P32" s="15">
        <f>314212.6</f>
        <v>314212.59999999998</v>
      </c>
      <c r="Q32" s="203">
        <v>1380</v>
      </c>
    </row>
    <row r="33" spans="1:17" ht="18.899999999999999" customHeight="1">
      <c r="A33" s="173">
        <v>441.33725856799998</v>
      </c>
      <c r="B33" s="174">
        <v>889.34832822800001</v>
      </c>
      <c r="C33" s="173">
        <f t="shared" si="0"/>
        <v>0</v>
      </c>
      <c r="D33" s="174">
        <f t="shared" si="1"/>
        <v>0</v>
      </c>
      <c r="E33" s="173">
        <v>0</v>
      </c>
      <c r="F33" s="174">
        <v>0</v>
      </c>
      <c r="G33" s="255">
        <v>441.33725856799998</v>
      </c>
      <c r="H33" s="256">
        <v>889.34832822800001</v>
      </c>
      <c r="I33" s="64">
        <f>'[1]بيمه دانا'!$I$57/1000000</f>
        <v>29791.191094000002</v>
      </c>
      <c r="J33" s="7">
        <f>'[1]بيمه دانا'!$Q$57/1000000</f>
        <v>107506.660812</v>
      </c>
      <c r="K33" s="37">
        <f>'[1]بيمه البرز'!$I$57/1000000</f>
        <v>20380.877939999998</v>
      </c>
      <c r="L33" s="38">
        <f>'[1]بيمه البرز'!$Q$57/1000000</f>
        <v>35363.026947999999</v>
      </c>
      <c r="M33" s="6">
        <f>'[1]بيمه آسيا'!$I$57/1000000</f>
        <v>53508.925620000002</v>
      </c>
      <c r="N33" s="7">
        <f>'[1]بيمه آسيا'!$Q$57/1000000</f>
        <v>193282.959126</v>
      </c>
      <c r="O33" s="6">
        <f>'[1]بيمه ايران'!$I$57/1000000</f>
        <v>337656.26391400001</v>
      </c>
      <c r="P33" s="7">
        <f>'[1]بيمه ايران'!$Q$57/1000000</f>
        <v>553195.68134200003</v>
      </c>
      <c r="Q33" s="190">
        <v>1381</v>
      </c>
    </row>
    <row r="34" spans="1:17" ht="18.899999999999999" customHeight="1">
      <c r="A34" s="173">
        <v>503.75438609399998</v>
      </c>
      <c r="B34" s="174">
        <v>1038.44939312</v>
      </c>
      <c r="C34" s="173">
        <f t="shared" si="0"/>
        <v>5.0000000000011369E-2</v>
      </c>
      <c r="D34" s="174">
        <f t="shared" si="1"/>
        <v>6.2156938599998739</v>
      </c>
      <c r="E34" s="173">
        <v>0</v>
      </c>
      <c r="F34" s="174">
        <v>0</v>
      </c>
      <c r="G34" s="255">
        <v>503.70438609399997</v>
      </c>
      <c r="H34" s="256">
        <v>1032.2336992600001</v>
      </c>
      <c r="I34" s="64">
        <f>'[2]بيمه دانا'!$I$58/1000000</f>
        <v>41823.896284000002</v>
      </c>
      <c r="J34" s="7">
        <f>'[2]بيمه دانا'!$Q$58/1000000</f>
        <v>202308.67563400001</v>
      </c>
      <c r="K34" s="37">
        <f>'[2]بيمه البرز'!$I$58/1000000</f>
        <v>32550.669549999999</v>
      </c>
      <c r="L34" s="38">
        <f>'[2]بيمه البرز'!$Q$58/1000000</f>
        <v>57085.743754000003</v>
      </c>
      <c r="M34" s="6">
        <f>'[2]بيمه آسيا'!$I$58/1000000</f>
        <v>53803.234521999999</v>
      </c>
      <c r="N34" s="7">
        <f>'[2]بيمه آسيا'!$Q$58/1000000</f>
        <v>211070.48054399999</v>
      </c>
      <c r="O34" s="6">
        <f>'[2]بيمه ايران'!$I$58/1000000</f>
        <v>375526.58573799999</v>
      </c>
      <c r="P34" s="7">
        <f>'[2]بيمه ايران'!$Q$58/1000000</f>
        <v>561768.79932800005</v>
      </c>
      <c r="Q34" s="190">
        <v>1382</v>
      </c>
    </row>
    <row r="35" spans="1:17" ht="18.899999999999999" customHeight="1">
      <c r="A35" s="180">
        <v>610.30719346599994</v>
      </c>
      <c r="B35" s="181">
        <v>1063.974486112</v>
      </c>
      <c r="C35" s="200">
        <f t="shared" si="0"/>
        <v>4.7789379099999678</v>
      </c>
      <c r="D35" s="183">
        <f t="shared" si="1"/>
        <v>42.348110640000073</v>
      </c>
      <c r="E35" s="200">
        <v>0</v>
      </c>
      <c r="F35" s="183">
        <v>0</v>
      </c>
      <c r="G35" s="255">
        <v>605.52825555599998</v>
      </c>
      <c r="H35" s="256">
        <v>1021.6263754719999</v>
      </c>
      <c r="I35" s="10">
        <f>'[2]بيمه دانا'!$H$58/1000000</f>
        <v>125988.21842200001</v>
      </c>
      <c r="J35" s="11">
        <f>'[2]بيمه دانا'!$P$58/1000000</f>
        <v>111370.931304</v>
      </c>
      <c r="K35" s="20">
        <f>'[2]بيمه البرز'!$H$58/1000000</f>
        <v>46023.613576000003</v>
      </c>
      <c r="L35" s="21">
        <f>'[2]بيمه البرز'!$P$58/1000000</f>
        <v>80761.896393999996</v>
      </c>
      <c r="M35" s="13">
        <f>'[2]بيمه آسيا'!$H$58/1000000</f>
        <v>88289.952781999993</v>
      </c>
      <c r="N35" s="11">
        <f>'[2]بيمه آسيا'!$P$58/1000000</f>
        <v>222037.52006400001</v>
      </c>
      <c r="O35" s="13">
        <f>'[2]بيمه ايران'!$H$58/1000000</f>
        <v>345226.470776</v>
      </c>
      <c r="P35" s="11">
        <f>'[2]بيمه ايران'!$P$58/1000000</f>
        <v>607456.02771000005</v>
      </c>
      <c r="Q35" s="202">
        <v>1383</v>
      </c>
    </row>
    <row r="36" spans="1:17" s="1" customFormat="1" ht="18.899999999999999" customHeight="1">
      <c r="A36" s="173">
        <v>680.79333329999997</v>
      </c>
      <c r="B36" s="174">
        <v>1420.378925712</v>
      </c>
      <c r="C36" s="182">
        <f t="shared" si="0"/>
        <v>18.194534121999936</v>
      </c>
      <c r="D36" s="174">
        <f t="shared" si="1"/>
        <v>97.249974694000002</v>
      </c>
      <c r="E36" s="182"/>
      <c r="F36" s="182"/>
      <c r="G36" s="175">
        <v>662.59879917800004</v>
      </c>
      <c r="H36" s="260">
        <v>1323.128951018</v>
      </c>
      <c r="I36" s="85">
        <f>'[3]بيمه دانا'!$H$58/1000000</f>
        <v>165151.28187199999</v>
      </c>
      <c r="J36" s="7">
        <f>'[3]بيمه دانا'!$P$58/1000000</f>
        <v>230735.17622200001</v>
      </c>
      <c r="K36" s="103">
        <f>'[3]بيمه البرز'!$H$58/1000000</f>
        <v>52986.212469999999</v>
      </c>
      <c r="L36" s="38">
        <f>'[3]بيمه البرز'!$P$58/1000000</f>
        <v>90071.370714000004</v>
      </c>
      <c r="M36" s="85">
        <f>'[3]بيمه آسيا'!$H$58/1000000</f>
        <v>95558.015100000004</v>
      </c>
      <c r="N36" s="7">
        <f>'[3]بيمه آسيا'!$P$58/1000000</f>
        <v>251380.94336999999</v>
      </c>
      <c r="O36" s="85">
        <f>'[3]بيمه ايران'!$H$58/1000000</f>
        <v>348903.28973600001</v>
      </c>
      <c r="P36" s="7">
        <f>'[3]بيمه ايران'!$P$58/1000000</f>
        <v>750941.46071200003</v>
      </c>
      <c r="Q36" s="190">
        <v>1384</v>
      </c>
    </row>
    <row r="37" spans="1:17" s="1" customFormat="1" ht="18.899999999999999" customHeight="1">
      <c r="A37" s="195">
        <v>724.428147448</v>
      </c>
      <c r="B37" s="196">
        <v>1628.6859465800001</v>
      </c>
      <c r="C37" s="197">
        <f t="shared" si="0"/>
        <v>41.6917416</v>
      </c>
      <c r="D37" s="196">
        <f t="shared" si="1"/>
        <v>252.041764134</v>
      </c>
      <c r="E37" s="197"/>
      <c r="F37" s="197"/>
      <c r="G37" s="175">
        <v>682.736405848</v>
      </c>
      <c r="H37" s="176">
        <v>1376.6441824460001</v>
      </c>
      <c r="I37" s="228"/>
      <c r="J37" s="228"/>
      <c r="K37" s="229"/>
      <c r="L37" s="229"/>
      <c r="M37" s="228"/>
      <c r="N37" s="228"/>
      <c r="O37" s="228"/>
      <c r="P37" s="228"/>
      <c r="Q37" s="230">
        <v>1385</v>
      </c>
    </row>
    <row r="38" spans="1:17" s="1" customFormat="1" ht="18.899999999999999" customHeight="1">
      <c r="A38" s="173">
        <v>732.87191592399995</v>
      </c>
      <c r="B38" s="174">
        <v>1892.228700848</v>
      </c>
      <c r="C38" s="182">
        <f t="shared" si="0"/>
        <v>136.13623415799998</v>
      </c>
      <c r="D38" s="174">
        <f t="shared" si="1"/>
        <v>500.28197962200011</v>
      </c>
      <c r="E38" s="182"/>
      <c r="F38" s="182"/>
      <c r="G38" s="177">
        <v>596.73568176599997</v>
      </c>
      <c r="H38" s="178">
        <v>1391.9467212259999</v>
      </c>
      <c r="I38" s="85"/>
      <c r="J38" s="85"/>
      <c r="K38" s="103"/>
      <c r="L38" s="103"/>
      <c r="M38" s="85"/>
      <c r="N38" s="85"/>
      <c r="O38" s="85"/>
      <c r="P38" s="85"/>
      <c r="Q38" s="190">
        <v>1386</v>
      </c>
    </row>
    <row r="39" spans="1:17" s="1" customFormat="1" ht="18.899999999999999" customHeight="1">
      <c r="A39" s="173">
        <v>953.64412272799996</v>
      </c>
      <c r="B39" s="174">
        <v>2115.6997053599998</v>
      </c>
      <c r="C39" s="182">
        <f t="shared" si="0"/>
        <v>291.14058430199998</v>
      </c>
      <c r="D39" s="174">
        <f t="shared" si="1"/>
        <v>769.68363784199983</v>
      </c>
      <c r="E39" s="182"/>
      <c r="F39" s="182"/>
      <c r="G39" s="177">
        <v>662.50353842599998</v>
      </c>
      <c r="H39" s="178">
        <v>1346.016067518</v>
      </c>
      <c r="I39" s="85"/>
      <c r="J39" s="85"/>
      <c r="K39" s="103"/>
      <c r="L39" s="103"/>
      <c r="M39" s="85"/>
      <c r="N39" s="85"/>
      <c r="O39" s="85"/>
      <c r="P39" s="85"/>
      <c r="Q39" s="190">
        <v>1387</v>
      </c>
    </row>
    <row r="40" spans="1:17" s="1" customFormat="1" ht="18.899999999999999" customHeight="1">
      <c r="A40" s="173">
        <v>1347.7961613</v>
      </c>
      <c r="B40" s="174">
        <v>3206.209178178</v>
      </c>
      <c r="C40" s="182">
        <f t="shared" si="0"/>
        <v>690.72007658999996</v>
      </c>
      <c r="D40" s="174">
        <f t="shared" si="1"/>
        <v>1829.965980768</v>
      </c>
      <c r="E40" s="182"/>
      <c r="F40" s="182"/>
      <c r="G40" s="177">
        <v>657.07608471000003</v>
      </c>
      <c r="H40" s="178">
        <v>1376.24319741</v>
      </c>
      <c r="I40" s="85"/>
      <c r="J40" s="85"/>
      <c r="K40" s="103"/>
      <c r="L40" s="103"/>
      <c r="M40" s="85"/>
      <c r="N40" s="85"/>
      <c r="O40" s="85"/>
      <c r="P40" s="85"/>
      <c r="Q40" s="190">
        <v>1388</v>
      </c>
    </row>
    <row r="41" spans="1:17" s="1" customFormat="1" ht="18.899999999999999" customHeight="1">
      <c r="A41" s="173">
        <v>1698.24993711</v>
      </c>
      <c r="B41" s="174">
        <v>4686.5125053080001</v>
      </c>
      <c r="C41" s="182">
        <f t="shared" si="0"/>
        <v>875.03220898400002</v>
      </c>
      <c r="D41" s="174">
        <f t="shared" si="1"/>
        <v>3077.7721913360001</v>
      </c>
      <c r="E41" s="182"/>
      <c r="F41" s="182"/>
      <c r="G41" s="177">
        <v>823.217728126</v>
      </c>
      <c r="H41" s="178">
        <v>1608.740313972</v>
      </c>
      <c r="I41" s="85"/>
      <c r="J41" s="85"/>
      <c r="K41" s="103"/>
      <c r="L41" s="103"/>
      <c r="M41" s="85"/>
      <c r="N41" s="85"/>
      <c r="O41" s="85"/>
      <c r="P41" s="85"/>
      <c r="Q41" s="190">
        <v>1389</v>
      </c>
    </row>
    <row r="42" spans="1:17" s="1" customFormat="1" ht="18.899999999999999" customHeight="1">
      <c r="A42" s="220">
        <v>2330.3000000000002</v>
      </c>
      <c r="B42" s="219">
        <f>6869.8</f>
        <v>6869.8</v>
      </c>
      <c r="C42" s="524">
        <f t="shared" ref="C42:D51" si="2">A42-G42</f>
        <v>1098.0000000000002</v>
      </c>
      <c r="D42" s="219">
        <f t="shared" si="2"/>
        <v>4693.8999999999996</v>
      </c>
      <c r="E42" s="525"/>
      <c r="F42" s="525"/>
      <c r="G42" s="526">
        <f>1232.3</f>
        <v>1232.3</v>
      </c>
      <c r="H42" s="527">
        <f>2175.9</f>
        <v>2175.9</v>
      </c>
      <c r="I42" s="426"/>
      <c r="J42" s="426"/>
      <c r="K42" s="426"/>
      <c r="L42" s="426"/>
      <c r="M42" s="426"/>
      <c r="N42" s="426"/>
      <c r="O42" s="426"/>
      <c r="P42" s="426"/>
      <c r="Q42" s="427">
        <v>1390</v>
      </c>
    </row>
    <row r="43" spans="1:17" s="1" customFormat="1" ht="18.899999999999999" customHeight="1">
      <c r="A43" s="528">
        <v>3546.9</v>
      </c>
      <c r="B43" s="219">
        <v>10248</v>
      </c>
      <c r="C43" s="524">
        <f t="shared" si="2"/>
        <v>1905.2</v>
      </c>
      <c r="D43" s="219">
        <f t="shared" si="2"/>
        <v>7889.6</v>
      </c>
      <c r="E43" s="529"/>
      <c r="F43" s="530"/>
      <c r="G43" s="531">
        <v>1641.7</v>
      </c>
      <c r="H43" s="527">
        <v>2358.4</v>
      </c>
      <c r="I43" s="473"/>
      <c r="J43" s="474"/>
      <c r="K43" s="474"/>
      <c r="L43" s="474"/>
      <c r="M43" s="474"/>
      <c r="N43" s="474"/>
      <c r="O43" s="474"/>
      <c r="P43" s="474"/>
      <c r="Q43" s="475">
        <v>1391</v>
      </c>
    </row>
    <row r="44" spans="1:17" s="1" customFormat="1" ht="18.899999999999999" customHeight="1">
      <c r="A44" s="220">
        <v>4678.5</v>
      </c>
      <c r="B44" s="219">
        <v>14781.8</v>
      </c>
      <c r="C44" s="524">
        <f t="shared" si="2"/>
        <v>3047.3</v>
      </c>
      <c r="D44" s="219">
        <f>B44-H44</f>
        <v>11367.199999999999</v>
      </c>
      <c r="E44" s="532"/>
      <c r="F44" s="533"/>
      <c r="G44" s="534">
        <v>1631.2</v>
      </c>
      <c r="H44" s="527">
        <v>3414.6</v>
      </c>
      <c r="I44" s="476"/>
      <c r="J44" s="477"/>
      <c r="K44" s="477"/>
      <c r="L44" s="477"/>
      <c r="M44" s="477"/>
      <c r="N44" s="477"/>
      <c r="O44" s="477"/>
      <c r="P44" s="477"/>
      <c r="Q44" s="478">
        <v>1392</v>
      </c>
    </row>
    <row r="45" spans="1:17" s="1" customFormat="1" ht="18.899999999999999" customHeight="1">
      <c r="A45" s="220">
        <v>6967.3</v>
      </c>
      <c r="B45" s="219">
        <v>22597.5</v>
      </c>
      <c r="C45" s="524">
        <f t="shared" si="2"/>
        <v>4421.8</v>
      </c>
      <c r="D45" s="219">
        <f t="shared" si="2"/>
        <v>18053.5</v>
      </c>
      <c r="E45" s="532"/>
      <c r="F45" s="533"/>
      <c r="G45" s="534">
        <v>2545.5</v>
      </c>
      <c r="H45" s="527">
        <v>4544</v>
      </c>
      <c r="I45" s="476"/>
      <c r="J45" s="477"/>
      <c r="K45" s="477"/>
      <c r="L45" s="477"/>
      <c r="M45" s="477"/>
      <c r="N45" s="477"/>
      <c r="O45" s="477"/>
      <c r="P45" s="477"/>
      <c r="Q45" s="478">
        <v>1393</v>
      </c>
    </row>
    <row r="46" spans="1:17" s="1" customFormat="1" ht="18.899999999999999" customHeight="1">
      <c r="A46" s="220">
        <v>9033.5</v>
      </c>
      <c r="B46" s="219">
        <v>27868.799999999999</v>
      </c>
      <c r="C46" s="524">
        <f t="shared" si="2"/>
        <v>5845.5</v>
      </c>
      <c r="D46" s="219">
        <f t="shared" si="2"/>
        <v>23298.3</v>
      </c>
      <c r="E46" s="532"/>
      <c r="F46" s="533"/>
      <c r="G46" s="534">
        <v>3188</v>
      </c>
      <c r="H46" s="527">
        <v>4570.5</v>
      </c>
      <c r="I46" s="476"/>
      <c r="J46" s="477"/>
      <c r="K46" s="477"/>
      <c r="L46" s="477"/>
      <c r="M46" s="477"/>
      <c r="N46" s="477"/>
      <c r="O46" s="477"/>
      <c r="P46" s="477"/>
      <c r="Q46" s="478">
        <v>1394</v>
      </c>
    </row>
    <row r="47" spans="1:17" s="1" customFormat="1" ht="18.899999999999999" customHeight="1">
      <c r="A47" s="220">
        <v>12087.6</v>
      </c>
      <c r="B47" s="219">
        <v>37960.9</v>
      </c>
      <c r="C47" s="524">
        <f t="shared" si="2"/>
        <v>7982.4000000000005</v>
      </c>
      <c r="D47" s="219">
        <f t="shared" si="2"/>
        <v>32447</v>
      </c>
      <c r="E47" s="532"/>
      <c r="F47" s="533"/>
      <c r="G47" s="534">
        <v>4105.2</v>
      </c>
      <c r="H47" s="527">
        <v>5513.9</v>
      </c>
      <c r="I47" s="476"/>
      <c r="J47" s="477"/>
      <c r="K47" s="477"/>
      <c r="L47" s="477"/>
      <c r="M47" s="477"/>
      <c r="N47" s="477"/>
      <c r="O47" s="477"/>
      <c r="P47" s="477"/>
      <c r="Q47" s="478">
        <v>1395</v>
      </c>
    </row>
    <row r="48" spans="1:17" s="1" customFormat="1" ht="18.899999999999999" customHeight="1">
      <c r="A48" s="220">
        <v>15329.4</v>
      </c>
      <c r="B48" s="219">
        <v>46423.1</v>
      </c>
      <c r="C48" s="524">
        <f t="shared" si="2"/>
        <v>11460.599999999999</v>
      </c>
      <c r="D48" s="219">
        <f t="shared" si="2"/>
        <v>40296.299999999996</v>
      </c>
      <c r="E48" s="532"/>
      <c r="F48" s="533"/>
      <c r="G48" s="534">
        <v>3868.8</v>
      </c>
      <c r="H48" s="527">
        <v>6126.8</v>
      </c>
      <c r="I48" s="476"/>
      <c r="J48" s="477"/>
      <c r="K48" s="477"/>
      <c r="L48" s="477"/>
      <c r="M48" s="477"/>
      <c r="N48" s="477"/>
      <c r="O48" s="477"/>
      <c r="P48" s="477"/>
      <c r="Q48" s="478">
        <v>1396</v>
      </c>
    </row>
    <row r="49" spans="1:19" s="1" customFormat="1" ht="18.899999999999999" customHeight="1">
      <c r="A49" s="220">
        <v>23967.4</v>
      </c>
      <c r="B49" s="219">
        <v>66536.2</v>
      </c>
      <c r="C49" s="524">
        <f>A49-G49</f>
        <v>19350.300000000003</v>
      </c>
      <c r="D49" s="219">
        <f>B49-H49</f>
        <v>53384.799999999996</v>
      </c>
      <c r="E49" s="532"/>
      <c r="F49" s="533"/>
      <c r="G49" s="534">
        <f>[6]ایران!$J$22</f>
        <v>4617.1000000000004</v>
      </c>
      <c r="H49" s="527">
        <f>[6]ایران!$B$22</f>
        <v>13151.4</v>
      </c>
      <c r="I49" s="476"/>
      <c r="J49" s="477"/>
      <c r="K49" s="477"/>
      <c r="L49" s="477"/>
      <c r="M49" s="477"/>
      <c r="N49" s="477"/>
      <c r="O49" s="477"/>
      <c r="P49" s="477"/>
      <c r="Q49" s="478">
        <v>1397</v>
      </c>
    </row>
    <row r="50" spans="1:19" s="1" customFormat="1" ht="18.899999999999999" customHeight="1">
      <c r="A50" s="220">
        <v>26655.599999999999</v>
      </c>
      <c r="B50" s="219">
        <v>86411.4</v>
      </c>
      <c r="C50" s="524">
        <f t="shared" si="2"/>
        <v>21449.8</v>
      </c>
      <c r="D50" s="219">
        <v>8850.7999999999993</v>
      </c>
      <c r="E50" s="532"/>
      <c r="F50" s="533"/>
      <c r="G50" s="534">
        <v>5205.8</v>
      </c>
      <c r="H50" s="527">
        <v>17398.3</v>
      </c>
      <c r="I50" s="476"/>
      <c r="J50" s="477"/>
      <c r="K50" s="477"/>
      <c r="L50" s="477"/>
      <c r="M50" s="477"/>
      <c r="N50" s="477"/>
      <c r="O50" s="477"/>
      <c r="P50" s="477"/>
      <c r="Q50" s="478">
        <v>1398</v>
      </c>
    </row>
    <row r="51" spans="1:19" s="1" customFormat="1" ht="18.899999999999999" customHeight="1" thickBot="1">
      <c r="A51" s="535">
        <v>41895.599999999999</v>
      </c>
      <c r="B51" s="536">
        <v>125230.3</v>
      </c>
      <c r="C51" s="537">
        <f t="shared" si="2"/>
        <v>33044.800000000003</v>
      </c>
      <c r="D51" s="536">
        <f t="shared" si="2"/>
        <v>100931.4</v>
      </c>
      <c r="E51" s="538"/>
      <c r="F51" s="539"/>
      <c r="G51" s="540">
        <v>8850.7999999999993</v>
      </c>
      <c r="H51" s="541">
        <v>24298.9</v>
      </c>
      <c r="I51" s="480"/>
      <c r="J51" s="481"/>
      <c r="K51" s="481"/>
      <c r="L51" s="481"/>
      <c r="M51" s="481"/>
      <c r="N51" s="481"/>
      <c r="O51" s="481"/>
      <c r="P51" s="481"/>
      <c r="Q51" s="482">
        <v>1399</v>
      </c>
    </row>
    <row r="52" spans="1:19" ht="18" customHeight="1">
      <c r="A52" s="566" t="s">
        <v>32</v>
      </c>
      <c r="B52" s="567"/>
      <c r="C52" s="567"/>
      <c r="D52" s="567"/>
      <c r="E52" s="567"/>
      <c r="F52" s="567"/>
      <c r="G52" s="567"/>
      <c r="H52" s="567"/>
      <c r="I52" s="567"/>
      <c r="J52" s="567"/>
      <c r="K52" s="567"/>
      <c r="L52" s="567"/>
      <c r="M52" s="567"/>
      <c r="N52" s="567"/>
      <c r="O52" s="567"/>
      <c r="P52" s="567"/>
      <c r="Q52" s="568"/>
      <c r="R52" s="239"/>
      <c r="S52" s="239"/>
    </row>
  </sheetData>
  <mergeCells count="13">
    <mergeCell ref="A52:Q52"/>
    <mergeCell ref="A2:Q2"/>
    <mergeCell ref="A1:Q1"/>
    <mergeCell ref="A3:B3"/>
    <mergeCell ref="Q4:Q5"/>
    <mergeCell ref="A4:B4"/>
    <mergeCell ref="E4:F4"/>
    <mergeCell ref="I4:J4"/>
    <mergeCell ref="K4:L4"/>
    <mergeCell ref="M4:N4"/>
    <mergeCell ref="O4:P4"/>
    <mergeCell ref="G4:H4"/>
    <mergeCell ref="C4:D4"/>
  </mergeCells>
  <phoneticPr fontId="0" type="noConversion"/>
  <printOptions horizontalCentered="1" verticalCentered="1"/>
  <pageMargins left="0.74803149606299213" right="0.19685039370078741" top="0.98425196850393704" bottom="0.98425196850393704" header="0.51181102362204722" footer="0.51181102362204722"/>
  <pageSetup paperSize="9" scale="51" orientation="landscape" horizontalDpi="180" verticalDpi="180"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13.88671875" hidden="1" customWidth="1"/>
    <col min="9" max="10" width="20.6640625" customWidth="1"/>
    <col min="11" max="18" width="13.88671875" hidden="1" customWidth="1"/>
    <col min="19" max="19" width="20.6640625" customWidth="1"/>
    <col min="20" max="20" width="39.5546875" style="131" hidden="1" customWidth="1"/>
    <col min="21" max="21" width="13.88671875" style="131" hidden="1" customWidth="1"/>
    <col min="22" max="30" width="0" hidden="1" customWidth="1"/>
  </cols>
  <sheetData>
    <row r="1" spans="1:29" ht="21" customHeight="1">
      <c r="A1" s="585" t="s">
        <v>10</v>
      </c>
      <c r="B1" s="585"/>
      <c r="C1" s="585"/>
      <c r="D1" s="585"/>
      <c r="E1" s="585"/>
      <c r="F1" s="585"/>
      <c r="G1" s="585"/>
      <c r="H1" s="585"/>
      <c r="I1" s="585"/>
      <c r="J1" s="585"/>
      <c r="K1" s="585"/>
      <c r="L1" s="585"/>
      <c r="M1" s="585"/>
      <c r="N1" s="585"/>
      <c r="O1" s="585"/>
      <c r="P1" s="585"/>
      <c r="Q1" s="585"/>
      <c r="R1" s="585"/>
      <c r="S1" s="585"/>
    </row>
    <row r="2" spans="1:29" ht="21" customHeight="1">
      <c r="A2" s="585" t="s">
        <v>58</v>
      </c>
      <c r="B2" s="585"/>
      <c r="C2" s="585"/>
      <c r="D2" s="585"/>
      <c r="E2" s="585"/>
      <c r="F2" s="585"/>
      <c r="G2" s="585"/>
      <c r="H2" s="585"/>
      <c r="I2" s="585"/>
      <c r="J2" s="585"/>
      <c r="K2" s="585"/>
      <c r="L2" s="585"/>
      <c r="M2" s="585"/>
      <c r="N2" s="585"/>
      <c r="O2" s="585"/>
      <c r="P2" s="585"/>
      <c r="Q2" s="585"/>
      <c r="R2" s="585"/>
      <c r="S2" s="585"/>
      <c r="Y2" s="2"/>
      <c r="Z2" s="2"/>
      <c r="AA2" s="2"/>
      <c r="AB2" s="2"/>
      <c r="AC2" s="2"/>
    </row>
    <row r="3" spans="1:29" ht="14.1" customHeight="1" thickBot="1">
      <c r="A3" s="584" t="s">
        <v>56</v>
      </c>
      <c r="B3" s="584"/>
      <c r="C3" s="104"/>
      <c r="D3" s="104"/>
      <c r="E3" s="104"/>
      <c r="F3" s="104"/>
      <c r="G3" s="82"/>
      <c r="H3" s="82"/>
      <c r="I3" s="82"/>
      <c r="J3" s="82"/>
      <c r="K3" s="82"/>
      <c r="L3" s="82"/>
      <c r="M3" s="82"/>
      <c r="N3" s="82"/>
      <c r="O3" s="82"/>
      <c r="P3" s="82"/>
      <c r="Q3" s="82"/>
      <c r="R3" s="82"/>
      <c r="S3" s="82"/>
      <c r="Y3" s="2"/>
      <c r="Z3" s="2"/>
      <c r="AA3" s="2"/>
      <c r="AB3" s="2"/>
      <c r="AC3" s="2"/>
    </row>
    <row r="4" spans="1:29" ht="21" customHeight="1">
      <c r="A4" s="569" t="s">
        <v>7</v>
      </c>
      <c r="B4" s="570"/>
      <c r="C4" s="569" t="s">
        <v>33</v>
      </c>
      <c r="D4" s="570"/>
      <c r="E4" s="569" t="s">
        <v>6</v>
      </c>
      <c r="F4" s="570"/>
      <c r="G4" s="569" t="s">
        <v>21</v>
      </c>
      <c r="H4" s="570"/>
      <c r="I4" s="569" t="s">
        <v>21</v>
      </c>
      <c r="J4" s="570"/>
      <c r="K4" s="578" t="s">
        <v>5</v>
      </c>
      <c r="L4" s="579"/>
      <c r="M4" s="578" t="s">
        <v>4</v>
      </c>
      <c r="N4" s="579"/>
      <c r="O4" s="578" t="s">
        <v>3</v>
      </c>
      <c r="P4" s="579"/>
      <c r="Q4" s="578" t="s">
        <v>2</v>
      </c>
      <c r="R4" s="579"/>
      <c r="S4" s="588" t="s">
        <v>8</v>
      </c>
      <c r="Y4" s="2"/>
      <c r="Z4" s="2"/>
      <c r="AA4" s="2"/>
      <c r="AB4" s="2"/>
      <c r="AC4" s="2"/>
    </row>
    <row r="5" spans="1:29" ht="21" customHeight="1" thickBot="1">
      <c r="A5" s="185" t="s">
        <v>25</v>
      </c>
      <c r="B5" s="186" t="s">
        <v>34</v>
      </c>
      <c r="C5" s="185" t="s">
        <v>25</v>
      </c>
      <c r="D5" s="186" t="s">
        <v>34</v>
      </c>
      <c r="E5" s="185" t="s">
        <v>25</v>
      </c>
      <c r="F5" s="186" t="s">
        <v>24</v>
      </c>
      <c r="G5" s="185" t="s">
        <v>25</v>
      </c>
      <c r="H5" s="186" t="s">
        <v>24</v>
      </c>
      <c r="I5" s="185" t="s">
        <v>25</v>
      </c>
      <c r="J5" s="186" t="s">
        <v>34</v>
      </c>
      <c r="K5" s="39" t="s">
        <v>1</v>
      </c>
      <c r="L5" s="40" t="s">
        <v>0</v>
      </c>
      <c r="M5" s="39" t="s">
        <v>1</v>
      </c>
      <c r="N5" s="40" t="s">
        <v>0</v>
      </c>
      <c r="O5" s="39" t="s">
        <v>1</v>
      </c>
      <c r="P5" s="40" t="s">
        <v>0</v>
      </c>
      <c r="Q5" s="39" t="s">
        <v>1</v>
      </c>
      <c r="R5" s="40" t="s">
        <v>0</v>
      </c>
      <c r="S5" s="589"/>
      <c r="Y5" s="2"/>
      <c r="Z5" s="2"/>
      <c r="AA5" s="2"/>
      <c r="AB5" s="2"/>
      <c r="AC5" s="2"/>
    </row>
    <row r="6" spans="1:29" ht="18.899999999999999" customHeight="1">
      <c r="A6" s="171">
        <f t="shared" ref="A6:B32" si="0">C6+I6</f>
        <v>7.7543199999999999</v>
      </c>
      <c r="B6" s="172">
        <f t="shared" si="0"/>
        <v>18.497027999999997</v>
      </c>
      <c r="C6" s="171">
        <f t="shared" ref="C6:D32" si="1">G6+E6</f>
        <v>0</v>
      </c>
      <c r="D6" s="172">
        <f t="shared" si="1"/>
        <v>0</v>
      </c>
      <c r="E6" s="215"/>
      <c r="F6" s="216"/>
      <c r="G6" s="215">
        <f>'زندگى(عمر)'!E6+'جمع غير زندگى'!G6</f>
        <v>0</v>
      </c>
      <c r="H6" s="216">
        <f>'زندگى(عمر)'!F6+'جمع غير زندگى'!H6</f>
        <v>0</v>
      </c>
      <c r="I6" s="253">
        <f>(Q6+O6+M6+K6)/1000</f>
        <v>7.7543199999999999</v>
      </c>
      <c r="J6" s="254">
        <f t="shared" ref="J6:J36" si="2">(R6+P6+N6+L6)/1000</f>
        <v>18.497027999999997</v>
      </c>
      <c r="K6" s="43">
        <f>'زندگى(عمر)'!I6+'جمع غير زندگى'!K6</f>
        <v>3101.47</v>
      </c>
      <c r="L6" s="44">
        <f>'زندگى(عمر)'!J6+'جمع غير زندگى'!L6</f>
        <v>6493</v>
      </c>
      <c r="M6" s="43">
        <f>'زندگى(عمر)'!K6+'جمع غير زندگى'!M6</f>
        <v>866</v>
      </c>
      <c r="N6" s="44">
        <f>'زندگى(عمر)'!L6+'جمع غير زندگى'!N6</f>
        <v>1445.008</v>
      </c>
      <c r="O6" s="43">
        <f>'زندگى(عمر)'!M6+'جمع غير زندگى'!O6</f>
        <v>509.84999999999997</v>
      </c>
      <c r="P6" s="44">
        <f>'زندگى(عمر)'!N6+'جمع غير زندگى'!P6</f>
        <v>543.02</v>
      </c>
      <c r="Q6" s="43">
        <f>'زندگى(عمر)'!O6+'جمع غير زندگى'!Q6</f>
        <v>3277</v>
      </c>
      <c r="R6" s="44">
        <f>'زندگى(عمر)'!P6+'جمع غير زندگى'!R6</f>
        <v>10016</v>
      </c>
      <c r="S6" s="208">
        <v>1354</v>
      </c>
      <c r="Y6" s="2"/>
      <c r="Z6" s="2"/>
      <c r="AA6" s="2"/>
      <c r="AB6" s="2"/>
      <c r="AC6" s="2"/>
    </row>
    <row r="7" spans="1:29" ht="18.899999999999999" customHeight="1">
      <c r="A7" s="173">
        <f t="shared" si="0"/>
        <v>11.846380000000002</v>
      </c>
      <c r="B7" s="174">
        <f t="shared" si="0"/>
        <v>24.939008000000001</v>
      </c>
      <c r="C7" s="173">
        <f t="shared" si="1"/>
        <v>0</v>
      </c>
      <c r="D7" s="174">
        <f t="shared" si="1"/>
        <v>0</v>
      </c>
      <c r="E7" s="217"/>
      <c r="F7" s="218"/>
      <c r="G7" s="217">
        <f>'زندگى(عمر)'!E7+'جمع غير زندگى'!G7</f>
        <v>0</v>
      </c>
      <c r="H7" s="218">
        <f>'زندگى(عمر)'!F7+'جمع غير زندگى'!H7</f>
        <v>0</v>
      </c>
      <c r="I7" s="255">
        <f t="shared" ref="I7:I27" si="3">(Q7+O7+M7+K7)/1000</f>
        <v>11.846380000000002</v>
      </c>
      <c r="J7" s="256">
        <f t="shared" si="2"/>
        <v>24.939008000000001</v>
      </c>
      <c r="K7" s="37">
        <f>'زندگى(عمر)'!I7+'جمع غير زندگى'!K7</f>
        <v>5173</v>
      </c>
      <c r="L7" s="38">
        <f>'زندگى(عمر)'!J7+'جمع غير زندگى'!L7</f>
        <v>8206</v>
      </c>
      <c r="M7" s="37">
        <f>'زندگى(عمر)'!K7+'جمع غير زندگى'!M7</f>
        <v>1249</v>
      </c>
      <c r="N7" s="38">
        <f>'زندگى(عمر)'!L7+'جمع غير زندگى'!N7</f>
        <v>1521.008</v>
      </c>
      <c r="O7" s="37">
        <f>'زندگى(عمر)'!M7+'جمع غير زندگى'!O7</f>
        <v>684.38</v>
      </c>
      <c r="P7" s="38">
        <f>'زندگى(عمر)'!N7+'جمع غير زندگى'!P7</f>
        <v>918</v>
      </c>
      <c r="Q7" s="37">
        <f>'زندگى(عمر)'!O7+'جمع غير زندگى'!Q7</f>
        <v>4740</v>
      </c>
      <c r="R7" s="38">
        <f>'زندگى(عمر)'!P7+'جمع غير زندگى'!R7</f>
        <v>14294</v>
      </c>
      <c r="S7" s="209">
        <v>1355</v>
      </c>
    </row>
    <row r="8" spans="1:29" ht="18.899999999999999" customHeight="1">
      <c r="A8" s="173">
        <f t="shared" si="0"/>
        <v>14.825340000000001</v>
      </c>
      <c r="B8" s="174">
        <f t="shared" si="0"/>
        <v>26.312200000000001</v>
      </c>
      <c r="C8" s="173">
        <f t="shared" si="1"/>
        <v>0</v>
      </c>
      <c r="D8" s="174">
        <f t="shared" si="1"/>
        <v>0</v>
      </c>
      <c r="E8" s="217"/>
      <c r="F8" s="218"/>
      <c r="G8" s="217">
        <f>'زندگى(عمر)'!E8+'جمع غير زندگى'!G8</f>
        <v>0</v>
      </c>
      <c r="H8" s="218">
        <f>'زندگى(عمر)'!F8+'جمع غير زندگى'!H8</f>
        <v>0</v>
      </c>
      <c r="I8" s="255">
        <f t="shared" si="3"/>
        <v>14.825340000000001</v>
      </c>
      <c r="J8" s="256">
        <f t="shared" si="2"/>
        <v>26.312200000000001</v>
      </c>
      <c r="K8" s="37">
        <f>'زندگى(عمر)'!I8+'جمع غير زندگى'!K8</f>
        <v>6928.95</v>
      </c>
      <c r="L8" s="38">
        <f>'زندگى(عمر)'!J8+'جمع غير زندگى'!L8</f>
        <v>9835</v>
      </c>
      <c r="M8" s="37">
        <f>'زندگى(عمر)'!K8+'جمع غير زندگى'!M8</f>
        <v>1036.01</v>
      </c>
      <c r="N8" s="38">
        <f>'زندگى(عمر)'!L8+'جمع غير زندگى'!N8</f>
        <v>1711.01</v>
      </c>
      <c r="O8" s="37">
        <f>'زندگى(عمر)'!M8+'جمع غير زندگى'!O8</f>
        <v>513.38</v>
      </c>
      <c r="P8" s="38">
        <f>'زندگى(عمر)'!N8+'جمع غير زندگى'!P8</f>
        <v>1122.19</v>
      </c>
      <c r="Q8" s="37">
        <f>'زندگى(عمر)'!O8+'جمع غير زندگى'!Q8</f>
        <v>6347</v>
      </c>
      <c r="R8" s="38">
        <f>'زندگى(عمر)'!P8+'جمع غير زندگى'!R8</f>
        <v>13644</v>
      </c>
      <c r="S8" s="209">
        <v>1356</v>
      </c>
    </row>
    <row r="9" spans="1:29" ht="18.899999999999999" customHeight="1">
      <c r="A9" s="173">
        <f t="shared" si="0"/>
        <v>12.44046</v>
      </c>
      <c r="B9" s="174">
        <f t="shared" si="0"/>
        <v>27.137079999999997</v>
      </c>
      <c r="C9" s="173">
        <f t="shared" si="1"/>
        <v>0</v>
      </c>
      <c r="D9" s="174">
        <f t="shared" si="1"/>
        <v>0</v>
      </c>
      <c r="E9" s="217"/>
      <c r="F9" s="218"/>
      <c r="G9" s="217">
        <f>'زندگى(عمر)'!E9+'جمع غير زندگى'!G9</f>
        <v>0</v>
      </c>
      <c r="H9" s="218">
        <f>'زندگى(عمر)'!F9+'جمع غير زندگى'!H9</f>
        <v>0</v>
      </c>
      <c r="I9" s="255">
        <f t="shared" si="3"/>
        <v>12.44046</v>
      </c>
      <c r="J9" s="256">
        <f t="shared" si="2"/>
        <v>27.137079999999997</v>
      </c>
      <c r="K9" s="37">
        <f>'زندگى(عمر)'!I9+'جمع غير زندگى'!K9</f>
        <v>6376</v>
      </c>
      <c r="L9" s="38">
        <f>'زندگى(عمر)'!J9+'جمع غير زندگى'!L9</f>
        <v>9910</v>
      </c>
      <c r="M9" s="37">
        <f>'زندگى(عمر)'!K9+'جمع غير زندگى'!M9</f>
        <v>721</v>
      </c>
      <c r="N9" s="38">
        <f>'زندگى(عمر)'!L9+'جمع غير زندگى'!N9</f>
        <v>1515.01</v>
      </c>
      <c r="O9" s="37">
        <f>'زندگى(عمر)'!M9+'جمع غير زندگى'!O9</f>
        <v>465.46</v>
      </c>
      <c r="P9" s="38">
        <f>'زندگى(عمر)'!N9+'جمع غير زندگى'!P9</f>
        <v>845.07</v>
      </c>
      <c r="Q9" s="37">
        <f>'زندگى(عمر)'!O9+'جمع غير زندگى'!Q9</f>
        <v>4878</v>
      </c>
      <c r="R9" s="38">
        <f>'زندگى(عمر)'!P9+'جمع غير زندگى'!R9</f>
        <v>14867</v>
      </c>
      <c r="S9" s="209">
        <v>1357</v>
      </c>
    </row>
    <row r="10" spans="1:29" ht="18.899999999999999" customHeight="1">
      <c r="A10" s="173">
        <f t="shared" si="0"/>
        <v>9.7002600000000001</v>
      </c>
      <c r="B10" s="174">
        <f t="shared" si="0"/>
        <v>21.474959999999999</v>
      </c>
      <c r="C10" s="173">
        <f t="shared" si="1"/>
        <v>0</v>
      </c>
      <c r="D10" s="174">
        <f t="shared" si="1"/>
        <v>0</v>
      </c>
      <c r="E10" s="217"/>
      <c r="F10" s="218"/>
      <c r="G10" s="217">
        <f>'زندگى(عمر)'!E10+'جمع غير زندگى'!G10</f>
        <v>0</v>
      </c>
      <c r="H10" s="218">
        <f>'زندگى(عمر)'!F10+'جمع غير زندگى'!H10</f>
        <v>0</v>
      </c>
      <c r="I10" s="255">
        <f t="shared" si="3"/>
        <v>9.7002600000000001</v>
      </c>
      <c r="J10" s="256">
        <f t="shared" si="2"/>
        <v>21.474959999999999</v>
      </c>
      <c r="K10" s="37">
        <f>'زندگى(عمر)'!I10+'جمع غير زندگى'!K10</f>
        <v>3016.98</v>
      </c>
      <c r="L10" s="38">
        <f>'زندگى(عمر)'!J10+'جمع غير زندگى'!L10</f>
        <v>7159.6</v>
      </c>
      <c r="M10" s="37">
        <f>'زندگى(عمر)'!K10+'جمع غير زندگى'!M10</f>
        <v>455</v>
      </c>
      <c r="N10" s="38">
        <f>'زندگى(عمر)'!L10+'جمع غير زندگى'!N10</f>
        <v>1579.2</v>
      </c>
      <c r="O10" s="37">
        <f>'زندگى(عمر)'!M10+'جمع غير زندگى'!O10</f>
        <v>269.27999999999997</v>
      </c>
      <c r="P10" s="38">
        <f>'زندگى(عمر)'!N10+'جمع غير زندگى'!P10</f>
        <v>952.16</v>
      </c>
      <c r="Q10" s="37">
        <f>'زندگى(عمر)'!O10+'جمع غير زندگى'!Q10</f>
        <v>5959</v>
      </c>
      <c r="R10" s="38">
        <f>'زندگى(عمر)'!P10+'جمع غير زندگى'!R10</f>
        <v>11784</v>
      </c>
      <c r="S10" s="209">
        <v>1358</v>
      </c>
    </row>
    <row r="11" spans="1:29" ht="18.899999999999999" customHeight="1">
      <c r="A11" s="173">
        <f t="shared" si="0"/>
        <v>8.3241300000000003</v>
      </c>
      <c r="B11" s="174">
        <f t="shared" si="0"/>
        <v>27.310760000000002</v>
      </c>
      <c r="C11" s="173">
        <f t="shared" si="1"/>
        <v>0</v>
      </c>
      <c r="D11" s="174">
        <f t="shared" si="1"/>
        <v>0</v>
      </c>
      <c r="E11" s="217"/>
      <c r="F11" s="218"/>
      <c r="G11" s="217">
        <f>'زندگى(عمر)'!E11+'جمع غير زندگى'!G11</f>
        <v>0</v>
      </c>
      <c r="H11" s="218">
        <f>'زندگى(عمر)'!F11+'جمع غير زندگى'!H11</f>
        <v>0</v>
      </c>
      <c r="I11" s="255">
        <f t="shared" si="3"/>
        <v>8.3241300000000003</v>
      </c>
      <c r="J11" s="256">
        <f t="shared" si="2"/>
        <v>27.310760000000002</v>
      </c>
      <c r="K11" s="37">
        <f>'زندگى(عمر)'!I11+'جمع غير زندگى'!K11</f>
        <v>2706.9</v>
      </c>
      <c r="L11" s="38">
        <f>'زندگى(عمر)'!J11+'جمع غير زندگى'!L11</f>
        <v>7933.4</v>
      </c>
      <c r="M11" s="37">
        <f>'زندگى(عمر)'!K11+'جمع غير زندگى'!M11</f>
        <v>472.04999999999995</v>
      </c>
      <c r="N11" s="38">
        <f>'زندگى(عمر)'!L11+'جمع غير زندگى'!N11</f>
        <v>1647.3</v>
      </c>
      <c r="O11" s="37">
        <f>'زندگى(عمر)'!M11+'جمع غير زندگى'!O11</f>
        <v>252.18</v>
      </c>
      <c r="P11" s="38">
        <f>'زندگى(عمر)'!N11+'جمع غير زندگى'!P11</f>
        <v>1313.06</v>
      </c>
      <c r="Q11" s="37">
        <f>'زندگى(عمر)'!O11+'جمع غير زندگى'!Q11</f>
        <v>4893</v>
      </c>
      <c r="R11" s="38">
        <f>'زندگى(عمر)'!P11+'جمع غير زندگى'!R11</f>
        <v>16417</v>
      </c>
      <c r="S11" s="209">
        <v>1359</v>
      </c>
    </row>
    <row r="12" spans="1:29" ht="18.899999999999999" customHeight="1">
      <c r="A12" s="173">
        <f t="shared" si="0"/>
        <v>11.004560000000001</v>
      </c>
      <c r="B12" s="174">
        <f t="shared" si="0"/>
        <v>27.299309999999998</v>
      </c>
      <c r="C12" s="173">
        <f t="shared" si="1"/>
        <v>0</v>
      </c>
      <c r="D12" s="174">
        <f t="shared" si="1"/>
        <v>0</v>
      </c>
      <c r="E12" s="217"/>
      <c r="F12" s="218"/>
      <c r="G12" s="217">
        <f>'زندگى(عمر)'!E12+'جمع غير زندگى'!G12</f>
        <v>0</v>
      </c>
      <c r="H12" s="218">
        <f>'زندگى(عمر)'!F12+'جمع غير زندگى'!H12</f>
        <v>0</v>
      </c>
      <c r="I12" s="255">
        <f t="shared" si="3"/>
        <v>11.004560000000001</v>
      </c>
      <c r="J12" s="256">
        <f t="shared" si="2"/>
        <v>27.299309999999998</v>
      </c>
      <c r="K12" s="37">
        <f>'زندگى(عمر)'!I12+'جمع غير زندگى'!K12</f>
        <v>2475.1999999999998</v>
      </c>
      <c r="L12" s="38">
        <f>'زندگى(عمر)'!J12+'جمع غير زندگى'!L12</f>
        <v>3113.03</v>
      </c>
      <c r="M12" s="37">
        <f>'زندگى(عمر)'!K12+'جمع غير زندگى'!M12</f>
        <v>197.36</v>
      </c>
      <c r="N12" s="38">
        <f>'زندگى(عمر)'!L12+'جمع غير زندگى'!N12</f>
        <v>1865</v>
      </c>
      <c r="O12" s="37">
        <f>'زندگى(عمر)'!M12+'جمع غير زندگى'!O12</f>
        <v>281</v>
      </c>
      <c r="P12" s="38">
        <f>'زندگى(عمر)'!N12+'جمع غير زندگى'!P12</f>
        <v>3200.28</v>
      </c>
      <c r="Q12" s="37">
        <f>'زندگى(عمر)'!O12+'جمع غير زندگى'!Q12</f>
        <v>8051</v>
      </c>
      <c r="R12" s="38">
        <f>'زندگى(عمر)'!P12+'جمع غير زندگى'!R12</f>
        <v>19121</v>
      </c>
      <c r="S12" s="209">
        <v>1360</v>
      </c>
    </row>
    <row r="13" spans="1:29" ht="18.899999999999999" customHeight="1">
      <c r="A13" s="173">
        <f t="shared" si="0"/>
        <v>14.46393</v>
      </c>
      <c r="B13" s="174">
        <f t="shared" si="0"/>
        <v>41.335409999999996</v>
      </c>
      <c r="C13" s="173">
        <f t="shared" si="1"/>
        <v>0</v>
      </c>
      <c r="D13" s="174">
        <f t="shared" si="1"/>
        <v>0</v>
      </c>
      <c r="E13" s="217"/>
      <c r="F13" s="218"/>
      <c r="G13" s="217">
        <f>'زندگى(عمر)'!E13+'جمع غير زندگى'!G13</f>
        <v>0</v>
      </c>
      <c r="H13" s="218">
        <f>'زندگى(عمر)'!F13+'جمع غير زندگى'!H13</f>
        <v>0</v>
      </c>
      <c r="I13" s="255">
        <f t="shared" si="3"/>
        <v>14.46393</v>
      </c>
      <c r="J13" s="256">
        <f t="shared" si="2"/>
        <v>41.335409999999996</v>
      </c>
      <c r="K13" s="37">
        <f>'زندگى(عمر)'!I13+'جمع غير زندگى'!K13</f>
        <v>1145</v>
      </c>
      <c r="L13" s="38">
        <f>'زندگى(عمر)'!J13+'جمع غير زندگى'!L13</f>
        <v>-353.96</v>
      </c>
      <c r="M13" s="37">
        <f>'زندگى(عمر)'!K13+'جمع غير زندگى'!M13</f>
        <v>545.92999999999995</v>
      </c>
      <c r="N13" s="38">
        <f>'زندگى(عمر)'!L13+'جمع غير زندگى'!N13</f>
        <v>3533.0899999999997</v>
      </c>
      <c r="O13" s="37">
        <f>'زندگى(عمر)'!M13+'جمع غير زندگى'!O13</f>
        <v>1262</v>
      </c>
      <c r="P13" s="38">
        <f>'زندگى(عمر)'!N13+'جمع غير زندگى'!P13</f>
        <v>6626.28</v>
      </c>
      <c r="Q13" s="37">
        <f>'زندگى(عمر)'!O13+'جمع غير زندگى'!Q13</f>
        <v>11511</v>
      </c>
      <c r="R13" s="38">
        <f>'زندگى(عمر)'!P13+'جمع غير زندگى'!R13</f>
        <v>31530</v>
      </c>
      <c r="S13" s="209">
        <v>1361</v>
      </c>
    </row>
    <row r="14" spans="1:29" ht="18.899999999999999" customHeight="1">
      <c r="A14" s="173">
        <f t="shared" si="0"/>
        <v>12.303510000000001</v>
      </c>
      <c r="B14" s="174">
        <f t="shared" si="0"/>
        <v>45.527769999999997</v>
      </c>
      <c r="C14" s="173">
        <f t="shared" si="1"/>
        <v>0</v>
      </c>
      <c r="D14" s="174">
        <f t="shared" si="1"/>
        <v>0</v>
      </c>
      <c r="E14" s="217"/>
      <c r="F14" s="218"/>
      <c r="G14" s="217">
        <f>'زندگى(عمر)'!E14+'جمع غير زندگى'!G14</f>
        <v>0</v>
      </c>
      <c r="H14" s="218">
        <f>'زندگى(عمر)'!F14+'جمع غير زندگى'!H14</f>
        <v>0</v>
      </c>
      <c r="I14" s="255">
        <f t="shared" si="3"/>
        <v>12.303510000000001</v>
      </c>
      <c r="J14" s="256">
        <f t="shared" si="2"/>
        <v>45.527769999999997</v>
      </c>
      <c r="K14" s="37">
        <f>'زندگى(عمر)'!I14+'جمع غير زندگى'!K14</f>
        <v>308</v>
      </c>
      <c r="L14" s="38">
        <f>'زندگى(عمر)'!J14+'جمع غير زندگى'!L14</f>
        <v>-180.51</v>
      </c>
      <c r="M14" s="37">
        <f>'زندگى(عمر)'!K14+'جمع غير زندگى'!M14</f>
        <v>560.42999999999995</v>
      </c>
      <c r="N14" s="38">
        <f>'زندگى(عمر)'!L14+'جمع غير زندگى'!N14</f>
        <v>3676.28</v>
      </c>
      <c r="O14" s="37">
        <f>'زندگى(عمر)'!M14+'جمع غير زندگى'!O14</f>
        <v>2774</v>
      </c>
      <c r="P14" s="38">
        <f>'زندگى(عمر)'!N14+'جمع غير زندگى'!P14</f>
        <v>7397</v>
      </c>
      <c r="Q14" s="37">
        <f>'زندگى(عمر)'!O14+'جمع غير زندگى'!Q14</f>
        <v>8661.08</v>
      </c>
      <c r="R14" s="38">
        <f>'زندگى(عمر)'!P14+'جمع غير زندگى'!R14</f>
        <v>34635</v>
      </c>
      <c r="S14" s="209">
        <v>1362</v>
      </c>
    </row>
    <row r="15" spans="1:29" ht="18.899999999999999" customHeight="1">
      <c r="A15" s="173">
        <f t="shared" si="0"/>
        <v>16.278600000000001</v>
      </c>
      <c r="B15" s="174">
        <f t="shared" si="0"/>
        <v>39.944900000000004</v>
      </c>
      <c r="C15" s="173">
        <f t="shared" si="1"/>
        <v>0</v>
      </c>
      <c r="D15" s="174">
        <f t="shared" si="1"/>
        <v>0</v>
      </c>
      <c r="E15" s="217"/>
      <c r="F15" s="218"/>
      <c r="G15" s="217">
        <f>'زندگى(عمر)'!E15+'جمع غير زندگى'!G15</f>
        <v>0</v>
      </c>
      <c r="H15" s="218">
        <f>'زندگى(عمر)'!F15+'جمع غير زندگى'!H15</f>
        <v>0</v>
      </c>
      <c r="I15" s="255">
        <f t="shared" si="3"/>
        <v>16.278600000000001</v>
      </c>
      <c r="J15" s="256">
        <f t="shared" si="2"/>
        <v>39.944900000000004</v>
      </c>
      <c r="K15" s="37">
        <f>'زندگى(عمر)'!I15+'جمع غير زندگى'!K15</f>
        <v>289.3</v>
      </c>
      <c r="L15" s="38">
        <f>'زندگى(عمر)'!J15+'جمع غير زندگى'!L15</f>
        <v>-172.1</v>
      </c>
      <c r="M15" s="37">
        <f>'زندگى(عمر)'!K15+'جمع غير زندگى'!M15</f>
        <v>1608.6699999999998</v>
      </c>
      <c r="N15" s="38">
        <f>'زندگى(عمر)'!L15+'جمع غير زندگى'!N15</f>
        <v>3923</v>
      </c>
      <c r="O15" s="37">
        <f>'زندگى(عمر)'!M15+'جمع غير زندگى'!O15</f>
        <v>3386.63</v>
      </c>
      <c r="P15" s="38">
        <f>'زندگى(عمر)'!N15+'جمع غير زندگى'!P15</f>
        <v>7357</v>
      </c>
      <c r="Q15" s="37">
        <f>'زندگى(عمر)'!O15+'جمع غير زندگى'!Q15</f>
        <v>10994</v>
      </c>
      <c r="R15" s="38">
        <f>'زندگى(عمر)'!P15+'جمع غير زندگى'!R15</f>
        <v>28837</v>
      </c>
      <c r="S15" s="209">
        <v>1363</v>
      </c>
    </row>
    <row r="16" spans="1:29" ht="18.899999999999999" customHeight="1">
      <c r="A16" s="173">
        <f t="shared" si="0"/>
        <v>17.078759999999999</v>
      </c>
      <c r="B16" s="174">
        <f t="shared" si="0"/>
        <v>41.319510000000001</v>
      </c>
      <c r="C16" s="173">
        <f t="shared" si="1"/>
        <v>0</v>
      </c>
      <c r="D16" s="174">
        <f t="shared" si="1"/>
        <v>0</v>
      </c>
      <c r="E16" s="217"/>
      <c r="F16" s="218"/>
      <c r="G16" s="217">
        <f>'زندگى(عمر)'!E16+'جمع غير زندگى'!G16</f>
        <v>0</v>
      </c>
      <c r="H16" s="218">
        <f>'زندگى(عمر)'!F16+'جمع غير زندگى'!H16</f>
        <v>0</v>
      </c>
      <c r="I16" s="255">
        <f>(Q16+O16+M16+K16)/1000</f>
        <v>17.078759999999999</v>
      </c>
      <c r="J16" s="256">
        <f t="shared" si="2"/>
        <v>41.319510000000001</v>
      </c>
      <c r="K16" s="37">
        <f>'زندگى(عمر)'!I16+'جمع غير زندگى'!K16</f>
        <v>327.35000000000002</v>
      </c>
      <c r="L16" s="38">
        <f>'زندگى(عمر)'!J16+'جمع غير زندگى'!L16</f>
        <v>-379.49</v>
      </c>
      <c r="M16" s="37">
        <f>'زندگى(عمر)'!K16+'جمع غير زندگى'!M16</f>
        <v>851.41</v>
      </c>
      <c r="N16" s="38">
        <f>'زندگى(عمر)'!L16+'جمع غير زندگى'!N16</f>
        <v>4793</v>
      </c>
      <c r="O16" s="37">
        <f>'زندگى(عمر)'!M16+'جمع غير زندگى'!O16</f>
        <v>2253</v>
      </c>
      <c r="P16" s="38">
        <f>'زندگى(عمر)'!N16+'جمع غير زندگى'!P16</f>
        <v>7865</v>
      </c>
      <c r="Q16" s="37">
        <f>'زندگى(عمر)'!O16+'جمع غير زندگى'!Q16</f>
        <v>13647</v>
      </c>
      <c r="R16" s="38">
        <f>'زندگى(عمر)'!P16+'جمع غير زندگى'!R16</f>
        <v>29041</v>
      </c>
      <c r="S16" s="209">
        <v>1364</v>
      </c>
    </row>
    <row r="17" spans="1:22" ht="18.899999999999999" customHeight="1">
      <c r="A17" s="173">
        <f t="shared" si="0"/>
        <v>17.802668439999998</v>
      </c>
      <c r="B17" s="174">
        <f t="shared" si="0"/>
        <v>38.965349919999994</v>
      </c>
      <c r="C17" s="173">
        <f t="shared" si="1"/>
        <v>0</v>
      </c>
      <c r="D17" s="174">
        <f t="shared" si="1"/>
        <v>0</v>
      </c>
      <c r="E17" s="217">
        <v>0</v>
      </c>
      <c r="F17" s="218">
        <v>0</v>
      </c>
      <c r="G17" s="217">
        <f>'زندگى(عمر)'!E17+'جمع غير زندگى'!G17</f>
        <v>0</v>
      </c>
      <c r="H17" s="218">
        <f>'زندگى(عمر)'!F17+'جمع غير زندگى'!H17</f>
        <v>0</v>
      </c>
      <c r="I17" s="255">
        <f t="shared" si="3"/>
        <v>17.802668439999998</v>
      </c>
      <c r="J17" s="256">
        <f t="shared" si="2"/>
        <v>38.965349919999994</v>
      </c>
      <c r="K17" s="37">
        <f>'زندگى(عمر)'!I17+'جمع غير زندگى'!K17</f>
        <v>546.03</v>
      </c>
      <c r="L17" s="38">
        <f>'زندگى(عمر)'!J17+'جمع غير زندگى'!L17</f>
        <v>-10.41</v>
      </c>
      <c r="M17" s="37">
        <f>'زندگى(عمر)'!K17+'جمع غير زندگى'!M17</f>
        <v>813.41</v>
      </c>
      <c r="N17" s="38">
        <f>'زندگى(عمر)'!L17+'جمع غير زندگى'!N17</f>
        <v>3320</v>
      </c>
      <c r="O17" s="37">
        <f>'زندگى(عمر)'!M17+'جمع غير زندگى'!O17</f>
        <v>3027.1039999999998</v>
      </c>
      <c r="P17" s="38">
        <f>'زندگى(عمر)'!N17+'جمع غير زندگى'!P17</f>
        <v>6637</v>
      </c>
      <c r="Q17" s="37">
        <f>'زندگى(عمر)'!O17+'جمع غير زندگى'!Q17</f>
        <v>13416.12444</v>
      </c>
      <c r="R17" s="38">
        <f>'زندگى(عمر)'!P17+'جمع غير زندگى'!R17</f>
        <v>29018.75992</v>
      </c>
      <c r="S17" s="209">
        <v>1365</v>
      </c>
      <c r="T17" s="131" t="s">
        <v>18</v>
      </c>
      <c r="U17" s="131" t="s">
        <v>17</v>
      </c>
      <c r="V17" t="s">
        <v>16</v>
      </c>
    </row>
    <row r="18" spans="1:22" ht="18.899999999999999" customHeight="1">
      <c r="A18" s="173">
        <f t="shared" si="0"/>
        <v>18.982375363999999</v>
      </c>
      <c r="B18" s="174">
        <f t="shared" si="0"/>
        <v>43.892171760000004</v>
      </c>
      <c r="C18" s="173">
        <f t="shared" si="1"/>
        <v>0</v>
      </c>
      <c r="D18" s="174">
        <f t="shared" si="1"/>
        <v>0</v>
      </c>
      <c r="E18" s="217">
        <v>0</v>
      </c>
      <c r="F18" s="218">
        <v>0</v>
      </c>
      <c r="G18" s="217">
        <f>'زندگى(عمر)'!E18+'جمع غير زندگى'!G18</f>
        <v>0</v>
      </c>
      <c r="H18" s="218">
        <f>'زندگى(عمر)'!F18+'جمع غير زندگى'!H18</f>
        <v>0</v>
      </c>
      <c r="I18" s="255">
        <f t="shared" si="3"/>
        <v>18.982375363999999</v>
      </c>
      <c r="J18" s="256">
        <f t="shared" si="2"/>
        <v>43.892171760000004</v>
      </c>
      <c r="K18" s="37">
        <f>'زندگى(عمر)'!I18+'جمع غير زندگى'!K18</f>
        <v>58</v>
      </c>
      <c r="L18" s="38">
        <f>'زندگى(عمر)'!J18+'جمع غير زندگى'!L18</f>
        <v>-16.14</v>
      </c>
      <c r="M18" s="37">
        <f>'زندگى(عمر)'!K18+'جمع غير زندگى'!M18</f>
        <v>986.92000000000007</v>
      </c>
      <c r="N18" s="38">
        <f>'زندگى(عمر)'!L18+'جمع غير زندگى'!N18</f>
        <v>4715.1200000000008</v>
      </c>
      <c r="O18" s="37">
        <f>'زندگى(عمر)'!M18+'جمع غير زندگى'!O18</f>
        <v>3459.92</v>
      </c>
      <c r="P18" s="38">
        <f>'زندگى(عمر)'!N18+'جمع غير زندگى'!P18</f>
        <v>8184.78</v>
      </c>
      <c r="Q18" s="37">
        <f>'زندگى(عمر)'!O18+'جمع غير زندگى'!Q18</f>
        <v>14477.535363999999</v>
      </c>
      <c r="R18" s="38">
        <f>'زندگى(عمر)'!P18+'جمع غير زندگى'!R18</f>
        <v>31008.411759999999</v>
      </c>
      <c r="S18" s="209">
        <v>1366</v>
      </c>
      <c r="T18" s="131">
        <f t="shared" ref="T18:T34" si="4">A18/B18*100</f>
        <v>43.24774692807317</v>
      </c>
      <c r="U18" s="131">
        <f>51.69</f>
        <v>51.69</v>
      </c>
      <c r="V18" s="131">
        <f>U18-T18</f>
        <v>8.4422530719268281</v>
      </c>
    </row>
    <row r="19" spans="1:22" ht="18.899999999999999" customHeight="1">
      <c r="A19" s="173">
        <f t="shared" si="0"/>
        <v>18.299490000000002</v>
      </c>
      <c r="B19" s="174">
        <f t="shared" si="0"/>
        <v>45.7622</v>
      </c>
      <c r="C19" s="173">
        <f t="shared" si="1"/>
        <v>0</v>
      </c>
      <c r="D19" s="174">
        <f t="shared" si="1"/>
        <v>0</v>
      </c>
      <c r="E19" s="217">
        <v>0</v>
      </c>
      <c r="F19" s="218">
        <v>0</v>
      </c>
      <c r="G19" s="217">
        <f>'زندگى(عمر)'!E19+'جمع غير زندگى'!G19</f>
        <v>0</v>
      </c>
      <c r="H19" s="218">
        <f>'زندگى(عمر)'!F19+'جمع غير زندگى'!H19</f>
        <v>0</v>
      </c>
      <c r="I19" s="255">
        <f t="shared" si="3"/>
        <v>18.299490000000002</v>
      </c>
      <c r="J19" s="256">
        <f t="shared" si="2"/>
        <v>45.7622</v>
      </c>
      <c r="K19" s="37">
        <f>'زندگى(عمر)'!I19+'جمع غير زندگى'!K19</f>
        <v>18.7</v>
      </c>
      <c r="L19" s="38">
        <f>'زندگى(عمر)'!J19+'جمع غير زندگى'!L19</f>
        <v>-171</v>
      </c>
      <c r="M19" s="37">
        <f>'زندگى(عمر)'!K19+'جمع غير زندگى'!M19</f>
        <v>1350.88</v>
      </c>
      <c r="N19" s="38">
        <f>'زندگى(عمر)'!L19+'جمع غير زندگى'!N19</f>
        <v>5499.72</v>
      </c>
      <c r="O19" s="37">
        <f>'زندگى(عمر)'!M19+'جمع غير زندگى'!O19</f>
        <v>3485.59</v>
      </c>
      <c r="P19" s="38">
        <f>'زندگى(عمر)'!N19+'جمع غير زندگى'!P19</f>
        <v>9219.84</v>
      </c>
      <c r="Q19" s="37">
        <f>'زندگى(عمر)'!O19+'جمع غير زندگى'!Q19</f>
        <v>13444.32</v>
      </c>
      <c r="R19" s="38">
        <f>'زندگى(عمر)'!P19+'جمع غير زندگى'!R19</f>
        <v>31213.64</v>
      </c>
      <c r="S19" s="209">
        <v>1367</v>
      </c>
      <c r="T19" s="131">
        <f t="shared" si="4"/>
        <v>39.988221720109614</v>
      </c>
      <c r="U19" s="131">
        <f>56.05</f>
        <v>56.05</v>
      </c>
      <c r="V19" s="131">
        <f t="shared" ref="V19:V42" si="5">U19-T19</f>
        <v>16.061778279890383</v>
      </c>
    </row>
    <row r="20" spans="1:22" ht="18.899999999999999" customHeight="1">
      <c r="A20" s="173">
        <f t="shared" si="0"/>
        <v>30.890099999999997</v>
      </c>
      <c r="B20" s="174">
        <f t="shared" si="0"/>
        <v>67.225999999999999</v>
      </c>
      <c r="C20" s="173">
        <f t="shared" si="1"/>
        <v>0</v>
      </c>
      <c r="D20" s="174">
        <f t="shared" si="1"/>
        <v>0</v>
      </c>
      <c r="E20" s="217">
        <v>0</v>
      </c>
      <c r="F20" s="218">
        <v>0</v>
      </c>
      <c r="G20" s="217">
        <f>'زندگى(عمر)'!E20+'جمع غير زندگى'!G20</f>
        <v>0</v>
      </c>
      <c r="H20" s="218">
        <f>'زندگى(عمر)'!F20+'جمع غير زندگى'!H20</f>
        <v>0</v>
      </c>
      <c r="I20" s="255">
        <f t="shared" si="3"/>
        <v>30.890099999999997</v>
      </c>
      <c r="J20" s="256">
        <f t="shared" si="2"/>
        <v>67.225999999999999</v>
      </c>
      <c r="K20" s="37">
        <f>'زندگى(عمر)'!I20+'جمع غير زندگى'!K20</f>
        <v>28.1</v>
      </c>
      <c r="L20" s="38">
        <f>'زندگى(عمر)'!J20+'جمع غير زندگى'!L20</f>
        <v>-34</v>
      </c>
      <c r="M20" s="37">
        <f>'زندگى(عمر)'!K20+'جمع غير زندگى'!M20</f>
        <v>1628</v>
      </c>
      <c r="N20" s="38">
        <f>'زندگى(عمر)'!L20+'جمع غير زندگى'!N20</f>
        <v>8836</v>
      </c>
      <c r="O20" s="37">
        <f>'زندگى(عمر)'!M20+'جمع غير زندگى'!O20</f>
        <v>4919</v>
      </c>
      <c r="P20" s="38">
        <f>'زندگى(عمر)'!N20+'جمع غير زندگى'!P20</f>
        <v>14397</v>
      </c>
      <c r="Q20" s="37">
        <f>'زندگى(عمر)'!O20+'جمع غير زندگى'!Q20</f>
        <v>24315</v>
      </c>
      <c r="R20" s="38">
        <f>'زندگى(عمر)'!P20+'جمع غير زندگى'!R20</f>
        <v>44027</v>
      </c>
      <c r="S20" s="209">
        <v>1368</v>
      </c>
      <c r="T20" s="131">
        <f t="shared" si="4"/>
        <v>45.949632582631715</v>
      </c>
      <c r="U20" s="131">
        <f>44.8</f>
        <v>44.8</v>
      </c>
      <c r="V20" s="131">
        <f t="shared" si="5"/>
        <v>-1.1496325826317175</v>
      </c>
    </row>
    <row r="21" spans="1:22" ht="18.899999999999999" customHeight="1">
      <c r="A21" s="173">
        <f t="shared" si="0"/>
        <v>39.161790000000003</v>
      </c>
      <c r="B21" s="174">
        <f t="shared" si="0"/>
        <v>107.077872</v>
      </c>
      <c r="C21" s="173">
        <f t="shared" si="1"/>
        <v>0</v>
      </c>
      <c r="D21" s="174">
        <f t="shared" si="1"/>
        <v>0</v>
      </c>
      <c r="E21" s="217">
        <v>0</v>
      </c>
      <c r="F21" s="218">
        <v>0</v>
      </c>
      <c r="G21" s="217">
        <f>'زندگى(عمر)'!E21+'جمع غير زندگى'!G21</f>
        <v>0</v>
      </c>
      <c r="H21" s="218">
        <f>'زندگى(عمر)'!F21+'جمع غير زندگى'!H21</f>
        <v>0</v>
      </c>
      <c r="I21" s="255">
        <f>(Q21+O21+M21+K21)/1000</f>
        <v>39.161790000000003</v>
      </c>
      <c r="J21" s="256">
        <f t="shared" si="2"/>
        <v>107.077872</v>
      </c>
      <c r="K21" s="37">
        <f>'زندگى(عمر)'!I21+'جمع غير زندگى'!K21</f>
        <v>6</v>
      </c>
      <c r="L21" s="38">
        <f>'زندگى(عمر)'!J21+'جمع غير زندگى'!L21</f>
        <v>13</v>
      </c>
      <c r="M21" s="37">
        <f>'زندگى(عمر)'!K21+'جمع غير زندگى'!M21</f>
        <v>2725</v>
      </c>
      <c r="N21" s="38">
        <f>'زندگى(عمر)'!L21+'جمع غير زندگى'!N21</f>
        <v>17529.855999999996</v>
      </c>
      <c r="O21" s="37">
        <f>'زندگى(عمر)'!M21+'جمع غير زندگى'!O21</f>
        <v>7417.4699999999993</v>
      </c>
      <c r="P21" s="38">
        <f>'زندگى(عمر)'!N21+'جمع غير زندگى'!P21</f>
        <v>25415.4</v>
      </c>
      <c r="Q21" s="37">
        <f>'زندگى(عمر)'!O21+'جمع غير زندگى'!Q21</f>
        <v>29013.32</v>
      </c>
      <c r="R21" s="38">
        <f>'زندگى(عمر)'!P21+'جمع غير زندگى'!R21</f>
        <v>64119.616000000002</v>
      </c>
      <c r="S21" s="209">
        <v>1369</v>
      </c>
      <c r="T21" s="131">
        <f t="shared" si="4"/>
        <v>36.573186661759586</v>
      </c>
      <c r="U21" s="131">
        <f>53.84</f>
        <v>53.84</v>
      </c>
      <c r="V21" s="131">
        <f t="shared" si="5"/>
        <v>17.266813338240418</v>
      </c>
    </row>
    <row r="22" spans="1:22" ht="18.899999999999999" customHeight="1">
      <c r="A22" s="173">
        <f t="shared" si="0"/>
        <v>48.563878999999993</v>
      </c>
      <c r="B22" s="174">
        <f t="shared" si="0"/>
        <v>157.5035</v>
      </c>
      <c r="C22" s="173">
        <f t="shared" si="1"/>
        <v>0</v>
      </c>
      <c r="D22" s="174">
        <f t="shared" si="1"/>
        <v>0</v>
      </c>
      <c r="E22" s="217">
        <v>0</v>
      </c>
      <c r="F22" s="218">
        <v>0</v>
      </c>
      <c r="G22" s="217">
        <f>'زندگى(عمر)'!E22+'جمع غير زندگى'!G22</f>
        <v>0</v>
      </c>
      <c r="H22" s="218">
        <f>'زندگى(عمر)'!F22+'جمع غير زندگى'!H22</f>
        <v>0</v>
      </c>
      <c r="I22" s="255">
        <f t="shared" si="3"/>
        <v>48.563878999999993</v>
      </c>
      <c r="J22" s="256">
        <f t="shared" si="2"/>
        <v>157.5035</v>
      </c>
      <c r="K22" s="37">
        <f>'زندگى(عمر)'!I22+'جمع غير زندگى'!K22</f>
        <v>15.939</v>
      </c>
      <c r="L22" s="38">
        <f>'زندگى(عمر)'!J22+'جمع غير زندگى'!L22</f>
        <v>460</v>
      </c>
      <c r="M22" s="37">
        <f>'زندگى(عمر)'!K22+'جمع غير زندگى'!M22</f>
        <v>5541.65</v>
      </c>
      <c r="N22" s="38">
        <f>'زندگى(عمر)'!L22+'جمع غير زندگى'!N22</f>
        <v>25088.2</v>
      </c>
      <c r="O22" s="37">
        <f>'زندگى(عمر)'!M22+'جمع غير زندگى'!O22</f>
        <v>8928.2000000000007</v>
      </c>
      <c r="P22" s="38">
        <f>'زندگى(عمر)'!N22+'جمع غير زندگى'!P22</f>
        <v>38598.199999999997</v>
      </c>
      <c r="Q22" s="37">
        <f>'زندگى(عمر)'!O22+'جمع غير زندگى'!Q22</f>
        <v>34078.089999999997</v>
      </c>
      <c r="R22" s="38">
        <f>'زندگى(عمر)'!P22+'جمع غير زندگى'!R22</f>
        <v>93357.1</v>
      </c>
      <c r="S22" s="209">
        <v>1370</v>
      </c>
      <c r="T22" s="131">
        <f t="shared" si="4"/>
        <v>30.833523699473343</v>
      </c>
      <c r="U22" s="131">
        <f>48.66</f>
        <v>48.66</v>
      </c>
      <c r="V22" s="131">
        <f t="shared" si="5"/>
        <v>17.826476300526654</v>
      </c>
    </row>
    <row r="23" spans="1:22" ht="18.899999999999999" customHeight="1">
      <c r="A23" s="173">
        <f t="shared" si="0"/>
        <v>78.605699999999999</v>
      </c>
      <c r="B23" s="174">
        <f t="shared" si="0"/>
        <v>226.22090000000003</v>
      </c>
      <c r="C23" s="173">
        <f t="shared" si="1"/>
        <v>0</v>
      </c>
      <c r="D23" s="174">
        <f t="shared" si="1"/>
        <v>0</v>
      </c>
      <c r="E23" s="217">
        <v>0</v>
      </c>
      <c r="F23" s="218">
        <v>0</v>
      </c>
      <c r="G23" s="217">
        <f>'زندگى(عمر)'!E23+'جمع غير زندگى'!G23</f>
        <v>0</v>
      </c>
      <c r="H23" s="218">
        <f>'زندگى(عمر)'!F23+'جمع غير زندگى'!H23</f>
        <v>0</v>
      </c>
      <c r="I23" s="255">
        <f t="shared" si="3"/>
        <v>78.605699999999999</v>
      </c>
      <c r="J23" s="256">
        <f t="shared" si="2"/>
        <v>226.22090000000003</v>
      </c>
      <c r="K23" s="37">
        <f>'زندگى(عمر)'!I23+'جمع غير زندگى'!K23</f>
        <v>373</v>
      </c>
      <c r="L23" s="38">
        <f>'زندگى(عمر)'!J23+'جمع غير زندگى'!L23</f>
        <v>1800</v>
      </c>
      <c r="M23" s="37">
        <f>'زندگى(عمر)'!K23+'جمع غير زندگى'!M23</f>
        <v>6360</v>
      </c>
      <c r="N23" s="38">
        <f>'زندگى(عمر)'!L23+'جمع غير زندگى'!N23</f>
        <v>35307.9</v>
      </c>
      <c r="O23" s="37">
        <f>'زندگى(عمر)'!M23+'جمع غير زندگى'!O23</f>
        <v>18660.7</v>
      </c>
      <c r="P23" s="38">
        <f>'زندگى(عمر)'!N23+'جمع غير زندگى'!P23</f>
        <v>49036.4</v>
      </c>
      <c r="Q23" s="37">
        <f>'زندگى(عمر)'!O23+'جمع غير زندگى'!Q23</f>
        <v>53212</v>
      </c>
      <c r="R23" s="38">
        <f>'زندگى(عمر)'!P23+'جمع غير زندگى'!R23</f>
        <v>140076.60000000003</v>
      </c>
      <c r="S23" s="209">
        <v>1371</v>
      </c>
      <c r="T23" s="131">
        <f t="shared" si="4"/>
        <v>34.747319986791666</v>
      </c>
      <c r="U23" s="131">
        <f>51.64</f>
        <v>51.64</v>
      </c>
      <c r="V23" s="131">
        <f t="shared" si="5"/>
        <v>16.892680013208334</v>
      </c>
    </row>
    <row r="24" spans="1:22" ht="18.899999999999999" customHeight="1">
      <c r="A24" s="173">
        <f t="shared" si="0"/>
        <v>140.00235000000001</v>
      </c>
      <c r="B24" s="174">
        <f t="shared" si="0"/>
        <v>379.86450000000002</v>
      </c>
      <c r="C24" s="173">
        <f t="shared" si="1"/>
        <v>0</v>
      </c>
      <c r="D24" s="174">
        <f t="shared" si="1"/>
        <v>0</v>
      </c>
      <c r="E24" s="217">
        <v>0</v>
      </c>
      <c r="F24" s="218">
        <v>0</v>
      </c>
      <c r="G24" s="217">
        <f>'زندگى(عمر)'!E24+'جمع غير زندگى'!G24</f>
        <v>0</v>
      </c>
      <c r="H24" s="218">
        <f>'زندگى(عمر)'!F24+'جمع غير زندگى'!H24</f>
        <v>0</v>
      </c>
      <c r="I24" s="255">
        <f t="shared" si="3"/>
        <v>140.00235000000001</v>
      </c>
      <c r="J24" s="256">
        <f t="shared" si="2"/>
        <v>379.86450000000002</v>
      </c>
      <c r="K24" s="37">
        <f>'زندگى(عمر)'!I24+'جمع غير زندگى'!K24</f>
        <v>1453</v>
      </c>
      <c r="L24" s="38">
        <f>'زندگى(عمر)'!J24+'جمع غير زندگى'!L24</f>
        <v>4094</v>
      </c>
      <c r="M24" s="37">
        <f>'زندگى(عمر)'!K24+'جمع غير زندگى'!M24</f>
        <v>9616</v>
      </c>
      <c r="N24" s="38">
        <f>'زندگى(عمر)'!L24+'جمع غير زندگى'!N24</f>
        <v>38937</v>
      </c>
      <c r="O24" s="120">
        <f>'زندگى(عمر)'!M24+'جمع غير زندگى'!O24</f>
        <v>30510.35</v>
      </c>
      <c r="P24" s="116">
        <f>'زندگى(عمر)'!N24+'جمع غير زندگى'!P24</f>
        <v>75278</v>
      </c>
      <c r="Q24" s="120">
        <f>'زندگى(عمر)'!O24+'جمع غير زندگى'!Q24</f>
        <v>98423</v>
      </c>
      <c r="R24" s="116">
        <f>'زندگى(عمر)'!P24+'جمع غير زندگى'!R24</f>
        <v>261555.5</v>
      </c>
      <c r="S24" s="209">
        <v>1372</v>
      </c>
      <c r="T24" s="131">
        <f t="shared" si="4"/>
        <v>36.855865710009752</v>
      </c>
      <c r="U24" s="131">
        <f>51.38</f>
        <v>51.38</v>
      </c>
      <c r="V24" s="131">
        <f t="shared" si="5"/>
        <v>14.524134289990251</v>
      </c>
    </row>
    <row r="25" spans="1:22" ht="18.899999999999999" customHeight="1">
      <c r="A25" s="173">
        <f t="shared" si="0"/>
        <v>230.57729999999998</v>
      </c>
      <c r="B25" s="174">
        <f t="shared" si="0"/>
        <v>516.24709999999993</v>
      </c>
      <c r="C25" s="173">
        <f t="shared" si="1"/>
        <v>0</v>
      </c>
      <c r="D25" s="174">
        <f t="shared" si="1"/>
        <v>0</v>
      </c>
      <c r="E25" s="217">
        <v>0</v>
      </c>
      <c r="F25" s="218">
        <v>0</v>
      </c>
      <c r="G25" s="217">
        <f>'زندگى(عمر)'!E25+'جمع غير زندگى'!G25</f>
        <v>0</v>
      </c>
      <c r="H25" s="218">
        <f>'زندگى(عمر)'!F25+'جمع غير زندگى'!H25</f>
        <v>0</v>
      </c>
      <c r="I25" s="255">
        <f t="shared" si="3"/>
        <v>230.57729999999998</v>
      </c>
      <c r="J25" s="256">
        <f t="shared" si="2"/>
        <v>516.24709999999993</v>
      </c>
      <c r="K25" s="37">
        <f>'زندگى(عمر)'!I25+'جمع غير زندگى'!K25</f>
        <v>6090</v>
      </c>
      <c r="L25" s="38">
        <f>'زندگى(عمر)'!J25+'جمع غير زندگى'!L25</f>
        <v>17078</v>
      </c>
      <c r="M25" s="37">
        <f>'زندگى(عمر)'!K25+'جمع غير زندگى'!M25</f>
        <v>15182</v>
      </c>
      <c r="N25" s="38">
        <f>'زندگى(عمر)'!L25+'جمع غير زندگى'!N25</f>
        <v>78959</v>
      </c>
      <c r="O25" s="37">
        <f>'زندگى(عمر)'!M25+'جمع غير زندگى'!O25</f>
        <v>65099</v>
      </c>
      <c r="P25" s="38">
        <f>'زندگى(عمر)'!N25+'جمع غير زندگى'!P25</f>
        <v>119540</v>
      </c>
      <c r="Q25" s="37">
        <f>'زندگى(عمر)'!O25+'جمع غير زندگى'!Q25</f>
        <v>144206.29999999999</v>
      </c>
      <c r="R25" s="38">
        <f>'زندگى(عمر)'!P25+'جمع غير زندگى'!R25</f>
        <v>300670.09999999998</v>
      </c>
      <c r="S25" s="209">
        <v>1373</v>
      </c>
      <c r="T25" s="131">
        <f t="shared" si="4"/>
        <v>44.664134675042241</v>
      </c>
      <c r="U25" s="131">
        <v>64.5</v>
      </c>
      <c r="V25" s="131">
        <f t="shared" si="5"/>
        <v>19.835865324957759</v>
      </c>
    </row>
    <row r="26" spans="1:22" ht="18.899999999999999" customHeight="1">
      <c r="A26" s="173">
        <f t="shared" si="0"/>
        <v>437.71239999999995</v>
      </c>
      <c r="B26" s="174">
        <f t="shared" si="0"/>
        <v>886.80730000000005</v>
      </c>
      <c r="C26" s="173">
        <f t="shared" si="1"/>
        <v>0</v>
      </c>
      <c r="D26" s="174">
        <f t="shared" si="1"/>
        <v>0</v>
      </c>
      <c r="E26" s="217">
        <v>0</v>
      </c>
      <c r="F26" s="218">
        <v>0</v>
      </c>
      <c r="G26" s="217">
        <f>'زندگى(عمر)'!E26+'جمع غير زندگى'!G26</f>
        <v>0</v>
      </c>
      <c r="H26" s="219">
        <f>'زندگى(عمر)'!F26+'جمع غير زندگى'!H26</f>
        <v>0</v>
      </c>
      <c r="I26" s="255">
        <f t="shared" si="3"/>
        <v>437.71239999999995</v>
      </c>
      <c r="J26" s="256">
        <f t="shared" si="2"/>
        <v>886.80730000000005</v>
      </c>
      <c r="K26" s="37">
        <f>'زندگى(عمر)'!I26+'جمع غير زندگى'!K26</f>
        <v>42844</v>
      </c>
      <c r="L26" s="38">
        <f>'زندگى(عمر)'!J26+'جمع غير زندگى'!L26</f>
        <v>80764</v>
      </c>
      <c r="M26" s="37">
        <f>'زندگى(عمر)'!K26+'جمع غير زندگى'!M26</f>
        <v>34155.1</v>
      </c>
      <c r="N26" s="38">
        <f>'زندگى(عمر)'!L26+'جمع غير زندگى'!N26</f>
        <v>99456.4</v>
      </c>
      <c r="O26" s="37">
        <f>'زندگى(عمر)'!M26+'جمع غير زندگى'!O26</f>
        <v>117333</v>
      </c>
      <c r="P26" s="38">
        <f>'زندگى(عمر)'!N26+'جمع غير زندگى'!P26</f>
        <v>205693.9</v>
      </c>
      <c r="Q26" s="37">
        <f>'زندگى(عمر)'!O26+'جمع غير زندگى'!Q26</f>
        <v>243380.3</v>
      </c>
      <c r="R26" s="38">
        <f>'زندگى(عمر)'!P26+'جمع غير زندگى'!R26</f>
        <v>500893</v>
      </c>
      <c r="S26" s="209">
        <v>1374</v>
      </c>
      <c r="T26" s="131">
        <f t="shared" si="4"/>
        <v>49.358231489524265</v>
      </c>
      <c r="U26" s="131">
        <v>70.599999999999994</v>
      </c>
      <c r="V26" s="131">
        <f t="shared" si="5"/>
        <v>21.24176851047573</v>
      </c>
    </row>
    <row r="27" spans="1:22" ht="18.899999999999999" customHeight="1">
      <c r="A27" s="173">
        <f t="shared" si="0"/>
        <v>763.47</v>
      </c>
      <c r="B27" s="174">
        <f t="shared" si="0"/>
        <v>1262.385</v>
      </c>
      <c r="C27" s="173">
        <f t="shared" si="1"/>
        <v>0</v>
      </c>
      <c r="D27" s="174">
        <f t="shared" si="1"/>
        <v>0</v>
      </c>
      <c r="E27" s="217">
        <v>0</v>
      </c>
      <c r="F27" s="218">
        <v>0</v>
      </c>
      <c r="G27" s="217">
        <f>'زندگى(عمر)'!E27+'جمع غير زندگى'!G27</f>
        <v>0</v>
      </c>
      <c r="H27" s="218">
        <f>'زندگى(عمر)'!F27+'جمع غير زندگى'!H27</f>
        <v>0</v>
      </c>
      <c r="I27" s="255">
        <f t="shared" si="3"/>
        <v>763.47</v>
      </c>
      <c r="J27" s="256">
        <f t="shared" si="2"/>
        <v>1262.385</v>
      </c>
      <c r="K27" s="37">
        <f>'زندگى(عمر)'!I27+'جمع غير زندگى'!K27</f>
        <v>68900</v>
      </c>
      <c r="L27" s="38">
        <f>'زندگى(عمر)'!J27+'جمع غير زندگى'!L27</f>
        <v>101692</v>
      </c>
      <c r="M27" s="37">
        <f>'زندگى(عمر)'!K27+'جمع غير زندگى'!M27</f>
        <v>55376</v>
      </c>
      <c r="N27" s="38">
        <f>'زندگى(عمر)'!L27+'جمع غير زندگى'!N27</f>
        <v>151387</v>
      </c>
      <c r="O27" s="37">
        <f>'زندگى(عمر)'!M27+'جمع غير زندگى'!O27</f>
        <v>195314</v>
      </c>
      <c r="P27" s="38">
        <f>'زندگى(عمر)'!N27+'جمع غير زندگى'!P27</f>
        <v>297898</v>
      </c>
      <c r="Q27" s="37">
        <f>'زندگى(عمر)'!O27+'جمع غير زندگى'!Q27</f>
        <v>443880</v>
      </c>
      <c r="R27" s="38">
        <f>'زندگى(عمر)'!P27+'جمع غير زندگى'!R27</f>
        <v>711408</v>
      </c>
      <c r="S27" s="209">
        <v>1375</v>
      </c>
      <c r="T27" s="131">
        <f t="shared" si="4"/>
        <v>60.478380208890314</v>
      </c>
      <c r="U27" s="133">
        <v>75.33</v>
      </c>
      <c r="V27" s="131">
        <f t="shared" si="5"/>
        <v>14.851619791109684</v>
      </c>
    </row>
    <row r="28" spans="1:22" ht="18.899999999999999" customHeight="1">
      <c r="A28" s="173">
        <f t="shared" si="0"/>
        <v>990.04429999999991</v>
      </c>
      <c r="B28" s="174">
        <f t="shared" si="0"/>
        <v>1538.8630000000001</v>
      </c>
      <c r="C28" s="173">
        <f t="shared" si="1"/>
        <v>0</v>
      </c>
      <c r="D28" s="174">
        <f t="shared" si="1"/>
        <v>0</v>
      </c>
      <c r="E28" s="220">
        <v>0</v>
      </c>
      <c r="F28" s="219">
        <v>0</v>
      </c>
      <c r="G28" s="220">
        <f>'زندگى(عمر)'!E28+'جمع غير زندگى'!G28</f>
        <v>0</v>
      </c>
      <c r="H28" s="219">
        <f>'زندگى(عمر)'!F28+'جمع غير زندگى'!H28</f>
        <v>0</v>
      </c>
      <c r="I28" s="255">
        <f>(Q28+O28+M28+K28)/1000</f>
        <v>990.04429999999991</v>
      </c>
      <c r="J28" s="256">
        <f t="shared" si="2"/>
        <v>1538.8630000000001</v>
      </c>
      <c r="K28" s="120">
        <f>'زندگى(عمر)'!I28+'جمع غير زندگى'!K28</f>
        <v>79299</v>
      </c>
      <c r="L28" s="116">
        <f>'زندگى(عمر)'!J28+'جمع غير زندگى'!L28</f>
        <v>110484</v>
      </c>
      <c r="M28" s="120">
        <f>'زندگى(عمر)'!K28+'جمع غير زندگى'!M28</f>
        <v>97058.1</v>
      </c>
      <c r="N28" s="116">
        <f>'زندگى(عمر)'!L28+'جمع غير زندگى'!N28</f>
        <v>176215</v>
      </c>
      <c r="O28" s="120">
        <f>'زندگى(عمر)'!M28+'جمع غير زندگى'!O28</f>
        <v>247424.1</v>
      </c>
      <c r="P28" s="116">
        <f>'زندگى(عمر)'!N28+'جمع غير زندگى'!P28</f>
        <v>360862</v>
      </c>
      <c r="Q28" s="120">
        <f>'زندگى(عمر)'!O28+'جمع غير زندگى'!Q28</f>
        <v>566263.1</v>
      </c>
      <c r="R28" s="116">
        <f>'زندگى(عمر)'!P28+'جمع غير زندگى'!R28</f>
        <v>891302</v>
      </c>
      <c r="S28" s="213">
        <v>1376</v>
      </c>
      <c r="T28" s="131">
        <f t="shared" si="4"/>
        <v>64.336090997054313</v>
      </c>
      <c r="U28" s="131">
        <v>77.44</v>
      </c>
      <c r="V28" s="131">
        <f t="shared" si="5"/>
        <v>13.103909002945684</v>
      </c>
    </row>
    <row r="29" spans="1:22" ht="18.899999999999999" customHeight="1">
      <c r="A29" s="173">
        <f t="shared" si="0"/>
        <v>1244.1142826760001</v>
      </c>
      <c r="B29" s="174">
        <f t="shared" si="0"/>
        <v>2013.8647400000002</v>
      </c>
      <c r="C29" s="173">
        <f t="shared" si="1"/>
        <v>0</v>
      </c>
      <c r="D29" s="174">
        <f t="shared" si="1"/>
        <v>0</v>
      </c>
      <c r="E29" s="217">
        <v>0</v>
      </c>
      <c r="F29" s="218">
        <v>0</v>
      </c>
      <c r="G29" s="217">
        <f>'زندگى(عمر)'!E29+'جمع غير زندگى'!G29</f>
        <v>0</v>
      </c>
      <c r="H29" s="218">
        <f>'زندگى(عمر)'!F29+'جمع غير زندگى'!H29</f>
        <v>0</v>
      </c>
      <c r="I29" s="255">
        <f>(Q29+O29+M29+K29)/1000</f>
        <v>1244.1142826760001</v>
      </c>
      <c r="J29" s="256">
        <f t="shared" si="2"/>
        <v>2013.8647400000002</v>
      </c>
      <c r="K29" s="37">
        <f>'زندگى(عمر)'!I29+'جمع غير زندگى'!K29</f>
        <v>121686.545388</v>
      </c>
      <c r="L29" s="38">
        <f>'زندگى(عمر)'!J29+'جمع غير زندگى'!L29</f>
        <v>200123.72</v>
      </c>
      <c r="M29" s="37">
        <f>'زندگى(عمر)'!K29+'جمع غير زندگى'!M29</f>
        <v>78106.960227999996</v>
      </c>
      <c r="N29" s="38">
        <f>'زندگى(عمر)'!L29+'جمع غير زندگى'!N29</f>
        <v>202888.28999999998</v>
      </c>
      <c r="O29" s="37">
        <f>'زندگى(عمر)'!M29+'جمع غير زندگى'!O29</f>
        <v>308044.26039199997</v>
      </c>
      <c r="P29" s="38">
        <f>'زندگى(عمر)'!N29+'جمع غير زندگى'!P29</f>
        <v>491898.07</v>
      </c>
      <c r="Q29" s="37">
        <f>'زندگى(عمر)'!O29+'جمع غير زندگى'!Q29</f>
        <v>736276.51666800003</v>
      </c>
      <c r="R29" s="38">
        <f>'زندگى(عمر)'!P29+'جمع غير زندگى'!R29</f>
        <v>1118954.6600000001</v>
      </c>
      <c r="S29" s="209">
        <v>1377</v>
      </c>
      <c r="T29" s="131">
        <f t="shared" si="4"/>
        <v>61.777449992793457</v>
      </c>
      <c r="U29" s="131">
        <v>72</v>
      </c>
      <c r="V29" s="131">
        <f t="shared" si="5"/>
        <v>10.222550007206543</v>
      </c>
    </row>
    <row r="30" spans="1:22" ht="18.899999999999999" customHeight="1">
      <c r="A30" s="173">
        <f t="shared" si="0"/>
        <v>1749.2753500000001</v>
      </c>
      <c r="B30" s="174">
        <f t="shared" si="0"/>
        <v>2990.1085796439997</v>
      </c>
      <c r="C30" s="173">
        <f t="shared" si="1"/>
        <v>0</v>
      </c>
      <c r="D30" s="174">
        <f t="shared" si="1"/>
        <v>0</v>
      </c>
      <c r="E30" s="217">
        <v>0</v>
      </c>
      <c r="F30" s="218">
        <v>0</v>
      </c>
      <c r="G30" s="217">
        <f>'زندگى(عمر)'!E30+'جمع غير زندگى'!G30</f>
        <v>0</v>
      </c>
      <c r="H30" s="218">
        <f>'زندگى(عمر)'!F30+'جمع غير زندگى'!H30</f>
        <v>0</v>
      </c>
      <c r="I30" s="255">
        <f t="shared" ref="I30" si="6">(Q30+O30+M30+K30)/1000</f>
        <v>1749.2753500000001</v>
      </c>
      <c r="J30" s="256">
        <f t="shared" si="2"/>
        <v>2990.1085796439997</v>
      </c>
      <c r="K30" s="37">
        <f>'زندگى(عمر)'!I30+'جمع غير زندگى'!K30</f>
        <v>250418.83000000005</v>
      </c>
      <c r="L30" s="116">
        <f>'زندگى(عمر)'!J30+'جمع غير زندگى'!L30</f>
        <v>445722.12964400003</v>
      </c>
      <c r="M30" s="37">
        <f>'زندگى(عمر)'!K30+'جمع غير زندگى'!M30</f>
        <v>102287.12</v>
      </c>
      <c r="N30" s="38">
        <f>'زندگى(عمر)'!L30+'جمع غير زندگى'!N30</f>
        <v>273547.70999999996</v>
      </c>
      <c r="O30" s="37">
        <f>'زندگى(عمر)'!M30+'جمع غير زندگى'!O30</f>
        <v>376202.50000000006</v>
      </c>
      <c r="P30" s="38">
        <f>'زندگى(عمر)'!N30+'جمع غير زندگى'!P30</f>
        <v>612773.10999999975</v>
      </c>
      <c r="Q30" s="37">
        <f>'زندگى(عمر)'!O30+'جمع غير زندگى'!Q30</f>
        <v>1020366.9000000001</v>
      </c>
      <c r="R30" s="38">
        <f>'زندگى(عمر)'!P30+'جمع غير زندگى'!R30</f>
        <v>1658065.6300000001</v>
      </c>
      <c r="S30" s="214">
        <v>1378</v>
      </c>
      <c r="T30" s="131">
        <f t="shared" si="4"/>
        <v>58.502067848260793</v>
      </c>
      <c r="U30" s="131">
        <v>73.39</v>
      </c>
      <c r="V30" s="131">
        <f t="shared" si="5"/>
        <v>14.887932151739207</v>
      </c>
    </row>
    <row r="31" spans="1:22" ht="18.899999999999999" customHeight="1">
      <c r="A31" s="173">
        <f t="shared" si="0"/>
        <v>2445.4840400000003</v>
      </c>
      <c r="B31" s="174">
        <f t="shared" si="0"/>
        <v>4046.1013500000004</v>
      </c>
      <c r="C31" s="173">
        <f t="shared" si="1"/>
        <v>0</v>
      </c>
      <c r="D31" s="174">
        <f t="shared" si="1"/>
        <v>0</v>
      </c>
      <c r="E31" s="217">
        <v>0</v>
      </c>
      <c r="F31" s="218">
        <v>0</v>
      </c>
      <c r="G31" s="217">
        <f>'زندگى(عمر)'!E31+'جمع غير زندگى'!G31</f>
        <v>0</v>
      </c>
      <c r="H31" s="219">
        <f>'زندگى(عمر)'!F31+'جمع غير زندگى'!H31</f>
        <v>0</v>
      </c>
      <c r="I31" s="255">
        <f>(Q31+O31+M31+K31)/1000</f>
        <v>2445.4840400000003</v>
      </c>
      <c r="J31" s="256">
        <f t="shared" si="2"/>
        <v>4046.1013500000004</v>
      </c>
      <c r="K31" s="37">
        <f>'زندگى(عمر)'!I31+'جمع غير زندگى'!K31</f>
        <v>315887.29000000004</v>
      </c>
      <c r="L31" s="38">
        <f>'زندگى(عمر)'!J31+'جمع غير زندگى'!L31</f>
        <v>452727.76</v>
      </c>
      <c r="M31" s="37">
        <f>'زندگى(عمر)'!K31+'جمع غير زندگى'!M31</f>
        <v>121393.17</v>
      </c>
      <c r="N31" s="38">
        <f>'زندگى(عمر)'!L31+'جمع غير زندگى'!N31</f>
        <v>258483.29000000004</v>
      </c>
      <c r="O31" s="37">
        <f>'زندگى(عمر)'!M31+'جمع غير زندگى'!O31</f>
        <v>564307.90000000014</v>
      </c>
      <c r="P31" s="38">
        <f>'زندگى(عمر)'!N31+'جمع غير زندگى'!P31</f>
        <v>979880.18</v>
      </c>
      <c r="Q31" s="37">
        <f>'زندگى(عمر)'!O31+'جمع غير زندگى'!Q31</f>
        <v>1443895.6800000002</v>
      </c>
      <c r="R31" s="38">
        <f>'زندگى(عمر)'!P31+'جمع غير زندگى'!R31</f>
        <v>2355010.12</v>
      </c>
      <c r="S31" s="214">
        <v>1379</v>
      </c>
      <c r="T31" s="131">
        <f t="shared" si="4"/>
        <v>60.440503795091537</v>
      </c>
      <c r="U31" s="131">
        <v>70.34</v>
      </c>
      <c r="V31" s="131">
        <f t="shared" si="5"/>
        <v>9.8994962049084663</v>
      </c>
    </row>
    <row r="32" spans="1:22" ht="18.899999999999999" customHeight="1">
      <c r="A32" s="180">
        <f t="shared" si="0"/>
        <v>3693.620508552</v>
      </c>
      <c r="B32" s="181">
        <f t="shared" si="0"/>
        <v>5731.263719999999</v>
      </c>
      <c r="C32" s="180">
        <f t="shared" si="1"/>
        <v>0</v>
      </c>
      <c r="D32" s="181">
        <f t="shared" si="1"/>
        <v>0</v>
      </c>
      <c r="E32" s="221">
        <v>0</v>
      </c>
      <c r="F32" s="222">
        <v>0</v>
      </c>
      <c r="G32" s="221">
        <f>'زندگى(عمر)'!E32+'جمع غير زندگى'!G32</f>
        <v>0</v>
      </c>
      <c r="H32" s="223">
        <f>'زندگى(عمر)'!F32+'جمع غير زندگى'!H32</f>
        <v>0</v>
      </c>
      <c r="I32" s="255">
        <f t="shared" ref="I32:I36" si="7">(Q32+O32+M32+K32)/1000</f>
        <v>3693.620508552</v>
      </c>
      <c r="J32" s="256">
        <f t="shared" si="2"/>
        <v>5731.263719999999</v>
      </c>
      <c r="K32" s="22">
        <f>'زندگى(عمر)'!I32+'جمع غير زندگى'!K32</f>
        <v>423267.17126799998</v>
      </c>
      <c r="L32" s="23">
        <f>'زندگى(عمر)'!J32+'جمع غير زندگى'!L32</f>
        <v>759957.37</v>
      </c>
      <c r="M32" s="22">
        <f>'زندگى(عمر)'!K32+'جمع غير زندگى'!M32</f>
        <v>148375.83018799996</v>
      </c>
      <c r="N32" s="23">
        <f>'زندگى(عمر)'!L32+'جمع غير زندگى'!N32</f>
        <v>321849.30000000005</v>
      </c>
      <c r="O32" s="22">
        <f>'زندگى(عمر)'!M32+'جمع غير زندگى'!O32</f>
        <v>787734.62912800012</v>
      </c>
      <c r="P32" s="23">
        <f>'زندگى(عمر)'!N32+'جمع غير زندگى'!P32</f>
        <v>1357348.5</v>
      </c>
      <c r="Q32" s="22">
        <f>'زندگى(عمر)'!O32+'جمع غير زندگى'!Q32</f>
        <v>2334242.8779679998</v>
      </c>
      <c r="R32" s="23">
        <f>'زندگى(عمر)'!P32+'جمع غير زندگى'!R32</f>
        <v>3292108.5499999993</v>
      </c>
      <c r="S32" s="210">
        <v>1380</v>
      </c>
      <c r="T32" s="131">
        <f t="shared" si="4"/>
        <v>64.44687749514344</v>
      </c>
      <c r="U32" s="131">
        <v>81.430000000000007</v>
      </c>
      <c r="V32" s="131">
        <f t="shared" si="5"/>
        <v>16.983122504856567</v>
      </c>
    </row>
    <row r="33" spans="1:22" ht="18.899999999999999" customHeight="1">
      <c r="A33" s="173">
        <f>'[4]نمودار و جداول رشته ها'!DN12*1000/1000</f>
        <v>5526.6490159890009</v>
      </c>
      <c r="B33" s="174">
        <f>'[4]نمودار و جداول رشته ها'!DM12*1000/1000</f>
        <v>9178.7904706370009</v>
      </c>
      <c r="C33" s="173">
        <f t="shared" ref="C33:D36" si="8">A33-I33</f>
        <v>1.2939236200008963</v>
      </c>
      <c r="D33" s="174">
        <f t="shared" si="8"/>
        <v>92.918119283000124</v>
      </c>
      <c r="E33" s="217">
        <f>'زندگى(عمر)'!C33+'جمع غير زندگى'!E33</f>
        <v>0</v>
      </c>
      <c r="F33" s="218">
        <f>'زندگى(عمر)'!D33+'جمع غير زندگى'!F33</f>
        <v>0</v>
      </c>
      <c r="G33" s="217">
        <f>'زندگى(عمر)'!E33+'جمع غير زندگى'!G33</f>
        <v>0</v>
      </c>
      <c r="H33" s="218">
        <f>'زندگى(عمر)'!F33+'جمع غير زندگى'!H33</f>
        <v>0</v>
      </c>
      <c r="I33" s="255">
        <f t="shared" si="7"/>
        <v>5525.355092369</v>
      </c>
      <c r="J33" s="256">
        <f t="shared" si="2"/>
        <v>9085.8723513540008</v>
      </c>
      <c r="K33" s="37">
        <f>'زندگى(عمر)'!I33+'جمع غير زندگى'!K33</f>
        <v>699645.5776559998</v>
      </c>
      <c r="L33" s="38">
        <f>'زندگى(عمر)'!J33+'جمع غير زندگى'!L33</f>
        <v>1216659.5812589999</v>
      </c>
      <c r="M33" s="37">
        <f>'زندگى(عمر)'!K33+'جمع غير زندگى'!M33</f>
        <v>239252.98250200003</v>
      </c>
      <c r="N33" s="38">
        <f>'زندگى(عمر)'!L33+'جمع غير زندگى'!N33</f>
        <v>499205.022612</v>
      </c>
      <c r="O33" s="37">
        <f>'زندگى(عمر)'!M33+'جمع غير زندگى'!O33</f>
        <v>1415770.0300870002</v>
      </c>
      <c r="P33" s="38">
        <f>'زندگى(عمر)'!N33+'جمع غير زندگى'!P33</f>
        <v>2249158.9206110002</v>
      </c>
      <c r="Q33" s="37">
        <f>'زندگى(عمر)'!O33+'جمع غير زندگى'!Q33</f>
        <v>3170686.5021239994</v>
      </c>
      <c r="R33" s="38">
        <f>'زندگى(عمر)'!P33+'جمع غير زندگى'!R33</f>
        <v>5120848.8268720014</v>
      </c>
      <c r="S33" s="209">
        <v>1381</v>
      </c>
      <c r="T33" s="131">
        <f t="shared" si="4"/>
        <v>60.211081554468201</v>
      </c>
      <c r="U33" s="131">
        <v>79.19</v>
      </c>
      <c r="V33" s="131">
        <f t="shared" si="5"/>
        <v>18.978918445531797</v>
      </c>
    </row>
    <row r="34" spans="1:22" ht="18.899999999999999" customHeight="1">
      <c r="A34" s="173">
        <f>'[4]نمودار و جداول رشته ها'!DN13*1000/1000</f>
        <v>7617.4101723400017</v>
      </c>
      <c r="B34" s="174">
        <f>'[4]نمودار و جداول رشته ها'!DM13*1000/1000</f>
        <v>12743.403716432998</v>
      </c>
      <c r="C34" s="188">
        <f t="shared" si="8"/>
        <v>7.9855434660012179</v>
      </c>
      <c r="D34" s="174">
        <f t="shared" si="8"/>
        <v>377.74469069699808</v>
      </c>
      <c r="E34" s="217">
        <f>'زندگى(عمر)'!C34+'جمع غير زندگى'!E34</f>
        <v>5.0000000000011369E-2</v>
      </c>
      <c r="F34" s="224">
        <f>'زندگى(عمر)'!D34+'جمع غير زندگى'!F34</f>
        <v>6.2156938599998739</v>
      </c>
      <c r="G34" s="217">
        <f>'زندگى(عمر)'!E34+'جمع غير زندگى'!G34</f>
        <v>0</v>
      </c>
      <c r="H34" s="224">
        <f>'زندگى(عمر)'!F34+'جمع غير زندگى'!H34</f>
        <v>0</v>
      </c>
      <c r="I34" s="255">
        <f t="shared" si="7"/>
        <v>7609.4246288740005</v>
      </c>
      <c r="J34" s="256">
        <f t="shared" si="2"/>
        <v>12365.659025736</v>
      </c>
      <c r="K34" s="37">
        <f>'زندگى(عمر)'!I34+'جمع غير زندگى'!K34</f>
        <v>1164900.739696</v>
      </c>
      <c r="L34" s="103">
        <f>'زندگى(عمر)'!J34+'جمع غير زندگى'!L34</f>
        <v>1711562.9907779996</v>
      </c>
      <c r="M34" s="37">
        <f>'زندگى(عمر)'!K34+'جمع غير زندگى'!M34</f>
        <v>389728.13354199997</v>
      </c>
      <c r="N34" s="103">
        <f>'زندگى(عمر)'!L34+'جمع غير زندگى'!N34</f>
        <v>937827.30398600013</v>
      </c>
      <c r="O34" s="37">
        <f>'زندگى(عمر)'!M34+'جمع غير زندگى'!O34</f>
        <v>1909606.9094780001</v>
      </c>
      <c r="P34" s="103">
        <f>'زندگى(عمر)'!N34+'جمع غير زندگى'!P34</f>
        <v>2843010.2665999997</v>
      </c>
      <c r="Q34" s="37">
        <f>'زندگى(عمر)'!O34+'جمع غير زندگى'!Q34</f>
        <v>4145188.8461580002</v>
      </c>
      <c r="R34" s="103">
        <f>'زندگى(عمر)'!P34+'جمع غير زندگى'!R34</f>
        <v>6873258.4643720016</v>
      </c>
      <c r="S34" s="214">
        <v>1382</v>
      </c>
      <c r="T34" s="131">
        <f t="shared" si="4"/>
        <v>59.775318602808802</v>
      </c>
      <c r="U34" s="131">
        <v>72.13</v>
      </c>
      <c r="V34" s="131">
        <f t="shared" si="5"/>
        <v>12.354681397191193</v>
      </c>
    </row>
    <row r="35" spans="1:22" ht="18.899999999999999" customHeight="1">
      <c r="A35" s="173">
        <f>'[4]نمودار و جداول رشته ها'!DN14*1000/1000</f>
        <v>10032.300823799002</v>
      </c>
      <c r="B35" s="174">
        <f>'[4]نمودار و جداول رشته ها'!DM14*1000/1000</f>
        <v>17317.627238618999</v>
      </c>
      <c r="C35" s="189">
        <f t="shared" si="8"/>
        <v>130.55788721100362</v>
      </c>
      <c r="D35" s="181">
        <f t="shared" si="8"/>
        <v>1933.6933157909971</v>
      </c>
      <c r="E35" s="221">
        <f>[17]بازارخصوصي!$K$59/1000000-G35</f>
        <v>130557.88721099999</v>
      </c>
      <c r="F35" s="225">
        <f>[17]بازارخصوصي!$R$59/1000000-H35</f>
        <v>1933693.3157909999</v>
      </c>
      <c r="G35" s="221">
        <f>'زندگى(عمر)'!E35+'جمع غير زندگى'!G35</f>
        <v>0</v>
      </c>
      <c r="H35" s="225">
        <f>'زندگى(عمر)'!F35+'جمع غير زندگى'!H35</f>
        <v>0</v>
      </c>
      <c r="I35" s="255">
        <f t="shared" si="7"/>
        <v>9901.742936587998</v>
      </c>
      <c r="J35" s="256">
        <f t="shared" si="2"/>
        <v>15383.933922828002</v>
      </c>
      <c r="K35" s="22">
        <f>'زندگى(عمر)'!I35+'جمع غير زندگى'!K35</f>
        <v>1442973.7850820001</v>
      </c>
      <c r="L35" s="148">
        <f>'زندگى(عمر)'!J35+'جمع غير زندگى'!L35</f>
        <v>1578688.96508</v>
      </c>
      <c r="M35" s="22">
        <f>'زندگى(عمر)'!K35+'جمع غير زندگى'!M35</f>
        <v>614664.63612799998</v>
      </c>
      <c r="N35" s="148">
        <f>'زندگى(عمر)'!L35+'جمع غير زندگى'!N35</f>
        <v>1224407.0638900001</v>
      </c>
      <c r="O35" s="22">
        <f>'زندگى(عمر)'!M35+'جمع غير زندگى'!O35</f>
        <v>2523802.003593999</v>
      </c>
      <c r="P35" s="148">
        <f>'زندگى(عمر)'!N35+'جمع غير زندگى'!P35</f>
        <v>3400492.7123520002</v>
      </c>
      <c r="Q35" s="22">
        <f>'زندگى(عمر)'!O35+'جمع غير زندگى'!Q35</f>
        <v>5320302.5117839994</v>
      </c>
      <c r="R35" s="148">
        <f>'زندگى(عمر)'!P35+'جمع غير زندگى'!R35</f>
        <v>9180345.1815060005</v>
      </c>
      <c r="S35" s="211">
        <v>1383</v>
      </c>
      <c r="T35" s="131">
        <f>A35/B35*100</f>
        <v>57.931151222764342</v>
      </c>
      <c r="U35" s="131">
        <v>75.38</v>
      </c>
      <c r="V35" s="133">
        <f t="shared" si="5"/>
        <v>17.448848777235654</v>
      </c>
    </row>
    <row r="36" spans="1:22" s="1" customFormat="1" ht="18.899999999999999" customHeight="1">
      <c r="A36" s="173">
        <f>'[4]نمودار و جداول رشته ها'!DN15*1000/1000</f>
        <v>14534.977553633997</v>
      </c>
      <c r="B36" s="174">
        <f>'[4]نمودار و جداول رشته ها'!DM15*1000/1000</f>
        <v>21529.919274113003</v>
      </c>
      <c r="C36" s="189">
        <f t="shared" si="8"/>
        <v>1245.6891452359978</v>
      </c>
      <c r="D36" s="181">
        <f t="shared" si="8"/>
        <v>2962.5645326710001</v>
      </c>
      <c r="E36" s="221">
        <f>[17]بازارخصوصي!$J$59/1000000-G36</f>
        <v>1171481.8635150001</v>
      </c>
      <c r="F36" s="225">
        <f>[17]بازارخصوصي!$R$59/1000000-H36</f>
        <v>1933693.3157909999</v>
      </c>
      <c r="G36" s="221">
        <f>'زندگى(عمر)'!E36+'جمع غير زندگى'!G36</f>
        <v>0</v>
      </c>
      <c r="H36" s="225">
        <f>'زندگى(عمر)'!F36+'جمع غير زندگى'!H36</f>
        <v>0</v>
      </c>
      <c r="I36" s="259">
        <f t="shared" si="7"/>
        <v>13289.288408397999</v>
      </c>
      <c r="J36" s="260">
        <f t="shared" si="2"/>
        <v>18567.354741442003</v>
      </c>
      <c r="K36" s="22">
        <f>'زندگى(عمر)'!I36+'جمع غير زندگى'!K36</f>
        <v>1478480.1549160001</v>
      </c>
      <c r="L36" s="148">
        <f>'زندگى(عمر)'!J36+'جمع غير زندگى'!L36</f>
        <v>2023568.7794380002</v>
      </c>
      <c r="M36" s="22">
        <f>'زندگى(عمر)'!K36+'جمع غير زندگى'!M36</f>
        <v>809443.38689799979</v>
      </c>
      <c r="N36" s="148">
        <f>'زندگى(عمر)'!L36+'جمع غير زندگى'!N36</f>
        <v>1475052.9758980002</v>
      </c>
      <c r="O36" s="22">
        <f>'زندگى(عمر)'!M36+'جمع غير زندگى'!O36</f>
        <v>2933018.9022439993</v>
      </c>
      <c r="P36" s="148">
        <f>'زندگى(عمر)'!N36+'جمع غير زندگى'!P36</f>
        <v>3707009.015778</v>
      </c>
      <c r="Q36" s="22">
        <f>'زندگى(عمر)'!O36+'جمع غير زندگى'!Q36</f>
        <v>8068345.9643400004</v>
      </c>
      <c r="R36" s="148">
        <f>'زندگى(عمر)'!P36+'جمع غير زندگى'!R36</f>
        <v>11361723.970328001</v>
      </c>
      <c r="S36" s="211">
        <v>1384</v>
      </c>
      <c r="T36" s="133">
        <f>'[18]جدول '!$H$12</f>
        <v>67.51059940624333</v>
      </c>
      <c r="U36" s="133">
        <f>'[18]جدول '!$H$11</f>
        <v>78.511978974436531</v>
      </c>
      <c r="V36" s="133">
        <f t="shared" si="5"/>
        <v>11.001379568193201</v>
      </c>
    </row>
    <row r="37" spans="1:22" s="1" customFormat="1" ht="18.899999999999999" customHeight="1">
      <c r="A37" s="173">
        <f>'[4]نمودار و جداول رشته ها'!DN16*1000/1000</f>
        <v>16466.653568268004</v>
      </c>
      <c r="B37" s="174">
        <f>'[4]نمودار و جداول رشته ها'!DM16*1000/1000</f>
        <v>26561.088595235004</v>
      </c>
      <c r="C37" s="189">
        <f t="shared" ref="C37:D40" si="9">A37-I37</f>
        <v>1757.2975576880071</v>
      </c>
      <c r="D37" s="181">
        <f t="shared" si="9"/>
        <v>4334.3220029139993</v>
      </c>
      <c r="E37" s="221"/>
      <c r="F37" s="225"/>
      <c r="G37" s="221"/>
      <c r="H37" s="225"/>
      <c r="I37" s="198">
        <f>'[9]بازار دولتي'!$AD$24*1000/1000</f>
        <v>14709.356010579997</v>
      </c>
      <c r="J37" s="179">
        <f>'[9]بازار دولتي'!$AL$24*1000/1000</f>
        <v>22226.766592321004</v>
      </c>
      <c r="K37" s="22"/>
      <c r="L37" s="148"/>
      <c r="M37" s="22"/>
      <c r="N37" s="148"/>
      <c r="O37" s="22"/>
      <c r="P37" s="148"/>
      <c r="Q37" s="22"/>
      <c r="R37" s="148"/>
      <c r="S37" s="211">
        <v>1385</v>
      </c>
      <c r="T37" s="133"/>
      <c r="U37" s="133"/>
      <c r="V37" s="133"/>
    </row>
    <row r="38" spans="1:22" s="1" customFormat="1" ht="18.899999999999999" customHeight="1">
      <c r="A38" s="173">
        <f>'[4]نمودار و جداول رشته ها'!DN17*1000/1000</f>
        <v>20823.504796099998</v>
      </c>
      <c r="B38" s="174">
        <f>'[4]نمودار و جداول رشته ها'!DM17*1000/1000</f>
        <v>33824.090799140002</v>
      </c>
      <c r="C38" s="189">
        <f t="shared" si="9"/>
        <v>3256.0148617979976</v>
      </c>
      <c r="D38" s="181">
        <f t="shared" si="9"/>
        <v>7493.6836709540039</v>
      </c>
      <c r="E38" s="221"/>
      <c r="F38" s="225"/>
      <c r="G38" s="221"/>
      <c r="H38" s="225"/>
      <c r="I38" s="198">
        <f>'[10]بازار دولتي'!$AD$24*1000/1000</f>
        <v>17567.489934302001</v>
      </c>
      <c r="J38" s="179">
        <f>'[10]بازار دولتي'!$AL$24*1000/1000</f>
        <v>26330.407128185998</v>
      </c>
      <c r="K38" s="22"/>
      <c r="L38" s="148"/>
      <c r="M38" s="22"/>
      <c r="N38" s="148"/>
      <c r="O38" s="22"/>
      <c r="P38" s="148"/>
      <c r="Q38" s="22"/>
      <c r="R38" s="148"/>
      <c r="S38" s="211">
        <v>1386</v>
      </c>
      <c r="T38" s="133"/>
      <c r="U38" s="133"/>
      <c r="V38" s="133"/>
    </row>
    <row r="39" spans="1:22" s="1" customFormat="1" ht="18.899999999999999" customHeight="1">
      <c r="A39" s="173">
        <f>'[4]نمودار و جداول رشته ها'!DN18*1000/1000</f>
        <v>24752.639463136005</v>
      </c>
      <c r="B39" s="174">
        <f>'[4]نمودار و جداول رشته ها'!DM18*1000/1000</f>
        <v>40560.988844432002</v>
      </c>
      <c r="C39" s="189">
        <f t="shared" si="9"/>
        <v>4622.0456939780051</v>
      </c>
      <c r="D39" s="181">
        <f t="shared" si="9"/>
        <v>10164.214501057999</v>
      </c>
      <c r="E39" s="221"/>
      <c r="F39" s="225"/>
      <c r="G39" s="221"/>
      <c r="H39" s="225"/>
      <c r="I39" s="198">
        <f>'[11]بازار دولتي'!$L$24*1000/1000</f>
        <v>20130.593769158</v>
      </c>
      <c r="J39" s="179">
        <f>'[11]بازار دولتي'!$T$24*1000/1000</f>
        <v>30396.774343374003</v>
      </c>
      <c r="K39" s="22"/>
      <c r="L39" s="148"/>
      <c r="M39" s="22"/>
      <c r="N39" s="148"/>
      <c r="O39" s="22"/>
      <c r="P39" s="148"/>
      <c r="Q39" s="22"/>
      <c r="R39" s="148"/>
      <c r="S39" s="211">
        <v>1387</v>
      </c>
      <c r="T39" s="133"/>
      <c r="U39" s="133"/>
      <c r="V39" s="133"/>
    </row>
    <row r="40" spans="1:22" s="1" customFormat="1" ht="18.899999999999999" customHeight="1">
      <c r="A40" s="173">
        <f>'[4]نمودار و جداول رشته ها'!DN19*1000/1000</f>
        <v>30753.197276684001</v>
      </c>
      <c r="B40" s="174">
        <f>'[4]نمودار و جداول رشته ها'!DM19*1000/1000</f>
        <v>46438.204745907991</v>
      </c>
      <c r="C40" s="189">
        <f t="shared" si="9"/>
        <v>12972.123882382002</v>
      </c>
      <c r="D40" s="181">
        <f t="shared" si="9"/>
        <v>22160.748647207998</v>
      </c>
      <c r="E40" s="221"/>
      <c r="F40" s="225"/>
      <c r="G40" s="221"/>
      <c r="H40" s="225"/>
      <c r="I40" s="198">
        <f>[12]دولتی!$L$24*1000/1000</f>
        <v>17781.073394301999</v>
      </c>
      <c r="J40" s="179">
        <f>[12]دولتی!$T$24*1000/1000</f>
        <v>24277.456098699993</v>
      </c>
      <c r="K40" s="22"/>
      <c r="L40" s="148"/>
      <c r="M40" s="22"/>
      <c r="N40" s="148"/>
      <c r="O40" s="22"/>
      <c r="P40" s="148"/>
      <c r="Q40" s="22"/>
      <c r="R40" s="148"/>
      <c r="S40" s="211">
        <v>1388</v>
      </c>
      <c r="T40" s="133"/>
      <c r="U40" s="133"/>
      <c r="V40" s="133"/>
    </row>
    <row r="41" spans="1:22" s="1" customFormat="1" ht="18.899999999999999" customHeight="1">
      <c r="A41" s="173">
        <f>'جمع غير زندگى'!A41+'زندگى(عمر)'!A41</f>
        <v>39223.248747421996</v>
      </c>
      <c r="B41" s="174">
        <f>'جمع غير زندگى'!B41+'زندگى(عمر)'!B41</f>
        <v>59161.052180911996</v>
      </c>
      <c r="C41" s="189">
        <f>'جمع غير زندگى'!C41+'زندگى(عمر)'!C41</f>
        <v>19703.397295467919</v>
      </c>
      <c r="D41" s="181">
        <f>'جمع غير زندگى'!D41+'زندگى(عمر)'!D41</f>
        <v>31858.96241864</v>
      </c>
      <c r="E41" s="221">
        <f>'جمع غير زندگى'!E41+'زندگى(عمر)'!C41</f>
        <v>875.03220898400002</v>
      </c>
      <c r="F41" s="225">
        <f>'جمع غير زندگى'!F41+'زندگى(عمر)'!D41</f>
        <v>3077.7721913360001</v>
      </c>
      <c r="G41" s="221">
        <f>'جمع غير زندگى'!G41+'زندگى(عمر)'!E41</f>
        <v>0</v>
      </c>
      <c r="H41" s="225">
        <f>'جمع غير زندگى'!H41+'زندگى(عمر)'!F41</f>
        <v>0</v>
      </c>
      <c r="I41" s="198">
        <f>'جمع غير زندگى'!I41+'زندگى(عمر)'!G41</f>
        <v>19519.85145195408</v>
      </c>
      <c r="J41" s="179">
        <f>'جمع غير زندگى'!J41+'زندگى(عمر)'!H41</f>
        <v>27302.089762272</v>
      </c>
      <c r="K41" s="22"/>
      <c r="L41" s="148"/>
      <c r="M41" s="22"/>
      <c r="N41" s="148"/>
      <c r="O41" s="22"/>
      <c r="P41" s="148"/>
      <c r="Q41" s="22"/>
      <c r="R41" s="148"/>
      <c r="S41" s="211">
        <v>1389</v>
      </c>
      <c r="T41" s="133"/>
      <c r="U41" s="133"/>
      <c r="V41" s="133"/>
    </row>
    <row r="42" spans="1:22" s="1" customFormat="1" ht="19.5" customHeight="1">
      <c r="A42" s="542">
        <f>'جمع غير زندگى'!A42+'زندگى(عمر)'!A42</f>
        <v>53698.400000000009</v>
      </c>
      <c r="B42" s="223">
        <f>'جمع غير زندگى'!B42+'زندگى(عمر)'!B42</f>
        <v>86092.10000000002</v>
      </c>
      <c r="C42" s="543">
        <f>'جمع غير زندگى'!C42+'زندگى(عمر)'!C42</f>
        <v>25960.700000000012</v>
      </c>
      <c r="D42" s="223">
        <f>'جمع غير زندگى'!D42+'زندگى(عمر)'!D42</f>
        <v>45867.800000000032</v>
      </c>
      <c r="E42" s="542">
        <f>'جمع غير زندگى'!E42+'زندگى(عمر)'!C42</f>
        <v>1098.0000000000002</v>
      </c>
      <c r="F42" s="544">
        <f>'جمع غير زندگى'!F42+'زندگى(عمر)'!D42</f>
        <v>4693.8999999999996</v>
      </c>
      <c r="G42" s="542">
        <f>'جمع غير زندگى'!G42+'زندگى(عمر)'!E42</f>
        <v>0</v>
      </c>
      <c r="H42" s="544">
        <f>'جمع غير زندگى'!H42+'زندگى(عمر)'!F42</f>
        <v>0</v>
      </c>
      <c r="I42" s="545">
        <f>'جمع غير زندگى'!I42+'زندگى(عمر)'!G42</f>
        <v>27737.699999999993</v>
      </c>
      <c r="J42" s="546">
        <f>'جمع غير زندگى'!J42+'زندگى(عمر)'!H42</f>
        <v>40224.299999999988</v>
      </c>
      <c r="K42" s="547"/>
      <c r="L42" s="548"/>
      <c r="M42" s="547"/>
      <c r="N42" s="548"/>
      <c r="O42" s="547"/>
      <c r="P42" s="548"/>
      <c r="Q42" s="547"/>
      <c r="R42" s="548"/>
      <c r="S42" s="466">
        <v>1390</v>
      </c>
      <c r="T42" s="133">
        <f>'[18]جدول '!$I$12</f>
        <v>61.988093163456305</v>
      </c>
      <c r="U42" s="160">
        <f>'[18]جدول '!$I$11</f>
        <v>75.013772307695376</v>
      </c>
      <c r="V42" s="133">
        <f t="shared" si="5"/>
        <v>13.025679144239071</v>
      </c>
    </row>
    <row r="43" spans="1:22" s="1" customFormat="1" ht="19.5" customHeight="1">
      <c r="A43" s="220">
        <f>'جمع غير زندگى'!A43+'زندگى(عمر)'!A43</f>
        <v>78379.899999999965</v>
      </c>
      <c r="B43" s="533">
        <f>'جمع غير زندگى'!B43+'زندگى(عمر)'!B43</f>
        <v>131567</v>
      </c>
      <c r="C43" s="543">
        <f>'جمع غير زندگى'!C43+'زندگى(عمر)'!C43</f>
        <v>39288.099999999962</v>
      </c>
      <c r="D43" s="223">
        <f>'جمع غير زندگى'!D43+'زندگى(عمر)'!D43</f>
        <v>71833.2</v>
      </c>
      <c r="E43" s="532">
        <f>'جمع غير زندگى'!E43+'زندگى(عمر)'!C43</f>
        <v>1905.2</v>
      </c>
      <c r="F43" s="533">
        <f>'جمع غير زندگى'!F43+'زندگى(عمر)'!D43</f>
        <v>7889.6</v>
      </c>
      <c r="G43" s="533">
        <f>'جمع غير زندگى'!G43+'زندگى(عمر)'!E43</f>
        <v>0</v>
      </c>
      <c r="H43" s="533">
        <f>'جمع غير زندگى'!H43+'زندگى(عمر)'!F43</f>
        <v>0</v>
      </c>
      <c r="I43" s="534">
        <f>'جمع غير زندگى'!I43+'زندگى(عمر)'!G43</f>
        <v>39091.800000000003</v>
      </c>
      <c r="J43" s="527">
        <f>'جمع غير زندگى'!J43+'زندگى(عمر)'!H43</f>
        <v>59733.799999999988</v>
      </c>
      <c r="K43" s="476"/>
      <c r="L43" s="477"/>
      <c r="M43" s="477"/>
      <c r="N43" s="477"/>
      <c r="O43" s="477"/>
      <c r="P43" s="477"/>
      <c r="Q43" s="477"/>
      <c r="R43" s="477"/>
      <c r="S43" s="478">
        <v>1391</v>
      </c>
      <c r="T43" s="133"/>
      <c r="U43" s="160"/>
      <c r="V43" s="133"/>
    </row>
    <row r="44" spans="1:22" s="1" customFormat="1" ht="19.5" customHeight="1">
      <c r="A44" s="220">
        <f>'جمع غير زندگى'!A44+'زندگى(عمر)'!A44</f>
        <v>104877.20000000003</v>
      </c>
      <c r="B44" s="533">
        <f>'جمع غير زندگى'!B44+'زندگى(عمر)'!B44</f>
        <v>162055.9</v>
      </c>
      <c r="C44" s="543">
        <f>'جمع غير زندگى'!C44+'زندگى(عمر)'!C44</f>
        <v>53346.500000000029</v>
      </c>
      <c r="D44" s="223">
        <f>'جمع غير زندگى'!D44+'زندگى(عمر)'!D44</f>
        <v>91567.4</v>
      </c>
      <c r="E44" s="532">
        <f>'جمع غير زندگى'!E44+'زندگى(عمر)'!C44</f>
        <v>3047.3</v>
      </c>
      <c r="F44" s="533">
        <f>'جمع غير زندگى'!F44+'زندگى(عمر)'!D44</f>
        <v>11367.199999999999</v>
      </c>
      <c r="G44" s="533">
        <f>'جمع غير زندگى'!G44+'زندگى(عمر)'!E44</f>
        <v>0</v>
      </c>
      <c r="H44" s="533">
        <f>'جمع غير زندگى'!H44+'زندگى(عمر)'!F44</f>
        <v>0</v>
      </c>
      <c r="I44" s="534">
        <f>'جمع غير زندگى'!I44+'زندگى(عمر)'!G44</f>
        <v>51530.7</v>
      </c>
      <c r="J44" s="527">
        <f>'جمع غير زندگى'!J44+'زندگى(عمر)'!H44</f>
        <v>70488.500000000015</v>
      </c>
      <c r="K44" s="476"/>
      <c r="L44" s="477"/>
      <c r="M44" s="477"/>
      <c r="N44" s="477"/>
      <c r="O44" s="477"/>
      <c r="P44" s="477"/>
      <c r="Q44" s="477"/>
      <c r="R44" s="477"/>
      <c r="S44" s="478">
        <v>1392</v>
      </c>
      <c r="T44" s="133"/>
      <c r="U44" s="160"/>
      <c r="V44" s="133"/>
    </row>
    <row r="45" spans="1:22" s="1" customFormat="1" ht="19.5" customHeight="1">
      <c r="A45" s="220">
        <f>'جمع غير زندگى'!A45+'زندگى(عمر)'!A45</f>
        <v>124006.70000000001</v>
      </c>
      <c r="B45" s="533">
        <f>'جمع غير زندگى'!B45+'زندگى(عمر)'!B45</f>
        <v>208631.10000000006</v>
      </c>
      <c r="C45" s="543">
        <f>'جمع غير زندگى'!C45+'زندگى(عمر)'!C45</f>
        <v>63159.80000000001</v>
      </c>
      <c r="D45" s="223">
        <f>'جمع غير زندگى'!D45+'زندگى(عمر)'!D45</f>
        <v>122864.70000000007</v>
      </c>
      <c r="E45" s="532">
        <f>'جمع غير زندگى'!E45+'زندگى(عمر)'!C45</f>
        <v>4421.8</v>
      </c>
      <c r="F45" s="533">
        <f>'جمع غير زندگى'!F45+'زندگى(عمر)'!D45</f>
        <v>18053.5</v>
      </c>
      <c r="G45" s="533">
        <f>'جمع غير زندگى'!G45+'زندگى(عمر)'!E45</f>
        <v>0</v>
      </c>
      <c r="H45" s="533">
        <f>'جمع غير زندگى'!H45+'زندگى(عمر)'!F45</f>
        <v>0</v>
      </c>
      <c r="I45" s="534">
        <f>'جمع غير زندگى'!I45+'زندگى(عمر)'!G45</f>
        <v>60846.9</v>
      </c>
      <c r="J45" s="527">
        <f>'جمع غير زندگى'!J45+'زندگى(عمر)'!H45</f>
        <v>85766.399999999994</v>
      </c>
      <c r="K45" s="476"/>
      <c r="L45" s="477"/>
      <c r="M45" s="477"/>
      <c r="N45" s="477"/>
      <c r="O45" s="477"/>
      <c r="P45" s="477"/>
      <c r="Q45" s="477"/>
      <c r="R45" s="477"/>
      <c r="S45" s="478">
        <v>1393</v>
      </c>
      <c r="T45" s="133"/>
      <c r="U45" s="160"/>
      <c r="V45" s="133"/>
    </row>
    <row r="46" spans="1:22" s="1" customFormat="1" ht="19.5" customHeight="1">
      <c r="A46" s="220">
        <f>'جمع غير زندگى'!A46+'زندگى(عمر)'!A46</f>
        <v>147065.29999999999</v>
      </c>
      <c r="B46" s="533">
        <f>'جمع غير زندگى'!B46+'زندگى(عمر)'!B46</f>
        <v>228439.00000000003</v>
      </c>
      <c r="C46" s="543">
        <f>'جمع غير زندگى'!C46+'زندگى(عمر)'!C46</f>
        <v>81172.899999999994</v>
      </c>
      <c r="D46" s="223">
        <f>'جمع غير زندگى'!D46+'زندگى(عمر)'!D46</f>
        <v>136892.10000000003</v>
      </c>
      <c r="E46" s="532">
        <f>'جمع غير زندگى'!E46+'زندگى(عمر)'!C46</f>
        <v>5845.5</v>
      </c>
      <c r="F46" s="533">
        <f>'جمع غير زندگى'!F46+'زندگى(عمر)'!D46</f>
        <v>23298.3</v>
      </c>
      <c r="G46" s="533">
        <f>'جمع غير زندگى'!G46+'زندگى(عمر)'!E46</f>
        <v>0</v>
      </c>
      <c r="H46" s="533">
        <f>'جمع غير زندگى'!H46+'زندگى(عمر)'!F46</f>
        <v>0</v>
      </c>
      <c r="I46" s="534">
        <f>'جمع غير زندگى'!I46+'زندگى(عمر)'!G46</f>
        <v>65892.399999999994</v>
      </c>
      <c r="J46" s="527">
        <f>'جمع غير زندگى'!J46+'زندگى(عمر)'!H46</f>
        <v>91546.9</v>
      </c>
      <c r="K46" s="476"/>
      <c r="L46" s="477"/>
      <c r="M46" s="477"/>
      <c r="N46" s="477"/>
      <c r="O46" s="477"/>
      <c r="P46" s="477"/>
      <c r="Q46" s="477"/>
      <c r="R46" s="477"/>
      <c r="S46" s="478">
        <v>1394</v>
      </c>
      <c r="T46" s="133"/>
      <c r="U46" s="160"/>
      <c r="V46" s="133"/>
    </row>
    <row r="47" spans="1:22" s="1" customFormat="1" ht="19.5" customHeight="1">
      <c r="A47" s="220">
        <f>'جمع غير زندگى'!A47+'زندگى(عمر)'!A47</f>
        <v>183825.19999999995</v>
      </c>
      <c r="B47" s="533">
        <f>'جمع غير زندگى'!B47+'زندگى(عمر)'!B47</f>
        <v>280184.7</v>
      </c>
      <c r="C47" s="543">
        <f>'جمع غير زندگى'!C47+'زندگى(عمر)'!C47</f>
        <v>103407.29999999994</v>
      </c>
      <c r="D47" s="223">
        <f>'جمع غير زندگى'!D47+'زندگى(عمر)'!D47</f>
        <v>173684</v>
      </c>
      <c r="E47" s="532">
        <f>'جمع غير زندگى'!E47+'زندگى(عمر)'!C47</f>
        <v>7982.4000000000005</v>
      </c>
      <c r="F47" s="533">
        <f>'جمع غير زندگى'!F47+'زندگى(عمر)'!D47</f>
        <v>32447</v>
      </c>
      <c r="G47" s="533">
        <f>'جمع غير زندگى'!G47+'زندگى(عمر)'!E47</f>
        <v>0</v>
      </c>
      <c r="H47" s="533">
        <f>'جمع غير زندگى'!H47+'زندگى(عمر)'!F47</f>
        <v>0</v>
      </c>
      <c r="I47" s="534">
        <f>'جمع غير زندگى'!I47+'زندگى(عمر)'!G47</f>
        <v>80417.899999999994</v>
      </c>
      <c r="J47" s="527">
        <f>'جمع غير زندگى'!J47+'زندگى(عمر)'!H47</f>
        <v>106500.7</v>
      </c>
      <c r="K47" s="476"/>
      <c r="L47" s="477"/>
      <c r="M47" s="477"/>
      <c r="N47" s="477"/>
      <c r="O47" s="477"/>
      <c r="P47" s="477"/>
      <c r="Q47" s="477"/>
      <c r="R47" s="477"/>
      <c r="S47" s="478">
        <v>1395</v>
      </c>
      <c r="T47" s="133"/>
      <c r="U47" s="160"/>
      <c r="V47" s="133"/>
    </row>
    <row r="48" spans="1:22" s="1" customFormat="1" ht="19.5" customHeight="1">
      <c r="A48" s="220">
        <f>'جمع غير زندگى'!A48+'زندگى(عمر)'!A48</f>
        <v>218258.1</v>
      </c>
      <c r="B48" s="533">
        <f>'جمع غير زندگى'!B48+'زندگى(عمر)'!B48</f>
        <v>340518.19999999995</v>
      </c>
      <c r="C48" s="543">
        <f>'جمع غير زندگى'!C48+'زندگى(عمر)'!C48</f>
        <v>125854.50000000003</v>
      </c>
      <c r="D48" s="223">
        <f>'جمع غير زندگى'!D48+'زندگى(عمر)'!D48</f>
        <v>225363.39999999997</v>
      </c>
      <c r="E48" s="532">
        <f>'جمع غير زندگى'!E48+'زندگى(عمر)'!C48</f>
        <v>11460.599999999999</v>
      </c>
      <c r="F48" s="533">
        <f>'جمع غير زندگى'!F48+'زندگى(عمر)'!D48</f>
        <v>40296.299999999996</v>
      </c>
      <c r="G48" s="533">
        <f>'جمع غير زندگى'!G48+'زندگى(عمر)'!E48</f>
        <v>0</v>
      </c>
      <c r="H48" s="533">
        <f>'جمع غير زندگى'!H48+'زندگى(عمر)'!F48</f>
        <v>0</v>
      </c>
      <c r="I48" s="534">
        <f>'جمع غير زندگى'!I48+'زندگى(عمر)'!G48</f>
        <v>92403.599999999991</v>
      </c>
      <c r="J48" s="527">
        <f>'جمع غير زندگى'!J48+'زندگى(عمر)'!H48</f>
        <v>115154.79999999999</v>
      </c>
      <c r="K48" s="476"/>
      <c r="L48" s="477"/>
      <c r="M48" s="477"/>
      <c r="N48" s="477"/>
      <c r="O48" s="477"/>
      <c r="P48" s="477"/>
      <c r="Q48" s="477"/>
      <c r="R48" s="477"/>
      <c r="S48" s="478">
        <v>1396</v>
      </c>
      <c r="T48" s="133"/>
      <c r="U48" s="160"/>
      <c r="V48" s="133"/>
    </row>
    <row r="49" spans="1:22" s="1" customFormat="1" ht="19.5" customHeight="1">
      <c r="A49" s="220">
        <f>'جمع غير زندگى'!A49+'زندگى(عمر)'!A49</f>
        <v>289118.09999999998</v>
      </c>
      <c r="B49" s="533">
        <f>'جمع غير زندگى'!B49+'زندگى(عمر)'!B49</f>
        <v>457311.39999999997</v>
      </c>
      <c r="C49" s="543">
        <f>'جمع غير زندگى'!C49+'زندگى(عمر)'!C49</f>
        <v>184262.69999999995</v>
      </c>
      <c r="D49" s="223">
        <f>'جمع غير زندگى'!D49+'زندگى(عمر)'!D49</f>
        <v>298346.8</v>
      </c>
      <c r="E49" s="532">
        <f>'جمع غير زندگى'!E49+'زندگى(عمر)'!C49</f>
        <v>19350.300000000003</v>
      </c>
      <c r="F49" s="533">
        <f>'جمع غير زندگى'!F49+'زندگى(عمر)'!D49</f>
        <v>53384.799999999996</v>
      </c>
      <c r="G49" s="533">
        <f>'جمع غير زندگى'!G49+'زندگى(عمر)'!E49</f>
        <v>0</v>
      </c>
      <c r="H49" s="533">
        <f>'جمع غير زندگى'!H49+'زندگى(عمر)'!F49</f>
        <v>0</v>
      </c>
      <c r="I49" s="534">
        <f>'جمع غير زندگى'!I49+'زندگى(عمر)'!G49</f>
        <v>104855.4</v>
      </c>
      <c r="J49" s="527">
        <f>'جمع غير زندگى'!J49+'زندگى(عمر)'!H49</f>
        <v>158964.59999999998</v>
      </c>
      <c r="K49" s="476"/>
      <c r="L49" s="477"/>
      <c r="M49" s="477"/>
      <c r="N49" s="477"/>
      <c r="O49" s="477"/>
      <c r="P49" s="477"/>
      <c r="Q49" s="477"/>
      <c r="R49" s="477"/>
      <c r="S49" s="478">
        <v>1397</v>
      </c>
      <c r="T49" s="133"/>
      <c r="U49" s="160"/>
      <c r="V49" s="133"/>
    </row>
    <row r="50" spans="1:22" s="1" customFormat="1" ht="19.5" customHeight="1">
      <c r="A50" s="220">
        <f>'جمع غير زندگى'!A50+'زندگى(عمر)'!A50</f>
        <v>336811.39999999997</v>
      </c>
      <c r="B50" s="533">
        <f>'جمع غير زندگى'!B50+'زندگى(عمر)'!B50</f>
        <v>594652.60000000009</v>
      </c>
      <c r="C50" s="543">
        <f>'جمع غير زندگى'!C50+'زندگى(عمر)'!C50</f>
        <v>220427.39999999997</v>
      </c>
      <c r="D50" s="223">
        <f>'جمع غير زندگى'!D50+'زندگى(عمر)'!D50</f>
        <v>344562.8000000001</v>
      </c>
      <c r="E50" s="532">
        <f>'جمع غير زندگى'!E50+'زندگى(عمر)'!C50</f>
        <v>21449.8</v>
      </c>
      <c r="F50" s="533">
        <f>'جمع غير زندگى'!F50+'زندگى(عمر)'!D50</f>
        <v>8850.7999999999993</v>
      </c>
      <c r="G50" s="533">
        <f>'جمع غير زندگى'!G50+'زندگى(عمر)'!E50</f>
        <v>0</v>
      </c>
      <c r="H50" s="533">
        <f>'جمع غير زندگى'!H50+'زندگى(عمر)'!F50</f>
        <v>0</v>
      </c>
      <c r="I50" s="534">
        <f>'جمع غير زندگى'!I50+'زندگى(عمر)'!G50</f>
        <v>116384</v>
      </c>
      <c r="J50" s="527">
        <f>'جمع غير زندگى'!J50+'زندگى(عمر)'!H50</f>
        <v>189927.49999999994</v>
      </c>
      <c r="K50" s="476"/>
      <c r="L50" s="477"/>
      <c r="M50" s="477"/>
      <c r="N50" s="477"/>
      <c r="O50" s="477"/>
      <c r="P50" s="477"/>
      <c r="Q50" s="477"/>
      <c r="R50" s="477"/>
      <c r="S50" s="478">
        <v>1398</v>
      </c>
      <c r="T50" s="133"/>
      <c r="U50" s="160"/>
      <c r="V50" s="133"/>
    </row>
    <row r="51" spans="1:22" s="1" customFormat="1" ht="19.5" customHeight="1" thickBot="1">
      <c r="A51" s="535">
        <f>'جمع غير زندگى'!A51+'زندگى(عمر)'!A51</f>
        <v>439615.00000000006</v>
      </c>
      <c r="B51" s="539">
        <f>'جمع غير زندگى'!B51+'زندگى(عمر)'!B51</f>
        <v>820289.10000000009</v>
      </c>
      <c r="C51" s="537">
        <f>'جمع غير زندگى'!C51+'زندگى(عمر)'!C51</f>
        <v>292777.40000000008</v>
      </c>
      <c r="D51" s="536">
        <f>'جمع غير زندگى'!D51+'زندگى(عمر)'!D51</f>
        <v>558384.9</v>
      </c>
      <c r="E51" s="538">
        <f>'جمع غير زندگى'!E51+'زندگى(عمر)'!C51</f>
        <v>33044.800000000003</v>
      </c>
      <c r="F51" s="539">
        <f>'جمع غير زندگى'!F51+'زندگى(عمر)'!D51</f>
        <v>100931.4</v>
      </c>
      <c r="G51" s="539">
        <f>'جمع غير زندگى'!G51+'زندگى(عمر)'!E51</f>
        <v>0</v>
      </c>
      <c r="H51" s="539">
        <f>'جمع غير زندگى'!H51+'زندگى(عمر)'!F51</f>
        <v>0</v>
      </c>
      <c r="I51" s="540">
        <f>'جمع غير زندگى'!I51+'زندگى(عمر)'!G51</f>
        <v>146837.6</v>
      </c>
      <c r="J51" s="541">
        <f>'جمع غير زندگى'!J51+'زندگى(عمر)'!H51</f>
        <v>261904.2</v>
      </c>
      <c r="K51" s="480"/>
      <c r="L51" s="481"/>
      <c r="M51" s="481"/>
      <c r="N51" s="481"/>
      <c r="O51" s="481"/>
      <c r="P51" s="481"/>
      <c r="Q51" s="481"/>
      <c r="R51" s="481"/>
      <c r="S51" s="482">
        <v>1399</v>
      </c>
      <c r="T51" s="133"/>
      <c r="U51" s="160"/>
      <c r="V51" s="133"/>
    </row>
    <row r="52" spans="1:22" ht="17.25" customHeight="1">
      <c r="A52" s="563" t="s">
        <v>32</v>
      </c>
      <c r="B52" s="563"/>
      <c r="C52" s="563"/>
      <c r="D52" s="563"/>
      <c r="E52" s="563"/>
      <c r="F52" s="563"/>
      <c r="G52" s="563"/>
      <c r="H52" s="563"/>
      <c r="I52" s="563"/>
      <c r="J52" s="563"/>
      <c r="K52" s="563"/>
      <c r="L52" s="563"/>
      <c r="M52" s="563"/>
      <c r="N52" s="563"/>
      <c r="O52" s="563"/>
      <c r="P52" s="563"/>
      <c r="Q52" s="563"/>
      <c r="R52" s="563"/>
      <c r="S52" s="563"/>
      <c r="T52" s="153">
        <f>56.9</f>
        <v>56.9</v>
      </c>
      <c r="U52" s="131">
        <f>T52+V52</f>
        <v>74.223796538087896</v>
      </c>
      <c r="V52" s="131">
        <f>FORECAST(T52,V32:V42,T32:T42)</f>
        <v>17.323796538087905</v>
      </c>
    </row>
    <row r="54" spans="1:22" ht="14.1" customHeight="1">
      <c r="E54" s="131">
        <f>(G28+E28)/A28*100</f>
        <v>0</v>
      </c>
      <c r="F54" s="131">
        <f>(H28+F28)/B28*100</f>
        <v>0</v>
      </c>
      <c r="G54">
        <v>1376</v>
      </c>
    </row>
    <row r="55" spans="1:22" ht="14.1" customHeight="1">
      <c r="E55" s="131"/>
      <c r="F55" s="131"/>
    </row>
    <row r="56" spans="1:22" ht="14.1" customHeight="1">
      <c r="E56" s="131"/>
      <c r="F56" s="131"/>
    </row>
    <row r="57" spans="1:22" ht="14.1" customHeight="1">
      <c r="E57" s="131"/>
      <c r="F57" s="131"/>
    </row>
    <row r="58" spans="1:22" ht="14.1" customHeight="1">
      <c r="E58" s="131">
        <f t="shared" ref="E58:F61" si="10">(G32+E32)/A32*100</f>
        <v>0</v>
      </c>
      <c r="F58" s="131">
        <f t="shared" si="10"/>
        <v>0</v>
      </c>
      <c r="G58">
        <v>1380</v>
      </c>
    </row>
    <row r="59" spans="1:22" ht="14.1" customHeight="1">
      <c r="E59" s="131">
        <f t="shared" si="10"/>
        <v>0</v>
      </c>
      <c r="F59" s="131">
        <f t="shared" si="10"/>
        <v>0</v>
      </c>
      <c r="G59">
        <v>1381</v>
      </c>
    </row>
    <row r="60" spans="1:22" ht="14.1" customHeight="1">
      <c r="E60" s="131">
        <f t="shared" si="10"/>
        <v>6.5639106820805215E-4</v>
      </c>
      <c r="F60" s="131">
        <f t="shared" si="10"/>
        <v>4.8775774497236961E-2</v>
      </c>
      <c r="G60">
        <v>1382</v>
      </c>
    </row>
    <row r="61" spans="1:22" ht="14.1" customHeight="1">
      <c r="E61" s="131">
        <f t="shared" si="10"/>
        <v>1301.3753226107979</v>
      </c>
      <c r="F61" s="131">
        <f t="shared" si="10"/>
        <v>11166.040758047884</v>
      </c>
      <c r="G61">
        <v>1383</v>
      </c>
    </row>
    <row r="62" spans="1:22" ht="14.1" hidden="1" customHeight="1">
      <c r="A62" s="121">
        <f>'جمع غير زندگى'!A33+'زندگى(عمر)'!A33</f>
        <v>5526.649015989</v>
      </c>
      <c r="B62" s="121">
        <f>'جمع غير زندگى'!B33+'زندگى(عمر)'!B33</f>
        <v>9178.7904706369991</v>
      </c>
      <c r="C62" s="121">
        <f>'جمع غير زندگى'!C33+'زندگى(عمر)'!C33</f>
        <v>1.2939236199990773</v>
      </c>
      <c r="D62" s="121">
        <f>'جمع غير زندگى'!D33+'زندگى(عمر)'!D33</f>
        <v>92.918119283000124</v>
      </c>
      <c r="E62" s="121">
        <f>'جمع غير زندگى'!E33+'زندگى(عمر)'!C33</f>
        <v>0</v>
      </c>
      <c r="F62" s="121">
        <f>'جمع غير زندگى'!F33+'زندگى(عمر)'!D33</f>
        <v>0</v>
      </c>
      <c r="G62" s="121">
        <f>'جمع غير زندگى'!G33+'زندگى(عمر)'!E33</f>
        <v>0</v>
      </c>
      <c r="H62" s="121">
        <f>'جمع غير زندگى'!H33+'زندگى(عمر)'!F33</f>
        <v>0</v>
      </c>
      <c r="I62" s="121">
        <f>'جمع غير زندگى'!I33+'زندگى(عمر)'!G33</f>
        <v>5525.3550923690009</v>
      </c>
      <c r="J62" s="121">
        <f>'جمع غير زندگى'!J33+'زندگى(عمر)'!H33</f>
        <v>9085.872351353999</v>
      </c>
    </row>
    <row r="63" spans="1:22" ht="14.1" hidden="1" customHeight="1">
      <c r="A63" s="121">
        <f>'جمع غير زندگى'!A34+'زندگى(عمر)'!A34</f>
        <v>7617.4101723400017</v>
      </c>
      <c r="B63" s="121">
        <f>'جمع غير زندگى'!B34+'زندگى(عمر)'!B34</f>
        <v>12743.403716432998</v>
      </c>
      <c r="C63" s="121">
        <f>'جمع غير زندگى'!C34+'زندگى(عمر)'!C34</f>
        <v>7.9855434660001379</v>
      </c>
      <c r="D63" s="121">
        <f>'جمع غير زندگى'!D34+'زندگى(عمر)'!D34</f>
        <v>377.74469069699603</v>
      </c>
      <c r="E63" s="121">
        <f>'جمع غير زندگى'!E34+'زندگى(عمر)'!C34</f>
        <v>5.0000000000011369E-2</v>
      </c>
      <c r="F63" s="121">
        <f>'جمع غير زندگى'!F34+'زندگى(عمر)'!D34</f>
        <v>6.2156938599998739</v>
      </c>
      <c r="G63" s="121">
        <f>'جمع غير زندگى'!G34+'زندگى(عمر)'!E34</f>
        <v>0</v>
      </c>
      <c r="H63" s="121">
        <f>'جمع غير زندگى'!H34+'زندگى(عمر)'!F34</f>
        <v>0</v>
      </c>
      <c r="I63" s="121">
        <f>'جمع غير زندگى'!I34+'زندگى(عمر)'!G34</f>
        <v>7609.4246288740014</v>
      </c>
      <c r="J63" s="121">
        <f>'جمع غير زندگى'!J34+'زندگى(عمر)'!H34</f>
        <v>12365.659025736002</v>
      </c>
    </row>
    <row r="64" spans="1:22" ht="14.1" hidden="1" customHeight="1">
      <c r="A64" s="121">
        <f>'جمع غير زندگى'!A35+'زندگى(عمر)'!A35</f>
        <v>10032.300823799002</v>
      </c>
      <c r="B64" s="121">
        <f>'جمع غير زندگى'!B35+'زندگى(عمر)'!B35</f>
        <v>17317.627238618999</v>
      </c>
      <c r="C64" s="121">
        <f>'جمع غير زندگى'!C35+'زندگى(عمر)'!C35</f>
        <v>130.55787857499899</v>
      </c>
      <c r="D64" s="121">
        <f>'جمع غير زندگى'!D35+'زندگى(عمر)'!D35</f>
        <v>1933.6933157909993</v>
      </c>
      <c r="E64" s="121">
        <f>'جمع غير زندگى'!E35+'زندگى(عمر)'!C35</f>
        <v>4.7789379099999678</v>
      </c>
      <c r="F64" s="121">
        <f>'جمع غير زندگى'!F35+'زندگى(عمر)'!D35</f>
        <v>42.348110640000073</v>
      </c>
      <c r="G64" s="121">
        <f>'جمع غير زندگى'!G35+'زندگى(عمر)'!E35</f>
        <v>0</v>
      </c>
      <c r="H64" s="121">
        <f>'جمع غير زندگى'!H35+'زندگى(عمر)'!F35</f>
        <v>0</v>
      </c>
      <c r="I64" s="121">
        <f>'جمع غير زندگى'!I35+'زندگى(عمر)'!G35</f>
        <v>9901.7429452240031</v>
      </c>
      <c r="J64" s="121">
        <f>'جمع غير زندگى'!J35+'زندگى(عمر)'!H35</f>
        <v>15383.933922828001</v>
      </c>
    </row>
    <row r="65" spans="1:10" ht="14.1" hidden="1" customHeight="1">
      <c r="A65" s="121">
        <f>'جمع غير زندگى'!A36+'زندگى(عمر)'!A36</f>
        <v>14534.977553633998</v>
      </c>
      <c r="B65" s="121">
        <f>'جمع غير زندگى'!B36+'زندگى(عمر)'!B36</f>
        <v>21529.919274113003</v>
      </c>
      <c r="C65" s="121">
        <f>'جمع غير زندگى'!C36+'زندگى(عمر)'!C36</f>
        <v>1245.6891452359996</v>
      </c>
      <c r="D65" s="121">
        <f>'جمع غير زندگى'!D36+'زندگى(عمر)'!D36</f>
        <v>2962.5645326710028</v>
      </c>
      <c r="E65" s="121">
        <f>'جمع غير زندگى'!E36+'زندگى(عمر)'!C36</f>
        <v>18.194534121999936</v>
      </c>
      <c r="F65" s="121">
        <f>'جمع غير زندگى'!F36+'زندگى(عمر)'!D36</f>
        <v>97.249974694000002</v>
      </c>
      <c r="G65" s="121">
        <f>'جمع غير زندگى'!G36+'زندگى(عمر)'!E36</f>
        <v>0</v>
      </c>
      <c r="H65" s="121">
        <f>'جمع غير زندگى'!H36+'زندگى(عمر)'!F36</f>
        <v>0</v>
      </c>
      <c r="I65" s="121">
        <f>'جمع غير زندگى'!I36+'زندگى(عمر)'!G36</f>
        <v>13289.288408397999</v>
      </c>
      <c r="J65" s="121">
        <f>'جمع غير زندگى'!J36+'زندگى(عمر)'!H36</f>
        <v>18567.354741441999</v>
      </c>
    </row>
    <row r="66" spans="1:10" ht="14.1" hidden="1" customHeight="1">
      <c r="A66" s="121">
        <f>'جمع غير زندگى'!A37+'زندگى(عمر)'!A37</f>
        <v>16466.653568268004</v>
      </c>
      <c r="B66" s="121">
        <f>'جمع غير زندگى'!B37+'زندگى(عمر)'!B37</f>
        <v>26561.088595235004</v>
      </c>
      <c r="C66" s="121">
        <f>'جمع غير زندگى'!C37+'زندگى(عمر)'!C37</f>
        <v>1757.2975576880058</v>
      </c>
      <c r="D66" s="121">
        <f>'جمع غير زندگى'!D37+'زندگى(عمر)'!D37</f>
        <v>4334.3220029140002</v>
      </c>
      <c r="E66" s="121">
        <f>'جمع غير زندگى'!E37+'زندگى(عمر)'!C37</f>
        <v>41.6917416</v>
      </c>
      <c r="F66" s="121">
        <f>'جمع غير زندگى'!F37+'زندگى(عمر)'!D37</f>
        <v>252.041764134</v>
      </c>
      <c r="G66" s="121">
        <f>'جمع غير زندگى'!G37+'زندگى(عمر)'!E37</f>
        <v>0</v>
      </c>
      <c r="H66" s="121">
        <f>'جمع غير زندگى'!H37+'زندگى(عمر)'!F37</f>
        <v>0</v>
      </c>
      <c r="I66" s="121">
        <f>'جمع غير زندگى'!I37+'زندگى(عمر)'!G37</f>
        <v>14709.356010579997</v>
      </c>
      <c r="J66" s="121">
        <f>'جمع غير زندگى'!J37+'زندگى(عمر)'!H37</f>
        <v>22226.766592321004</v>
      </c>
    </row>
    <row r="67" spans="1:10" ht="14.1" hidden="1" customHeight="1">
      <c r="A67" s="121">
        <f>'جمع غير زندگى'!A38+'زندگى(عمر)'!A38</f>
        <v>20823.504796099998</v>
      </c>
      <c r="B67" s="121">
        <f>'جمع غير زندگى'!B38+'زندگى(عمر)'!B38</f>
        <v>33824.090799140002</v>
      </c>
      <c r="C67" s="121">
        <f>'جمع غير زندگى'!C38+'زندگى(عمر)'!C38</f>
        <v>3256.0148617979985</v>
      </c>
      <c r="D67" s="121">
        <f>'جمع غير زندگى'!D38+'زندگى(عمر)'!D38</f>
        <v>7493.6836709540012</v>
      </c>
      <c r="E67" s="121">
        <f>'جمع غير زندگى'!E38+'زندگى(عمر)'!C38</f>
        <v>136.13623415799998</v>
      </c>
      <c r="F67" s="121">
        <f>'جمع غير زندگى'!F38+'زندگى(عمر)'!D38</f>
        <v>500.28197962200011</v>
      </c>
      <c r="G67" s="121">
        <f>'جمع غير زندگى'!G38+'زندگى(عمر)'!E38</f>
        <v>0</v>
      </c>
      <c r="H67" s="121">
        <f>'جمع غير زندگى'!H38+'زندگى(عمر)'!F38</f>
        <v>0</v>
      </c>
      <c r="I67" s="121">
        <f>'جمع غير زندگى'!I38+'زندگى(عمر)'!G38</f>
        <v>17567.489934302001</v>
      </c>
      <c r="J67" s="121">
        <f>'جمع غير زندگى'!J38+'زندگى(عمر)'!H38</f>
        <v>26330.407128185998</v>
      </c>
    </row>
    <row r="68" spans="1:10" ht="14.1" hidden="1" customHeight="1">
      <c r="A68" s="121">
        <f>'جمع غير زندگى'!A39+'زندگى(عمر)'!A39</f>
        <v>24752.639463136005</v>
      </c>
      <c r="B68" s="121">
        <f>'جمع غير زندگى'!B39+'زندگى(عمر)'!B39</f>
        <v>40560.988844432002</v>
      </c>
      <c r="C68" s="121">
        <f>'جمع غير زندگى'!C39+'زندگى(عمر)'!C39</f>
        <v>4622.0456939780015</v>
      </c>
      <c r="D68" s="121">
        <f>'جمع غير زندگى'!D39+'زندگى(عمر)'!D39</f>
        <v>10164.214501058001</v>
      </c>
      <c r="E68" s="121">
        <f>'جمع غير زندگى'!E39+'زندگى(عمر)'!C39</f>
        <v>291.14058430199998</v>
      </c>
      <c r="F68" s="121">
        <f>'جمع غير زندگى'!F39+'زندگى(عمر)'!D39</f>
        <v>769.68363784199983</v>
      </c>
      <c r="G68" s="121">
        <f>'جمع غير زندگى'!G39+'زندگى(عمر)'!E39</f>
        <v>0</v>
      </c>
      <c r="H68" s="121">
        <f>'جمع غير زندگى'!H39+'زندگى(عمر)'!F39</f>
        <v>0</v>
      </c>
      <c r="I68" s="121">
        <f>'جمع غير زندگى'!I39+'زندگى(عمر)'!G39</f>
        <v>20130.593769158004</v>
      </c>
      <c r="J68" s="121">
        <f>'جمع غير زندگى'!J39+'زندگى(عمر)'!H39</f>
        <v>30396.774343374003</v>
      </c>
    </row>
    <row r="69" spans="1:10" ht="14.1" hidden="1" customHeight="1">
      <c r="A69" s="121">
        <f>'جمع غير زندگى'!A40+'زندگى(عمر)'!A40</f>
        <v>30753.197276684001</v>
      </c>
      <c r="B69" s="121">
        <f>'جمع غير زندگى'!B40+'زندگى(عمر)'!B40</f>
        <v>46438.204745907991</v>
      </c>
      <c r="C69" s="121">
        <f>'جمع غير زندگى'!C40+'زندگى(عمر)'!C40</f>
        <v>12972.123882382</v>
      </c>
      <c r="D69" s="121">
        <f>'جمع غير زندگى'!D40+'زندگى(عمر)'!D40</f>
        <v>22160.748647208002</v>
      </c>
      <c r="E69" s="121">
        <f>'جمع غير زندگى'!E40+'زندگى(عمر)'!C40</f>
        <v>690.72007658999996</v>
      </c>
      <c r="F69" s="121">
        <f>'جمع غير زندگى'!F40+'زندگى(عمر)'!D40</f>
        <v>1829.965980768</v>
      </c>
      <c r="G69" s="121">
        <f>'جمع غير زندگى'!G40+'زندگى(عمر)'!E40</f>
        <v>0</v>
      </c>
      <c r="H69" s="121">
        <f>'جمع غير زندگى'!H40+'زندگى(عمر)'!F40</f>
        <v>0</v>
      </c>
      <c r="I69" s="121">
        <f>'جمع غير زندگى'!I40+'زندگى(عمر)'!G40</f>
        <v>17781.073394301999</v>
      </c>
      <c r="J69" s="121">
        <f>'جمع غير زندگى'!J40+'زندگى(عمر)'!H40</f>
        <v>24277.456098699993</v>
      </c>
    </row>
    <row r="70" spans="1:10" ht="14.1" hidden="1" customHeight="1">
      <c r="A70" s="121">
        <f>'جمع غير زندگى'!A41+'زندگى(عمر)'!A41</f>
        <v>39223.248747421996</v>
      </c>
      <c r="B70" s="121">
        <f>'جمع غير زندگى'!B41+'زندگى(عمر)'!B41</f>
        <v>59161.052180911996</v>
      </c>
      <c r="C70" s="121">
        <f>'جمع غير زندگى'!C41+'زندگى(عمر)'!C41</f>
        <v>19703.397295467919</v>
      </c>
      <c r="D70" s="121">
        <f>'جمع غير زندگى'!D41+'زندگى(عمر)'!D41</f>
        <v>31858.96241864</v>
      </c>
      <c r="E70" s="121">
        <f>'جمع غير زندگى'!E41+'زندگى(عمر)'!C41</f>
        <v>875.03220898400002</v>
      </c>
      <c r="F70" s="121">
        <f>'جمع غير زندگى'!F41+'زندگى(عمر)'!D41</f>
        <v>3077.7721913360001</v>
      </c>
      <c r="G70" s="121">
        <f>'جمع غير زندگى'!G41+'زندگى(عمر)'!E41</f>
        <v>0</v>
      </c>
      <c r="H70" s="121">
        <f>'جمع غير زندگى'!H41+'زندگى(عمر)'!F41</f>
        <v>0</v>
      </c>
      <c r="I70" s="121">
        <f>'جمع غير زندگى'!I41+'زندگى(عمر)'!G41</f>
        <v>19519.85145195408</v>
      </c>
      <c r="J70" s="121">
        <f>'جمع غير زندگى'!J41+'زندگى(عمر)'!H41</f>
        <v>27302.089762272</v>
      </c>
    </row>
    <row r="71" spans="1:10" ht="14.1" hidden="1" customHeight="1">
      <c r="A71" s="121">
        <f>'جمع غير زندگى'!A42+'زندگى(عمر)'!A42</f>
        <v>53698.400000000009</v>
      </c>
      <c r="B71" s="121">
        <f>'جمع غير زندگى'!B42+'زندگى(عمر)'!B42</f>
        <v>86092.10000000002</v>
      </c>
      <c r="C71" s="121">
        <f>'جمع غير زندگى'!C42+'زندگى(عمر)'!C42</f>
        <v>25960.700000000012</v>
      </c>
      <c r="D71" s="121">
        <f>'جمع غير زندگى'!D42+'زندگى(عمر)'!D42</f>
        <v>45867.800000000032</v>
      </c>
      <c r="E71" s="121">
        <f>'جمع غير زندگى'!E42+'زندگى(عمر)'!C42</f>
        <v>1098.0000000000002</v>
      </c>
      <c r="F71" s="121">
        <f>'جمع غير زندگى'!F42+'زندگى(عمر)'!D42</f>
        <v>4693.8999999999996</v>
      </c>
      <c r="G71" s="121">
        <f>'جمع غير زندگى'!G42+'زندگى(عمر)'!E42</f>
        <v>0</v>
      </c>
      <c r="H71" s="121">
        <f>'جمع غير زندگى'!H42+'زندگى(عمر)'!F42</f>
        <v>0</v>
      </c>
      <c r="I71" s="121">
        <f>'جمع غير زندگى'!I42+'زندگى(عمر)'!G42</f>
        <v>27737.699999999993</v>
      </c>
      <c r="J71" s="121">
        <f>'جمع غير زندگى'!J42+'زندگى(عمر)'!H42</f>
        <v>40224.299999999988</v>
      </c>
    </row>
    <row r="72" spans="1:10" ht="14.1" customHeight="1">
      <c r="A72" s="121"/>
      <c r="B72" s="121"/>
      <c r="C72" s="121"/>
      <c r="D72" s="121"/>
      <c r="E72" s="121">
        <f>'جمع غير زندگى'!E52+'زندگى(عمر)'!C52</f>
        <v>0</v>
      </c>
      <c r="F72" s="121">
        <f>'جمع غير زندگى'!F52+'زندگى(عمر)'!D52</f>
        <v>0</v>
      </c>
      <c r="G72" s="121">
        <f>'جمع غير زندگى'!G52+'زندگى(عمر)'!E52</f>
        <v>0</v>
      </c>
      <c r="H72" s="121">
        <f>'جمع غير زندگى'!H52+'زندگى(عمر)'!F52</f>
        <v>0</v>
      </c>
      <c r="I72" s="121"/>
      <c r="J72" s="121"/>
    </row>
  </sheetData>
  <dataConsolidate/>
  <mergeCells count="14">
    <mergeCell ref="A3:B3"/>
    <mergeCell ref="S4:S5"/>
    <mergeCell ref="A1:S1"/>
    <mergeCell ref="A2:S2"/>
    <mergeCell ref="I4:J4"/>
    <mergeCell ref="C4:D4"/>
    <mergeCell ref="A52:S52"/>
    <mergeCell ref="A4:B4"/>
    <mergeCell ref="G4:H4"/>
    <mergeCell ref="K4:L4"/>
    <mergeCell ref="M4:N4"/>
    <mergeCell ref="O4:P4"/>
    <mergeCell ref="Q4:R4"/>
    <mergeCell ref="E4:F4"/>
  </mergeCells>
  <phoneticPr fontId="0" type="noConversion"/>
  <printOptions horizontalCentered="1" verticalCentered="1"/>
  <pageMargins left="0.35433070866141736" right="0.31496062992125984" top="0.98425196850393704" bottom="0.19685039370078741" header="0.51181102362204722" footer="0.15748031496062992"/>
  <pageSetup paperSize="9" scale="56" orientation="landscape" horizontalDpi="180" verticalDpi="18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59"/>
  <sheetViews>
    <sheetView zoomScale="80" zoomScaleNormal="80" zoomScaleSheetLayoutView="10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13.88671875" hidden="1" customWidth="1"/>
    <col min="19" max="19" width="20.6640625" customWidth="1"/>
  </cols>
  <sheetData>
    <row r="1" spans="1:29" ht="21" customHeight="1">
      <c r="A1" s="549" t="s">
        <v>35</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56</v>
      </c>
      <c r="B3" s="550"/>
      <c r="C3" s="86"/>
      <c r="D3" s="86"/>
      <c r="E3" s="86"/>
      <c r="F3" s="86"/>
      <c r="G3" s="1"/>
      <c r="H3" s="1"/>
      <c r="I3" s="1"/>
      <c r="J3" s="1"/>
      <c r="K3" s="1"/>
      <c r="L3" s="1"/>
      <c r="M3" s="1"/>
      <c r="N3" s="1"/>
      <c r="O3" s="1"/>
      <c r="P3" s="1"/>
      <c r="Q3" s="1"/>
      <c r="R3" s="1"/>
      <c r="S3" s="1"/>
      <c r="Y3" s="2"/>
      <c r="Z3" s="2"/>
      <c r="AA3" s="2"/>
      <c r="AB3" s="2"/>
      <c r="AC3" s="2"/>
    </row>
    <row r="4" spans="1:29" ht="24"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9" ht="24" customHeight="1" thickBot="1">
      <c r="A5" s="185" t="s">
        <v>25</v>
      </c>
      <c r="B5" s="186" t="s">
        <v>34</v>
      </c>
      <c r="C5" s="185" t="s">
        <v>25</v>
      </c>
      <c r="D5" s="186" t="s">
        <v>34</v>
      </c>
      <c r="E5" s="185" t="s">
        <v>1</v>
      </c>
      <c r="F5" s="186" t="s">
        <v>0</v>
      </c>
      <c r="G5" s="185" t="s">
        <v>1</v>
      </c>
      <c r="H5" s="186" t="s">
        <v>0</v>
      </c>
      <c r="I5" s="185" t="s">
        <v>25</v>
      </c>
      <c r="J5" s="186" t="s">
        <v>34</v>
      </c>
      <c r="K5" s="161" t="s">
        <v>1</v>
      </c>
      <c r="L5" s="162" t="s">
        <v>0</v>
      </c>
      <c r="M5" s="163" t="s">
        <v>1</v>
      </c>
      <c r="N5" s="164" t="s">
        <v>0</v>
      </c>
      <c r="O5" s="161" t="s">
        <v>1</v>
      </c>
      <c r="P5" s="162" t="s">
        <v>0</v>
      </c>
      <c r="Q5" s="161" t="s">
        <v>1</v>
      </c>
      <c r="R5" s="162" t="s">
        <v>0</v>
      </c>
      <c r="S5" s="558"/>
    </row>
    <row r="6" spans="1:29" ht="18.899999999999999" customHeight="1">
      <c r="A6" s="284">
        <v>2.1869999999999998</v>
      </c>
      <c r="B6" s="285">
        <v>5.9909999999999997</v>
      </c>
      <c r="C6" s="284">
        <v>0</v>
      </c>
      <c r="D6" s="285">
        <v>0</v>
      </c>
      <c r="E6" s="284"/>
      <c r="F6" s="285"/>
      <c r="G6" s="284">
        <v>0</v>
      </c>
      <c r="H6" s="285">
        <v>0</v>
      </c>
      <c r="I6" s="284">
        <v>2.1869999999999998</v>
      </c>
      <c r="J6" s="285">
        <v>5.9909999999999997</v>
      </c>
      <c r="K6" s="18">
        <v>845</v>
      </c>
      <c r="L6" s="19">
        <v>2186</v>
      </c>
      <c r="M6" s="43">
        <v>388</v>
      </c>
      <c r="N6" s="44">
        <v>620</v>
      </c>
      <c r="O6" s="18">
        <v>223</v>
      </c>
      <c r="P6" s="19">
        <v>245</v>
      </c>
      <c r="Q6" s="18">
        <v>731</v>
      </c>
      <c r="R6" s="19">
        <v>2940</v>
      </c>
      <c r="S6" s="169">
        <v>1354</v>
      </c>
    </row>
    <row r="7" spans="1:29" ht="18.899999999999999" customHeight="1">
      <c r="A7" s="286">
        <v>4.3869999999999996</v>
      </c>
      <c r="B7" s="287">
        <v>7.5149999999999997</v>
      </c>
      <c r="C7" s="286">
        <v>0</v>
      </c>
      <c r="D7" s="287">
        <v>0</v>
      </c>
      <c r="E7" s="286"/>
      <c r="F7" s="287"/>
      <c r="G7" s="286">
        <v>0</v>
      </c>
      <c r="H7" s="287">
        <v>0</v>
      </c>
      <c r="I7" s="286">
        <v>4.3869999999999996</v>
      </c>
      <c r="J7" s="287">
        <v>7.5149999999999997</v>
      </c>
      <c r="K7" s="6">
        <v>2173</v>
      </c>
      <c r="L7" s="7">
        <v>2420</v>
      </c>
      <c r="M7" s="37">
        <v>630</v>
      </c>
      <c r="N7" s="38">
        <v>581</v>
      </c>
      <c r="O7" s="6">
        <v>455</v>
      </c>
      <c r="P7" s="7">
        <v>528</v>
      </c>
      <c r="Q7" s="6">
        <v>1129</v>
      </c>
      <c r="R7" s="7">
        <v>3986</v>
      </c>
      <c r="S7" s="170">
        <v>1355</v>
      </c>
    </row>
    <row r="8" spans="1:29" ht="18.899999999999999" customHeight="1">
      <c r="A8" s="286">
        <v>4.0730000000000004</v>
      </c>
      <c r="B8" s="287">
        <v>9.2330000000000005</v>
      </c>
      <c r="C8" s="286">
        <v>0</v>
      </c>
      <c r="D8" s="287">
        <v>0</v>
      </c>
      <c r="E8" s="286"/>
      <c r="F8" s="287"/>
      <c r="G8" s="286">
        <v>0</v>
      </c>
      <c r="H8" s="287">
        <v>0</v>
      </c>
      <c r="I8" s="286">
        <v>4.0730000000000004</v>
      </c>
      <c r="J8" s="287">
        <v>9.2330000000000005</v>
      </c>
      <c r="K8" s="6">
        <v>1837</v>
      </c>
      <c r="L8" s="7">
        <v>2876</v>
      </c>
      <c r="M8" s="37">
        <v>444</v>
      </c>
      <c r="N8" s="38">
        <v>817</v>
      </c>
      <c r="O8" s="6">
        <v>234</v>
      </c>
      <c r="P8" s="7">
        <v>632</v>
      </c>
      <c r="Q8" s="6">
        <v>1558</v>
      </c>
      <c r="R8" s="7">
        <v>4908</v>
      </c>
      <c r="S8" s="170">
        <v>1356</v>
      </c>
    </row>
    <row r="9" spans="1:29" ht="18.899999999999999" customHeight="1">
      <c r="A9" s="286">
        <v>2.7029999999999998</v>
      </c>
      <c r="B9" s="287">
        <v>7.8209999999999997</v>
      </c>
      <c r="C9" s="286">
        <v>0</v>
      </c>
      <c r="D9" s="287">
        <v>0</v>
      </c>
      <c r="E9" s="286"/>
      <c r="F9" s="287"/>
      <c r="G9" s="286">
        <v>0</v>
      </c>
      <c r="H9" s="287">
        <v>0</v>
      </c>
      <c r="I9" s="286">
        <v>2.7029999999999998</v>
      </c>
      <c r="J9" s="287">
        <v>7.8209999999999997</v>
      </c>
      <c r="K9" s="6">
        <v>987</v>
      </c>
      <c r="L9" s="7">
        <v>2187</v>
      </c>
      <c r="M9" s="37">
        <v>280</v>
      </c>
      <c r="N9" s="38">
        <v>741</v>
      </c>
      <c r="O9" s="6">
        <v>222</v>
      </c>
      <c r="P9" s="7">
        <v>396</v>
      </c>
      <c r="Q9" s="6">
        <v>1214</v>
      </c>
      <c r="R9" s="7">
        <v>4497</v>
      </c>
      <c r="S9" s="170">
        <v>1357</v>
      </c>
    </row>
    <row r="10" spans="1:29" ht="18.899999999999999" customHeight="1">
      <c r="A10" s="286">
        <v>1.655</v>
      </c>
      <c r="B10" s="287">
        <v>9.6080000000000005</v>
      </c>
      <c r="C10" s="286">
        <v>0</v>
      </c>
      <c r="D10" s="287">
        <v>0</v>
      </c>
      <c r="E10" s="286"/>
      <c r="F10" s="287"/>
      <c r="G10" s="286">
        <v>0</v>
      </c>
      <c r="H10" s="287">
        <v>0</v>
      </c>
      <c r="I10" s="286">
        <v>1.655</v>
      </c>
      <c r="J10" s="287">
        <v>9.6080000000000005</v>
      </c>
      <c r="K10" s="6">
        <v>462</v>
      </c>
      <c r="L10" s="7">
        <v>2840</v>
      </c>
      <c r="M10" s="37">
        <v>121</v>
      </c>
      <c r="N10" s="38">
        <v>990</v>
      </c>
      <c r="O10" s="6">
        <v>71</v>
      </c>
      <c r="P10" s="7">
        <v>565</v>
      </c>
      <c r="Q10" s="6">
        <v>1001</v>
      </c>
      <c r="R10" s="7">
        <v>5213</v>
      </c>
      <c r="S10" s="170">
        <v>1358</v>
      </c>
    </row>
    <row r="11" spans="1:29" ht="18.899999999999999" customHeight="1">
      <c r="A11" s="286">
        <v>1.7949999999999999</v>
      </c>
      <c r="B11" s="287">
        <v>13.62</v>
      </c>
      <c r="C11" s="286">
        <v>0</v>
      </c>
      <c r="D11" s="287">
        <v>0</v>
      </c>
      <c r="E11" s="286"/>
      <c r="F11" s="287"/>
      <c r="G11" s="286">
        <v>0</v>
      </c>
      <c r="H11" s="287">
        <v>0</v>
      </c>
      <c r="I11" s="286">
        <v>1.7949999999999999</v>
      </c>
      <c r="J11" s="287">
        <v>13.62</v>
      </c>
      <c r="K11" s="6">
        <v>841</v>
      </c>
      <c r="L11" s="7">
        <v>3806</v>
      </c>
      <c r="M11" s="37">
        <v>291</v>
      </c>
      <c r="N11" s="38">
        <v>1149</v>
      </c>
      <c r="O11" s="6">
        <v>145</v>
      </c>
      <c r="P11" s="7">
        <v>934</v>
      </c>
      <c r="Q11" s="6">
        <v>518</v>
      </c>
      <c r="R11" s="7">
        <v>7731</v>
      </c>
      <c r="S11" s="170">
        <v>1359</v>
      </c>
    </row>
    <row r="12" spans="1:29" ht="18.899999999999999" customHeight="1">
      <c r="A12" s="286">
        <v>3.165</v>
      </c>
      <c r="B12" s="287">
        <v>10.663</v>
      </c>
      <c r="C12" s="286">
        <v>0</v>
      </c>
      <c r="D12" s="287">
        <v>0</v>
      </c>
      <c r="E12" s="286"/>
      <c r="F12" s="287"/>
      <c r="G12" s="286">
        <v>0</v>
      </c>
      <c r="H12" s="287">
        <v>0</v>
      </c>
      <c r="I12" s="286">
        <v>3.165</v>
      </c>
      <c r="J12" s="287">
        <v>10.663</v>
      </c>
      <c r="K12" s="6">
        <v>1350</v>
      </c>
      <c r="L12" s="7">
        <v>1098</v>
      </c>
      <c r="M12" s="37">
        <v>91</v>
      </c>
      <c r="N12" s="38">
        <v>1023</v>
      </c>
      <c r="O12" s="6">
        <v>77</v>
      </c>
      <c r="P12" s="7">
        <v>968</v>
      </c>
      <c r="Q12" s="6">
        <v>1647</v>
      </c>
      <c r="R12" s="7">
        <v>7574</v>
      </c>
      <c r="S12" s="170">
        <v>1360</v>
      </c>
    </row>
    <row r="13" spans="1:29" ht="18.899999999999999" customHeight="1">
      <c r="A13" s="286">
        <v>7.4950000000000001</v>
      </c>
      <c r="B13" s="287">
        <v>23.940999999999999</v>
      </c>
      <c r="C13" s="286">
        <v>0</v>
      </c>
      <c r="D13" s="287">
        <v>0</v>
      </c>
      <c r="E13" s="286"/>
      <c r="F13" s="287"/>
      <c r="G13" s="286">
        <v>0</v>
      </c>
      <c r="H13" s="287">
        <v>0</v>
      </c>
      <c r="I13" s="286">
        <v>7.4950000000000001</v>
      </c>
      <c r="J13" s="287">
        <v>23.940999999999999</v>
      </c>
      <c r="K13" s="6">
        <v>354</v>
      </c>
      <c r="L13" s="7">
        <v>-200</v>
      </c>
      <c r="M13" s="37">
        <v>396</v>
      </c>
      <c r="N13" s="38">
        <v>2532</v>
      </c>
      <c r="O13" s="6">
        <v>453</v>
      </c>
      <c r="P13" s="7">
        <v>3457</v>
      </c>
      <c r="Q13" s="6">
        <v>6292</v>
      </c>
      <c r="R13" s="7">
        <v>18152</v>
      </c>
      <c r="S13" s="170">
        <v>1361</v>
      </c>
    </row>
    <row r="14" spans="1:29" ht="18.899999999999999" customHeight="1">
      <c r="A14" s="286">
        <v>3.78</v>
      </c>
      <c r="B14" s="287">
        <v>20.956</v>
      </c>
      <c r="C14" s="286">
        <v>0</v>
      </c>
      <c r="D14" s="287">
        <v>0</v>
      </c>
      <c r="E14" s="286"/>
      <c r="F14" s="287"/>
      <c r="G14" s="286">
        <v>0</v>
      </c>
      <c r="H14" s="287">
        <v>0</v>
      </c>
      <c r="I14" s="286">
        <v>3.78</v>
      </c>
      <c r="J14" s="287">
        <v>20.956</v>
      </c>
      <c r="K14" s="6">
        <v>154</v>
      </c>
      <c r="L14" s="7">
        <v>-72</v>
      </c>
      <c r="M14" s="37">
        <v>342</v>
      </c>
      <c r="N14" s="38">
        <v>2422</v>
      </c>
      <c r="O14" s="6">
        <v>1482</v>
      </c>
      <c r="P14" s="7">
        <v>3346</v>
      </c>
      <c r="Q14" s="6">
        <v>1802</v>
      </c>
      <c r="R14" s="7">
        <v>15260</v>
      </c>
      <c r="S14" s="170">
        <v>1362</v>
      </c>
    </row>
    <row r="15" spans="1:29" ht="18.899999999999999" customHeight="1">
      <c r="A15" s="286">
        <v>4.9740000000000002</v>
      </c>
      <c r="B15" s="287">
        <v>16.084</v>
      </c>
      <c r="C15" s="286">
        <v>0</v>
      </c>
      <c r="D15" s="287">
        <v>0</v>
      </c>
      <c r="E15" s="286"/>
      <c r="F15" s="287"/>
      <c r="G15" s="286">
        <v>0</v>
      </c>
      <c r="H15" s="287">
        <v>0</v>
      </c>
      <c r="I15" s="286">
        <v>4.9740000000000002</v>
      </c>
      <c r="J15" s="287">
        <v>16.084</v>
      </c>
      <c r="K15" s="6">
        <v>182</v>
      </c>
      <c r="L15" s="7">
        <v>-140</v>
      </c>
      <c r="M15" s="37">
        <v>1304</v>
      </c>
      <c r="N15" s="38">
        <v>2427</v>
      </c>
      <c r="O15" s="6">
        <v>1591</v>
      </c>
      <c r="P15" s="7">
        <v>2640</v>
      </c>
      <c r="Q15" s="6">
        <v>1897</v>
      </c>
      <c r="R15" s="7">
        <v>11157</v>
      </c>
      <c r="S15" s="170">
        <v>1363</v>
      </c>
    </row>
    <row r="16" spans="1:29" ht="18.899999999999999" customHeight="1">
      <c r="A16" s="286">
        <v>2.3180000000000001</v>
      </c>
      <c r="B16" s="287">
        <v>15.548</v>
      </c>
      <c r="C16" s="286">
        <v>0</v>
      </c>
      <c r="D16" s="287">
        <v>0</v>
      </c>
      <c r="E16" s="286"/>
      <c r="F16" s="287"/>
      <c r="G16" s="286">
        <v>0</v>
      </c>
      <c r="H16" s="287">
        <v>0</v>
      </c>
      <c r="I16" s="286">
        <v>2.3180000000000001</v>
      </c>
      <c r="J16" s="287">
        <v>15.548</v>
      </c>
      <c r="K16" s="6">
        <v>102</v>
      </c>
      <c r="L16" s="7">
        <v>-394</v>
      </c>
      <c r="M16" s="37">
        <v>196</v>
      </c>
      <c r="N16" s="38">
        <v>3026</v>
      </c>
      <c r="O16" s="6">
        <v>260</v>
      </c>
      <c r="P16" s="7">
        <v>3508</v>
      </c>
      <c r="Q16" s="6">
        <v>1760</v>
      </c>
      <c r="R16" s="7">
        <v>9408</v>
      </c>
      <c r="S16" s="170">
        <v>1364</v>
      </c>
    </row>
    <row r="17" spans="1:19" ht="18.899999999999999" customHeight="1">
      <c r="A17" s="286">
        <v>3.1960000000000002</v>
      </c>
      <c r="B17" s="287">
        <v>7.92</v>
      </c>
      <c r="C17" s="286">
        <v>0</v>
      </c>
      <c r="D17" s="287">
        <v>0</v>
      </c>
      <c r="E17" s="286">
        <v>0</v>
      </c>
      <c r="F17" s="287">
        <v>0</v>
      </c>
      <c r="G17" s="286">
        <v>0</v>
      </c>
      <c r="H17" s="287">
        <v>0</v>
      </c>
      <c r="I17" s="286">
        <v>3.1960000000000002</v>
      </c>
      <c r="J17" s="287">
        <v>7.92</v>
      </c>
      <c r="K17" s="6">
        <v>0</v>
      </c>
      <c r="L17" s="7">
        <v>0</v>
      </c>
      <c r="M17" s="37">
        <v>228</v>
      </c>
      <c r="N17" s="38">
        <v>797</v>
      </c>
      <c r="O17" s="6">
        <v>217</v>
      </c>
      <c r="P17" s="7">
        <v>971</v>
      </c>
      <c r="Q17" s="6">
        <v>2751</v>
      </c>
      <c r="R17" s="7">
        <v>6152</v>
      </c>
      <c r="S17" s="170">
        <v>1365</v>
      </c>
    </row>
    <row r="18" spans="1:19" ht="18.899999999999999" customHeight="1">
      <c r="A18" s="286">
        <v>1.4870000000000001</v>
      </c>
      <c r="B18" s="287">
        <v>9.9359999999999999</v>
      </c>
      <c r="C18" s="286">
        <v>0</v>
      </c>
      <c r="D18" s="287">
        <v>0</v>
      </c>
      <c r="E18" s="286">
        <v>0</v>
      </c>
      <c r="F18" s="287">
        <v>0</v>
      </c>
      <c r="G18" s="286">
        <v>0</v>
      </c>
      <c r="H18" s="287">
        <v>0</v>
      </c>
      <c r="I18" s="286">
        <v>1.4870000000000001</v>
      </c>
      <c r="J18" s="287">
        <v>9.9359999999999999</v>
      </c>
      <c r="K18" s="6">
        <v>15</v>
      </c>
      <c r="L18" s="7">
        <v>-7</v>
      </c>
      <c r="M18" s="37">
        <v>184</v>
      </c>
      <c r="N18" s="38">
        <v>1794</v>
      </c>
      <c r="O18" s="6">
        <v>220</v>
      </c>
      <c r="P18" s="7">
        <v>1687</v>
      </c>
      <c r="Q18" s="6">
        <v>1068</v>
      </c>
      <c r="R18" s="7">
        <v>6462</v>
      </c>
      <c r="S18" s="170">
        <v>1366</v>
      </c>
    </row>
    <row r="19" spans="1:19" ht="18.899999999999999" customHeight="1">
      <c r="A19" s="286">
        <v>1.5449999999999999</v>
      </c>
      <c r="B19" s="287">
        <v>9.4570000000000007</v>
      </c>
      <c r="C19" s="286">
        <v>0</v>
      </c>
      <c r="D19" s="287">
        <v>0</v>
      </c>
      <c r="E19" s="286">
        <v>0</v>
      </c>
      <c r="F19" s="287">
        <v>0</v>
      </c>
      <c r="G19" s="286">
        <v>0</v>
      </c>
      <c r="H19" s="287">
        <v>0</v>
      </c>
      <c r="I19" s="286">
        <v>1.5449999999999999</v>
      </c>
      <c r="J19" s="287">
        <v>9.4570000000000007</v>
      </c>
      <c r="K19" s="6">
        <v>10</v>
      </c>
      <c r="L19" s="7">
        <v>-171</v>
      </c>
      <c r="M19" s="37">
        <v>260</v>
      </c>
      <c r="N19" s="38">
        <v>1942</v>
      </c>
      <c r="O19" s="6">
        <v>158</v>
      </c>
      <c r="P19" s="7">
        <v>1914</v>
      </c>
      <c r="Q19" s="6">
        <v>1117</v>
      </c>
      <c r="R19" s="7">
        <v>5772</v>
      </c>
      <c r="S19" s="170">
        <v>1367</v>
      </c>
    </row>
    <row r="20" spans="1:19" ht="18.899999999999999" customHeight="1">
      <c r="A20" s="286">
        <v>4.649</v>
      </c>
      <c r="B20" s="287">
        <v>20.756</v>
      </c>
      <c r="C20" s="286">
        <v>0</v>
      </c>
      <c r="D20" s="287">
        <v>0</v>
      </c>
      <c r="E20" s="286">
        <v>0</v>
      </c>
      <c r="F20" s="287">
        <v>0</v>
      </c>
      <c r="G20" s="286">
        <v>0</v>
      </c>
      <c r="H20" s="287">
        <v>0</v>
      </c>
      <c r="I20" s="286">
        <v>4.649</v>
      </c>
      <c r="J20" s="287">
        <v>20.756</v>
      </c>
      <c r="K20" s="6">
        <v>-1</v>
      </c>
      <c r="L20" s="7">
        <v>-34</v>
      </c>
      <c r="M20" s="37">
        <v>384</v>
      </c>
      <c r="N20" s="38">
        <v>4908</v>
      </c>
      <c r="O20" s="6">
        <v>222</v>
      </c>
      <c r="P20" s="7">
        <v>5708</v>
      </c>
      <c r="Q20" s="6">
        <v>4044</v>
      </c>
      <c r="R20" s="7">
        <v>10174</v>
      </c>
      <c r="S20" s="170">
        <v>1368</v>
      </c>
    </row>
    <row r="21" spans="1:19" ht="18.899999999999999" customHeight="1">
      <c r="A21" s="286">
        <v>2.738</v>
      </c>
      <c r="B21" s="287">
        <v>41.991</v>
      </c>
      <c r="C21" s="286">
        <v>0</v>
      </c>
      <c r="D21" s="287">
        <v>0</v>
      </c>
      <c r="E21" s="286">
        <v>0</v>
      </c>
      <c r="F21" s="287">
        <v>0</v>
      </c>
      <c r="G21" s="286">
        <v>0</v>
      </c>
      <c r="H21" s="287">
        <v>0</v>
      </c>
      <c r="I21" s="286">
        <v>2.738</v>
      </c>
      <c r="J21" s="287">
        <v>41.991</v>
      </c>
      <c r="K21" s="6">
        <v>0</v>
      </c>
      <c r="L21" s="7">
        <v>0</v>
      </c>
      <c r="M21" s="37">
        <v>513</v>
      </c>
      <c r="N21" s="38">
        <v>12285</v>
      </c>
      <c r="O21" s="6">
        <v>283</v>
      </c>
      <c r="P21" s="7">
        <v>13972</v>
      </c>
      <c r="Q21" s="6">
        <v>1942</v>
      </c>
      <c r="R21" s="7">
        <v>15734</v>
      </c>
      <c r="S21" s="170">
        <v>1369</v>
      </c>
    </row>
    <row r="22" spans="1:19" ht="18.899999999999999" customHeight="1">
      <c r="A22" s="286">
        <v>3.3140000000000001</v>
      </c>
      <c r="B22" s="287">
        <v>58.420999999999999</v>
      </c>
      <c r="C22" s="286">
        <v>0</v>
      </c>
      <c r="D22" s="287">
        <v>0</v>
      </c>
      <c r="E22" s="286">
        <v>0</v>
      </c>
      <c r="F22" s="287">
        <v>0</v>
      </c>
      <c r="G22" s="286">
        <v>0</v>
      </c>
      <c r="H22" s="287">
        <v>0</v>
      </c>
      <c r="I22" s="286">
        <v>3.3140000000000001</v>
      </c>
      <c r="J22" s="287">
        <v>58.420999999999999</v>
      </c>
      <c r="K22" s="6">
        <v>0</v>
      </c>
      <c r="L22" s="7">
        <v>0</v>
      </c>
      <c r="M22" s="37">
        <v>1310</v>
      </c>
      <c r="N22" s="38">
        <v>16388</v>
      </c>
      <c r="O22" s="6">
        <v>752</v>
      </c>
      <c r="P22" s="7">
        <v>18857</v>
      </c>
      <c r="Q22" s="6">
        <v>1252</v>
      </c>
      <c r="R22" s="7">
        <v>23176</v>
      </c>
      <c r="S22" s="170">
        <v>1370</v>
      </c>
    </row>
    <row r="23" spans="1:19" ht="18.899999999999999" customHeight="1">
      <c r="A23" s="286">
        <v>9.5440000000000005</v>
      </c>
      <c r="B23" s="287">
        <v>68.245000000000005</v>
      </c>
      <c r="C23" s="286">
        <v>0</v>
      </c>
      <c r="D23" s="287">
        <v>0</v>
      </c>
      <c r="E23" s="286">
        <v>0</v>
      </c>
      <c r="F23" s="287">
        <v>0</v>
      </c>
      <c r="G23" s="286">
        <v>0</v>
      </c>
      <c r="H23" s="287">
        <v>0</v>
      </c>
      <c r="I23" s="286">
        <v>9.5440000000000005</v>
      </c>
      <c r="J23" s="287">
        <v>68.245000000000005</v>
      </c>
      <c r="K23" s="6">
        <v>0</v>
      </c>
      <c r="L23" s="7">
        <v>0</v>
      </c>
      <c r="M23" s="37">
        <v>2979</v>
      </c>
      <c r="N23" s="38">
        <v>19133</v>
      </c>
      <c r="O23" s="6">
        <v>3289</v>
      </c>
      <c r="P23" s="7">
        <v>15005</v>
      </c>
      <c r="Q23" s="6">
        <v>3276</v>
      </c>
      <c r="R23" s="7">
        <v>34107</v>
      </c>
      <c r="S23" s="170">
        <v>1371</v>
      </c>
    </row>
    <row r="24" spans="1:19" ht="18.899999999999999" customHeight="1">
      <c r="A24" s="286">
        <v>10.78</v>
      </c>
      <c r="B24" s="287">
        <v>98.974999999999994</v>
      </c>
      <c r="C24" s="286">
        <v>0</v>
      </c>
      <c r="D24" s="287">
        <v>0</v>
      </c>
      <c r="E24" s="286">
        <v>0</v>
      </c>
      <c r="F24" s="287">
        <v>0</v>
      </c>
      <c r="G24" s="286">
        <v>0</v>
      </c>
      <c r="H24" s="287">
        <v>0</v>
      </c>
      <c r="I24" s="286">
        <v>10.78</v>
      </c>
      <c r="J24" s="287">
        <v>98.974999999999994</v>
      </c>
      <c r="K24" s="6">
        <v>0</v>
      </c>
      <c r="L24" s="7">
        <v>0</v>
      </c>
      <c r="M24" s="37">
        <v>3489</v>
      </c>
      <c r="N24" s="38">
        <v>17867</v>
      </c>
      <c r="O24" s="6">
        <v>2776</v>
      </c>
      <c r="P24" s="7">
        <v>21260</v>
      </c>
      <c r="Q24" s="6">
        <v>4515</v>
      </c>
      <c r="R24" s="7">
        <v>59848</v>
      </c>
      <c r="S24" s="170">
        <v>1372</v>
      </c>
    </row>
    <row r="25" spans="1:19" ht="18.899999999999999" customHeight="1">
      <c r="A25" s="286">
        <v>4.5540000000000003</v>
      </c>
      <c r="B25" s="287">
        <v>136.184</v>
      </c>
      <c r="C25" s="286">
        <v>0</v>
      </c>
      <c r="D25" s="287">
        <v>0</v>
      </c>
      <c r="E25" s="286">
        <v>0</v>
      </c>
      <c r="F25" s="287">
        <v>0</v>
      </c>
      <c r="G25" s="286">
        <v>0</v>
      </c>
      <c r="H25" s="287">
        <v>0</v>
      </c>
      <c r="I25" s="286">
        <v>4.5540000000000003</v>
      </c>
      <c r="J25" s="287">
        <v>136.184</v>
      </c>
      <c r="K25" s="6">
        <v>0</v>
      </c>
      <c r="L25" s="7">
        <v>0</v>
      </c>
      <c r="M25" s="37">
        <v>2008</v>
      </c>
      <c r="N25" s="38">
        <v>46191</v>
      </c>
      <c r="O25" s="6">
        <v>2536</v>
      </c>
      <c r="P25" s="7">
        <v>27245</v>
      </c>
      <c r="Q25" s="6">
        <v>10</v>
      </c>
      <c r="R25" s="7">
        <v>62748</v>
      </c>
      <c r="S25" s="170">
        <v>1373</v>
      </c>
    </row>
    <row r="26" spans="1:19" ht="18.899999999999999" customHeight="1">
      <c r="A26" s="286">
        <v>29.140999999999998</v>
      </c>
      <c r="B26" s="287">
        <v>178.541</v>
      </c>
      <c r="C26" s="286">
        <v>0</v>
      </c>
      <c r="D26" s="287">
        <v>0</v>
      </c>
      <c r="E26" s="286">
        <v>0</v>
      </c>
      <c r="F26" s="287">
        <v>0</v>
      </c>
      <c r="G26" s="286">
        <v>0</v>
      </c>
      <c r="H26" s="287">
        <v>0</v>
      </c>
      <c r="I26" s="286">
        <v>29.140999999999998</v>
      </c>
      <c r="J26" s="287">
        <v>178.541</v>
      </c>
      <c r="K26" s="6">
        <v>0</v>
      </c>
      <c r="L26" s="7">
        <v>0</v>
      </c>
      <c r="M26" s="37">
        <v>8400</v>
      </c>
      <c r="N26" s="38">
        <v>36234</v>
      </c>
      <c r="O26" s="6">
        <v>-1090</v>
      </c>
      <c r="P26" s="7">
        <v>32048</v>
      </c>
      <c r="Q26" s="6">
        <v>21831</v>
      </c>
      <c r="R26" s="7">
        <v>110259</v>
      </c>
      <c r="S26" s="170">
        <v>1374</v>
      </c>
    </row>
    <row r="27" spans="1:19" ht="18.899999999999999" customHeight="1">
      <c r="A27" s="286">
        <v>23.353000000000002</v>
      </c>
      <c r="B27" s="287">
        <v>240.726</v>
      </c>
      <c r="C27" s="286">
        <v>0</v>
      </c>
      <c r="D27" s="287">
        <v>31</v>
      </c>
      <c r="E27" s="286">
        <v>0</v>
      </c>
      <c r="F27" s="287">
        <v>0</v>
      </c>
      <c r="G27" s="286">
        <v>0</v>
      </c>
      <c r="H27" s="287">
        <v>31</v>
      </c>
      <c r="I27" s="286">
        <v>23.353000000000002</v>
      </c>
      <c r="J27" s="287">
        <v>209.726</v>
      </c>
      <c r="K27" s="6">
        <v>0</v>
      </c>
      <c r="L27" s="7">
        <v>1029</v>
      </c>
      <c r="M27" s="37">
        <v>5853</v>
      </c>
      <c r="N27" s="38">
        <v>52230</v>
      </c>
      <c r="O27" s="6">
        <v>2216</v>
      </c>
      <c r="P27" s="7">
        <v>47193</v>
      </c>
      <c r="Q27" s="6">
        <v>15284</v>
      </c>
      <c r="R27" s="7">
        <v>109274</v>
      </c>
      <c r="S27" s="170">
        <v>1375</v>
      </c>
    </row>
    <row r="28" spans="1:19" ht="18.899999999999999" customHeight="1">
      <c r="A28" s="286">
        <v>22.26</v>
      </c>
      <c r="B28" s="287">
        <v>199.34</v>
      </c>
      <c r="C28" s="286">
        <v>0</v>
      </c>
      <c r="D28" s="287">
        <v>4</v>
      </c>
      <c r="E28" s="286">
        <v>0</v>
      </c>
      <c r="F28" s="287">
        <v>0</v>
      </c>
      <c r="G28" s="286">
        <v>0</v>
      </c>
      <c r="H28" s="287">
        <v>4</v>
      </c>
      <c r="I28" s="286">
        <v>22.26</v>
      </c>
      <c r="J28" s="287">
        <v>195.34</v>
      </c>
      <c r="K28" s="6">
        <v>41</v>
      </c>
      <c r="L28" s="7">
        <v>3847</v>
      </c>
      <c r="M28" s="37">
        <v>6713</v>
      </c>
      <c r="N28" s="38">
        <v>50200</v>
      </c>
      <c r="O28" s="6">
        <v>4716</v>
      </c>
      <c r="P28" s="7">
        <v>37153</v>
      </c>
      <c r="Q28" s="6">
        <v>10790</v>
      </c>
      <c r="R28" s="7">
        <v>104140</v>
      </c>
      <c r="S28" s="170">
        <v>1376</v>
      </c>
    </row>
    <row r="29" spans="1:19" ht="18.899999999999999" customHeight="1">
      <c r="A29" s="286">
        <v>20.827000000000002</v>
      </c>
      <c r="B29" s="287">
        <v>172.84800000000001</v>
      </c>
      <c r="C29" s="286">
        <v>0</v>
      </c>
      <c r="D29" s="287">
        <v>10</v>
      </c>
      <c r="E29" s="286">
        <v>0</v>
      </c>
      <c r="F29" s="287">
        <v>0</v>
      </c>
      <c r="G29" s="286">
        <v>0</v>
      </c>
      <c r="H29" s="287">
        <v>10</v>
      </c>
      <c r="I29" s="286">
        <v>20.827000000000002</v>
      </c>
      <c r="J29" s="287">
        <v>162.84800000000001</v>
      </c>
      <c r="K29" s="6">
        <v>141</v>
      </c>
      <c r="L29" s="7">
        <v>4889</v>
      </c>
      <c r="M29" s="37">
        <v>5677</v>
      </c>
      <c r="N29" s="38">
        <v>38535</v>
      </c>
      <c r="O29" s="6">
        <v>971</v>
      </c>
      <c r="P29" s="7">
        <v>34238</v>
      </c>
      <c r="Q29" s="6">
        <v>14038</v>
      </c>
      <c r="R29" s="7">
        <v>85186</v>
      </c>
      <c r="S29" s="170">
        <v>1377</v>
      </c>
    </row>
    <row r="30" spans="1:19" ht="18.899999999999999" customHeight="1">
      <c r="A30" s="286">
        <v>25.1496</v>
      </c>
      <c r="B30" s="287">
        <v>488.24810000000002</v>
      </c>
      <c r="C30" s="286">
        <v>0</v>
      </c>
      <c r="D30" s="287">
        <v>211.4</v>
      </c>
      <c r="E30" s="286">
        <v>0</v>
      </c>
      <c r="F30" s="287">
        <v>0</v>
      </c>
      <c r="G30" s="286">
        <v>0</v>
      </c>
      <c r="H30" s="287">
        <v>211.4</v>
      </c>
      <c r="I30" s="286">
        <v>25.1496</v>
      </c>
      <c r="J30" s="287">
        <v>276.84809999999999</v>
      </c>
      <c r="K30" s="6">
        <v>1157.4000000000001</v>
      </c>
      <c r="L30" s="7">
        <v>12267.6</v>
      </c>
      <c r="M30" s="37">
        <v>7525.4</v>
      </c>
      <c r="N30" s="38">
        <v>75196.3</v>
      </c>
      <c r="O30" s="6">
        <v>87.5</v>
      </c>
      <c r="P30" s="7">
        <v>61472.800000000003</v>
      </c>
      <c r="Q30" s="6">
        <v>16379.3</v>
      </c>
      <c r="R30" s="7">
        <v>127911.4</v>
      </c>
      <c r="S30" s="170">
        <v>1378</v>
      </c>
    </row>
    <row r="31" spans="1:19" ht="18.899999999999999" customHeight="1">
      <c r="A31" s="286">
        <v>46.374400000000001</v>
      </c>
      <c r="B31" s="287">
        <v>1159.7491</v>
      </c>
      <c r="C31" s="286">
        <v>6.1</v>
      </c>
      <c r="D31" s="287">
        <v>796.7</v>
      </c>
      <c r="E31" s="286">
        <v>0</v>
      </c>
      <c r="F31" s="287">
        <v>0</v>
      </c>
      <c r="G31" s="286">
        <v>6.1</v>
      </c>
      <c r="H31" s="287">
        <v>796.7</v>
      </c>
      <c r="I31" s="286">
        <v>40.2744</v>
      </c>
      <c r="J31" s="287">
        <v>363.04909999999995</v>
      </c>
      <c r="K31" s="6">
        <v>2718.4</v>
      </c>
      <c r="L31" s="7">
        <v>22758.9</v>
      </c>
      <c r="M31" s="37">
        <v>2713.4</v>
      </c>
      <c r="N31" s="38">
        <v>70476</v>
      </c>
      <c r="O31" s="6">
        <v>5684.2</v>
      </c>
      <c r="P31" s="7">
        <v>100174.39999999999</v>
      </c>
      <c r="Q31" s="6">
        <v>29158.400000000001</v>
      </c>
      <c r="R31" s="7">
        <v>169639.8</v>
      </c>
      <c r="S31" s="170">
        <v>1379</v>
      </c>
    </row>
    <row r="32" spans="1:19" ht="18.899999999999999" customHeight="1">
      <c r="A32" s="286">
        <v>72.885800000000003</v>
      </c>
      <c r="B32" s="287">
        <v>3948.3877000000002</v>
      </c>
      <c r="C32" s="286">
        <v>40.4</v>
      </c>
      <c r="D32" s="287">
        <v>3543.8</v>
      </c>
      <c r="E32" s="286">
        <v>0</v>
      </c>
      <c r="F32" s="287">
        <v>0</v>
      </c>
      <c r="G32" s="286">
        <v>40.4</v>
      </c>
      <c r="H32" s="287">
        <v>3543.8</v>
      </c>
      <c r="I32" s="286">
        <v>32.485800000000005</v>
      </c>
      <c r="J32" s="287">
        <v>404.58769999999998</v>
      </c>
      <c r="K32" s="6">
        <v>5914.4</v>
      </c>
      <c r="L32" s="7">
        <v>33872.199999999997</v>
      </c>
      <c r="M32" s="37">
        <v>4376.1000000000004</v>
      </c>
      <c r="N32" s="38">
        <v>59891.9</v>
      </c>
      <c r="O32" s="6">
        <v>5658</v>
      </c>
      <c r="P32" s="7">
        <v>98355.1</v>
      </c>
      <c r="Q32" s="6">
        <v>16537.3</v>
      </c>
      <c r="R32" s="7">
        <v>212468.5</v>
      </c>
      <c r="S32" s="170">
        <v>1380</v>
      </c>
    </row>
    <row r="33" spans="1:19" ht="18.899999999999999" customHeight="1">
      <c r="A33" s="288">
        <v>76.184202055</v>
      </c>
      <c r="B33" s="289">
        <v>669.74259017599991</v>
      </c>
      <c r="C33" s="288">
        <v>0.40354825999999377</v>
      </c>
      <c r="D33" s="289">
        <v>20.065658814000017</v>
      </c>
      <c r="E33" s="288">
        <v>0</v>
      </c>
      <c r="F33" s="289">
        <v>12187.26441</v>
      </c>
      <c r="G33" s="288">
        <v>403.54826000000003</v>
      </c>
      <c r="H33" s="289">
        <v>7878.3944039999997</v>
      </c>
      <c r="I33" s="288">
        <v>75.780653795000006</v>
      </c>
      <c r="J33" s="289">
        <v>649.67693136199989</v>
      </c>
      <c r="K33" s="24">
        <f>'[1]بيمه دانا'!$I$9/1000000</f>
        <v>4507.2180280000002</v>
      </c>
      <c r="L33" s="93">
        <f>'[1]بيمه دانا'!$Q$9/1000000</f>
        <v>45619.017574999998</v>
      </c>
      <c r="M33" s="91">
        <f>'[1]بيمه البرز'!$I$9/1000000</f>
        <v>11179.758992999999</v>
      </c>
      <c r="N33" s="94">
        <f>'[1]بيمه البرز'!$Q$9/1000000</f>
        <v>89896.083343000006</v>
      </c>
      <c r="O33" s="24">
        <f>'[1]بيمه آسيا'!$I$9/1000000</f>
        <v>15019.483656</v>
      </c>
      <c r="P33" s="93">
        <f>'[1]بيمه آسيا'!$Q$9/1000000</f>
        <v>180078.494129</v>
      </c>
      <c r="Q33" s="24">
        <f>'[1]بيمه ايران'!$I$9/1000000</f>
        <v>45074.193118000003</v>
      </c>
      <c r="R33" s="93">
        <f>'[1]بيمه ايران'!$Q$9/1000000</f>
        <v>334083.33631500002</v>
      </c>
      <c r="S33" s="233">
        <v>1381</v>
      </c>
    </row>
    <row r="34" spans="1:19" ht="18.899999999999999" customHeight="1">
      <c r="A34" s="288">
        <v>62.952149499000001</v>
      </c>
      <c r="B34" s="289">
        <v>837.62205770000014</v>
      </c>
      <c r="C34" s="290">
        <v>0.31273192700000152</v>
      </c>
      <c r="D34" s="287">
        <v>55.637087235999957</v>
      </c>
      <c r="E34" s="290">
        <v>169.736975</v>
      </c>
      <c r="F34" s="287">
        <v>46791.865544</v>
      </c>
      <c r="G34" s="290">
        <v>142.99495200000001</v>
      </c>
      <c r="H34" s="287">
        <v>8845.2216919999992</v>
      </c>
      <c r="I34" s="290">
        <v>62.639417571999999</v>
      </c>
      <c r="J34" s="287">
        <v>781.98497046400018</v>
      </c>
      <c r="K34" s="90">
        <f>'[2]بيمه دانا'!$I$9/1000000</f>
        <v>2501.616348</v>
      </c>
      <c r="L34" s="26">
        <f>'[2]بيمه دانا'!$Q$9/1000000</f>
        <v>44305.764819999997</v>
      </c>
      <c r="M34" s="92">
        <f>'[2]بيمه البرز'!$I$9/1000000</f>
        <v>15677.307387999999</v>
      </c>
      <c r="N34" s="95">
        <f>'[2]بيمه البرز'!$Q$9/1000000</f>
        <v>161303.116828</v>
      </c>
      <c r="O34" s="90">
        <f>'[2]بيمه آسيا'!$I$9/1000000</f>
        <v>13692.137119999999</v>
      </c>
      <c r="P34" s="26">
        <f>'[2]بيمه آسيا'!$Q$9/1000000</f>
        <v>160617.90566399999</v>
      </c>
      <c r="Q34" s="90">
        <f>'[2]بيمه ايران'!$I$9/1000000</f>
        <v>30768.356715999998</v>
      </c>
      <c r="R34" s="26">
        <f>'[2]بيمه ايران'!$Q$9/1000000</f>
        <v>415758.18315200001</v>
      </c>
      <c r="S34" s="166">
        <v>1382</v>
      </c>
    </row>
    <row r="35" spans="1:19" ht="20.25" customHeight="1">
      <c r="A35" s="288">
        <v>75.111148283999995</v>
      </c>
      <c r="B35" s="289">
        <v>949.60641481699997</v>
      </c>
      <c r="C35" s="291">
        <v>3.1483660920000034</v>
      </c>
      <c r="D35" s="292">
        <v>127.46440126899995</v>
      </c>
      <c r="E35" s="291">
        <v>3015.069152</v>
      </c>
      <c r="F35" s="292">
        <v>113426.36558099999</v>
      </c>
      <c r="G35" s="291">
        <v>133.29694000000001</v>
      </c>
      <c r="H35" s="292">
        <v>14038.035688</v>
      </c>
      <c r="I35" s="291">
        <v>71.962782191999992</v>
      </c>
      <c r="J35" s="292">
        <v>822.14201354800002</v>
      </c>
      <c r="K35" s="137">
        <f>'[3]بيمه دانا'!$I$9/1000000</f>
        <v>1715.4468159999999</v>
      </c>
      <c r="L35" s="134">
        <f>'[3]بيمه دانا'!$Q$9/1000000</f>
        <v>55300.8557</v>
      </c>
      <c r="M35" s="138">
        <f>'[3]بيمه البرز'!$I$9/1000000</f>
        <v>20656.529264000001</v>
      </c>
      <c r="N35" s="139">
        <f>'[3]بيمه البرز'!$Q$9/1000000</f>
        <v>153477.88757600001</v>
      </c>
      <c r="O35" s="137">
        <f>'[3]بيمه آسيا'!$I$9/1000000</f>
        <v>18471.571784</v>
      </c>
      <c r="P35" s="134">
        <f>'[3]بيمه آسيا'!$Q$9/1000000</f>
        <v>167580.79879199999</v>
      </c>
      <c r="Q35" s="137">
        <f>'[3]بيمه ايران'!$I$9/1000000</f>
        <v>31119.234327999999</v>
      </c>
      <c r="R35" s="134">
        <f>'[3]بيمه ايران'!$Q$9/1000000</f>
        <v>445782.47148000001</v>
      </c>
      <c r="S35" s="165">
        <v>1383</v>
      </c>
    </row>
    <row r="36" spans="1:19" ht="21" customHeight="1">
      <c r="A36" s="288">
        <v>121.17017646800001</v>
      </c>
      <c r="B36" s="289">
        <v>859.83993300200007</v>
      </c>
      <c r="C36" s="293">
        <v>14.609997628000016</v>
      </c>
      <c r="D36" s="294">
        <v>199.69188177800004</v>
      </c>
      <c r="E36" s="293">
        <v>14150.475141999999</v>
      </c>
      <c r="F36" s="294">
        <v>184970.57247799999</v>
      </c>
      <c r="G36" s="293">
        <v>248.98926</v>
      </c>
      <c r="H36" s="294">
        <v>10303.916368</v>
      </c>
      <c r="I36" s="293">
        <v>106.56017883999999</v>
      </c>
      <c r="J36" s="294">
        <v>660.14805122400003</v>
      </c>
      <c r="K36" s="140">
        <f>'[3]بيمه دانا'!$H$9/1000000</f>
        <v>411.612324</v>
      </c>
      <c r="L36" s="30">
        <f>'[3]بيمه دانا'!$P$9/1000000</f>
        <v>38450.392615999997</v>
      </c>
      <c r="M36" s="92">
        <f>'[3]بيمه البرز'!$H$9/1000000</f>
        <v>15877.543236</v>
      </c>
      <c r="N36" s="95">
        <f>'[3]بيمه البرز'!$P$9/1000000</f>
        <v>156905.957436</v>
      </c>
      <c r="O36" s="140">
        <f>'[3]بيمه آسيا'!$H$9/1000000</f>
        <v>23252.899839999998</v>
      </c>
      <c r="P36" s="30">
        <f>'[3]بيمه آسيا'!$P$9/1000000</f>
        <v>137791.740532</v>
      </c>
      <c r="Q36" s="140">
        <f>'[3]بيمه ايران'!$H$9/1000000</f>
        <v>67018.123439999996</v>
      </c>
      <c r="R36" s="30">
        <f>'[3]بيمه ايران'!$P$9/1000000</f>
        <v>326999.96064</v>
      </c>
      <c r="S36" s="234">
        <v>1384</v>
      </c>
    </row>
    <row r="37" spans="1:19" ht="18.899999999999999" customHeight="1">
      <c r="A37" s="288">
        <v>151.16583098000001</v>
      </c>
      <c r="B37" s="289">
        <v>949.74611167499995</v>
      </c>
      <c r="C37" s="293">
        <v>22.925650955999998</v>
      </c>
      <c r="D37" s="294">
        <v>181.86335566799994</v>
      </c>
      <c r="E37" s="293"/>
      <c r="F37" s="294"/>
      <c r="G37" s="293"/>
      <c r="H37" s="294"/>
      <c r="I37" s="293">
        <v>128.24018002400001</v>
      </c>
      <c r="J37" s="294">
        <v>767.88275600700001</v>
      </c>
      <c r="K37" s="140"/>
      <c r="L37" s="30"/>
      <c r="M37" s="167"/>
      <c r="N37" s="168"/>
      <c r="O37" s="140"/>
      <c r="P37" s="30"/>
      <c r="Q37" s="140"/>
      <c r="R37" s="30"/>
      <c r="S37" s="234">
        <v>1385</v>
      </c>
    </row>
    <row r="38" spans="1:19" ht="18.899999999999999" customHeight="1">
      <c r="A38" s="288">
        <v>115.98580476799999</v>
      </c>
      <c r="B38" s="289">
        <v>1089.9126712880002</v>
      </c>
      <c r="C38" s="293">
        <v>22.580675184</v>
      </c>
      <c r="D38" s="294">
        <v>316.4365898440002</v>
      </c>
      <c r="E38" s="293"/>
      <c r="F38" s="294"/>
      <c r="G38" s="293"/>
      <c r="H38" s="294"/>
      <c r="I38" s="293">
        <v>93.405129583999994</v>
      </c>
      <c r="J38" s="294">
        <v>773.47608144399999</v>
      </c>
      <c r="K38" s="140"/>
      <c r="L38" s="30"/>
      <c r="M38" s="167"/>
      <c r="N38" s="168"/>
      <c r="O38" s="140"/>
      <c r="P38" s="30"/>
      <c r="Q38" s="140"/>
      <c r="R38" s="30"/>
      <c r="S38" s="234">
        <v>1386</v>
      </c>
    </row>
    <row r="39" spans="1:19" ht="18.899999999999999" customHeight="1">
      <c r="A39" s="288">
        <v>202.65068414800001</v>
      </c>
      <c r="B39" s="289">
        <v>1042.9331432040001</v>
      </c>
      <c r="C39" s="293">
        <v>47.798201724000023</v>
      </c>
      <c r="D39" s="294">
        <v>311.92899433600019</v>
      </c>
      <c r="E39" s="293"/>
      <c r="F39" s="294"/>
      <c r="G39" s="293"/>
      <c r="H39" s="294"/>
      <c r="I39" s="293">
        <v>154.85248242399999</v>
      </c>
      <c r="J39" s="294">
        <v>731.0041488679999</v>
      </c>
      <c r="K39" s="140"/>
      <c r="L39" s="30"/>
      <c r="M39" s="167"/>
      <c r="N39" s="168"/>
      <c r="O39" s="140"/>
      <c r="P39" s="30"/>
      <c r="Q39" s="140"/>
      <c r="R39" s="30"/>
      <c r="S39" s="234">
        <v>1387</v>
      </c>
    </row>
    <row r="40" spans="1:19" ht="18.899999999999999" customHeight="1">
      <c r="A40" s="288">
        <v>213.4</v>
      </c>
      <c r="B40" s="289">
        <v>794.76396441999998</v>
      </c>
      <c r="C40" s="293">
        <v>109.41059524799999</v>
      </c>
      <c r="D40" s="294">
        <v>462.22956480800002</v>
      </c>
      <c r="E40" s="293"/>
      <c r="F40" s="294"/>
      <c r="G40" s="293"/>
      <c r="H40" s="294"/>
      <c r="I40" s="293">
        <v>103.98940475200001</v>
      </c>
      <c r="J40" s="294">
        <v>332.53439961199996</v>
      </c>
      <c r="K40" s="140"/>
      <c r="L40" s="30"/>
      <c r="M40" s="167"/>
      <c r="N40" s="168"/>
      <c r="O40" s="140"/>
      <c r="P40" s="30"/>
      <c r="Q40" s="140"/>
      <c r="R40" s="30"/>
      <c r="S40" s="234">
        <v>1388</v>
      </c>
    </row>
    <row r="41" spans="1:19" ht="18.899999999999999" customHeight="1">
      <c r="A41" s="288">
        <v>158.34133488399999</v>
      </c>
      <c r="B41" s="289">
        <v>872.38762251200001</v>
      </c>
      <c r="C41" s="293">
        <v>101.193564404</v>
      </c>
      <c r="D41" s="294">
        <v>661.50601842800006</v>
      </c>
      <c r="E41" s="293"/>
      <c r="F41" s="294"/>
      <c r="G41" s="293"/>
      <c r="H41" s="294"/>
      <c r="I41" s="293">
        <v>57.147770479999998</v>
      </c>
      <c r="J41" s="294">
        <v>210.881604084</v>
      </c>
      <c r="K41" s="140"/>
      <c r="L41" s="30"/>
      <c r="M41" s="167"/>
      <c r="N41" s="168"/>
      <c r="O41" s="140"/>
      <c r="P41" s="30"/>
      <c r="Q41" s="140"/>
      <c r="R41" s="30"/>
      <c r="S41" s="234">
        <v>1389</v>
      </c>
    </row>
    <row r="42" spans="1:19" ht="18.899999999999999" customHeight="1">
      <c r="A42" s="401">
        <f>268</f>
        <v>268</v>
      </c>
      <c r="B42" s="402">
        <f>844.2</f>
        <v>844.2</v>
      </c>
      <c r="C42" s="403">
        <f t="shared" ref="C42" si="0">A42-I42</f>
        <v>183.3</v>
      </c>
      <c r="D42" s="404">
        <f>B42-J42</f>
        <v>615.30000000000007</v>
      </c>
      <c r="E42" s="402"/>
      <c r="F42" s="402"/>
      <c r="G42" s="402"/>
      <c r="H42" s="402"/>
      <c r="I42" s="403">
        <f>84.7</f>
        <v>84.7</v>
      </c>
      <c r="J42" s="404">
        <f>228.9</f>
        <v>228.9</v>
      </c>
      <c r="K42" s="405"/>
      <c r="L42" s="406"/>
      <c r="M42" s="407"/>
      <c r="N42" s="408"/>
      <c r="O42" s="405"/>
      <c r="P42" s="406"/>
      <c r="Q42" s="405"/>
      <c r="R42" s="406"/>
      <c r="S42" s="409">
        <v>1390</v>
      </c>
    </row>
    <row r="43" spans="1:19" ht="18.899999999999999" customHeight="1">
      <c r="A43" s="401">
        <v>200.9</v>
      </c>
      <c r="B43" s="402">
        <v>1173.3</v>
      </c>
      <c r="C43" s="403">
        <f t="shared" ref="C43:C51" si="1">A43-I43</f>
        <v>114.60000000000001</v>
      </c>
      <c r="D43" s="404">
        <f t="shared" ref="D43:D51" si="2">B43-J43</f>
        <v>976</v>
      </c>
      <c r="E43" s="402"/>
      <c r="F43" s="402"/>
      <c r="G43" s="402"/>
      <c r="H43" s="402"/>
      <c r="I43" s="403">
        <v>86.3</v>
      </c>
      <c r="J43" s="404">
        <v>197.3</v>
      </c>
      <c r="K43" s="410"/>
      <c r="L43" s="411"/>
      <c r="M43" s="412"/>
      <c r="N43" s="412"/>
      <c r="O43" s="411"/>
      <c r="P43" s="411"/>
      <c r="Q43" s="411"/>
      <c r="R43" s="411"/>
      <c r="S43" s="413">
        <v>1391</v>
      </c>
    </row>
    <row r="44" spans="1:19" ht="18.899999999999999" customHeight="1">
      <c r="A44" s="401">
        <v>254.1</v>
      </c>
      <c r="B44" s="402">
        <v>2323.5</v>
      </c>
      <c r="C44" s="403">
        <f t="shared" si="1"/>
        <v>163.39999999999998</v>
      </c>
      <c r="D44" s="404">
        <f t="shared" si="2"/>
        <v>1873.5</v>
      </c>
      <c r="E44" s="402"/>
      <c r="F44" s="402"/>
      <c r="G44" s="402"/>
      <c r="H44" s="402"/>
      <c r="I44" s="403">
        <v>90.7</v>
      </c>
      <c r="J44" s="404">
        <v>450</v>
      </c>
      <c r="K44" s="374"/>
      <c r="L44" s="375"/>
      <c r="M44" s="414"/>
      <c r="N44" s="414"/>
      <c r="O44" s="375"/>
      <c r="P44" s="375"/>
      <c r="Q44" s="375"/>
      <c r="R44" s="375"/>
      <c r="S44" s="415">
        <v>1392</v>
      </c>
    </row>
    <row r="45" spans="1:19" ht="18.899999999999999" customHeight="1">
      <c r="A45" s="401">
        <v>801.5</v>
      </c>
      <c r="B45" s="402">
        <v>2805.8</v>
      </c>
      <c r="C45" s="403">
        <f t="shared" si="1"/>
        <v>616.4</v>
      </c>
      <c r="D45" s="404">
        <f t="shared" si="2"/>
        <v>2116.1000000000004</v>
      </c>
      <c r="E45" s="402"/>
      <c r="F45" s="402"/>
      <c r="G45" s="402"/>
      <c r="H45" s="402"/>
      <c r="I45" s="403">
        <v>185.1</v>
      </c>
      <c r="J45" s="404">
        <v>689.7</v>
      </c>
      <c r="K45" s="374"/>
      <c r="L45" s="375"/>
      <c r="M45" s="414"/>
      <c r="N45" s="414"/>
      <c r="O45" s="375"/>
      <c r="P45" s="375"/>
      <c r="Q45" s="375"/>
      <c r="R45" s="375"/>
      <c r="S45" s="415">
        <v>1393</v>
      </c>
    </row>
    <row r="46" spans="1:19" ht="18.899999999999999" customHeight="1">
      <c r="A46" s="401">
        <v>600.79999999999995</v>
      </c>
      <c r="B46" s="402">
        <v>2411</v>
      </c>
      <c r="C46" s="403">
        <f t="shared" si="1"/>
        <v>456.99999999999994</v>
      </c>
      <c r="D46" s="404">
        <f t="shared" si="2"/>
        <v>1838.1</v>
      </c>
      <c r="E46" s="402"/>
      <c r="F46" s="402"/>
      <c r="G46" s="402"/>
      <c r="H46" s="402"/>
      <c r="I46" s="403">
        <v>143.80000000000001</v>
      </c>
      <c r="J46" s="404">
        <v>572.9</v>
      </c>
      <c r="K46" s="374"/>
      <c r="L46" s="375"/>
      <c r="M46" s="414"/>
      <c r="N46" s="414"/>
      <c r="O46" s="375"/>
      <c r="P46" s="375"/>
      <c r="Q46" s="375"/>
      <c r="R46" s="375"/>
      <c r="S46" s="415">
        <v>1394</v>
      </c>
    </row>
    <row r="47" spans="1:19" ht="18.899999999999999" customHeight="1">
      <c r="A47" s="401">
        <v>781.8</v>
      </c>
      <c r="B47" s="402">
        <v>2720.8</v>
      </c>
      <c r="C47" s="403">
        <f t="shared" si="1"/>
        <v>561.79999999999995</v>
      </c>
      <c r="D47" s="404">
        <f t="shared" si="2"/>
        <v>2130.1000000000004</v>
      </c>
      <c r="E47" s="402"/>
      <c r="F47" s="402"/>
      <c r="G47" s="402"/>
      <c r="H47" s="402"/>
      <c r="I47" s="403">
        <v>220</v>
      </c>
      <c r="J47" s="404">
        <v>590.70000000000005</v>
      </c>
      <c r="K47" s="374"/>
      <c r="L47" s="375"/>
      <c r="M47" s="414"/>
      <c r="N47" s="414"/>
      <c r="O47" s="375"/>
      <c r="P47" s="375"/>
      <c r="Q47" s="375"/>
      <c r="R47" s="375"/>
      <c r="S47" s="415">
        <v>1395</v>
      </c>
    </row>
    <row r="48" spans="1:19" ht="18.899999999999999" customHeight="1">
      <c r="A48" s="401">
        <v>623.29999999999995</v>
      </c>
      <c r="B48" s="402">
        <v>2992.5</v>
      </c>
      <c r="C48" s="403">
        <f t="shared" si="1"/>
        <v>484.29999999999995</v>
      </c>
      <c r="D48" s="404">
        <f t="shared" si="2"/>
        <v>2474.5</v>
      </c>
      <c r="E48" s="402"/>
      <c r="F48" s="402"/>
      <c r="G48" s="402"/>
      <c r="H48" s="402"/>
      <c r="I48" s="403">
        <v>139</v>
      </c>
      <c r="J48" s="404">
        <v>518</v>
      </c>
      <c r="K48" s="374"/>
      <c r="L48" s="375"/>
      <c r="M48" s="414"/>
      <c r="N48" s="414"/>
      <c r="O48" s="375"/>
      <c r="P48" s="375"/>
      <c r="Q48" s="375"/>
      <c r="R48" s="375"/>
      <c r="S48" s="415">
        <v>1396</v>
      </c>
    </row>
    <row r="49" spans="1:19" ht="18.899999999999999" customHeight="1">
      <c r="A49" s="401">
        <v>1451.9</v>
      </c>
      <c r="B49" s="402">
        <v>4984.6000000000004</v>
      </c>
      <c r="C49" s="403">
        <f>A49-I49</f>
        <v>1245.7</v>
      </c>
      <c r="D49" s="404">
        <f>B49-J49</f>
        <v>3929.8</v>
      </c>
      <c r="E49" s="402"/>
      <c r="F49" s="402"/>
      <c r="G49" s="402"/>
      <c r="H49" s="402"/>
      <c r="I49" s="403">
        <f>[6]ایران!$J$7</f>
        <v>206.2</v>
      </c>
      <c r="J49" s="404">
        <f>[6]ایران!$B$7</f>
        <v>1054.8</v>
      </c>
      <c r="K49" s="374"/>
      <c r="L49" s="375"/>
      <c r="M49" s="414"/>
      <c r="N49" s="414"/>
      <c r="O49" s="375"/>
      <c r="P49" s="375"/>
      <c r="Q49" s="375"/>
      <c r="R49" s="375"/>
      <c r="S49" s="415">
        <v>1397</v>
      </c>
    </row>
    <row r="50" spans="1:19" ht="18.899999999999999" customHeight="1">
      <c r="A50" s="401">
        <v>2437.1</v>
      </c>
      <c r="B50" s="402">
        <v>7137.6</v>
      </c>
      <c r="C50" s="403">
        <f t="shared" si="1"/>
        <v>2306.5</v>
      </c>
      <c r="D50" s="404">
        <f t="shared" si="2"/>
        <v>5692.1</v>
      </c>
      <c r="E50" s="402"/>
      <c r="F50" s="402"/>
      <c r="G50" s="402"/>
      <c r="H50" s="402"/>
      <c r="I50" s="403">
        <v>130.6</v>
      </c>
      <c r="J50" s="404">
        <v>1445.5</v>
      </c>
      <c r="K50" s="374"/>
      <c r="L50" s="375"/>
      <c r="M50" s="414"/>
      <c r="N50" s="414"/>
      <c r="O50" s="375"/>
      <c r="P50" s="375"/>
      <c r="Q50" s="375"/>
      <c r="R50" s="375"/>
      <c r="S50" s="415">
        <v>1398</v>
      </c>
    </row>
    <row r="51" spans="1:19" ht="18.899999999999999" customHeight="1" thickBot="1">
      <c r="A51" s="416">
        <v>2814.8</v>
      </c>
      <c r="B51" s="417">
        <v>12257.6</v>
      </c>
      <c r="C51" s="418">
        <f t="shared" si="1"/>
        <v>2376.5</v>
      </c>
      <c r="D51" s="419">
        <f t="shared" si="2"/>
        <v>9853.6</v>
      </c>
      <c r="E51" s="417"/>
      <c r="F51" s="417"/>
      <c r="G51" s="417"/>
      <c r="H51" s="417"/>
      <c r="I51" s="418">
        <v>438.3</v>
      </c>
      <c r="J51" s="419">
        <v>2404</v>
      </c>
      <c r="K51" s="397"/>
      <c r="L51" s="398"/>
      <c r="M51" s="420"/>
      <c r="N51" s="420"/>
      <c r="O51" s="398"/>
      <c r="P51" s="398"/>
      <c r="Q51" s="398"/>
      <c r="R51" s="398"/>
      <c r="S51" s="421">
        <v>1399</v>
      </c>
    </row>
    <row r="52" spans="1:19" s="55" customFormat="1" ht="17.25" customHeight="1">
      <c r="A52" s="563" t="s">
        <v>32</v>
      </c>
      <c r="B52" s="563"/>
      <c r="C52" s="563"/>
      <c r="D52" s="563"/>
      <c r="E52" s="563"/>
      <c r="F52" s="563"/>
      <c r="G52" s="563"/>
      <c r="H52" s="563"/>
      <c r="I52" s="563"/>
      <c r="J52" s="563"/>
      <c r="K52" s="563"/>
      <c r="L52" s="563"/>
      <c r="M52" s="563"/>
      <c r="N52" s="563"/>
      <c r="O52" s="563"/>
      <c r="P52" s="563"/>
      <c r="Q52" s="563"/>
      <c r="R52" s="563"/>
      <c r="S52" s="563"/>
    </row>
    <row r="53" spans="1:19" ht="14.1" customHeight="1">
      <c r="A53" s="4"/>
      <c r="B53" s="4"/>
      <c r="C53" s="4"/>
      <c r="D53" s="4"/>
      <c r="E53" s="4"/>
      <c r="F53" s="4"/>
      <c r="G53" s="4"/>
      <c r="H53" s="4"/>
      <c r="I53" s="4"/>
      <c r="J53" s="4"/>
      <c r="K53" s="4"/>
      <c r="L53" s="4"/>
      <c r="M53" s="4"/>
      <c r="N53" s="4"/>
      <c r="O53" s="4"/>
      <c r="P53" s="4"/>
      <c r="Q53" s="4"/>
      <c r="R53" s="4"/>
      <c r="S53" s="3"/>
    </row>
    <row r="54" spans="1:19" ht="14.1" customHeight="1">
      <c r="A54" s="4"/>
      <c r="B54" s="4"/>
      <c r="C54" s="4"/>
      <c r="D54" s="4"/>
      <c r="E54" s="4"/>
      <c r="F54" s="4"/>
      <c r="G54" s="4"/>
      <c r="H54" s="4"/>
      <c r="I54" s="4"/>
      <c r="J54" s="4"/>
      <c r="K54" s="4"/>
      <c r="L54" s="4"/>
      <c r="M54" s="4"/>
      <c r="N54" s="4"/>
      <c r="O54" s="4"/>
      <c r="P54" s="4"/>
      <c r="Q54" s="4"/>
      <c r="R54" s="4"/>
      <c r="S54" s="3"/>
    </row>
    <row r="57" spans="1:19" ht="14.1" customHeight="1">
      <c r="A57" s="553"/>
      <c r="B57" s="553"/>
      <c r="C57" s="553"/>
      <c r="D57" s="553"/>
      <c r="E57" s="553"/>
      <c r="F57" s="553"/>
      <c r="G57" s="553"/>
      <c r="H57" s="553"/>
      <c r="I57" s="553"/>
      <c r="J57" s="553"/>
      <c r="K57" s="553"/>
      <c r="L57" s="553"/>
      <c r="M57" s="553"/>
      <c r="N57" s="553"/>
      <c r="O57" s="553"/>
      <c r="P57" s="553"/>
      <c r="Q57" s="553"/>
      <c r="R57" s="553"/>
      <c r="S57" s="553"/>
    </row>
    <row r="59" spans="1:19" ht="14.1" customHeight="1" thickBot="1">
      <c r="K59" s="89"/>
    </row>
  </sheetData>
  <mergeCells count="15">
    <mergeCell ref="A57:S57"/>
    <mergeCell ref="A4:B4"/>
    <mergeCell ref="G4:H4"/>
    <mergeCell ref="K4:L4"/>
    <mergeCell ref="M4:N4"/>
    <mergeCell ref="A52:S52"/>
    <mergeCell ref="S4:S5"/>
    <mergeCell ref="I4:J4"/>
    <mergeCell ref="C4:D4"/>
    <mergeCell ref="A1:S1"/>
    <mergeCell ref="A2:S2"/>
    <mergeCell ref="O4:P4"/>
    <mergeCell ref="Q4:R4"/>
    <mergeCell ref="A3:B3"/>
    <mergeCell ref="E4:F4"/>
  </mergeCells>
  <phoneticPr fontId="0" type="noConversion"/>
  <printOptions horizontalCentered="1" verticalCentered="1"/>
  <pageMargins left="0.43307086614173229" right="3.937007874015748E-2" top="0.98425196850393704" bottom="0.98425196850393704" header="0.51181102362204722" footer="0.51181102362204722"/>
  <pageSetup paperSize="9" scale="49" orientation="landscape" horizontalDpi="180" verticalDpi="18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52"/>
  <sheetViews>
    <sheetView topLeftCell="B1" zoomScale="85" zoomScaleNormal="85" zoomScaleSheetLayoutView="80" workbookViewId="0">
      <selection activeCell="J6" sqref="J6"/>
    </sheetView>
  </sheetViews>
  <sheetFormatPr defaultColWidth="13.88671875" defaultRowHeight="14.1" customHeight="1"/>
  <cols>
    <col min="1" max="4" width="20.6640625" customWidth="1"/>
    <col min="5" max="8" width="9.88671875" hidden="1" customWidth="1"/>
    <col min="9" max="10" width="20.6640625" customWidth="1"/>
    <col min="11" max="18" width="11.33203125" hidden="1" customWidth="1"/>
    <col min="19" max="19" width="20.6640625" customWidth="1"/>
  </cols>
  <sheetData>
    <row r="1" spans="1:29" ht="21" customHeight="1">
      <c r="A1" s="549" t="s">
        <v>12</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57</v>
      </c>
      <c r="B3" s="550"/>
      <c r="C3" s="86"/>
      <c r="D3" s="86"/>
      <c r="E3" s="86"/>
      <c r="F3" s="86"/>
      <c r="G3" s="1"/>
      <c r="H3" s="1"/>
      <c r="I3" s="1"/>
      <c r="J3" s="1"/>
      <c r="K3" s="1"/>
      <c r="L3" s="1"/>
      <c r="M3" s="1"/>
      <c r="N3" s="1"/>
      <c r="O3" s="1"/>
      <c r="P3" s="1"/>
      <c r="Q3" s="1"/>
      <c r="R3" s="1"/>
      <c r="S3" s="1"/>
      <c r="Y3" s="2"/>
      <c r="Z3" s="2"/>
      <c r="AA3" s="2"/>
      <c r="AB3" s="2"/>
      <c r="AC3" s="2"/>
    </row>
    <row r="4" spans="1:29" ht="23.25"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9" ht="23.25" customHeight="1" thickBot="1">
      <c r="A5" s="257" t="s">
        <v>25</v>
      </c>
      <c r="B5" s="258" t="s">
        <v>34</v>
      </c>
      <c r="C5" s="185" t="s">
        <v>25</v>
      </c>
      <c r="D5" s="186" t="s">
        <v>34</v>
      </c>
      <c r="E5" s="185" t="s">
        <v>1</v>
      </c>
      <c r="F5" s="186" t="s">
        <v>0</v>
      </c>
      <c r="G5" s="185" t="s">
        <v>1</v>
      </c>
      <c r="H5" s="186" t="s">
        <v>0</v>
      </c>
      <c r="I5" s="185" t="s">
        <v>25</v>
      </c>
      <c r="J5" s="186" t="s">
        <v>34</v>
      </c>
      <c r="K5" s="161" t="s">
        <v>1</v>
      </c>
      <c r="L5" s="162" t="s">
        <v>0</v>
      </c>
      <c r="M5" s="163" t="s">
        <v>1</v>
      </c>
      <c r="N5" s="164" t="s">
        <v>0</v>
      </c>
      <c r="O5" s="161" t="s">
        <v>1</v>
      </c>
      <c r="P5" s="162" t="s">
        <v>0</v>
      </c>
      <c r="Q5" s="161" t="s">
        <v>1</v>
      </c>
      <c r="R5" s="162" t="s">
        <v>0</v>
      </c>
      <c r="S5" s="558"/>
    </row>
    <row r="6" spans="1:29" ht="18.899999999999999" customHeight="1">
      <c r="A6" s="253">
        <f>0.15749</f>
        <v>0.15748999999999999</v>
      </c>
      <c r="B6" s="254">
        <f>0.381</f>
        <v>0.38100000000000001</v>
      </c>
      <c r="C6" s="253">
        <f t="shared" ref="C6:C40" si="0">A6-I6</f>
        <v>0</v>
      </c>
      <c r="D6" s="254">
        <f t="shared" ref="D6:D40" si="1">B6-J6</f>
        <v>0</v>
      </c>
      <c r="E6" s="253"/>
      <c r="F6" s="254"/>
      <c r="G6" s="253">
        <v>0</v>
      </c>
      <c r="H6" s="254">
        <v>0</v>
      </c>
      <c r="I6" s="253">
        <f>0.15749</f>
        <v>0.15748999999999999</v>
      </c>
      <c r="J6" s="254">
        <v>0.38100000000000001</v>
      </c>
      <c r="K6" s="18">
        <v>49</v>
      </c>
      <c r="L6" s="19">
        <v>82</v>
      </c>
      <c r="M6" s="43">
        <v>0</v>
      </c>
      <c r="N6" s="44">
        <v>0</v>
      </c>
      <c r="O6" s="56">
        <v>0.49</v>
      </c>
      <c r="P6" s="19">
        <v>5</v>
      </c>
      <c r="Q6" s="18">
        <v>108</v>
      </c>
      <c r="R6" s="19">
        <v>294</v>
      </c>
      <c r="S6" s="169">
        <v>1354</v>
      </c>
    </row>
    <row r="7" spans="1:29" ht="18.899999999999999" customHeight="1">
      <c r="A7" s="255">
        <f>0.189</f>
        <v>0.189</v>
      </c>
      <c r="B7" s="256">
        <f>0.553</f>
        <v>0.55300000000000005</v>
      </c>
      <c r="C7" s="255">
        <f t="shared" si="0"/>
        <v>0</v>
      </c>
      <c r="D7" s="256">
        <f t="shared" si="1"/>
        <v>0</v>
      </c>
      <c r="E7" s="255"/>
      <c r="F7" s="256"/>
      <c r="G7" s="255">
        <v>0</v>
      </c>
      <c r="H7" s="256">
        <v>0</v>
      </c>
      <c r="I7" s="255">
        <f>0.189</f>
        <v>0.189</v>
      </c>
      <c r="J7" s="256">
        <f>0.553</f>
        <v>0.55300000000000005</v>
      </c>
      <c r="K7" s="6">
        <v>30</v>
      </c>
      <c r="L7" s="7">
        <v>142</v>
      </c>
      <c r="M7" s="37">
        <v>0</v>
      </c>
      <c r="N7" s="38">
        <v>1</v>
      </c>
      <c r="O7" s="6">
        <v>2</v>
      </c>
      <c r="P7" s="7">
        <v>6</v>
      </c>
      <c r="Q7" s="6">
        <v>157</v>
      </c>
      <c r="R7" s="7">
        <v>404</v>
      </c>
      <c r="S7" s="170">
        <v>1355</v>
      </c>
    </row>
    <row r="8" spans="1:29" ht="18.899999999999999" customHeight="1">
      <c r="A8" s="255">
        <f>0.25714</f>
        <v>0.25713999999999998</v>
      </c>
      <c r="B8" s="256">
        <f>0.758</f>
        <v>0.75800000000000001</v>
      </c>
      <c r="C8" s="255">
        <f t="shared" si="0"/>
        <v>0</v>
      </c>
      <c r="D8" s="256">
        <f t="shared" si="1"/>
        <v>0</v>
      </c>
      <c r="E8" s="255"/>
      <c r="F8" s="256"/>
      <c r="G8" s="255">
        <v>0</v>
      </c>
      <c r="H8" s="256">
        <v>0</v>
      </c>
      <c r="I8" s="255">
        <f>0.25714</f>
        <v>0.25713999999999998</v>
      </c>
      <c r="J8" s="256">
        <f>0.758</f>
        <v>0.75800000000000001</v>
      </c>
      <c r="K8" s="6">
        <v>61</v>
      </c>
      <c r="L8" s="7">
        <v>250</v>
      </c>
      <c r="M8" s="37">
        <v>0</v>
      </c>
      <c r="N8" s="38">
        <v>2</v>
      </c>
      <c r="O8" s="51">
        <v>0.14000000000000001</v>
      </c>
      <c r="P8" s="7">
        <v>7</v>
      </c>
      <c r="Q8" s="6">
        <v>196</v>
      </c>
      <c r="R8" s="7">
        <v>499</v>
      </c>
      <c r="S8" s="170">
        <v>1356</v>
      </c>
    </row>
    <row r="9" spans="1:29" ht="18.899999999999999" customHeight="1">
      <c r="A9" s="255">
        <f>0.282</f>
        <v>0.28199999999999997</v>
      </c>
      <c r="B9" s="256">
        <f>0.787</f>
        <v>0.78700000000000003</v>
      </c>
      <c r="C9" s="255">
        <f t="shared" si="0"/>
        <v>0</v>
      </c>
      <c r="D9" s="256">
        <f t="shared" si="1"/>
        <v>0</v>
      </c>
      <c r="E9" s="255"/>
      <c r="F9" s="256"/>
      <c r="G9" s="255">
        <v>0</v>
      </c>
      <c r="H9" s="256">
        <v>0</v>
      </c>
      <c r="I9" s="255">
        <f>0.282</f>
        <v>0.28199999999999997</v>
      </c>
      <c r="J9" s="256">
        <f>0.787</f>
        <v>0.78700000000000003</v>
      </c>
      <c r="K9" s="6">
        <v>139</v>
      </c>
      <c r="L9" s="7">
        <v>295</v>
      </c>
      <c r="M9" s="37">
        <v>0</v>
      </c>
      <c r="N9" s="38">
        <v>7</v>
      </c>
      <c r="O9" s="6">
        <v>2</v>
      </c>
      <c r="P9" s="7">
        <v>9</v>
      </c>
      <c r="Q9" s="6">
        <v>141</v>
      </c>
      <c r="R9" s="7">
        <v>476</v>
      </c>
      <c r="S9" s="170">
        <v>1357</v>
      </c>
    </row>
    <row r="10" spans="1:29" ht="18.899999999999999" customHeight="1">
      <c r="A10" s="255">
        <f>0.412</f>
        <v>0.41199999999999998</v>
      </c>
      <c r="B10" s="256">
        <v>1.0349999999999999</v>
      </c>
      <c r="C10" s="255">
        <f t="shared" si="0"/>
        <v>0</v>
      </c>
      <c r="D10" s="256">
        <f t="shared" si="1"/>
        <v>0</v>
      </c>
      <c r="E10" s="255"/>
      <c r="F10" s="256"/>
      <c r="G10" s="255">
        <v>0</v>
      </c>
      <c r="H10" s="256">
        <v>0</v>
      </c>
      <c r="I10" s="255">
        <f>0.412</f>
        <v>0.41199999999999998</v>
      </c>
      <c r="J10" s="256">
        <v>1.0349999999999999</v>
      </c>
      <c r="K10" s="6">
        <v>142</v>
      </c>
      <c r="L10" s="7">
        <v>276</v>
      </c>
      <c r="M10" s="37">
        <v>4</v>
      </c>
      <c r="N10" s="38">
        <v>13</v>
      </c>
      <c r="O10" s="6">
        <v>12</v>
      </c>
      <c r="P10" s="7">
        <v>15</v>
      </c>
      <c r="Q10" s="6">
        <v>254</v>
      </c>
      <c r="R10" s="7">
        <v>731</v>
      </c>
      <c r="S10" s="170">
        <v>1358</v>
      </c>
    </row>
    <row r="11" spans="1:29" ht="18.899999999999999" customHeight="1">
      <c r="A11" s="255">
        <f>0.50601</f>
        <v>0.50600999999999996</v>
      </c>
      <c r="B11" s="256">
        <f>0.811</f>
        <v>0.81100000000000005</v>
      </c>
      <c r="C11" s="255">
        <f t="shared" si="0"/>
        <v>0</v>
      </c>
      <c r="D11" s="256">
        <f t="shared" si="1"/>
        <v>0</v>
      </c>
      <c r="E11" s="255"/>
      <c r="F11" s="256"/>
      <c r="G11" s="255">
        <v>0</v>
      </c>
      <c r="H11" s="256">
        <v>0</v>
      </c>
      <c r="I11" s="255">
        <f>0.50601</f>
        <v>0.50600999999999996</v>
      </c>
      <c r="J11" s="256">
        <f>0.811</f>
        <v>0.81100000000000005</v>
      </c>
      <c r="K11" s="6">
        <v>127</v>
      </c>
      <c r="L11" s="7">
        <v>292</v>
      </c>
      <c r="M11" s="53">
        <v>0.01</v>
      </c>
      <c r="N11" s="38">
        <v>6</v>
      </c>
      <c r="O11" s="6">
        <v>3</v>
      </c>
      <c r="P11" s="7">
        <v>17</v>
      </c>
      <c r="Q11" s="6">
        <v>376</v>
      </c>
      <c r="R11" s="7">
        <v>496</v>
      </c>
      <c r="S11" s="170">
        <v>1359</v>
      </c>
    </row>
    <row r="12" spans="1:29" ht="18.899999999999999" customHeight="1">
      <c r="A12" s="255">
        <f>0.425</f>
        <v>0.42499999999999999</v>
      </c>
      <c r="B12" s="256">
        <v>1.3859999999999999</v>
      </c>
      <c r="C12" s="255">
        <f t="shared" si="0"/>
        <v>0</v>
      </c>
      <c r="D12" s="256">
        <f t="shared" si="1"/>
        <v>0</v>
      </c>
      <c r="E12" s="255"/>
      <c r="F12" s="256"/>
      <c r="G12" s="255">
        <v>0</v>
      </c>
      <c r="H12" s="256">
        <v>0</v>
      </c>
      <c r="I12" s="255">
        <f>0.425</f>
        <v>0.42499999999999999</v>
      </c>
      <c r="J12" s="256">
        <f>1.386</f>
        <v>1.3859999999999999</v>
      </c>
      <c r="K12" s="6">
        <v>89</v>
      </c>
      <c r="L12" s="7">
        <v>131</v>
      </c>
      <c r="M12" s="37">
        <v>0</v>
      </c>
      <c r="N12" s="38">
        <v>5</v>
      </c>
      <c r="O12" s="6">
        <v>6</v>
      </c>
      <c r="P12" s="7">
        <v>185</v>
      </c>
      <c r="Q12" s="6">
        <v>330</v>
      </c>
      <c r="R12" s="7">
        <v>1065</v>
      </c>
      <c r="S12" s="170">
        <v>1360</v>
      </c>
    </row>
    <row r="13" spans="1:29" ht="18.899999999999999" customHeight="1">
      <c r="A13" s="255">
        <f>0.486</f>
        <v>0.48599999999999999</v>
      </c>
      <c r="B13" s="256">
        <v>1.27223</v>
      </c>
      <c r="C13" s="255">
        <f t="shared" si="0"/>
        <v>0</v>
      </c>
      <c r="D13" s="256">
        <f t="shared" si="1"/>
        <v>0</v>
      </c>
      <c r="E13" s="255"/>
      <c r="F13" s="256"/>
      <c r="G13" s="255">
        <v>0</v>
      </c>
      <c r="H13" s="256">
        <v>0</v>
      </c>
      <c r="I13" s="255">
        <f>0.486</f>
        <v>0.48599999999999999</v>
      </c>
      <c r="J13" s="256">
        <f>1.27223</f>
        <v>1.27223</v>
      </c>
      <c r="K13" s="6">
        <v>54</v>
      </c>
      <c r="L13" s="57">
        <v>-0.26</v>
      </c>
      <c r="M13" s="37">
        <v>1</v>
      </c>
      <c r="N13" s="50">
        <v>0.49</v>
      </c>
      <c r="O13" s="6">
        <v>44</v>
      </c>
      <c r="P13" s="7">
        <v>312</v>
      </c>
      <c r="Q13" s="6">
        <v>387</v>
      </c>
      <c r="R13" s="7">
        <v>960</v>
      </c>
      <c r="S13" s="170">
        <v>1361</v>
      </c>
    </row>
    <row r="14" spans="1:29" ht="18.899999999999999" customHeight="1">
      <c r="A14" s="255">
        <f>0.57</f>
        <v>0.56999999999999995</v>
      </c>
      <c r="B14" s="256">
        <v>1.331</v>
      </c>
      <c r="C14" s="255">
        <f t="shared" si="0"/>
        <v>0</v>
      </c>
      <c r="D14" s="256">
        <f t="shared" si="1"/>
        <v>0</v>
      </c>
      <c r="E14" s="255"/>
      <c r="F14" s="256"/>
      <c r="G14" s="255">
        <v>0</v>
      </c>
      <c r="H14" s="256">
        <v>0</v>
      </c>
      <c r="I14" s="255">
        <f>0.57</f>
        <v>0.56999999999999995</v>
      </c>
      <c r="J14" s="256">
        <v>1.331</v>
      </c>
      <c r="K14" s="6">
        <v>11</v>
      </c>
      <c r="L14" s="7">
        <v>2</v>
      </c>
      <c r="M14" s="37">
        <v>0</v>
      </c>
      <c r="N14" s="38">
        <v>0</v>
      </c>
      <c r="O14" s="6">
        <v>85</v>
      </c>
      <c r="P14" s="7">
        <v>264</v>
      </c>
      <c r="Q14" s="6">
        <v>474</v>
      </c>
      <c r="R14" s="7">
        <v>1065</v>
      </c>
      <c r="S14" s="170">
        <v>1362</v>
      </c>
    </row>
    <row r="15" spans="1:29" ht="18.899999999999999" customHeight="1">
      <c r="A15" s="255">
        <f>0.76603</f>
        <v>0.76602999999999999</v>
      </c>
      <c r="B15" s="256">
        <v>1.9750000000000001</v>
      </c>
      <c r="C15" s="255">
        <f t="shared" si="0"/>
        <v>0</v>
      </c>
      <c r="D15" s="256">
        <f t="shared" si="1"/>
        <v>0</v>
      </c>
      <c r="E15" s="255"/>
      <c r="F15" s="256"/>
      <c r="G15" s="255">
        <v>0</v>
      </c>
      <c r="H15" s="256">
        <v>0</v>
      </c>
      <c r="I15" s="255">
        <f>0.76603</f>
        <v>0.76602999999999999</v>
      </c>
      <c r="J15" s="256">
        <v>1.9750000000000001</v>
      </c>
      <c r="K15" s="6">
        <v>14</v>
      </c>
      <c r="L15" s="7">
        <v>-1</v>
      </c>
      <c r="M15" s="53">
        <v>0.03</v>
      </c>
      <c r="N15" s="38">
        <v>0</v>
      </c>
      <c r="O15" s="6">
        <v>182</v>
      </c>
      <c r="P15" s="7">
        <v>437</v>
      </c>
      <c r="Q15" s="6">
        <v>570</v>
      </c>
      <c r="R15" s="7">
        <v>1539</v>
      </c>
      <c r="S15" s="170">
        <v>1363</v>
      </c>
    </row>
    <row r="16" spans="1:29" ht="18.899999999999999" customHeight="1">
      <c r="A16" s="255">
        <v>1.12435</v>
      </c>
      <c r="B16" s="256">
        <v>3.2149999999999999</v>
      </c>
      <c r="C16" s="255">
        <f t="shared" si="0"/>
        <v>0</v>
      </c>
      <c r="D16" s="256">
        <f t="shared" si="1"/>
        <v>0</v>
      </c>
      <c r="E16" s="255"/>
      <c r="F16" s="256"/>
      <c r="G16" s="255">
        <v>0</v>
      </c>
      <c r="H16" s="256">
        <v>0</v>
      </c>
      <c r="I16" s="255">
        <v>1.12435</v>
      </c>
      <c r="J16" s="256">
        <v>3.2149999999999999</v>
      </c>
      <c r="K16" s="51">
        <v>0.35</v>
      </c>
      <c r="L16" s="7">
        <v>-9</v>
      </c>
      <c r="M16" s="37">
        <v>1</v>
      </c>
      <c r="N16" s="38">
        <v>51</v>
      </c>
      <c r="O16" s="6">
        <v>337</v>
      </c>
      <c r="P16" s="7">
        <v>467</v>
      </c>
      <c r="Q16" s="6">
        <v>786</v>
      </c>
      <c r="R16" s="7">
        <v>2706</v>
      </c>
      <c r="S16" s="170">
        <v>1364</v>
      </c>
    </row>
    <row r="17" spans="1:19" ht="18.899999999999999" customHeight="1">
      <c r="A17" s="255">
        <v>1.964</v>
      </c>
      <c r="B17" s="256">
        <v>5.2289899999999996</v>
      </c>
      <c r="C17" s="255">
        <f t="shared" si="0"/>
        <v>0</v>
      </c>
      <c r="D17" s="256">
        <f t="shared" si="1"/>
        <v>0</v>
      </c>
      <c r="E17" s="255"/>
      <c r="F17" s="256"/>
      <c r="G17" s="255">
        <v>0</v>
      </c>
      <c r="H17" s="256">
        <v>0</v>
      </c>
      <c r="I17" s="255">
        <v>1.964</v>
      </c>
      <c r="J17" s="256">
        <v>5.2289899999999996</v>
      </c>
      <c r="K17" s="6">
        <v>6</v>
      </c>
      <c r="L17" s="52">
        <v>-0.01</v>
      </c>
      <c r="M17" s="37">
        <v>38</v>
      </c>
      <c r="N17" s="38">
        <v>270</v>
      </c>
      <c r="O17" s="6">
        <v>498</v>
      </c>
      <c r="P17" s="7">
        <v>580</v>
      </c>
      <c r="Q17" s="6">
        <v>1422</v>
      </c>
      <c r="R17" s="7">
        <v>4379</v>
      </c>
      <c r="S17" s="170">
        <v>1365</v>
      </c>
    </row>
    <row r="18" spans="1:19" ht="18.899999999999999" customHeight="1">
      <c r="A18" s="255">
        <v>1.8288</v>
      </c>
      <c r="B18" s="256">
        <v>3.60432</v>
      </c>
      <c r="C18" s="255">
        <f t="shared" si="0"/>
        <v>0</v>
      </c>
      <c r="D18" s="256">
        <f t="shared" si="1"/>
        <v>0</v>
      </c>
      <c r="E18" s="255"/>
      <c r="F18" s="256"/>
      <c r="G18" s="255">
        <v>0</v>
      </c>
      <c r="H18" s="256">
        <v>0</v>
      </c>
      <c r="I18" s="255">
        <v>1.8288</v>
      </c>
      <c r="J18" s="256">
        <v>3.60432</v>
      </c>
      <c r="K18" s="6">
        <v>6</v>
      </c>
      <c r="L18" s="7">
        <v>-7</v>
      </c>
      <c r="M18" s="37">
        <f>(34.57+2.33)*4</f>
        <v>147.6</v>
      </c>
      <c r="N18" s="38">
        <f>(55.24+1.95)*4</f>
        <v>228.76000000000002</v>
      </c>
      <c r="O18" s="6">
        <f>(71.02+13.18)*4</f>
        <v>336.79999999999995</v>
      </c>
      <c r="P18" s="7">
        <f>(21.91+109.53)*4</f>
        <v>525.76</v>
      </c>
      <c r="Q18" s="6">
        <f>(330.87+3.73)*4</f>
        <v>1338.4</v>
      </c>
      <c r="R18" s="7">
        <f>(705.45+8.75)*4</f>
        <v>2856.8</v>
      </c>
      <c r="S18" s="170">
        <v>1366</v>
      </c>
    </row>
    <row r="19" spans="1:19" ht="18.899999999999999" customHeight="1">
      <c r="A19" s="255">
        <v>2.1553200000000001</v>
      </c>
      <c r="B19" s="256">
        <v>4.00068</v>
      </c>
      <c r="C19" s="255">
        <f t="shared" si="0"/>
        <v>0</v>
      </c>
      <c r="D19" s="256">
        <f t="shared" si="1"/>
        <v>0</v>
      </c>
      <c r="E19" s="255"/>
      <c r="F19" s="256"/>
      <c r="G19" s="255">
        <v>0</v>
      </c>
      <c r="H19" s="256">
        <v>0</v>
      </c>
      <c r="I19" s="255">
        <v>2.1553200000000001</v>
      </c>
      <c r="J19" s="256">
        <v>4.00068</v>
      </c>
      <c r="K19" s="6">
        <v>0</v>
      </c>
      <c r="L19" s="7">
        <v>0</v>
      </c>
      <c r="M19" s="37">
        <f>(7.75+60.17)*4</f>
        <v>271.68</v>
      </c>
      <c r="N19" s="38">
        <f>(2.23+109.21)*4</f>
        <v>445.76</v>
      </c>
      <c r="O19" s="6">
        <f>(93.83+15.04)*4</f>
        <v>435.48</v>
      </c>
      <c r="P19" s="7">
        <f>(24.54+134.79)*4</f>
        <v>637.31999999999994</v>
      </c>
      <c r="Q19" s="6">
        <f>(359.47+2.57)*4</f>
        <v>1448.16</v>
      </c>
      <c r="R19" s="7">
        <f>(718.97+10.43)*4</f>
        <v>2917.6</v>
      </c>
      <c r="S19" s="170">
        <v>1367</v>
      </c>
    </row>
    <row r="20" spans="1:19" ht="18.899999999999999" customHeight="1">
      <c r="A20" s="255">
        <v>4.1710000000000003</v>
      </c>
      <c r="B20" s="256">
        <v>7.06</v>
      </c>
      <c r="C20" s="255">
        <f t="shared" si="0"/>
        <v>0</v>
      </c>
      <c r="D20" s="256">
        <f t="shared" si="1"/>
        <v>0</v>
      </c>
      <c r="E20" s="255"/>
      <c r="F20" s="256"/>
      <c r="G20" s="255">
        <v>0</v>
      </c>
      <c r="H20" s="256">
        <v>0</v>
      </c>
      <c r="I20" s="255">
        <v>4.1710000000000003</v>
      </c>
      <c r="J20" s="256">
        <v>7.06</v>
      </c>
      <c r="K20" s="6">
        <v>0</v>
      </c>
      <c r="L20" s="7">
        <v>0</v>
      </c>
      <c r="M20" s="37">
        <v>244</v>
      </c>
      <c r="N20" s="38">
        <v>391</v>
      </c>
      <c r="O20" s="6">
        <v>459</v>
      </c>
      <c r="P20" s="7">
        <v>706</v>
      </c>
      <c r="Q20" s="6">
        <v>3468</v>
      </c>
      <c r="R20" s="7">
        <v>5963</v>
      </c>
      <c r="S20" s="170">
        <v>1368</v>
      </c>
    </row>
    <row r="21" spans="1:19" ht="18.899999999999999" customHeight="1">
      <c r="A21" s="255">
        <v>2.7953600000000001</v>
      </c>
      <c r="B21" s="256">
        <v>6.9389519999999996</v>
      </c>
      <c r="C21" s="255">
        <f t="shared" si="0"/>
        <v>0</v>
      </c>
      <c r="D21" s="256">
        <f t="shared" si="1"/>
        <v>0</v>
      </c>
      <c r="E21" s="255"/>
      <c r="F21" s="256"/>
      <c r="G21" s="255">
        <v>0</v>
      </c>
      <c r="H21" s="256">
        <v>0</v>
      </c>
      <c r="I21" s="255">
        <v>2.7953600000000001</v>
      </c>
      <c r="J21" s="256">
        <v>6.9389519999999996</v>
      </c>
      <c r="K21" s="6">
        <v>0</v>
      </c>
      <c r="L21" s="7">
        <f>8-1.76</f>
        <v>6.24</v>
      </c>
      <c r="M21" s="37">
        <f>258-1.12</f>
        <v>256.88</v>
      </c>
      <c r="N21" s="38">
        <f>(65.8+1.02+3.38+0.004)*4</f>
        <v>280.81599999999997</v>
      </c>
      <c r="O21" s="6">
        <f>(88.39+1.55+7.17)*4</f>
        <v>388.44</v>
      </c>
      <c r="P21" s="7">
        <f>(152.9+0.01+32.85)*4</f>
        <v>743.04</v>
      </c>
      <c r="Q21" s="6">
        <f>(496.2+6.82+3.04+31.45)*4</f>
        <v>2150.04</v>
      </c>
      <c r="R21" s="7">
        <f>(965.89+0.574+13.23+497.52)*4</f>
        <v>5908.8559999999998</v>
      </c>
      <c r="S21" s="170">
        <v>1369</v>
      </c>
    </row>
    <row r="22" spans="1:19" ht="18.899999999999999" customHeight="1">
      <c r="A22" s="255">
        <v>5.397939</v>
      </c>
      <c r="B22" s="256">
        <v>13.394</v>
      </c>
      <c r="C22" s="255">
        <f t="shared" si="0"/>
        <v>0</v>
      </c>
      <c r="D22" s="256">
        <f t="shared" si="1"/>
        <v>0</v>
      </c>
      <c r="E22" s="255"/>
      <c r="F22" s="256"/>
      <c r="G22" s="255">
        <v>0</v>
      </c>
      <c r="H22" s="256">
        <v>0</v>
      </c>
      <c r="I22" s="255">
        <v>5.397939</v>
      </c>
      <c r="J22" s="256">
        <v>13.394</v>
      </c>
      <c r="K22" s="6">
        <f>0.939</f>
        <v>0.93899999999999995</v>
      </c>
      <c r="L22" s="7">
        <v>50</v>
      </c>
      <c r="M22" s="37">
        <v>337</v>
      </c>
      <c r="N22" s="38">
        <v>415</v>
      </c>
      <c r="O22" s="6">
        <v>513</v>
      </c>
      <c r="P22" s="7">
        <v>1417</v>
      </c>
      <c r="Q22" s="6">
        <v>4547</v>
      </c>
      <c r="R22" s="7">
        <v>11512</v>
      </c>
      <c r="S22" s="170">
        <v>1370</v>
      </c>
    </row>
    <row r="23" spans="1:19" ht="18.899999999999999" customHeight="1">
      <c r="A23" s="255">
        <v>6.4600400000000002</v>
      </c>
      <c r="B23" s="256">
        <v>12.77924</v>
      </c>
      <c r="C23" s="255">
        <f t="shared" si="0"/>
        <v>0</v>
      </c>
      <c r="D23" s="256">
        <f t="shared" si="1"/>
        <v>0</v>
      </c>
      <c r="E23" s="255"/>
      <c r="F23" s="256"/>
      <c r="G23" s="255">
        <v>0</v>
      </c>
      <c r="H23" s="256">
        <v>0</v>
      </c>
      <c r="I23" s="255">
        <v>6.4600400000000002</v>
      </c>
      <c r="J23" s="256">
        <v>12.77924</v>
      </c>
      <c r="K23" s="6">
        <f>27-2.08</f>
        <v>24.92</v>
      </c>
      <c r="L23" s="7">
        <f>272-21.24</f>
        <v>250.76</v>
      </c>
      <c r="M23" s="37">
        <f>268-13.64</f>
        <v>254.36</v>
      </c>
      <c r="N23" s="38">
        <f>601-114.32</f>
        <v>486.68</v>
      </c>
      <c r="O23" s="6">
        <f>917-56.96</f>
        <v>860.04</v>
      </c>
      <c r="P23" s="7">
        <f>2113-473.24</f>
        <v>1639.76</v>
      </c>
      <c r="Q23" s="6">
        <f>6741-1420.28</f>
        <v>5320.72</v>
      </c>
      <c r="R23" s="7">
        <f>17385-6982.96</f>
        <v>10402.040000000001</v>
      </c>
      <c r="S23" s="170">
        <v>1371</v>
      </c>
    </row>
    <row r="24" spans="1:19" ht="18.899999999999999" customHeight="1">
      <c r="A24" s="255">
        <v>9.2494999999999994</v>
      </c>
      <c r="B24" s="256">
        <v>18.402709999999999</v>
      </c>
      <c r="C24" s="255">
        <f t="shared" si="0"/>
        <v>0</v>
      </c>
      <c r="D24" s="256">
        <f t="shared" si="1"/>
        <v>0</v>
      </c>
      <c r="E24" s="255"/>
      <c r="F24" s="256"/>
      <c r="G24" s="255">
        <v>0</v>
      </c>
      <c r="H24" s="256">
        <v>0</v>
      </c>
      <c r="I24" s="255">
        <v>9.2494999999999994</v>
      </c>
      <c r="J24" s="256">
        <v>18.402709999999999</v>
      </c>
      <c r="K24" s="6">
        <f>65-2.73</f>
        <v>62.27</v>
      </c>
      <c r="L24" s="7">
        <f>272-12.4</f>
        <v>259.60000000000002</v>
      </c>
      <c r="M24" s="37">
        <f>338-20.91</f>
        <v>317.08999999999997</v>
      </c>
      <c r="N24" s="38">
        <f>747-162.63</f>
        <v>584.37</v>
      </c>
      <c r="O24" s="6">
        <f>1700-180.15</f>
        <v>1519.85</v>
      </c>
      <c r="P24" s="7">
        <f>3584-1177.56</f>
        <v>2406.44</v>
      </c>
      <c r="Q24" s="6">
        <f>9572-2221.71</f>
        <v>7350.29</v>
      </c>
      <c r="R24" s="7">
        <f>29895-14742.7</f>
        <v>15152.3</v>
      </c>
      <c r="S24" s="170">
        <v>1372</v>
      </c>
    </row>
    <row r="25" spans="1:19" ht="18.899999999999999" customHeight="1">
      <c r="A25" s="255">
        <v>13.66625</v>
      </c>
      <c r="B25" s="256">
        <v>28.63748</v>
      </c>
      <c r="C25" s="255">
        <f t="shared" si="0"/>
        <v>0</v>
      </c>
      <c r="D25" s="256">
        <f t="shared" si="1"/>
        <v>0</v>
      </c>
      <c r="E25" s="255"/>
      <c r="F25" s="256"/>
      <c r="G25" s="255">
        <v>0</v>
      </c>
      <c r="H25" s="256">
        <v>0</v>
      </c>
      <c r="I25" s="255">
        <v>13.66625</v>
      </c>
      <c r="J25" s="256">
        <v>28.63748</v>
      </c>
      <c r="K25" s="6">
        <f>153-10</f>
        <v>143</v>
      </c>
      <c r="L25" s="7">
        <f>859-12.31</f>
        <v>846.69</v>
      </c>
      <c r="M25" s="37">
        <f>499-59.06</f>
        <v>439.94</v>
      </c>
      <c r="N25" s="38">
        <f>1450-314.14</f>
        <v>1135.8600000000001</v>
      </c>
      <c r="O25" s="6">
        <f>2376-432.29</f>
        <v>1943.71</v>
      </c>
      <c r="P25" s="7">
        <f>6408-2457.88</f>
        <v>3950.12</v>
      </c>
      <c r="Q25" s="6">
        <f>15310-4170.4</f>
        <v>11139.6</v>
      </c>
      <c r="R25" s="7">
        <f>39402-16697.19</f>
        <v>22704.81</v>
      </c>
      <c r="S25" s="170">
        <v>1373</v>
      </c>
    </row>
    <row r="26" spans="1:19" ht="18.899999999999999" customHeight="1">
      <c r="A26" s="255">
        <v>19.17501</v>
      </c>
      <c r="B26" s="256">
        <v>40.414850000000001</v>
      </c>
      <c r="C26" s="255">
        <f t="shared" si="0"/>
        <v>0</v>
      </c>
      <c r="D26" s="256">
        <f t="shared" si="1"/>
        <v>0</v>
      </c>
      <c r="E26" s="255"/>
      <c r="F26" s="256"/>
      <c r="G26" s="255">
        <v>0</v>
      </c>
      <c r="H26" s="256">
        <v>0</v>
      </c>
      <c r="I26" s="255">
        <v>19.17501</v>
      </c>
      <c r="J26" s="256">
        <v>40.414850000000001</v>
      </c>
      <c r="K26" s="6">
        <f>368-14.02</f>
        <v>353.98</v>
      </c>
      <c r="L26" s="7">
        <f>2237-21.09</f>
        <v>2215.91</v>
      </c>
      <c r="M26" s="37">
        <f>825-230.7</f>
        <v>594.29999999999995</v>
      </c>
      <c r="N26" s="38">
        <f>2260-661.87</f>
        <v>1598.13</v>
      </c>
      <c r="O26" s="6">
        <f>5040-1839.69</f>
        <v>3200.31</v>
      </c>
      <c r="P26" s="7">
        <f>10490-4179.64</f>
        <v>6310.36</v>
      </c>
      <c r="Q26" s="6">
        <f>22379-7352.58</f>
        <v>15026.42</v>
      </c>
      <c r="R26" s="7">
        <f>50872-20581.55</f>
        <v>30290.45</v>
      </c>
      <c r="S26" s="170">
        <v>1374</v>
      </c>
    </row>
    <row r="27" spans="1:19" ht="18.899999999999999" customHeight="1">
      <c r="A27" s="255">
        <v>29.850020000000001</v>
      </c>
      <c r="B27" s="256">
        <v>54.942</v>
      </c>
      <c r="C27" s="255">
        <f t="shared" si="0"/>
        <v>0</v>
      </c>
      <c r="D27" s="256">
        <f t="shared" si="1"/>
        <v>0</v>
      </c>
      <c r="E27" s="255"/>
      <c r="F27" s="256"/>
      <c r="G27" s="255">
        <v>0</v>
      </c>
      <c r="H27" s="256">
        <v>0</v>
      </c>
      <c r="I27" s="255">
        <v>29.850020000000001</v>
      </c>
      <c r="J27" s="256">
        <v>54.942</v>
      </c>
      <c r="K27" s="6">
        <f>1110-2</f>
        <v>1108</v>
      </c>
      <c r="L27" s="7">
        <f>2785-8</f>
        <v>2777</v>
      </c>
      <c r="M27" s="37">
        <f>1790-455.38</f>
        <v>1334.62</v>
      </c>
      <c r="N27" s="38">
        <f>4634-1579</f>
        <v>3055</v>
      </c>
      <c r="O27" s="6">
        <f>9379-3468.82</f>
        <v>5910.18</v>
      </c>
      <c r="P27" s="7">
        <f>16125-8107</f>
        <v>8018</v>
      </c>
      <c r="Q27" s="6">
        <f>35123-13625.78</f>
        <v>21497.22</v>
      </c>
      <c r="R27" s="7">
        <f>78995-37903</f>
        <v>41092</v>
      </c>
      <c r="S27" s="170">
        <v>1375</v>
      </c>
    </row>
    <row r="28" spans="1:19" ht="18.899999999999999" customHeight="1">
      <c r="A28" s="255">
        <v>38.621000000000002</v>
      </c>
      <c r="B28" s="256">
        <v>74.185000000000002</v>
      </c>
      <c r="C28" s="255">
        <f t="shared" si="0"/>
        <v>0</v>
      </c>
      <c r="D28" s="256">
        <f t="shared" si="1"/>
        <v>0</v>
      </c>
      <c r="E28" s="255"/>
      <c r="F28" s="256"/>
      <c r="G28" s="255">
        <v>0</v>
      </c>
      <c r="H28" s="256">
        <v>0</v>
      </c>
      <c r="I28" s="255">
        <v>38.621000000000002</v>
      </c>
      <c r="J28" s="256">
        <v>74.185000000000002</v>
      </c>
      <c r="K28" s="6">
        <v>2330</v>
      </c>
      <c r="L28" s="7">
        <v>6058</v>
      </c>
      <c r="M28" s="37">
        <v>1198</v>
      </c>
      <c r="N28" s="38">
        <v>3555</v>
      </c>
      <c r="O28" s="6">
        <v>6062</v>
      </c>
      <c r="P28" s="7">
        <v>9759</v>
      </c>
      <c r="Q28" s="6">
        <v>29031</v>
      </c>
      <c r="R28" s="7">
        <v>54813</v>
      </c>
      <c r="S28" s="170">
        <v>1376</v>
      </c>
    </row>
    <row r="29" spans="1:19" ht="18.899999999999999" customHeight="1">
      <c r="A29" s="255">
        <v>49.456000000000003</v>
      </c>
      <c r="B29" s="256">
        <v>78.748000000000005</v>
      </c>
      <c r="C29" s="255">
        <f t="shared" si="0"/>
        <v>0</v>
      </c>
      <c r="D29" s="256">
        <f t="shared" si="1"/>
        <v>0</v>
      </c>
      <c r="E29" s="255"/>
      <c r="F29" s="256"/>
      <c r="G29" s="255">
        <v>0</v>
      </c>
      <c r="H29" s="256">
        <v>0</v>
      </c>
      <c r="I29" s="255">
        <v>49.456000000000003</v>
      </c>
      <c r="J29" s="256">
        <v>78.748000000000005</v>
      </c>
      <c r="K29" s="6">
        <v>4099</v>
      </c>
      <c r="L29" s="7">
        <v>6587</v>
      </c>
      <c r="M29" s="37">
        <v>1549</v>
      </c>
      <c r="N29" s="38">
        <v>4306</v>
      </c>
      <c r="O29" s="6">
        <v>6696</v>
      </c>
      <c r="P29" s="7">
        <v>12656</v>
      </c>
      <c r="Q29" s="6">
        <v>37112</v>
      </c>
      <c r="R29" s="7">
        <v>55199</v>
      </c>
      <c r="S29" s="170">
        <v>1377</v>
      </c>
    </row>
    <row r="30" spans="1:19" ht="18.899999999999999" customHeight="1">
      <c r="A30" s="255">
        <v>56.739699999999999</v>
      </c>
      <c r="B30" s="256">
        <v>106.7312</v>
      </c>
      <c r="C30" s="255">
        <f t="shared" si="0"/>
        <v>0</v>
      </c>
      <c r="D30" s="256">
        <f t="shared" si="1"/>
        <v>0</v>
      </c>
      <c r="E30" s="255"/>
      <c r="F30" s="256"/>
      <c r="G30" s="255">
        <v>0</v>
      </c>
      <c r="H30" s="256">
        <v>0</v>
      </c>
      <c r="I30" s="255">
        <v>56.739699999999999</v>
      </c>
      <c r="J30" s="256">
        <v>106.7312</v>
      </c>
      <c r="K30" s="6">
        <f>4058.6+1803.2+195.7+228.8</f>
        <v>6286.3</v>
      </c>
      <c r="L30" s="7">
        <f>5273.8+2529.8+332.5+760.7+131.6</f>
        <v>9028.4000000000015</v>
      </c>
      <c r="M30" s="37">
        <f>1388.7+155.1</f>
        <v>1543.8</v>
      </c>
      <c r="N30" s="38">
        <f>4419.7+1188.2+405.7</f>
        <v>6013.5999999999995</v>
      </c>
      <c r="O30" s="6">
        <f>4618.1+1164.7</f>
        <v>5782.8</v>
      </c>
      <c r="P30" s="7">
        <f>7963.7+4564.2+730+1.6+2223.8</f>
        <v>15483.3</v>
      </c>
      <c r="Q30" s="6">
        <f>7553.8+32123.4+923.7+2525.9</f>
        <v>43126.8</v>
      </c>
      <c r="R30" s="7">
        <f>18937.5+43940.4+3652.1+9675.9</f>
        <v>76205.899999999994</v>
      </c>
      <c r="S30" s="170">
        <v>1378</v>
      </c>
    </row>
    <row r="31" spans="1:19" ht="18.899999999999999" customHeight="1">
      <c r="A31" s="255">
        <v>73.644599999999997</v>
      </c>
      <c r="B31" s="256">
        <v>151.81649999999999</v>
      </c>
      <c r="C31" s="255">
        <f t="shared" si="0"/>
        <v>0</v>
      </c>
      <c r="D31" s="256">
        <f t="shared" si="1"/>
        <v>0</v>
      </c>
      <c r="E31" s="255"/>
      <c r="F31" s="256"/>
      <c r="G31" s="255">
        <v>0</v>
      </c>
      <c r="H31" s="256">
        <v>0</v>
      </c>
      <c r="I31" s="255">
        <v>73.644599999999997</v>
      </c>
      <c r="J31" s="256">
        <v>151.81649999999999</v>
      </c>
      <c r="K31" s="6">
        <f>3631.6+4053.2+53.9+655.5</f>
        <v>8394.1999999999989</v>
      </c>
      <c r="L31" s="7">
        <f>6272.7+8508.8+2374+1120.9+551.7</f>
        <v>18828.100000000002</v>
      </c>
      <c r="M31" s="37">
        <f>1988.8+322.1</f>
        <v>2310.9</v>
      </c>
      <c r="N31" s="38">
        <f>3208.1+1165.5+785.5</f>
        <v>5159.1000000000004</v>
      </c>
      <c r="O31" s="6">
        <f>5685.9+1890.6+496</f>
        <v>8072.5</v>
      </c>
      <c r="P31" s="7">
        <f>8632+8097+682.6+1.2+2731</f>
        <v>20143.8</v>
      </c>
      <c r="Q31" s="6">
        <f>12171.3+36861.5+1382.5+4451.7</f>
        <v>54867</v>
      </c>
      <c r="R31" s="7">
        <f>19885+55664.3+7050.5+25085.7</f>
        <v>107685.5</v>
      </c>
      <c r="S31" s="170">
        <v>1379</v>
      </c>
    </row>
    <row r="32" spans="1:19" ht="18.899999999999999" customHeight="1">
      <c r="A32" s="255">
        <v>90.275989023999998</v>
      </c>
      <c r="B32" s="256">
        <v>151.99080000000001</v>
      </c>
      <c r="C32" s="255">
        <f t="shared" si="0"/>
        <v>0</v>
      </c>
      <c r="D32" s="256">
        <f t="shared" si="1"/>
        <v>0</v>
      </c>
      <c r="E32" s="255"/>
      <c r="F32" s="256"/>
      <c r="G32" s="255">
        <v>0</v>
      </c>
      <c r="H32" s="256">
        <v>0</v>
      </c>
      <c r="I32" s="255">
        <v>90.275989023999998</v>
      </c>
      <c r="J32" s="256">
        <v>151.99080000000001</v>
      </c>
      <c r="K32" s="6">
        <f>[7]حوادث!$B$12*1000</f>
        <v>11422.059804</v>
      </c>
      <c r="L32" s="7">
        <f>7471+17627.4+732+1029.4-230.8</f>
        <v>26629.000000000004</v>
      </c>
      <c r="M32" s="37">
        <f>[7]حوادث!$C$12*1000</f>
        <v>2509.697588</v>
      </c>
      <c r="N32" s="38">
        <f>4752.9+1064.9+914.7</f>
        <v>6732.4999999999991</v>
      </c>
      <c r="O32" s="6">
        <f>[7]حوادث!$D$12*1000</f>
        <v>13306.147748000001</v>
      </c>
      <c r="P32" s="7">
        <f>14453.5+8798.5+1298.3+3456.5-0.1</f>
        <v>28006.7</v>
      </c>
      <c r="Q32" s="6">
        <f>[7]حوادث!$E$12*1000</f>
        <v>63038.083884</v>
      </c>
      <c r="R32" s="7">
        <f>23340.8+46401.9+8692.3+12187.6</f>
        <v>90622.6</v>
      </c>
      <c r="S32" s="170">
        <v>1380</v>
      </c>
    </row>
    <row r="33" spans="1:19" ht="18.899999999999999" customHeight="1">
      <c r="A33" s="255">
        <v>108.87086164</v>
      </c>
      <c r="B33" s="295">
        <v>246.86521739200001</v>
      </c>
      <c r="C33" s="255">
        <f t="shared" si="0"/>
        <v>0</v>
      </c>
      <c r="D33" s="256">
        <f t="shared" si="1"/>
        <v>0</v>
      </c>
      <c r="E33" s="255">
        <v>0</v>
      </c>
      <c r="F33" s="256">
        <v>0</v>
      </c>
      <c r="G33" s="255">
        <v>0</v>
      </c>
      <c r="H33" s="256">
        <v>0</v>
      </c>
      <c r="I33" s="255">
        <v>108.87086164</v>
      </c>
      <c r="J33" s="256">
        <v>246.86521739200001</v>
      </c>
      <c r="K33" s="6">
        <f>'[1]بيمه دانا'!$I$17/1000000</f>
        <v>24384.438856000001</v>
      </c>
      <c r="L33" s="8">
        <f>'[1]بيمه دانا'!$Q$17/1000000</f>
        <v>96455.981536000007</v>
      </c>
      <c r="M33" s="37">
        <f>'[1]بيمه البرز'!$I$17/1000000</f>
        <v>3177.1963000000001</v>
      </c>
      <c r="N33" s="77">
        <f>'[1]بيمه البرز'!$Q$17/1000000</f>
        <v>10999.456303999999</v>
      </c>
      <c r="O33" s="6">
        <f>'[1]بيمه آسيا'!$I$17/1000000</f>
        <v>12273.813612</v>
      </c>
      <c r="P33" s="8">
        <f>'[1]بيمه آسيا'!$Q$17/1000000</f>
        <v>36091.731268000003</v>
      </c>
      <c r="Q33" s="6">
        <f>'[1]بيمه ايران'!$I$17/1000000</f>
        <v>69035.412872000001</v>
      </c>
      <c r="R33" s="7">
        <f>'[1]بيمه ايران'!$Q$17/1000000</f>
        <v>103318.048284</v>
      </c>
      <c r="S33" s="170">
        <v>1381</v>
      </c>
    </row>
    <row r="34" spans="1:19" ht="18.899999999999999" customHeight="1">
      <c r="A34" s="255">
        <v>120.995551088</v>
      </c>
      <c r="B34" s="295">
        <v>290.43661339200003</v>
      </c>
      <c r="C34" s="255">
        <f t="shared" si="0"/>
        <v>5.137607999999716E-2</v>
      </c>
      <c r="D34" s="256">
        <f t="shared" si="1"/>
        <v>3.1629251640000007</v>
      </c>
      <c r="E34" s="255">
        <v>51.376080000000002</v>
      </c>
      <c r="F34" s="256">
        <v>3162.9251640000002</v>
      </c>
      <c r="G34" s="255">
        <v>0</v>
      </c>
      <c r="H34" s="256">
        <v>0</v>
      </c>
      <c r="I34" s="255">
        <v>120.944175008</v>
      </c>
      <c r="J34" s="256">
        <v>287.27368822800003</v>
      </c>
      <c r="K34" s="6">
        <f>'[2]بيمه دانا'!$I$17/1000000</f>
        <v>56097.609592000001</v>
      </c>
      <c r="L34" s="8">
        <f>'[2]بيمه دانا'!$Q$17/1000000</f>
        <v>118912.576948</v>
      </c>
      <c r="M34" s="37">
        <f>'[2]بيمه البرز'!$I$17/1000000</f>
        <v>4840.7959840000003</v>
      </c>
      <c r="N34" s="77">
        <f>'[2]بيمه البرز'!$Q$17/1000000</f>
        <v>19368.3907</v>
      </c>
      <c r="O34" s="6">
        <f>'[2]بيمه آسيا'!$I$17/1000000</f>
        <v>17612.870716000001</v>
      </c>
      <c r="P34" s="8">
        <f>'[2]بيمه آسيا'!$Q$17/1000000</f>
        <v>43577.207999999999</v>
      </c>
      <c r="Q34" s="6">
        <f>'[2]بيمه ايران'!$I$17/1000000</f>
        <v>42392.898716000003</v>
      </c>
      <c r="R34" s="7">
        <f>'[2]بيمه ايران'!$Q$17/1000000</f>
        <v>105415.51258</v>
      </c>
      <c r="S34" s="170">
        <v>1382</v>
      </c>
    </row>
    <row r="35" spans="1:19" ht="18.899999999999999" customHeight="1">
      <c r="A35" s="255">
        <v>140.20517361200001</v>
      </c>
      <c r="B35" s="295">
        <v>357.03898234399998</v>
      </c>
      <c r="C35" s="296">
        <f t="shared" si="0"/>
        <v>0.95195040400000153</v>
      </c>
      <c r="D35" s="297">
        <f t="shared" si="1"/>
        <v>10.067879984000001</v>
      </c>
      <c r="E35" s="296">
        <v>951.95040400000005</v>
      </c>
      <c r="F35" s="297">
        <v>10050.343983999999</v>
      </c>
      <c r="G35" s="296">
        <v>0</v>
      </c>
      <c r="H35" s="297">
        <v>17.536000000000001</v>
      </c>
      <c r="I35" s="296">
        <v>139.25322320800001</v>
      </c>
      <c r="J35" s="297">
        <v>346.97110235999997</v>
      </c>
      <c r="K35" s="143">
        <f>'[2]بيمه دانا'!$H$17/1000000</f>
        <v>64568.784983999998</v>
      </c>
      <c r="L35" s="16">
        <f>'[2]بيمه دانا'!$P$17/1000000</f>
        <v>124544.726956</v>
      </c>
      <c r="M35" s="144">
        <f>'[2]بيمه البرز'!$H$17/1000000</f>
        <v>8352.2069080000001</v>
      </c>
      <c r="N35" s="81">
        <f>'[2]بيمه البرز'!$P$17/1000000</f>
        <v>26441.970932</v>
      </c>
      <c r="O35" s="143">
        <f>'[2]بيمه آسيا'!$H$17/1000000</f>
        <v>22135.192668</v>
      </c>
      <c r="P35" s="16">
        <f>'[2]بيمه آسيا'!$P$17/1000000</f>
        <v>63280.133476000003</v>
      </c>
      <c r="Q35" s="143">
        <f>'[2]بيمه ايران'!$H$17/1000000</f>
        <v>44197.038648000002</v>
      </c>
      <c r="R35" s="16">
        <f>'[2]بيمه ايران'!$P$17/1000000</f>
        <v>132704.27099600001</v>
      </c>
      <c r="S35" s="226">
        <v>1383</v>
      </c>
    </row>
    <row r="36" spans="1:19" ht="18.899999999999999" customHeight="1">
      <c r="A36" s="255">
        <v>167.98279546000001</v>
      </c>
      <c r="B36" s="256">
        <v>407.10847602500002</v>
      </c>
      <c r="C36" s="298">
        <f t="shared" si="0"/>
        <v>3.9365986399999997</v>
      </c>
      <c r="D36" s="256">
        <f t="shared" si="1"/>
        <v>31.161855353000021</v>
      </c>
      <c r="E36" s="298">
        <v>3858.2502999999997</v>
      </c>
      <c r="F36" s="256">
        <v>29848.794364000001</v>
      </c>
      <c r="G36" s="298">
        <v>21.802340000000001</v>
      </c>
      <c r="H36" s="256">
        <v>187.88540399999999</v>
      </c>
      <c r="I36" s="298">
        <v>164.04619682000001</v>
      </c>
      <c r="J36" s="256">
        <v>375.94662067199999</v>
      </c>
      <c r="K36" s="85">
        <f>'[3]بيمه دانا'!$H$17/1000000</f>
        <v>64744.785704000002</v>
      </c>
      <c r="L36" s="7">
        <f>'[3]بيمه دانا'!$P$17/1000000</f>
        <v>121186.82212</v>
      </c>
      <c r="M36" s="103">
        <f>'[3]بيمه البرز'!$H$17/1000000</f>
        <v>11541.410012</v>
      </c>
      <c r="N36" s="38">
        <f>'[3]بيمه البرز'!$P$17/1000000</f>
        <v>28621.924483999999</v>
      </c>
      <c r="O36" s="85">
        <f>'[3]بيمه آسيا'!$H$17/1000000</f>
        <v>32905.203408000001</v>
      </c>
      <c r="P36" s="7">
        <f>'[3]بيمه آسيا'!$P$17/1000000</f>
        <v>63831.5481</v>
      </c>
      <c r="Q36" s="85">
        <f>'[3]بيمه ايران'!$H$17/1000000</f>
        <v>54854.797696000001</v>
      </c>
      <c r="R36" s="7">
        <f>'[3]بيمه ايران'!$P$17/1000000</f>
        <v>162306.32596799999</v>
      </c>
      <c r="S36" s="190">
        <v>1384</v>
      </c>
    </row>
    <row r="37" spans="1:19" ht="18.899999999999999" customHeight="1">
      <c r="A37" s="255">
        <v>189.54152010799999</v>
      </c>
      <c r="B37" s="256">
        <v>471.066138072</v>
      </c>
      <c r="C37" s="299">
        <f t="shared" si="0"/>
        <v>12.125140995999999</v>
      </c>
      <c r="D37" s="300">
        <f t="shared" si="1"/>
        <v>53.004197207999994</v>
      </c>
      <c r="E37" s="299"/>
      <c r="F37" s="300"/>
      <c r="G37" s="299"/>
      <c r="H37" s="300"/>
      <c r="I37" s="299">
        <v>177.41637911199999</v>
      </c>
      <c r="J37" s="300">
        <v>418.06194086400001</v>
      </c>
      <c r="K37" s="96"/>
      <c r="L37" s="11"/>
      <c r="M37" s="105"/>
      <c r="N37" s="21"/>
      <c r="O37" s="96"/>
      <c r="P37" s="11"/>
      <c r="Q37" s="96"/>
      <c r="R37" s="11"/>
      <c r="S37" s="202">
        <v>1385</v>
      </c>
    </row>
    <row r="38" spans="1:19" ht="18.899999999999999" customHeight="1">
      <c r="A38" s="255">
        <v>206.31220417200001</v>
      </c>
      <c r="B38" s="256">
        <v>614.54725712799996</v>
      </c>
      <c r="C38" s="301">
        <f t="shared" si="0"/>
        <v>28.692643316000016</v>
      </c>
      <c r="D38" s="256">
        <f t="shared" si="1"/>
        <v>108.48087748399996</v>
      </c>
      <c r="E38" s="298"/>
      <c r="F38" s="256"/>
      <c r="G38" s="298"/>
      <c r="H38" s="256"/>
      <c r="I38" s="298">
        <v>177.61956085599999</v>
      </c>
      <c r="J38" s="256">
        <v>506.06637964399999</v>
      </c>
      <c r="K38" s="85"/>
      <c r="L38" s="7"/>
      <c r="M38" s="103"/>
      <c r="N38" s="38"/>
      <c r="O38" s="85"/>
      <c r="P38" s="7"/>
      <c r="Q38" s="85"/>
      <c r="R38" s="7"/>
      <c r="S38" s="190">
        <v>1386</v>
      </c>
    </row>
    <row r="39" spans="1:19" ht="18.899999999999999" customHeight="1">
      <c r="A39" s="255">
        <v>240.19954494000001</v>
      </c>
      <c r="B39" s="256">
        <v>836.26666850799995</v>
      </c>
      <c r="C39" s="299">
        <f t="shared" si="0"/>
        <v>54.703031556000013</v>
      </c>
      <c r="D39" s="300">
        <f t="shared" si="1"/>
        <v>242.65596471999993</v>
      </c>
      <c r="E39" s="298"/>
      <c r="F39" s="256"/>
      <c r="G39" s="298"/>
      <c r="H39" s="256"/>
      <c r="I39" s="298">
        <v>185.496513384</v>
      </c>
      <c r="J39" s="256">
        <v>593.61070378800002</v>
      </c>
      <c r="K39" s="85"/>
      <c r="L39" s="7"/>
      <c r="M39" s="103"/>
      <c r="N39" s="38"/>
      <c r="O39" s="85"/>
      <c r="P39" s="7"/>
      <c r="Q39" s="85"/>
      <c r="R39" s="7"/>
      <c r="S39" s="190">
        <v>1387</v>
      </c>
    </row>
    <row r="40" spans="1:19" ht="18.899999999999999" customHeight="1">
      <c r="A40" s="255">
        <v>283.01913709199999</v>
      </c>
      <c r="B40" s="256">
        <v>862.8</v>
      </c>
      <c r="C40" s="301">
        <f t="shared" si="0"/>
        <v>156.11798502400001</v>
      </c>
      <c r="D40" s="256">
        <f t="shared" si="1"/>
        <v>458.16295657199993</v>
      </c>
      <c r="E40" s="298"/>
      <c r="F40" s="256"/>
      <c r="G40" s="298"/>
      <c r="H40" s="256"/>
      <c r="I40" s="298">
        <v>126.901152068</v>
      </c>
      <c r="J40" s="256">
        <v>404.63704342800003</v>
      </c>
      <c r="K40" s="85"/>
      <c r="L40" s="7"/>
      <c r="M40" s="103"/>
      <c r="N40" s="38"/>
      <c r="O40" s="85"/>
      <c r="P40" s="7"/>
      <c r="Q40" s="85"/>
      <c r="R40" s="7"/>
      <c r="S40" s="190">
        <v>1388</v>
      </c>
    </row>
    <row r="41" spans="1:19" ht="18.899999999999999" customHeight="1">
      <c r="A41" s="255">
        <v>279.31279832400003</v>
      </c>
      <c r="B41" s="256">
        <v>935.79806170799998</v>
      </c>
      <c r="C41" s="301">
        <f>A41-I41</f>
        <v>279.20273886791603</v>
      </c>
      <c r="D41" s="256">
        <f>B41-J41</f>
        <v>454.06153284799996</v>
      </c>
      <c r="E41" s="298"/>
      <c r="F41" s="256"/>
      <c r="G41" s="298"/>
      <c r="H41" s="256"/>
      <c r="I41" s="298">
        <f>0.110059456084</f>
        <v>0.110059456084</v>
      </c>
      <c r="J41" s="256">
        <v>481.73652886000002</v>
      </c>
      <c r="K41" s="85"/>
      <c r="L41" s="7"/>
      <c r="M41" s="103"/>
      <c r="N41" s="38"/>
      <c r="O41" s="85"/>
      <c r="P41" s="7"/>
      <c r="Q41" s="85"/>
      <c r="R41" s="7"/>
      <c r="S41" s="190">
        <v>1389</v>
      </c>
    </row>
    <row r="42" spans="1:19" ht="18.899999999999999" customHeight="1">
      <c r="A42" s="422">
        <f>370.6</f>
        <v>370.6</v>
      </c>
      <c r="B42" s="423">
        <f>1294.4</f>
        <v>1294.4000000000001</v>
      </c>
      <c r="C42" s="424">
        <f>A42-I42</f>
        <v>137.60000000000002</v>
      </c>
      <c r="D42" s="423">
        <f>B42-J42</f>
        <v>722.00000000000011</v>
      </c>
      <c r="E42" s="425"/>
      <c r="F42" s="423"/>
      <c r="G42" s="425"/>
      <c r="H42" s="423"/>
      <c r="I42" s="425">
        <f>233</f>
        <v>233</v>
      </c>
      <c r="J42" s="423">
        <v>572.4</v>
      </c>
      <c r="K42" s="426"/>
      <c r="L42" s="116"/>
      <c r="M42" s="426"/>
      <c r="N42" s="116"/>
      <c r="O42" s="426"/>
      <c r="P42" s="116"/>
      <c r="Q42" s="426"/>
      <c r="R42" s="116"/>
      <c r="S42" s="427">
        <v>1390</v>
      </c>
    </row>
    <row r="43" spans="1:19" ht="18.899999999999999" customHeight="1">
      <c r="A43" s="428">
        <v>533.1</v>
      </c>
      <c r="B43" s="429">
        <v>1544.4</v>
      </c>
      <c r="C43" s="430">
        <f t="shared" ref="C43:C51" si="2">A43-I43</f>
        <v>227.5</v>
      </c>
      <c r="D43" s="431">
        <f t="shared" ref="D43:D51" si="3">B43-J43</f>
        <v>1043.2</v>
      </c>
      <c r="E43" s="431"/>
      <c r="F43" s="431"/>
      <c r="G43" s="431"/>
      <c r="H43" s="432"/>
      <c r="I43" s="428">
        <v>305.60000000000002</v>
      </c>
      <c r="J43" s="423">
        <v>501.2</v>
      </c>
      <c r="K43" s="433"/>
      <c r="L43" s="433"/>
      <c r="M43" s="433"/>
      <c r="N43" s="433"/>
      <c r="O43" s="433"/>
      <c r="P43" s="433"/>
      <c r="Q43" s="433"/>
      <c r="R43" s="433"/>
      <c r="S43" s="194">
        <v>1391</v>
      </c>
    </row>
    <row r="44" spans="1:19" ht="18.899999999999999" customHeight="1">
      <c r="A44" s="422">
        <v>623.20000000000005</v>
      </c>
      <c r="B44" s="423">
        <v>2200.4</v>
      </c>
      <c r="C44" s="434">
        <f t="shared" si="2"/>
        <v>345.30000000000007</v>
      </c>
      <c r="D44" s="435">
        <f t="shared" si="3"/>
        <v>1521.1000000000001</v>
      </c>
      <c r="E44" s="435"/>
      <c r="F44" s="435"/>
      <c r="G44" s="435"/>
      <c r="H44" s="436"/>
      <c r="I44" s="422">
        <v>277.89999999999998</v>
      </c>
      <c r="J44" s="436">
        <v>679.3</v>
      </c>
      <c r="K44" s="433"/>
      <c r="L44" s="433"/>
      <c r="M44" s="433"/>
      <c r="N44" s="433"/>
      <c r="O44" s="433"/>
      <c r="P44" s="433"/>
      <c r="Q44" s="433"/>
      <c r="R44" s="433"/>
      <c r="S44" s="194">
        <v>1392</v>
      </c>
    </row>
    <row r="45" spans="1:19" ht="18.899999999999999" customHeight="1">
      <c r="A45" s="422">
        <v>644.70000000000005</v>
      </c>
      <c r="B45" s="423">
        <v>1919.9</v>
      </c>
      <c r="C45" s="434">
        <f t="shared" si="2"/>
        <v>357.20000000000005</v>
      </c>
      <c r="D45" s="435">
        <f t="shared" si="3"/>
        <v>1430.9</v>
      </c>
      <c r="E45" s="435"/>
      <c r="F45" s="435"/>
      <c r="G45" s="435"/>
      <c r="H45" s="436"/>
      <c r="I45" s="422">
        <v>287.5</v>
      </c>
      <c r="J45" s="436">
        <v>489</v>
      </c>
      <c r="K45" s="433"/>
      <c r="L45" s="433"/>
      <c r="M45" s="433"/>
      <c r="N45" s="433"/>
      <c r="O45" s="433"/>
      <c r="P45" s="433"/>
      <c r="Q45" s="433"/>
      <c r="R45" s="433"/>
      <c r="S45" s="194">
        <v>1393</v>
      </c>
    </row>
    <row r="46" spans="1:19" ht="18.899999999999999" customHeight="1">
      <c r="A46" s="422">
        <v>929.1</v>
      </c>
      <c r="B46" s="423">
        <v>2259.6</v>
      </c>
      <c r="C46" s="434">
        <f t="shared" si="2"/>
        <v>637.70000000000005</v>
      </c>
      <c r="D46" s="435">
        <f t="shared" si="3"/>
        <v>1769.3999999999999</v>
      </c>
      <c r="E46" s="435"/>
      <c r="F46" s="435"/>
      <c r="G46" s="435"/>
      <c r="H46" s="436"/>
      <c r="I46" s="422">
        <v>291.39999999999998</v>
      </c>
      <c r="J46" s="436">
        <v>490.2</v>
      </c>
      <c r="K46" s="433"/>
      <c r="L46" s="433"/>
      <c r="M46" s="433"/>
      <c r="N46" s="433"/>
      <c r="O46" s="433"/>
      <c r="P46" s="433"/>
      <c r="Q46" s="433"/>
      <c r="R46" s="433"/>
      <c r="S46" s="194">
        <v>1394</v>
      </c>
    </row>
    <row r="47" spans="1:19" ht="18.899999999999999" customHeight="1">
      <c r="A47" s="422">
        <v>1263.5999999999999</v>
      </c>
      <c r="B47" s="423">
        <v>2843.9</v>
      </c>
      <c r="C47" s="434">
        <f t="shared" si="2"/>
        <v>1029.5999999999999</v>
      </c>
      <c r="D47" s="435">
        <f t="shared" si="3"/>
        <v>2222.3000000000002</v>
      </c>
      <c r="E47" s="435"/>
      <c r="F47" s="435"/>
      <c r="G47" s="435"/>
      <c r="H47" s="436"/>
      <c r="I47" s="422">
        <v>234</v>
      </c>
      <c r="J47" s="436">
        <v>621.6</v>
      </c>
      <c r="K47" s="433"/>
      <c r="L47" s="433"/>
      <c r="M47" s="433"/>
      <c r="N47" s="433"/>
      <c r="O47" s="433"/>
      <c r="P47" s="433"/>
      <c r="Q47" s="433"/>
      <c r="R47" s="433"/>
      <c r="S47" s="194">
        <v>1395</v>
      </c>
    </row>
    <row r="48" spans="1:19" ht="18.899999999999999" customHeight="1">
      <c r="A48" s="422">
        <v>1354.6</v>
      </c>
      <c r="B48" s="423">
        <v>3007.1</v>
      </c>
      <c r="C48" s="434">
        <f t="shared" si="2"/>
        <v>1217.3</v>
      </c>
      <c r="D48" s="435">
        <f t="shared" si="3"/>
        <v>2341</v>
      </c>
      <c r="E48" s="435"/>
      <c r="F48" s="435"/>
      <c r="G48" s="435"/>
      <c r="H48" s="436"/>
      <c r="I48" s="422">
        <v>137.30000000000001</v>
      </c>
      <c r="J48" s="436">
        <v>666.1</v>
      </c>
      <c r="K48" s="433"/>
      <c r="L48" s="433"/>
      <c r="M48" s="433"/>
      <c r="N48" s="433"/>
      <c r="O48" s="433"/>
      <c r="P48" s="433"/>
      <c r="Q48" s="433"/>
      <c r="R48" s="433"/>
      <c r="S48" s="194">
        <v>1396</v>
      </c>
    </row>
    <row r="49" spans="1:19" ht="18.899999999999999" customHeight="1">
      <c r="A49" s="422">
        <v>1657.9</v>
      </c>
      <c r="B49" s="423">
        <v>4169.8</v>
      </c>
      <c r="C49" s="434">
        <f>A49-I49</f>
        <v>1491.2</v>
      </c>
      <c r="D49" s="435">
        <f>B49-J49</f>
        <v>2884.3</v>
      </c>
      <c r="E49" s="435"/>
      <c r="F49" s="435"/>
      <c r="G49" s="435"/>
      <c r="H49" s="436"/>
      <c r="I49" s="422">
        <f>[6]ایران!$J$8</f>
        <v>166.7</v>
      </c>
      <c r="J49" s="436">
        <f>[6]ایران!$B$8</f>
        <v>1285.5</v>
      </c>
      <c r="K49" s="433"/>
      <c r="L49" s="433"/>
      <c r="M49" s="433"/>
      <c r="N49" s="433"/>
      <c r="O49" s="433"/>
      <c r="P49" s="433"/>
      <c r="Q49" s="433"/>
      <c r="R49" s="433"/>
      <c r="S49" s="194">
        <v>1397</v>
      </c>
    </row>
    <row r="50" spans="1:19" ht="18.899999999999999" customHeight="1">
      <c r="A50" s="422">
        <v>1663.9</v>
      </c>
      <c r="B50" s="423">
        <v>5055.1000000000004</v>
      </c>
      <c r="C50" s="434">
        <f t="shared" si="2"/>
        <v>1429.1000000000001</v>
      </c>
      <c r="D50" s="435">
        <f t="shared" si="3"/>
        <v>3254.8</v>
      </c>
      <c r="E50" s="435"/>
      <c r="F50" s="435"/>
      <c r="G50" s="435"/>
      <c r="H50" s="436"/>
      <c r="I50" s="422">
        <v>234.8</v>
      </c>
      <c r="J50" s="436">
        <v>1800.3</v>
      </c>
      <c r="K50" s="433"/>
      <c r="L50" s="433"/>
      <c r="M50" s="433"/>
      <c r="N50" s="433"/>
      <c r="O50" s="433"/>
      <c r="P50" s="433"/>
      <c r="Q50" s="433"/>
      <c r="R50" s="433"/>
      <c r="S50" s="194">
        <v>1398</v>
      </c>
    </row>
    <row r="51" spans="1:19" ht="18.899999999999999" customHeight="1" thickBot="1">
      <c r="A51" s="437">
        <v>2073.5</v>
      </c>
      <c r="B51" s="438">
        <v>6273.2</v>
      </c>
      <c r="C51" s="439">
        <f t="shared" si="2"/>
        <v>1637.5</v>
      </c>
      <c r="D51" s="440">
        <f t="shared" si="3"/>
        <v>3927.2999999999997</v>
      </c>
      <c r="E51" s="440"/>
      <c r="F51" s="440"/>
      <c r="G51" s="440"/>
      <c r="H51" s="441"/>
      <c r="I51" s="442">
        <v>436</v>
      </c>
      <c r="J51" s="443">
        <v>2345.9</v>
      </c>
      <c r="K51" s="444"/>
      <c r="L51" s="444"/>
      <c r="M51" s="444"/>
      <c r="N51" s="444"/>
      <c r="O51" s="444"/>
      <c r="P51" s="444"/>
      <c r="Q51" s="444"/>
      <c r="R51" s="444"/>
      <c r="S51" s="445">
        <v>1399</v>
      </c>
    </row>
    <row r="52" spans="1:19" ht="21" customHeight="1">
      <c r="A52" s="563" t="s">
        <v>32</v>
      </c>
      <c r="B52" s="563"/>
      <c r="C52" s="563"/>
      <c r="D52" s="563"/>
      <c r="E52" s="563"/>
      <c r="F52" s="563"/>
      <c r="G52" s="563"/>
      <c r="H52" s="563"/>
      <c r="I52" s="563"/>
      <c r="J52" s="563"/>
      <c r="K52" s="563"/>
      <c r="L52" s="563"/>
      <c r="M52" s="563"/>
      <c r="N52" s="563"/>
      <c r="O52" s="563"/>
      <c r="P52" s="563"/>
      <c r="Q52" s="563"/>
      <c r="R52" s="563"/>
      <c r="S52" s="563"/>
    </row>
  </sheetData>
  <mergeCells count="14">
    <mergeCell ref="A52:S52"/>
    <mergeCell ref="A4:B4"/>
    <mergeCell ref="G4:H4"/>
    <mergeCell ref="K4:L4"/>
    <mergeCell ref="M4:N4"/>
    <mergeCell ref="O4:P4"/>
    <mergeCell ref="Q4:R4"/>
    <mergeCell ref="E4:F4"/>
    <mergeCell ref="A1:S1"/>
    <mergeCell ref="A2:S2"/>
    <mergeCell ref="S4:S5"/>
    <mergeCell ref="A3:B3"/>
    <mergeCell ref="I4:J4"/>
    <mergeCell ref="C4:D4"/>
  </mergeCells>
  <phoneticPr fontId="0" type="noConversion"/>
  <printOptions horizontalCentered="1" verticalCentered="1"/>
  <pageMargins left="7.874015748031496E-2" right="0.19685039370078741" top="0.98425196850393704" bottom="0.98425196850393704" header="0.51181102362204722" footer="0.51181102362204722"/>
  <pageSetup paperSize="9" scale="47" orientation="landscape" horizontalDpi="180" verticalDpi="18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 min="20" max="20" width="3.44140625" customWidth="1"/>
    <col min="21" max="21" width="11.88671875" customWidth="1"/>
  </cols>
  <sheetData>
    <row r="1" spans="1:27" ht="21" customHeight="1">
      <c r="A1" s="549" t="s">
        <v>36</v>
      </c>
      <c r="B1" s="549"/>
      <c r="C1" s="549"/>
      <c r="D1" s="549"/>
      <c r="E1" s="549"/>
      <c r="F1" s="549"/>
      <c r="G1" s="549"/>
      <c r="H1" s="549"/>
      <c r="I1" s="549"/>
      <c r="J1" s="549"/>
      <c r="K1" s="549"/>
      <c r="L1" s="549"/>
      <c r="M1" s="549"/>
      <c r="N1" s="549"/>
      <c r="O1" s="549"/>
      <c r="P1" s="549"/>
      <c r="Q1" s="549"/>
      <c r="R1" s="549"/>
      <c r="S1" s="549"/>
    </row>
    <row r="2" spans="1:27" ht="21" customHeight="1">
      <c r="A2" s="549" t="s">
        <v>59</v>
      </c>
      <c r="B2" s="549"/>
      <c r="C2" s="549"/>
      <c r="D2" s="549"/>
      <c r="E2" s="549"/>
      <c r="F2" s="549"/>
      <c r="G2" s="549"/>
      <c r="H2" s="549"/>
      <c r="I2" s="549"/>
      <c r="J2" s="549"/>
      <c r="K2" s="549"/>
      <c r="L2" s="549"/>
      <c r="M2" s="549"/>
      <c r="N2" s="549"/>
      <c r="O2" s="549"/>
      <c r="P2" s="549"/>
      <c r="Q2" s="549"/>
      <c r="R2" s="549"/>
      <c r="S2" s="549"/>
      <c r="W2" s="2"/>
      <c r="X2" s="2"/>
      <c r="Y2" s="2"/>
      <c r="Z2" s="2"/>
      <c r="AA2" s="2"/>
    </row>
    <row r="3" spans="1:27" ht="14.1" customHeight="1" thickBot="1">
      <c r="A3" s="550" t="s">
        <v>56</v>
      </c>
      <c r="B3" s="550"/>
      <c r="C3" s="86"/>
      <c r="D3" s="86"/>
      <c r="E3" s="86"/>
      <c r="F3" s="86"/>
      <c r="G3" s="1"/>
      <c r="H3" s="1"/>
      <c r="I3" s="1"/>
      <c r="J3" s="1"/>
      <c r="K3" s="1"/>
      <c r="L3" s="1"/>
      <c r="M3" s="1"/>
      <c r="N3" s="1"/>
      <c r="O3" s="1"/>
      <c r="P3" s="1"/>
      <c r="Q3" s="1"/>
      <c r="R3" s="1"/>
      <c r="S3" s="1"/>
      <c r="W3" s="2"/>
      <c r="X3" s="2"/>
      <c r="Y3" s="2"/>
      <c r="Z3" s="2"/>
      <c r="AA3" s="2"/>
    </row>
    <row r="4" spans="1:27" ht="22.5"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7" ht="22.5" customHeight="1" thickBot="1">
      <c r="A5" s="185" t="s">
        <v>25</v>
      </c>
      <c r="B5" s="186" t="s">
        <v>34</v>
      </c>
      <c r="C5" s="185" t="s">
        <v>25</v>
      </c>
      <c r="D5" s="186" t="s">
        <v>34</v>
      </c>
      <c r="E5" s="185" t="s">
        <v>1</v>
      </c>
      <c r="F5" s="186" t="s">
        <v>0</v>
      </c>
      <c r="G5" s="185" t="s">
        <v>1</v>
      </c>
      <c r="H5" s="186" t="s">
        <v>0</v>
      </c>
      <c r="I5" s="185" t="s">
        <v>25</v>
      </c>
      <c r="J5" s="186" t="s">
        <v>34</v>
      </c>
      <c r="K5" s="161" t="s">
        <v>1</v>
      </c>
      <c r="L5" s="162" t="s">
        <v>0</v>
      </c>
      <c r="M5" s="163" t="s">
        <v>1</v>
      </c>
      <c r="N5" s="164" t="s">
        <v>0</v>
      </c>
      <c r="O5" s="161" t="s">
        <v>1</v>
      </c>
      <c r="P5" s="162" t="s">
        <v>0</v>
      </c>
      <c r="Q5" s="161" t="s">
        <v>1</v>
      </c>
      <c r="R5" s="162" t="s">
        <v>0</v>
      </c>
      <c r="S5" s="558"/>
    </row>
    <row r="6" spans="1:27" ht="18.899999999999999" hidden="1" customHeight="1">
      <c r="A6" s="36">
        <f t="shared" ref="A6:A17" si="0">SUM(G6,K6,M6,O6,Q6)</f>
        <v>0</v>
      </c>
      <c r="B6" s="31">
        <f t="shared" ref="B6:B17" si="1">SUM(H6,L6,N6,P6,R6)</f>
        <v>0</v>
      </c>
      <c r="C6" s="36">
        <v>0</v>
      </c>
      <c r="D6" s="31">
        <v>0</v>
      </c>
      <c r="E6" s="36">
        <v>0</v>
      </c>
      <c r="F6" s="31">
        <v>0</v>
      </c>
      <c r="G6" s="36">
        <v>0</v>
      </c>
      <c r="H6" s="31">
        <v>0</v>
      </c>
      <c r="I6" s="36">
        <v>0</v>
      </c>
      <c r="J6" s="31">
        <v>0</v>
      </c>
      <c r="K6" s="36"/>
      <c r="L6" s="31"/>
      <c r="M6" s="34"/>
      <c r="N6" s="35"/>
      <c r="O6" s="36"/>
      <c r="P6" s="31"/>
      <c r="Q6" s="36"/>
      <c r="R6" s="31"/>
      <c r="S6" s="169">
        <v>1354</v>
      </c>
    </row>
    <row r="7" spans="1:27" ht="18.899999999999999" hidden="1" customHeight="1">
      <c r="A7" s="25">
        <f t="shared" si="0"/>
        <v>0</v>
      </c>
      <c r="B7" s="26">
        <f t="shared" si="1"/>
        <v>0</v>
      </c>
      <c r="C7" s="25">
        <v>0</v>
      </c>
      <c r="D7" s="26">
        <v>0</v>
      </c>
      <c r="E7" s="25">
        <v>0</v>
      </c>
      <c r="F7" s="26">
        <v>0</v>
      </c>
      <c r="G7" s="25">
        <v>0</v>
      </c>
      <c r="H7" s="26">
        <v>0</v>
      </c>
      <c r="I7" s="25">
        <v>0</v>
      </c>
      <c r="J7" s="26">
        <v>0</v>
      </c>
      <c r="K7" s="25"/>
      <c r="L7" s="26"/>
      <c r="M7" s="27"/>
      <c r="N7" s="28"/>
      <c r="O7" s="25"/>
      <c r="P7" s="26"/>
      <c r="Q7" s="25"/>
      <c r="R7" s="26"/>
      <c r="S7" s="170">
        <v>1355</v>
      </c>
    </row>
    <row r="8" spans="1:27" ht="18.899999999999999" hidden="1" customHeight="1">
      <c r="A8" s="25">
        <f t="shared" si="0"/>
        <v>0</v>
      </c>
      <c r="B8" s="26">
        <f t="shared" si="1"/>
        <v>0</v>
      </c>
      <c r="C8" s="25">
        <v>0</v>
      </c>
      <c r="D8" s="26">
        <v>0</v>
      </c>
      <c r="E8" s="25">
        <v>0</v>
      </c>
      <c r="F8" s="26">
        <v>0</v>
      </c>
      <c r="G8" s="25">
        <v>0</v>
      </c>
      <c r="H8" s="26">
        <v>0</v>
      </c>
      <c r="I8" s="25">
        <v>0</v>
      </c>
      <c r="J8" s="26">
        <v>0</v>
      </c>
      <c r="K8" s="25"/>
      <c r="L8" s="26"/>
      <c r="M8" s="27"/>
      <c r="N8" s="28"/>
      <c r="O8" s="25"/>
      <c r="P8" s="26"/>
      <c r="Q8" s="25"/>
      <c r="R8" s="26"/>
      <c r="S8" s="170">
        <v>1356</v>
      </c>
    </row>
    <row r="9" spans="1:27" ht="18.899999999999999" hidden="1" customHeight="1">
      <c r="A9" s="25">
        <f t="shared" si="0"/>
        <v>0</v>
      </c>
      <c r="B9" s="26">
        <f t="shared" si="1"/>
        <v>0</v>
      </c>
      <c r="C9" s="25">
        <v>0</v>
      </c>
      <c r="D9" s="26">
        <v>0</v>
      </c>
      <c r="E9" s="25">
        <v>0</v>
      </c>
      <c r="F9" s="26">
        <v>0</v>
      </c>
      <c r="G9" s="25">
        <v>0</v>
      </c>
      <c r="H9" s="26">
        <v>0</v>
      </c>
      <c r="I9" s="25">
        <v>0</v>
      </c>
      <c r="J9" s="26">
        <v>0</v>
      </c>
      <c r="K9" s="25"/>
      <c r="L9" s="26"/>
      <c r="M9" s="27"/>
      <c r="N9" s="28"/>
      <c r="O9" s="25"/>
      <c r="P9" s="26"/>
      <c r="Q9" s="25"/>
      <c r="R9" s="26"/>
      <c r="S9" s="170">
        <v>1357</v>
      </c>
    </row>
    <row r="10" spans="1:27" ht="18.899999999999999" hidden="1" customHeight="1">
      <c r="A10" s="25">
        <f t="shared" si="0"/>
        <v>0</v>
      </c>
      <c r="B10" s="26">
        <f t="shared" si="1"/>
        <v>0</v>
      </c>
      <c r="C10" s="25">
        <v>0</v>
      </c>
      <c r="D10" s="26">
        <v>0</v>
      </c>
      <c r="E10" s="25">
        <v>0</v>
      </c>
      <c r="F10" s="26">
        <v>0</v>
      </c>
      <c r="G10" s="25">
        <v>0</v>
      </c>
      <c r="H10" s="26">
        <v>0</v>
      </c>
      <c r="I10" s="25">
        <v>0</v>
      </c>
      <c r="J10" s="26">
        <v>0</v>
      </c>
      <c r="K10" s="25"/>
      <c r="L10" s="26"/>
      <c r="M10" s="27"/>
      <c r="N10" s="28"/>
      <c r="O10" s="25"/>
      <c r="P10" s="26"/>
      <c r="Q10" s="25"/>
      <c r="R10" s="26"/>
      <c r="S10" s="170">
        <v>1358</v>
      </c>
    </row>
    <row r="11" spans="1:27" ht="18.899999999999999" hidden="1" customHeight="1">
      <c r="A11" s="25">
        <f t="shared" si="0"/>
        <v>0</v>
      </c>
      <c r="B11" s="26">
        <f t="shared" si="1"/>
        <v>0</v>
      </c>
      <c r="C11" s="25">
        <v>0</v>
      </c>
      <c r="D11" s="26">
        <v>0</v>
      </c>
      <c r="E11" s="25">
        <v>0</v>
      </c>
      <c r="F11" s="26">
        <v>0</v>
      </c>
      <c r="G11" s="25">
        <v>0</v>
      </c>
      <c r="H11" s="26">
        <v>0</v>
      </c>
      <c r="I11" s="25">
        <v>0</v>
      </c>
      <c r="J11" s="26">
        <v>0</v>
      </c>
      <c r="K11" s="25"/>
      <c r="L11" s="26"/>
      <c r="M11" s="27"/>
      <c r="N11" s="28"/>
      <c r="O11" s="25"/>
      <c r="P11" s="26"/>
      <c r="Q11" s="25"/>
      <c r="R11" s="26"/>
      <c r="S11" s="170">
        <v>1359</v>
      </c>
    </row>
    <row r="12" spans="1:27" ht="18.899999999999999" hidden="1" customHeight="1">
      <c r="A12" s="25">
        <f t="shared" si="0"/>
        <v>0</v>
      </c>
      <c r="B12" s="26">
        <f t="shared" si="1"/>
        <v>0</v>
      </c>
      <c r="C12" s="25">
        <v>0</v>
      </c>
      <c r="D12" s="26">
        <v>0</v>
      </c>
      <c r="E12" s="25">
        <v>0</v>
      </c>
      <c r="F12" s="26">
        <v>0</v>
      </c>
      <c r="G12" s="25">
        <v>0</v>
      </c>
      <c r="H12" s="26">
        <v>0</v>
      </c>
      <c r="I12" s="25">
        <v>0</v>
      </c>
      <c r="J12" s="26">
        <v>0</v>
      </c>
      <c r="K12" s="25"/>
      <c r="L12" s="26"/>
      <c r="M12" s="27"/>
      <c r="N12" s="28"/>
      <c r="O12" s="25"/>
      <c r="P12" s="26"/>
      <c r="Q12" s="25"/>
      <c r="R12" s="26"/>
      <c r="S12" s="170">
        <v>1360</v>
      </c>
    </row>
    <row r="13" spans="1:27" ht="18.899999999999999" hidden="1" customHeight="1">
      <c r="A13" s="25">
        <f t="shared" si="0"/>
        <v>0</v>
      </c>
      <c r="B13" s="26">
        <f t="shared" si="1"/>
        <v>0</v>
      </c>
      <c r="C13" s="25">
        <v>0</v>
      </c>
      <c r="D13" s="26">
        <v>0</v>
      </c>
      <c r="E13" s="25">
        <v>0</v>
      </c>
      <c r="F13" s="26">
        <v>0</v>
      </c>
      <c r="G13" s="25">
        <v>0</v>
      </c>
      <c r="H13" s="26">
        <v>0</v>
      </c>
      <c r="I13" s="25">
        <v>0</v>
      </c>
      <c r="J13" s="26">
        <v>0</v>
      </c>
      <c r="K13" s="25"/>
      <c r="L13" s="26"/>
      <c r="M13" s="27"/>
      <c r="N13" s="28"/>
      <c r="O13" s="25"/>
      <c r="P13" s="26"/>
      <c r="Q13" s="25"/>
      <c r="R13" s="26"/>
      <c r="S13" s="170">
        <v>1361</v>
      </c>
    </row>
    <row r="14" spans="1:27" ht="18.899999999999999" hidden="1" customHeight="1">
      <c r="A14" s="25">
        <f t="shared" si="0"/>
        <v>0</v>
      </c>
      <c r="B14" s="26">
        <f t="shared" si="1"/>
        <v>0</v>
      </c>
      <c r="C14" s="25">
        <v>0</v>
      </c>
      <c r="D14" s="26">
        <v>0</v>
      </c>
      <c r="E14" s="25">
        <v>0</v>
      </c>
      <c r="F14" s="26">
        <v>0</v>
      </c>
      <c r="G14" s="25">
        <v>0</v>
      </c>
      <c r="H14" s="26">
        <v>0</v>
      </c>
      <c r="I14" s="25">
        <v>0</v>
      </c>
      <c r="J14" s="26">
        <v>0</v>
      </c>
      <c r="K14" s="25"/>
      <c r="L14" s="26"/>
      <c r="M14" s="27"/>
      <c r="N14" s="28"/>
      <c r="O14" s="25"/>
      <c r="P14" s="26"/>
      <c r="Q14" s="25"/>
      <c r="R14" s="26"/>
      <c r="S14" s="170">
        <v>1362</v>
      </c>
    </row>
    <row r="15" spans="1:27" ht="18.899999999999999" hidden="1" customHeight="1">
      <c r="A15" s="25">
        <f t="shared" si="0"/>
        <v>0</v>
      </c>
      <c r="B15" s="26">
        <f t="shared" si="1"/>
        <v>0</v>
      </c>
      <c r="C15" s="25">
        <v>0</v>
      </c>
      <c r="D15" s="26">
        <v>0</v>
      </c>
      <c r="E15" s="25">
        <v>0</v>
      </c>
      <c r="F15" s="26">
        <v>0</v>
      </c>
      <c r="G15" s="25">
        <v>0</v>
      </c>
      <c r="H15" s="26">
        <v>0</v>
      </c>
      <c r="I15" s="25">
        <v>0</v>
      </c>
      <c r="J15" s="26">
        <v>0</v>
      </c>
      <c r="K15" s="25"/>
      <c r="L15" s="26"/>
      <c r="M15" s="27"/>
      <c r="N15" s="28"/>
      <c r="O15" s="25"/>
      <c r="P15" s="26"/>
      <c r="Q15" s="25"/>
      <c r="R15" s="26"/>
      <c r="S15" s="170">
        <v>1363</v>
      </c>
    </row>
    <row r="16" spans="1:27" ht="18.899999999999999" hidden="1" customHeight="1">
      <c r="A16" s="25">
        <f t="shared" si="0"/>
        <v>0</v>
      </c>
      <c r="B16" s="26">
        <f t="shared" si="1"/>
        <v>0</v>
      </c>
      <c r="C16" s="25">
        <v>0</v>
      </c>
      <c r="D16" s="26">
        <v>0</v>
      </c>
      <c r="E16" s="25">
        <v>0</v>
      </c>
      <c r="F16" s="26">
        <v>0</v>
      </c>
      <c r="G16" s="25">
        <v>0</v>
      </c>
      <c r="H16" s="26">
        <v>0</v>
      </c>
      <c r="I16" s="25">
        <v>0</v>
      </c>
      <c r="J16" s="26">
        <v>0</v>
      </c>
      <c r="K16" s="25"/>
      <c r="L16" s="26"/>
      <c r="M16" s="27"/>
      <c r="N16" s="28"/>
      <c r="O16" s="25"/>
      <c r="P16" s="26"/>
      <c r="Q16" s="25"/>
      <c r="R16" s="26"/>
      <c r="S16" s="170">
        <v>1364</v>
      </c>
    </row>
    <row r="17" spans="1:19" ht="18.899999999999999" hidden="1" customHeight="1">
      <c r="A17" s="25">
        <f t="shared" si="0"/>
        <v>0</v>
      </c>
      <c r="B17" s="26">
        <f t="shared" si="1"/>
        <v>0</v>
      </c>
      <c r="C17" s="25">
        <v>0</v>
      </c>
      <c r="D17" s="26">
        <v>0</v>
      </c>
      <c r="E17" s="25">
        <v>0</v>
      </c>
      <c r="F17" s="26">
        <v>0</v>
      </c>
      <c r="G17" s="25">
        <v>0</v>
      </c>
      <c r="H17" s="26">
        <v>0</v>
      </c>
      <c r="I17" s="25">
        <v>0</v>
      </c>
      <c r="J17" s="26">
        <v>0</v>
      </c>
      <c r="K17" s="25"/>
      <c r="L17" s="26"/>
      <c r="M17" s="27"/>
      <c r="N17" s="28"/>
      <c r="O17" s="25"/>
      <c r="P17" s="26"/>
      <c r="Q17" s="25"/>
      <c r="R17" s="26"/>
      <c r="S17" s="170">
        <v>1365</v>
      </c>
    </row>
    <row r="18" spans="1:19" ht="18.899999999999999" customHeight="1">
      <c r="A18" s="255">
        <f>0.794575364</f>
        <v>0.79457536399999995</v>
      </c>
      <c r="B18" s="256">
        <v>2.2872517600000002</v>
      </c>
      <c r="C18" s="255">
        <f>A18-I18</f>
        <v>0</v>
      </c>
      <c r="D18" s="256">
        <f>B18-J18</f>
        <v>0</v>
      </c>
      <c r="E18" s="255">
        <v>0</v>
      </c>
      <c r="F18" s="256">
        <v>0</v>
      </c>
      <c r="G18" s="255">
        <v>0</v>
      </c>
      <c r="H18" s="256">
        <v>0</v>
      </c>
      <c r="I18" s="255">
        <f>0.794575364</f>
        <v>0.79457536399999995</v>
      </c>
      <c r="J18" s="256">
        <v>2.2872517600000002</v>
      </c>
      <c r="K18" s="6">
        <v>0</v>
      </c>
      <c r="L18" s="7">
        <v>0</v>
      </c>
      <c r="M18" s="37">
        <f>0.83*4</f>
        <v>3.32</v>
      </c>
      <c r="N18" s="38">
        <f>5.84*4</f>
        <v>23.36</v>
      </c>
      <c r="O18" s="6">
        <f>1.53*4</f>
        <v>6.12</v>
      </c>
      <c r="P18" s="7">
        <f>14.57*4</f>
        <v>58.28</v>
      </c>
      <c r="Q18" s="6">
        <f>196.283841*4</f>
        <v>785.13536399999998</v>
      </c>
      <c r="R18" s="7">
        <f>551.40294*4</f>
        <v>2205.6117599999998</v>
      </c>
      <c r="S18" s="170">
        <v>1366</v>
      </c>
    </row>
    <row r="19" spans="1:19" ht="18.899999999999999" customHeight="1">
      <c r="A19" s="255">
        <f>0.79988</f>
        <v>0.79988000000000004</v>
      </c>
      <c r="B19" s="256">
        <v>2.2485200000000001</v>
      </c>
      <c r="C19" s="255">
        <f t="shared" ref="C19:C41" si="2">A19-I19</f>
        <v>0</v>
      </c>
      <c r="D19" s="256">
        <f t="shared" ref="D19:D41" si="3">B19-J19</f>
        <v>0</v>
      </c>
      <c r="E19" s="255">
        <v>0</v>
      </c>
      <c r="F19" s="256">
        <v>0</v>
      </c>
      <c r="G19" s="255">
        <v>0</v>
      </c>
      <c r="H19" s="256">
        <v>0</v>
      </c>
      <c r="I19" s="255">
        <f>0.79988</f>
        <v>0.79988000000000004</v>
      </c>
      <c r="J19" s="256">
        <v>2.2485200000000001</v>
      </c>
      <c r="K19" s="6">
        <v>0</v>
      </c>
      <c r="L19" s="7">
        <v>0</v>
      </c>
      <c r="M19" s="37">
        <f>0.55*4</f>
        <v>2.2000000000000002</v>
      </c>
      <c r="N19" s="38">
        <f>5.74*4</f>
        <v>22.96</v>
      </c>
      <c r="O19" s="6">
        <f>2.88*4</f>
        <v>11.52</v>
      </c>
      <c r="P19" s="7">
        <f>15.88*4</f>
        <v>63.52</v>
      </c>
      <c r="Q19" s="6">
        <f>196.54*4</f>
        <v>786.16</v>
      </c>
      <c r="R19" s="7">
        <f>540.51*4</f>
        <v>2162.04</v>
      </c>
      <c r="S19" s="170">
        <v>1367</v>
      </c>
    </row>
    <row r="20" spans="1:19" ht="18.899999999999999" customHeight="1">
      <c r="A20" s="255" t="s">
        <v>38</v>
      </c>
      <c r="B20" s="256" t="s">
        <v>38</v>
      </c>
      <c r="C20" s="255" t="s">
        <v>38</v>
      </c>
      <c r="D20" s="256" t="s">
        <v>38</v>
      </c>
      <c r="E20" s="255">
        <v>0</v>
      </c>
      <c r="F20" s="256">
        <v>0</v>
      </c>
      <c r="G20" s="255"/>
      <c r="H20" s="256"/>
      <c r="I20" s="255" t="s">
        <v>38</v>
      </c>
      <c r="J20" s="256" t="s">
        <v>38</v>
      </c>
      <c r="K20" s="6"/>
      <c r="L20" s="7"/>
      <c r="M20" s="37"/>
      <c r="N20" s="38"/>
      <c r="O20" s="6"/>
      <c r="P20" s="7"/>
      <c r="Q20" s="6"/>
      <c r="R20" s="7"/>
      <c r="S20" s="170" t="s">
        <v>29</v>
      </c>
    </row>
    <row r="21" spans="1:19" ht="18.899999999999999" customHeight="1">
      <c r="A21" s="255">
        <v>0.90568000000000004</v>
      </c>
      <c r="B21" s="256">
        <v>3.26892</v>
      </c>
      <c r="C21" s="255">
        <f t="shared" si="2"/>
        <v>0</v>
      </c>
      <c r="D21" s="256">
        <f t="shared" si="3"/>
        <v>0</v>
      </c>
      <c r="E21" s="255">
        <v>0</v>
      </c>
      <c r="F21" s="256">
        <v>0</v>
      </c>
      <c r="G21" s="255">
        <v>0</v>
      </c>
      <c r="H21" s="256">
        <v>0</v>
      </c>
      <c r="I21" s="255">
        <f>0.90568</f>
        <v>0.90568000000000004</v>
      </c>
      <c r="J21" s="256">
        <v>3.26892</v>
      </c>
      <c r="K21" s="6">
        <v>0</v>
      </c>
      <c r="L21" s="7">
        <f>0.44*4</f>
        <v>1.76</v>
      </c>
      <c r="M21" s="37">
        <f>0.28*4</f>
        <v>1.1200000000000001</v>
      </c>
      <c r="N21" s="38">
        <f>6.76*4</f>
        <v>27.04</v>
      </c>
      <c r="O21" s="6">
        <f>3.57*4</f>
        <v>14.28</v>
      </c>
      <c r="P21" s="7">
        <f>31.59*4</f>
        <v>126.36</v>
      </c>
      <c r="Q21" s="6">
        <f>222.57*4</f>
        <v>890.28</v>
      </c>
      <c r="R21" s="7">
        <f>778.44*4</f>
        <v>3113.76</v>
      </c>
      <c r="S21" s="170">
        <v>1369</v>
      </c>
    </row>
    <row r="22" spans="1:19" ht="18.899999999999999" customHeight="1">
      <c r="A22" s="255" t="s">
        <v>38</v>
      </c>
      <c r="B22" s="256" t="s">
        <v>38</v>
      </c>
      <c r="C22" s="255" t="s">
        <v>38</v>
      </c>
      <c r="D22" s="256" t="s">
        <v>38</v>
      </c>
      <c r="E22" s="255"/>
      <c r="F22" s="256"/>
      <c r="G22" s="255"/>
      <c r="H22" s="256"/>
      <c r="I22" s="255" t="s">
        <v>38</v>
      </c>
      <c r="J22" s="256" t="s">
        <v>38</v>
      </c>
      <c r="K22" s="6"/>
      <c r="L22" s="7"/>
      <c r="M22" s="37"/>
      <c r="N22" s="38"/>
      <c r="O22" s="6"/>
      <c r="P22" s="7"/>
      <c r="Q22" s="6"/>
      <c r="R22" s="7"/>
      <c r="S22" s="170" t="s">
        <v>37</v>
      </c>
    </row>
    <row r="23" spans="1:19" ht="18.899999999999999" customHeight="1">
      <c r="A23" s="255">
        <v>1.4929600000000001</v>
      </c>
      <c r="B23" s="256">
        <v>7.5917599999999998</v>
      </c>
      <c r="C23" s="255">
        <f t="shared" si="2"/>
        <v>0</v>
      </c>
      <c r="D23" s="256">
        <f t="shared" si="3"/>
        <v>0</v>
      </c>
      <c r="E23" s="255">
        <v>0</v>
      </c>
      <c r="F23" s="256">
        <v>0</v>
      </c>
      <c r="G23" s="255">
        <v>0</v>
      </c>
      <c r="H23" s="256">
        <v>0</v>
      </c>
      <c r="I23" s="255">
        <v>1.4929600000000001</v>
      </c>
      <c r="J23" s="256">
        <v>7.5917599999999998</v>
      </c>
      <c r="K23" s="6">
        <f>0.52*4</f>
        <v>2.08</v>
      </c>
      <c r="L23" s="7">
        <f>5.31*4</f>
        <v>21.24</v>
      </c>
      <c r="M23" s="37">
        <f>3.41*4</f>
        <v>13.64</v>
      </c>
      <c r="N23" s="38">
        <f>28.58*4</f>
        <v>114.32</v>
      </c>
      <c r="O23" s="6">
        <f>14.24*4</f>
        <v>56.96</v>
      </c>
      <c r="P23" s="7">
        <f>118.31*4</f>
        <v>473.24</v>
      </c>
      <c r="Q23" s="6">
        <f>355.07*4</f>
        <v>1420.28</v>
      </c>
      <c r="R23" s="7">
        <f>1745.74*4</f>
        <v>6982.96</v>
      </c>
      <c r="S23" s="170">
        <v>1371</v>
      </c>
    </row>
    <row r="24" spans="1:19" ht="18.899999999999999" customHeight="1">
      <c r="A24" s="255">
        <v>2.4255</v>
      </c>
      <c r="B24" s="256">
        <v>16.095289999999999</v>
      </c>
      <c r="C24" s="255">
        <f t="shared" si="2"/>
        <v>0</v>
      </c>
      <c r="D24" s="256">
        <f t="shared" si="3"/>
        <v>0</v>
      </c>
      <c r="E24" s="255">
        <v>0</v>
      </c>
      <c r="F24" s="256">
        <v>0</v>
      </c>
      <c r="G24" s="255">
        <v>0</v>
      </c>
      <c r="H24" s="256">
        <v>0</v>
      </c>
      <c r="I24" s="255">
        <v>2.4255</v>
      </c>
      <c r="J24" s="256">
        <v>16.095289999999999</v>
      </c>
      <c r="K24" s="6">
        <v>2.73</v>
      </c>
      <c r="L24" s="7">
        <v>12.4</v>
      </c>
      <c r="M24" s="37">
        <v>20.91</v>
      </c>
      <c r="N24" s="38">
        <v>162.63</v>
      </c>
      <c r="O24" s="6">
        <v>180.15</v>
      </c>
      <c r="P24" s="7">
        <v>1177.56</v>
      </c>
      <c r="Q24" s="6">
        <v>2221.71</v>
      </c>
      <c r="R24" s="7">
        <v>14742.7</v>
      </c>
      <c r="S24" s="170">
        <v>1372</v>
      </c>
    </row>
    <row r="25" spans="1:19" ht="18.899999999999999" customHeight="1">
      <c r="A25" s="255">
        <v>4.6717500000000003</v>
      </c>
      <c r="B25" s="256">
        <v>19.48152</v>
      </c>
      <c r="C25" s="255">
        <f t="shared" si="2"/>
        <v>0</v>
      </c>
      <c r="D25" s="256">
        <f t="shared" si="3"/>
        <v>0</v>
      </c>
      <c r="E25" s="255">
        <v>0</v>
      </c>
      <c r="F25" s="256">
        <v>0</v>
      </c>
      <c r="G25" s="255">
        <v>0</v>
      </c>
      <c r="H25" s="256">
        <v>0</v>
      </c>
      <c r="I25" s="255">
        <v>4.6717500000000003</v>
      </c>
      <c r="J25" s="256">
        <v>19.48152</v>
      </c>
      <c r="K25" s="6">
        <v>10</v>
      </c>
      <c r="L25" s="7">
        <v>12.31</v>
      </c>
      <c r="M25" s="37">
        <v>59.06</v>
      </c>
      <c r="N25" s="38">
        <v>314.14</v>
      </c>
      <c r="O25" s="6">
        <v>432.29</v>
      </c>
      <c r="P25" s="7">
        <v>2457.88</v>
      </c>
      <c r="Q25" s="6">
        <v>4170.3999999999996</v>
      </c>
      <c r="R25" s="7">
        <v>16697.189999999999</v>
      </c>
      <c r="S25" s="170">
        <v>1373</v>
      </c>
    </row>
    <row r="26" spans="1:19" ht="18.899999999999999" customHeight="1">
      <c r="A26" s="255">
        <v>9.4369899999999998</v>
      </c>
      <c r="B26" s="256">
        <v>25.44415</v>
      </c>
      <c r="C26" s="255">
        <f t="shared" si="2"/>
        <v>0</v>
      </c>
      <c r="D26" s="256">
        <f t="shared" si="3"/>
        <v>0</v>
      </c>
      <c r="E26" s="255">
        <v>0</v>
      </c>
      <c r="F26" s="256">
        <v>0</v>
      </c>
      <c r="G26" s="255">
        <v>0</v>
      </c>
      <c r="H26" s="256">
        <v>0</v>
      </c>
      <c r="I26" s="255">
        <v>9.4369899999999998</v>
      </c>
      <c r="J26" s="256">
        <v>25.44415</v>
      </c>
      <c r="K26" s="6">
        <v>14.02</v>
      </c>
      <c r="L26" s="7">
        <v>21.09</v>
      </c>
      <c r="M26" s="37">
        <v>230.7</v>
      </c>
      <c r="N26" s="38">
        <v>661.87</v>
      </c>
      <c r="O26" s="6">
        <v>1839.69</v>
      </c>
      <c r="P26" s="7">
        <v>4179.6400000000003</v>
      </c>
      <c r="Q26" s="6">
        <v>7352.58</v>
      </c>
      <c r="R26" s="7">
        <v>20581.55</v>
      </c>
      <c r="S26" s="170">
        <v>1374</v>
      </c>
    </row>
    <row r="27" spans="1:19" ht="18.899999999999999" customHeight="1">
      <c r="A27" s="255">
        <v>17.55198</v>
      </c>
      <c r="B27" s="256">
        <v>47.597000000000001</v>
      </c>
      <c r="C27" s="255">
        <f t="shared" si="2"/>
        <v>0</v>
      </c>
      <c r="D27" s="256">
        <f t="shared" si="3"/>
        <v>0</v>
      </c>
      <c r="E27" s="255">
        <v>0</v>
      </c>
      <c r="F27" s="256">
        <v>0</v>
      </c>
      <c r="G27" s="255">
        <v>0</v>
      </c>
      <c r="H27" s="256">
        <v>0</v>
      </c>
      <c r="I27" s="255">
        <v>17.55198</v>
      </c>
      <c r="J27" s="256">
        <v>47.597000000000001</v>
      </c>
      <c r="K27" s="6">
        <v>2</v>
      </c>
      <c r="L27" s="7">
        <v>8</v>
      </c>
      <c r="M27" s="37">
        <v>455.38</v>
      </c>
      <c r="N27" s="38">
        <v>1579</v>
      </c>
      <c r="O27" s="6">
        <v>3468.82</v>
      </c>
      <c r="P27" s="7">
        <v>8107</v>
      </c>
      <c r="Q27" s="6">
        <v>13625.78</v>
      </c>
      <c r="R27" s="7">
        <v>37903</v>
      </c>
      <c r="S27" s="170">
        <v>1375</v>
      </c>
    </row>
    <row r="28" spans="1:19" ht="18.899999999999999" customHeight="1">
      <c r="A28" s="255">
        <v>23.619299999999999</v>
      </c>
      <c r="B28" s="256">
        <v>72.930000000000007</v>
      </c>
      <c r="C28" s="255">
        <f t="shared" si="2"/>
        <v>0</v>
      </c>
      <c r="D28" s="256">
        <f t="shared" si="3"/>
        <v>0</v>
      </c>
      <c r="E28" s="255">
        <v>0</v>
      </c>
      <c r="F28" s="256">
        <v>0</v>
      </c>
      <c r="G28" s="255">
        <v>0</v>
      </c>
      <c r="H28" s="256">
        <v>0</v>
      </c>
      <c r="I28" s="255">
        <v>23.619299999999999</v>
      </c>
      <c r="J28" s="256">
        <v>72.930000000000007</v>
      </c>
      <c r="K28" s="6">
        <v>4</v>
      </c>
      <c r="L28" s="7">
        <v>233</v>
      </c>
      <c r="M28" s="37">
        <v>933.1</v>
      </c>
      <c r="N28" s="38">
        <v>2676</v>
      </c>
      <c r="O28" s="6">
        <v>4830.1000000000004</v>
      </c>
      <c r="P28" s="7">
        <v>15627</v>
      </c>
      <c r="Q28" s="6">
        <v>17852.099999999999</v>
      </c>
      <c r="R28" s="7">
        <v>54394</v>
      </c>
      <c r="S28" s="170">
        <v>1376</v>
      </c>
    </row>
    <row r="29" spans="1:19" ht="18.899999999999999" customHeight="1">
      <c r="A29" s="255">
        <v>41.349282676000001</v>
      </c>
      <c r="B29" s="256">
        <v>111.48374</v>
      </c>
      <c r="C29" s="255">
        <f t="shared" si="2"/>
        <v>0</v>
      </c>
      <c r="D29" s="256">
        <f t="shared" si="3"/>
        <v>0</v>
      </c>
      <c r="E29" s="255">
        <v>0</v>
      </c>
      <c r="F29" s="256">
        <v>0</v>
      </c>
      <c r="G29" s="255">
        <v>0</v>
      </c>
      <c r="H29" s="256">
        <v>0</v>
      </c>
      <c r="I29" s="255">
        <v>41.349282676000001</v>
      </c>
      <c r="J29" s="256">
        <v>111.48374</v>
      </c>
      <c r="K29" s="6">
        <v>233.545388</v>
      </c>
      <c r="L29" s="7">
        <v>25034.720000000001</v>
      </c>
      <c r="M29" s="37">
        <v>1408.9602279999999</v>
      </c>
      <c r="N29" s="38">
        <v>4201.29</v>
      </c>
      <c r="O29" s="6">
        <v>10066.260392</v>
      </c>
      <c r="P29" s="7">
        <v>25596.07</v>
      </c>
      <c r="Q29" s="6">
        <v>29640.516668</v>
      </c>
      <c r="R29" s="7">
        <v>56651.66</v>
      </c>
      <c r="S29" s="170">
        <v>1377</v>
      </c>
    </row>
    <row r="30" spans="1:19" ht="18.899999999999999" customHeight="1">
      <c r="A30" s="255">
        <v>59.639020000000002</v>
      </c>
      <c r="B30" s="256">
        <v>153.114154644</v>
      </c>
      <c r="C30" s="255">
        <f t="shared" si="2"/>
        <v>0</v>
      </c>
      <c r="D30" s="256">
        <f t="shared" si="3"/>
        <v>0</v>
      </c>
      <c r="E30" s="255">
        <v>0</v>
      </c>
      <c r="F30" s="256">
        <v>0</v>
      </c>
      <c r="G30" s="255">
        <v>0</v>
      </c>
      <c r="H30" s="256">
        <v>0</v>
      </c>
      <c r="I30" s="255">
        <v>59.639020000000002</v>
      </c>
      <c r="J30" s="256">
        <v>153.114154644</v>
      </c>
      <c r="K30" s="6">
        <v>347.63</v>
      </c>
      <c r="L30" s="7">
        <f>1555.264644</f>
        <v>1555.2646440000001</v>
      </c>
      <c r="M30" s="37">
        <v>1948.72</v>
      </c>
      <c r="N30" s="38">
        <v>6671.59</v>
      </c>
      <c r="O30" s="6">
        <v>18177.87</v>
      </c>
      <c r="P30" s="7">
        <v>43684.03</v>
      </c>
      <c r="Q30" s="6">
        <v>39164.800000000003</v>
      </c>
      <c r="R30" s="7">
        <v>101203.27</v>
      </c>
      <c r="S30" s="170">
        <v>1378</v>
      </c>
    </row>
    <row r="31" spans="1:19" ht="18.899999999999999" customHeight="1">
      <c r="A31" s="255">
        <v>87.832440000000005</v>
      </c>
      <c r="B31" s="256">
        <v>210.49525</v>
      </c>
      <c r="C31" s="255">
        <f t="shared" si="2"/>
        <v>0</v>
      </c>
      <c r="D31" s="256">
        <f t="shared" si="3"/>
        <v>0</v>
      </c>
      <c r="E31" s="255">
        <v>0</v>
      </c>
      <c r="F31" s="256">
        <v>0</v>
      </c>
      <c r="G31" s="255">
        <v>0</v>
      </c>
      <c r="H31" s="256">
        <v>0</v>
      </c>
      <c r="I31" s="255">
        <v>87.832440000000005</v>
      </c>
      <c r="J31" s="256">
        <v>210.49525</v>
      </c>
      <c r="K31" s="6">
        <v>692.99</v>
      </c>
      <c r="L31" s="7">
        <v>6025.56</v>
      </c>
      <c r="M31" s="37">
        <v>3608.67</v>
      </c>
      <c r="N31" s="38">
        <v>8373.89</v>
      </c>
      <c r="O31" s="6">
        <v>38000.699999999997</v>
      </c>
      <c r="P31" s="7">
        <v>75795.08</v>
      </c>
      <c r="Q31" s="6">
        <v>45530.080000000002</v>
      </c>
      <c r="R31" s="7">
        <v>120300.72</v>
      </c>
      <c r="S31" s="170">
        <v>1379</v>
      </c>
    </row>
    <row r="32" spans="1:19" ht="18.899999999999999" customHeight="1">
      <c r="A32" s="255">
        <v>117.957011388</v>
      </c>
      <c r="B32" s="256">
        <v>322.65892000000002</v>
      </c>
      <c r="C32" s="255">
        <f t="shared" si="2"/>
        <v>0</v>
      </c>
      <c r="D32" s="256">
        <f t="shared" si="3"/>
        <v>0</v>
      </c>
      <c r="E32" s="255">
        <v>0</v>
      </c>
      <c r="F32" s="256">
        <v>0</v>
      </c>
      <c r="G32" s="255">
        <v>0</v>
      </c>
      <c r="H32" s="256">
        <v>0</v>
      </c>
      <c r="I32" s="255">
        <v>117.957011388</v>
      </c>
      <c r="J32" s="256">
        <v>322.65892000000002</v>
      </c>
      <c r="K32" s="6">
        <v>3914.711464</v>
      </c>
      <c r="L32" s="7">
        <v>20743.47</v>
      </c>
      <c r="M32" s="37">
        <v>4123.6325999999999</v>
      </c>
      <c r="N32" s="38">
        <v>11996.9</v>
      </c>
      <c r="O32" s="6">
        <v>50731.981379999997</v>
      </c>
      <c r="P32" s="7">
        <v>88589</v>
      </c>
      <c r="Q32" s="6">
        <v>59186.685943999997</v>
      </c>
      <c r="R32" s="7">
        <v>201329.55</v>
      </c>
      <c r="S32" s="170">
        <v>1380</v>
      </c>
    </row>
    <row r="33" spans="1:19" ht="18.899999999999999" customHeight="1">
      <c r="A33" s="302">
        <v>139.44137992</v>
      </c>
      <c r="B33" s="303">
        <v>384.07252472800002</v>
      </c>
      <c r="C33" s="304">
        <f t="shared" si="2"/>
        <v>0</v>
      </c>
      <c r="D33" s="305">
        <f t="shared" si="3"/>
        <v>0</v>
      </c>
      <c r="E33" s="304">
        <v>0</v>
      </c>
      <c r="F33" s="305">
        <v>0</v>
      </c>
      <c r="G33" s="304">
        <v>0</v>
      </c>
      <c r="H33" s="305">
        <v>0</v>
      </c>
      <c r="I33" s="304">
        <v>139.44137992</v>
      </c>
      <c r="J33" s="305">
        <v>384.07252472800002</v>
      </c>
      <c r="K33" s="25">
        <f>'[1]بيمه دانا'!$I$18/1000000</f>
        <v>9947.7874159999992</v>
      </c>
      <c r="L33" s="26">
        <f>'[1]بيمه دانا'!$Q$18/1000000</f>
        <v>28768.576796000001</v>
      </c>
      <c r="M33" s="27">
        <f>'[1]بيمه البرز'!$I$18/1000000</f>
        <v>5062.9773640000003</v>
      </c>
      <c r="N33" s="28">
        <f>'[1]بيمه البرز'!$Q$18/1000000</f>
        <v>13897.655744</v>
      </c>
      <c r="O33" s="25">
        <f>'[1]بيمه آسيا'!$I$18/1000000</f>
        <v>50924.621476</v>
      </c>
      <c r="P33" s="26">
        <f>'[1]بيمه آسيا'!$Q$18/1000000</f>
        <v>122502.854452</v>
      </c>
      <c r="Q33" s="25">
        <f>'[1]بيمه ايران'!$I$18/1000000</f>
        <v>73505.993663999994</v>
      </c>
      <c r="R33" s="93">
        <f>'[1]بيمه ايران'!$Q$18/1000000</f>
        <v>218903.43773599999</v>
      </c>
      <c r="S33" s="166">
        <v>1381</v>
      </c>
    </row>
    <row r="34" spans="1:19" ht="18.899999999999999" customHeight="1">
      <c r="A34" s="302">
        <v>163.63926952</v>
      </c>
      <c r="B34" s="303">
        <v>479.12681577199999</v>
      </c>
      <c r="C34" s="304">
        <f t="shared" si="2"/>
        <v>9.6687892000005604E-2</v>
      </c>
      <c r="D34" s="305">
        <f t="shared" si="3"/>
        <v>1.234626875999993</v>
      </c>
      <c r="E34" s="304">
        <v>96.687892000000005</v>
      </c>
      <c r="F34" s="305">
        <v>1234.626876</v>
      </c>
      <c r="G34" s="304">
        <v>0</v>
      </c>
      <c r="H34" s="305">
        <v>0</v>
      </c>
      <c r="I34" s="304">
        <v>163.54258162799999</v>
      </c>
      <c r="J34" s="305">
        <v>477.89218889599999</v>
      </c>
      <c r="K34" s="25">
        <f>'[2]بيمه دانا'!$I$18/1000000</f>
        <v>14044.982728000001</v>
      </c>
      <c r="L34" s="26">
        <f>'[2]بيمه دانا'!$Q$18/1000000</f>
        <v>34285.424171999999</v>
      </c>
      <c r="M34" s="27">
        <f>'[2]بيمه البرز'!$I$18/1000000</f>
        <v>5953.3537679999999</v>
      </c>
      <c r="N34" s="28">
        <f>'[2]بيمه البرز'!$Q$18/1000000</f>
        <v>27640.248004000001</v>
      </c>
      <c r="O34" s="25">
        <f>'[2]بيمه آسيا'!$I$18/1000000</f>
        <v>64521.775044000002</v>
      </c>
      <c r="P34" s="26">
        <f>'[2]بيمه آسيا'!$Q$18/1000000</f>
        <v>149958.56862800001</v>
      </c>
      <c r="Q34" s="25">
        <f>'[2]بيمه ايران'!$I$18/1000000</f>
        <v>79022.470088000002</v>
      </c>
      <c r="R34" s="26">
        <f>'[2]بيمه ايران'!$Q$18/1000000</f>
        <v>266007.94809199998</v>
      </c>
      <c r="S34" s="166">
        <v>1382</v>
      </c>
    </row>
    <row r="35" spans="1:19" ht="18.899999999999999" customHeight="1">
      <c r="A35" s="302">
        <v>192.21490325600001</v>
      </c>
      <c r="B35" s="303">
        <v>595.90927866000004</v>
      </c>
      <c r="C35" s="306">
        <f t="shared" si="2"/>
        <v>0.64044921600000748</v>
      </c>
      <c r="D35" s="307">
        <f t="shared" si="3"/>
        <v>41.264268335999986</v>
      </c>
      <c r="E35" s="306">
        <v>640.457852</v>
      </c>
      <c r="F35" s="307">
        <v>41225.236924000004</v>
      </c>
      <c r="G35" s="306">
        <v>0</v>
      </c>
      <c r="H35" s="307">
        <v>39.031412000000003</v>
      </c>
      <c r="I35" s="306">
        <v>191.57445404000001</v>
      </c>
      <c r="J35" s="307">
        <v>554.64501032400005</v>
      </c>
      <c r="K35" s="29">
        <f>'[2]بيمه دانا'!$H$18/1000000</f>
        <v>12856.683524</v>
      </c>
      <c r="L35" s="30">
        <f>'[2]بيمه دانا'!$P$18/1000000</f>
        <v>32156.432624000001</v>
      </c>
      <c r="M35" s="32">
        <f>'[2]بيمه البرز'!$H$18/1000000</f>
        <v>12663.109912</v>
      </c>
      <c r="N35" s="33">
        <f>'[2]بيمه البرز'!$P$18/1000000</f>
        <v>34304.300567999999</v>
      </c>
      <c r="O35" s="29">
        <f>'[2]بيمه آسيا'!$H$18/1000000</f>
        <v>74405.127124000006</v>
      </c>
      <c r="P35" s="30">
        <f>'[2]بيمه آسيا'!$P$18/1000000</f>
        <v>139784.115532</v>
      </c>
      <c r="Q35" s="29">
        <f>'[2]بيمه ايران'!$H$18/1000000</f>
        <v>91649.524844</v>
      </c>
      <c r="R35" s="30">
        <f>'[2]بيمه ايران'!$P$18/1000000</f>
        <v>348400.16159999999</v>
      </c>
      <c r="S35" s="184">
        <v>1383</v>
      </c>
    </row>
    <row r="36" spans="1:19" ht="18.899999999999999" customHeight="1">
      <c r="A36" s="302">
        <v>241.007548652</v>
      </c>
      <c r="B36" s="303">
        <v>727.85056162399997</v>
      </c>
      <c r="C36" s="304">
        <f t="shared" si="2"/>
        <v>0.95555127200000811</v>
      </c>
      <c r="D36" s="305">
        <f t="shared" si="3"/>
        <v>67.093628427999988</v>
      </c>
      <c r="E36" s="304">
        <v>954.41247199999998</v>
      </c>
      <c r="F36" s="305">
        <v>66760.413849000004</v>
      </c>
      <c r="G36" s="308">
        <v>55.138800000000003</v>
      </c>
      <c r="H36" s="305">
        <v>332.56132400000001</v>
      </c>
      <c r="I36" s="308">
        <v>240.05199737999999</v>
      </c>
      <c r="J36" s="305">
        <v>660.75693319599998</v>
      </c>
      <c r="K36" s="88">
        <f>'[3]بيمه دانا'!$H$18/1000000</f>
        <v>14834.579739999999</v>
      </c>
      <c r="L36" s="26">
        <f>'[3]بيمه دانا'!$P$18/1000000</f>
        <v>46339.921928000003</v>
      </c>
      <c r="M36" s="102">
        <f>'[3]بيمه البرز'!$H$18/1000000</f>
        <v>14675.058712</v>
      </c>
      <c r="N36" s="28">
        <f>'[3]بيمه البرز'!$P$18/1000000</f>
        <v>39805.358612000004</v>
      </c>
      <c r="O36" s="88">
        <f>'[3]بيمه آسيا'!$H$18/1000000</f>
        <v>73319.245995999998</v>
      </c>
      <c r="P36" s="26">
        <f>'[3]بيمه آسيا'!$P$18/1000000</f>
        <v>158567.50819200001</v>
      </c>
      <c r="Q36" s="88">
        <f>'[3]بيمه ايران'!$H$18/1000000</f>
        <v>137223.11293199999</v>
      </c>
      <c r="R36" s="26">
        <f>'[3]بيمه ايران'!$P$18/1000000</f>
        <v>416044.14446400001</v>
      </c>
      <c r="S36" s="199">
        <v>1384</v>
      </c>
    </row>
    <row r="37" spans="1:19" ht="18.899999999999999" customHeight="1">
      <c r="A37" s="302">
        <v>297.515174516</v>
      </c>
      <c r="B37" s="303">
        <v>965.35557582800004</v>
      </c>
      <c r="C37" s="309">
        <f t="shared" si="2"/>
        <v>36.020548991999988</v>
      </c>
      <c r="D37" s="310">
        <f t="shared" si="3"/>
        <v>116.53001460400003</v>
      </c>
      <c r="E37" s="309"/>
      <c r="F37" s="310"/>
      <c r="G37" s="311"/>
      <c r="H37" s="310"/>
      <c r="I37" s="311">
        <v>261.49462552400001</v>
      </c>
      <c r="J37" s="310">
        <v>848.82556122400001</v>
      </c>
      <c r="K37" s="87"/>
      <c r="L37" s="134"/>
      <c r="M37" s="101"/>
      <c r="N37" s="136"/>
      <c r="O37" s="87"/>
      <c r="P37" s="134"/>
      <c r="Q37" s="87"/>
      <c r="R37" s="134"/>
      <c r="S37" s="204">
        <v>1385</v>
      </c>
    </row>
    <row r="38" spans="1:19" ht="18.899999999999999" customHeight="1">
      <c r="A38" s="302">
        <v>349.89633972000001</v>
      </c>
      <c r="B38" s="305">
        <v>1272.1397752</v>
      </c>
      <c r="C38" s="304">
        <f t="shared" si="2"/>
        <v>60.425014427999997</v>
      </c>
      <c r="D38" s="305">
        <f t="shared" si="3"/>
        <v>214.62477607999995</v>
      </c>
      <c r="E38" s="308"/>
      <c r="F38" s="308"/>
      <c r="G38" s="308"/>
      <c r="H38" s="308"/>
      <c r="I38" s="308">
        <v>289.47132529200002</v>
      </c>
      <c r="J38" s="305">
        <v>1057.5149991200001</v>
      </c>
      <c r="K38" s="88"/>
      <c r="L38" s="88"/>
      <c r="M38" s="102"/>
      <c r="N38" s="102"/>
      <c r="O38" s="88"/>
      <c r="P38" s="88"/>
      <c r="Q38" s="88"/>
      <c r="R38" s="88"/>
      <c r="S38" s="199">
        <v>1386</v>
      </c>
    </row>
    <row r="39" spans="1:19" ht="18.899999999999999" customHeight="1">
      <c r="A39" s="302">
        <v>398.578961892</v>
      </c>
      <c r="B39" s="305">
        <v>2052.3185413840001</v>
      </c>
      <c r="C39" s="304">
        <f t="shared" si="2"/>
        <v>55.460871204</v>
      </c>
      <c r="D39" s="305">
        <f t="shared" si="3"/>
        <v>387.6646095000001</v>
      </c>
      <c r="E39" s="308"/>
      <c r="F39" s="308"/>
      <c r="G39" s="308"/>
      <c r="H39" s="308"/>
      <c r="I39" s="308">
        <v>343.118090688</v>
      </c>
      <c r="J39" s="305">
        <v>1664.653931884</v>
      </c>
      <c r="K39" s="88"/>
      <c r="L39" s="88"/>
      <c r="M39" s="102"/>
      <c r="N39" s="102"/>
      <c r="O39" s="88"/>
      <c r="P39" s="88"/>
      <c r="Q39" s="88"/>
      <c r="R39" s="88"/>
      <c r="S39" s="199">
        <v>1387</v>
      </c>
    </row>
    <row r="40" spans="1:19" ht="18.899999999999999" customHeight="1">
      <c r="A40" s="302">
        <v>424.47102911600001</v>
      </c>
      <c r="B40" s="305">
        <v>2385.6</v>
      </c>
      <c r="C40" s="304">
        <f t="shared" si="2"/>
        <v>201.92887170400002</v>
      </c>
      <c r="D40" s="305">
        <f t="shared" si="3"/>
        <v>1143.5832712079998</v>
      </c>
      <c r="E40" s="308"/>
      <c r="F40" s="308"/>
      <c r="G40" s="308"/>
      <c r="H40" s="308"/>
      <c r="I40" s="308">
        <v>222.54215741199999</v>
      </c>
      <c r="J40" s="305">
        <v>1242.0167287920001</v>
      </c>
      <c r="K40" s="88"/>
      <c r="L40" s="88"/>
      <c r="M40" s="102"/>
      <c r="N40" s="102"/>
      <c r="O40" s="88"/>
      <c r="P40" s="88"/>
      <c r="Q40" s="88"/>
      <c r="R40" s="88"/>
      <c r="S40" s="199">
        <v>1388</v>
      </c>
    </row>
    <row r="41" spans="1:19" ht="18.899999999999999" customHeight="1">
      <c r="A41" s="302">
        <v>478.88078356400001</v>
      </c>
      <c r="B41" s="305">
        <v>1587.5369327640001</v>
      </c>
      <c r="C41" s="304">
        <f t="shared" si="2"/>
        <v>211.51381578000002</v>
      </c>
      <c r="D41" s="305">
        <f t="shared" si="3"/>
        <v>776.53036624000003</v>
      </c>
      <c r="E41" s="308"/>
      <c r="F41" s="308"/>
      <c r="G41" s="308"/>
      <c r="H41" s="308"/>
      <c r="I41" s="308">
        <v>267.366967784</v>
      </c>
      <c r="J41" s="305">
        <v>811.00656652400005</v>
      </c>
      <c r="K41" s="88"/>
      <c r="L41" s="88"/>
      <c r="M41" s="102"/>
      <c r="N41" s="102"/>
      <c r="O41" s="88"/>
      <c r="P41" s="88"/>
      <c r="Q41" s="88"/>
      <c r="R41" s="88"/>
      <c r="S41" s="199">
        <v>1389</v>
      </c>
    </row>
    <row r="42" spans="1:19" ht="18.899999999999999" customHeight="1">
      <c r="A42" s="446">
        <f>736.2</f>
        <v>736.2</v>
      </c>
      <c r="B42" s="447">
        <f>3036</f>
        <v>3036</v>
      </c>
      <c r="C42" s="448">
        <f t="shared" ref="C42:D42" si="4">A42-I42</f>
        <v>330.20000000000005</v>
      </c>
      <c r="D42" s="447">
        <f t="shared" si="4"/>
        <v>1634.4</v>
      </c>
      <c r="E42" s="449"/>
      <c r="F42" s="449"/>
      <c r="G42" s="449"/>
      <c r="H42" s="449"/>
      <c r="I42" s="449">
        <f>406</f>
        <v>406</v>
      </c>
      <c r="J42" s="447">
        <f>1401.6</f>
        <v>1401.6</v>
      </c>
      <c r="K42" s="405"/>
      <c r="L42" s="405"/>
      <c r="M42" s="405"/>
      <c r="N42" s="405"/>
      <c r="O42" s="405"/>
      <c r="P42" s="405"/>
      <c r="Q42" s="405"/>
      <c r="R42" s="405"/>
      <c r="S42" s="409">
        <v>1390</v>
      </c>
    </row>
    <row r="43" spans="1:19" ht="18.899999999999999" customHeight="1">
      <c r="A43" s="450">
        <v>1902.5</v>
      </c>
      <c r="B43" s="451">
        <v>6539.6</v>
      </c>
      <c r="C43" s="450">
        <f t="shared" ref="C43:D46" si="5">A43-I43</f>
        <v>950.6</v>
      </c>
      <c r="D43" s="452">
        <f t="shared" si="5"/>
        <v>3566.4000000000005</v>
      </c>
      <c r="E43" s="452"/>
      <c r="F43" s="452"/>
      <c r="G43" s="452"/>
      <c r="H43" s="453"/>
      <c r="I43" s="450">
        <v>951.9</v>
      </c>
      <c r="J43" s="452">
        <v>2973.2</v>
      </c>
      <c r="K43" s="411"/>
      <c r="L43" s="411"/>
      <c r="M43" s="411"/>
      <c r="N43" s="411"/>
      <c r="O43" s="411"/>
      <c r="P43" s="411"/>
      <c r="Q43" s="411"/>
      <c r="R43" s="454"/>
      <c r="S43" s="455">
        <v>1391</v>
      </c>
    </row>
    <row r="44" spans="1:19" ht="18.899999999999999" customHeight="1">
      <c r="A44" s="446">
        <v>2410.4</v>
      </c>
      <c r="B44" s="447">
        <v>7059.6</v>
      </c>
      <c r="C44" s="446">
        <f t="shared" si="5"/>
        <v>1942.8000000000002</v>
      </c>
      <c r="D44" s="456">
        <f t="shared" si="5"/>
        <v>3857.7000000000003</v>
      </c>
      <c r="E44" s="456"/>
      <c r="F44" s="456"/>
      <c r="G44" s="456"/>
      <c r="H44" s="457"/>
      <c r="I44" s="446">
        <v>467.6</v>
      </c>
      <c r="J44" s="456">
        <v>3201.9</v>
      </c>
      <c r="K44" s="375"/>
      <c r="L44" s="375"/>
      <c r="M44" s="375"/>
      <c r="N44" s="375"/>
      <c r="O44" s="375"/>
      <c r="P44" s="375"/>
      <c r="Q44" s="375"/>
      <c r="R44" s="376"/>
      <c r="S44" s="458">
        <v>1392</v>
      </c>
    </row>
    <row r="45" spans="1:19" ht="18.899999999999999" customHeight="1">
      <c r="A45" s="446">
        <v>4040.9</v>
      </c>
      <c r="B45" s="447">
        <v>9467.7999999999993</v>
      </c>
      <c r="C45" s="446">
        <f t="shared" si="5"/>
        <v>1991.1</v>
      </c>
      <c r="D45" s="456">
        <f t="shared" si="5"/>
        <v>5363.7999999999993</v>
      </c>
      <c r="E45" s="456"/>
      <c r="F45" s="456"/>
      <c r="G45" s="456"/>
      <c r="H45" s="457"/>
      <c r="I45" s="446">
        <v>2049.8000000000002</v>
      </c>
      <c r="J45" s="456">
        <v>4104</v>
      </c>
      <c r="K45" s="375"/>
      <c r="L45" s="375"/>
      <c r="M45" s="375"/>
      <c r="N45" s="375"/>
      <c r="O45" s="375"/>
      <c r="P45" s="375"/>
      <c r="Q45" s="375"/>
      <c r="R45" s="376"/>
      <c r="S45" s="458">
        <v>1393</v>
      </c>
    </row>
    <row r="46" spans="1:19" ht="18.899999999999999" customHeight="1">
      <c r="A46" s="446">
        <v>5215</v>
      </c>
      <c r="B46" s="447">
        <v>10016.9</v>
      </c>
      <c r="C46" s="446">
        <f t="shared" si="5"/>
        <v>2795.3</v>
      </c>
      <c r="D46" s="456">
        <f t="shared" si="5"/>
        <v>5644.0999999999995</v>
      </c>
      <c r="E46" s="456"/>
      <c r="F46" s="456"/>
      <c r="G46" s="456"/>
      <c r="H46" s="457"/>
      <c r="I46" s="446">
        <v>2419.6999999999998</v>
      </c>
      <c r="J46" s="456">
        <v>4372.8</v>
      </c>
      <c r="K46" s="375"/>
      <c r="L46" s="375"/>
      <c r="M46" s="375"/>
      <c r="N46" s="375"/>
      <c r="O46" s="375"/>
      <c r="P46" s="375"/>
      <c r="Q46" s="375"/>
      <c r="R46" s="376"/>
      <c r="S46" s="458">
        <v>1394</v>
      </c>
    </row>
    <row r="47" spans="1:19" ht="18.899999999999999" customHeight="1">
      <c r="A47" s="446">
        <v>7207.7</v>
      </c>
      <c r="B47" s="447">
        <v>9959</v>
      </c>
      <c r="C47" s="446">
        <f t="shared" ref="C47:C51" si="6">A47-I47</f>
        <v>3843.5</v>
      </c>
      <c r="D47" s="456">
        <f t="shared" ref="D47:D51" si="7">B47-J47</f>
        <v>5427.6</v>
      </c>
      <c r="E47" s="456"/>
      <c r="F47" s="456"/>
      <c r="G47" s="456"/>
      <c r="H47" s="457"/>
      <c r="I47" s="446">
        <v>3364.2</v>
      </c>
      <c r="J47" s="456">
        <v>4531.3999999999996</v>
      </c>
      <c r="K47" s="375"/>
      <c r="L47" s="375"/>
      <c r="M47" s="375"/>
      <c r="N47" s="375"/>
      <c r="O47" s="375"/>
      <c r="P47" s="375"/>
      <c r="Q47" s="375"/>
      <c r="R47" s="376"/>
      <c r="S47" s="458">
        <v>1395</v>
      </c>
    </row>
    <row r="48" spans="1:19" ht="18.899999999999999" customHeight="1">
      <c r="A48" s="446">
        <v>8156.3</v>
      </c>
      <c r="B48" s="447">
        <v>16587.7</v>
      </c>
      <c r="C48" s="446">
        <f t="shared" si="6"/>
        <v>4005.8</v>
      </c>
      <c r="D48" s="456">
        <f t="shared" si="7"/>
        <v>8804.4000000000015</v>
      </c>
      <c r="E48" s="456"/>
      <c r="F48" s="456"/>
      <c r="G48" s="456"/>
      <c r="H48" s="457"/>
      <c r="I48" s="446">
        <v>4150.5</v>
      </c>
      <c r="J48" s="456">
        <v>7783.3</v>
      </c>
      <c r="K48" s="375"/>
      <c r="L48" s="375"/>
      <c r="M48" s="375"/>
      <c r="N48" s="375"/>
      <c r="O48" s="375"/>
      <c r="P48" s="375"/>
      <c r="Q48" s="375"/>
      <c r="R48" s="376"/>
      <c r="S48" s="458">
        <v>1396</v>
      </c>
    </row>
    <row r="49" spans="1:20" ht="18.899999999999999" customHeight="1">
      <c r="A49" s="446">
        <v>12122.3</v>
      </c>
      <c r="B49" s="447">
        <v>22044.7</v>
      </c>
      <c r="C49" s="446">
        <f>A49-I49</f>
        <v>5520.6999999999989</v>
      </c>
      <c r="D49" s="456">
        <f>B49-J49</f>
        <v>10910.1</v>
      </c>
      <c r="E49" s="456"/>
      <c r="F49" s="456"/>
      <c r="G49" s="456"/>
      <c r="H49" s="457"/>
      <c r="I49" s="446">
        <f>[6]ایران!$J$9</f>
        <v>6601.6</v>
      </c>
      <c r="J49" s="456">
        <f>[6]ایران!$B$9</f>
        <v>11134.6</v>
      </c>
      <c r="K49" s="375"/>
      <c r="L49" s="375"/>
      <c r="M49" s="375"/>
      <c r="N49" s="375"/>
      <c r="O49" s="375"/>
      <c r="P49" s="375"/>
      <c r="Q49" s="375"/>
      <c r="R49" s="376"/>
      <c r="S49" s="458">
        <v>1397</v>
      </c>
    </row>
    <row r="50" spans="1:20" ht="18.899999999999999" customHeight="1">
      <c r="A50" s="446">
        <v>19000.8</v>
      </c>
      <c r="B50" s="447">
        <v>26201.9</v>
      </c>
      <c r="C50" s="446">
        <f t="shared" si="6"/>
        <v>8422.5</v>
      </c>
      <c r="D50" s="456">
        <f t="shared" si="7"/>
        <v>13438.2</v>
      </c>
      <c r="E50" s="456"/>
      <c r="F50" s="456"/>
      <c r="G50" s="456"/>
      <c r="H50" s="457"/>
      <c r="I50" s="446">
        <v>10578.3</v>
      </c>
      <c r="J50" s="456">
        <v>12763.7</v>
      </c>
      <c r="K50" s="375"/>
      <c r="L50" s="375"/>
      <c r="M50" s="375"/>
      <c r="N50" s="375"/>
      <c r="O50" s="375"/>
      <c r="P50" s="375"/>
      <c r="Q50" s="375"/>
      <c r="R50" s="376"/>
      <c r="S50" s="458">
        <v>1398</v>
      </c>
    </row>
    <row r="51" spans="1:20" ht="18.899999999999999" customHeight="1" thickBot="1">
      <c r="A51" s="459">
        <v>24752.3</v>
      </c>
      <c r="B51" s="460">
        <v>33528.6</v>
      </c>
      <c r="C51" s="459">
        <f t="shared" si="6"/>
        <v>11918.699999999999</v>
      </c>
      <c r="D51" s="461">
        <f t="shared" si="7"/>
        <v>17501.199999999997</v>
      </c>
      <c r="E51" s="461"/>
      <c r="F51" s="461"/>
      <c r="G51" s="461"/>
      <c r="H51" s="462"/>
      <c r="I51" s="459">
        <v>12833.6</v>
      </c>
      <c r="J51" s="461">
        <v>16027.4</v>
      </c>
      <c r="K51" s="398"/>
      <c r="L51" s="398"/>
      <c r="M51" s="398"/>
      <c r="N51" s="398"/>
      <c r="O51" s="398"/>
      <c r="P51" s="398"/>
      <c r="Q51" s="398"/>
      <c r="R51" s="399"/>
      <c r="S51" s="463">
        <v>1399</v>
      </c>
    </row>
    <row r="52" spans="1:20" ht="18.75" customHeight="1">
      <c r="J52" s="564" t="s">
        <v>14</v>
      </c>
      <c r="K52" s="564"/>
      <c r="L52" s="564"/>
      <c r="M52" s="564"/>
      <c r="N52" s="564"/>
      <c r="O52" s="564"/>
      <c r="P52" s="564"/>
      <c r="Q52" s="564"/>
      <c r="R52" s="564"/>
      <c r="S52" s="564"/>
      <c r="T52" s="227" t="s">
        <v>30</v>
      </c>
    </row>
    <row r="53" spans="1:20" ht="18.75" customHeight="1">
      <c r="A53" s="563" t="s">
        <v>32</v>
      </c>
      <c r="B53" s="563"/>
      <c r="C53" s="563"/>
      <c r="D53" s="563"/>
      <c r="E53" s="563"/>
      <c r="F53" s="563"/>
      <c r="G53" s="563"/>
      <c r="H53" s="563"/>
      <c r="I53" s="563"/>
      <c r="J53" s="563"/>
      <c r="K53" s="563"/>
      <c r="L53" s="563"/>
      <c r="M53" s="563"/>
      <c r="N53" s="563"/>
      <c r="O53" s="563"/>
      <c r="P53" s="563"/>
      <c r="Q53" s="563"/>
      <c r="R53" s="563"/>
      <c r="S53" s="563"/>
    </row>
  </sheetData>
  <mergeCells count="15">
    <mergeCell ref="J52:S52"/>
    <mergeCell ref="A1:S1"/>
    <mergeCell ref="A53:S53"/>
    <mergeCell ref="A2:S2"/>
    <mergeCell ref="A4:B4"/>
    <mergeCell ref="G4:H4"/>
    <mergeCell ref="K4:L4"/>
    <mergeCell ref="M4:N4"/>
    <mergeCell ref="O4:P4"/>
    <mergeCell ref="Q4:R4"/>
    <mergeCell ref="I4:J4"/>
    <mergeCell ref="C4:D4"/>
    <mergeCell ref="S4:S5"/>
    <mergeCell ref="E4:F4"/>
    <mergeCell ref="A3:B3"/>
  </mergeCells>
  <phoneticPr fontId="0" type="noConversion"/>
  <printOptions horizontalCentered="1" verticalCentered="1"/>
  <pageMargins left="0.74803149606299213" right="0.74803149606299213" top="0.98425196850393704" bottom="0.98425196850393704" header="0.51181102362204722" footer="0.51181102362204722"/>
  <pageSetup paperSize="9" scale="50"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61"/>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 customHeight="1">
      <c r="A1" s="549" t="s">
        <v>27</v>
      </c>
      <c r="B1" s="549"/>
      <c r="C1" s="549"/>
      <c r="D1" s="549"/>
      <c r="E1" s="549"/>
      <c r="F1" s="549"/>
      <c r="G1" s="549"/>
      <c r="H1" s="549"/>
      <c r="I1" s="549"/>
      <c r="J1" s="549"/>
      <c r="K1" s="549"/>
      <c r="L1" s="549"/>
      <c r="M1" s="549"/>
      <c r="N1" s="549"/>
      <c r="O1" s="549"/>
      <c r="P1" s="549"/>
      <c r="Q1" s="549"/>
      <c r="R1" s="549"/>
      <c r="S1" s="549"/>
    </row>
    <row r="2" spans="1:29" ht="21" customHeight="1">
      <c r="A2" s="549" t="s">
        <v>58</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56</v>
      </c>
      <c r="B3" s="550"/>
      <c r="C3" s="86"/>
      <c r="D3" s="86"/>
      <c r="E3" s="86"/>
      <c r="F3" s="86"/>
      <c r="G3" s="1"/>
      <c r="H3" s="1"/>
      <c r="I3" s="1"/>
      <c r="J3" s="1"/>
      <c r="K3" s="1"/>
      <c r="L3" s="1"/>
      <c r="M3" s="1"/>
      <c r="N3" s="1"/>
      <c r="O3" s="1"/>
      <c r="P3" s="1"/>
      <c r="Q3" s="1"/>
      <c r="R3" s="1"/>
      <c r="S3" s="1"/>
      <c r="Y3" s="2"/>
      <c r="Z3" s="2"/>
      <c r="AA3" s="2"/>
      <c r="AB3" s="2"/>
      <c r="AC3" s="2"/>
    </row>
    <row r="4" spans="1:29" ht="21"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9" ht="21" customHeight="1" thickBot="1">
      <c r="A5" s="185" t="s">
        <v>25</v>
      </c>
      <c r="B5" s="186" t="s">
        <v>34</v>
      </c>
      <c r="C5" s="185" t="s">
        <v>25</v>
      </c>
      <c r="D5" s="186" t="s">
        <v>34</v>
      </c>
      <c r="E5" s="185" t="s">
        <v>1</v>
      </c>
      <c r="F5" s="186" t="s">
        <v>0</v>
      </c>
      <c r="G5" s="185" t="s">
        <v>1</v>
      </c>
      <c r="H5" s="186" t="s">
        <v>0</v>
      </c>
      <c r="I5" s="185" t="s">
        <v>25</v>
      </c>
      <c r="J5" s="186" t="s">
        <v>34</v>
      </c>
      <c r="K5" s="161" t="s">
        <v>1</v>
      </c>
      <c r="L5" s="162" t="s">
        <v>0</v>
      </c>
      <c r="M5" s="163" t="s">
        <v>1</v>
      </c>
      <c r="N5" s="164" t="s">
        <v>0</v>
      </c>
      <c r="O5" s="161" t="s">
        <v>1</v>
      </c>
      <c r="P5" s="162" t="s">
        <v>0</v>
      </c>
      <c r="Q5" s="161" t="s">
        <v>1</v>
      </c>
      <c r="R5" s="162" t="s">
        <v>0</v>
      </c>
      <c r="S5" s="558"/>
    </row>
    <row r="6" spans="1:29" ht="21" customHeight="1">
      <c r="A6" s="253">
        <v>1.5369999999999999</v>
      </c>
      <c r="B6" s="254">
        <v>2.766</v>
      </c>
      <c r="C6" s="253">
        <f>A6-I6</f>
        <v>0</v>
      </c>
      <c r="D6" s="254">
        <f>B6-J6</f>
        <v>0</v>
      </c>
      <c r="E6" s="253"/>
      <c r="F6" s="254"/>
      <c r="G6" s="253">
        <v>0</v>
      </c>
      <c r="H6" s="254">
        <v>0</v>
      </c>
      <c r="I6" s="253">
        <v>1.5369999999999999</v>
      </c>
      <c r="J6" s="254">
        <v>2.766</v>
      </c>
      <c r="K6" s="18">
        <v>883</v>
      </c>
      <c r="L6" s="19">
        <v>1518</v>
      </c>
      <c r="M6" s="43">
        <v>159</v>
      </c>
      <c r="N6" s="44">
        <v>336</v>
      </c>
      <c r="O6" s="18">
        <v>41</v>
      </c>
      <c r="P6" s="19">
        <v>79</v>
      </c>
      <c r="Q6" s="18">
        <v>454</v>
      </c>
      <c r="R6" s="19">
        <v>833</v>
      </c>
      <c r="S6" s="169">
        <v>1354</v>
      </c>
    </row>
    <row r="7" spans="1:29" ht="21" customHeight="1">
      <c r="A7" s="255">
        <v>2.4990000000000001</v>
      </c>
      <c r="B7" s="256">
        <v>3.5840000000000001</v>
      </c>
      <c r="C7" s="255">
        <f t="shared" ref="C7:C41" si="0">A7-I7</f>
        <v>0</v>
      </c>
      <c r="D7" s="256">
        <f t="shared" ref="D7:D41" si="1">B7-J7</f>
        <v>0</v>
      </c>
      <c r="E7" s="255"/>
      <c r="F7" s="256"/>
      <c r="G7" s="255">
        <v>0</v>
      </c>
      <c r="H7" s="256">
        <v>0</v>
      </c>
      <c r="I7" s="255">
        <v>2.4990000000000001</v>
      </c>
      <c r="J7" s="256">
        <v>3.5840000000000001</v>
      </c>
      <c r="K7" s="6">
        <v>1422</v>
      </c>
      <c r="L7" s="7">
        <v>1973</v>
      </c>
      <c r="M7" s="37">
        <v>232</v>
      </c>
      <c r="N7" s="38">
        <v>431</v>
      </c>
      <c r="O7" s="6">
        <v>86</v>
      </c>
      <c r="P7" s="7">
        <v>140</v>
      </c>
      <c r="Q7" s="6">
        <v>759</v>
      </c>
      <c r="R7" s="7">
        <v>1040</v>
      </c>
      <c r="S7" s="170">
        <v>1355</v>
      </c>
    </row>
    <row r="8" spans="1:29" ht="21" customHeight="1">
      <c r="A8" s="255">
        <v>2.7639999999999998</v>
      </c>
      <c r="B8" s="256">
        <v>4.1120000000000001</v>
      </c>
      <c r="C8" s="255">
        <f t="shared" si="0"/>
        <v>0</v>
      </c>
      <c r="D8" s="256">
        <f t="shared" si="1"/>
        <v>0</v>
      </c>
      <c r="E8" s="255"/>
      <c r="F8" s="256"/>
      <c r="G8" s="255">
        <v>0</v>
      </c>
      <c r="H8" s="256">
        <v>0</v>
      </c>
      <c r="I8" s="255">
        <v>2.7639999999999998</v>
      </c>
      <c r="J8" s="256">
        <v>4.1120000000000001</v>
      </c>
      <c r="K8" s="6">
        <v>1433</v>
      </c>
      <c r="L8" s="7">
        <v>2097</v>
      </c>
      <c r="M8" s="37">
        <v>302</v>
      </c>
      <c r="N8" s="38">
        <v>539</v>
      </c>
      <c r="O8" s="6">
        <v>125</v>
      </c>
      <c r="P8" s="7">
        <v>151</v>
      </c>
      <c r="Q8" s="6">
        <v>904</v>
      </c>
      <c r="R8" s="7">
        <v>1325</v>
      </c>
      <c r="S8" s="170">
        <v>1356</v>
      </c>
    </row>
    <row r="9" spans="1:29" ht="21" customHeight="1">
      <c r="A9" s="255">
        <v>2.4319999999999999</v>
      </c>
      <c r="B9" s="256">
        <v>3.2080000000000002</v>
      </c>
      <c r="C9" s="255">
        <f t="shared" si="0"/>
        <v>0</v>
      </c>
      <c r="D9" s="256">
        <f t="shared" si="1"/>
        <v>0</v>
      </c>
      <c r="E9" s="255"/>
      <c r="F9" s="256"/>
      <c r="G9" s="255">
        <v>0</v>
      </c>
      <c r="H9" s="256">
        <v>0</v>
      </c>
      <c r="I9" s="255">
        <v>2.4319999999999999</v>
      </c>
      <c r="J9" s="256">
        <v>3.2080000000000002</v>
      </c>
      <c r="K9" s="6">
        <v>1261</v>
      </c>
      <c r="L9" s="7">
        <v>1796</v>
      </c>
      <c r="M9" s="37">
        <v>291</v>
      </c>
      <c r="N9" s="38">
        <v>417</v>
      </c>
      <c r="O9" s="6">
        <v>121</v>
      </c>
      <c r="P9" s="7">
        <v>136</v>
      </c>
      <c r="Q9" s="6">
        <v>759</v>
      </c>
      <c r="R9" s="7">
        <v>859</v>
      </c>
      <c r="S9" s="170">
        <v>1357</v>
      </c>
    </row>
    <row r="10" spans="1:29" ht="21" customHeight="1">
      <c r="A10" s="255">
        <v>1.8260000000000001</v>
      </c>
      <c r="B10" s="256">
        <v>2.1739999999999999</v>
      </c>
      <c r="C10" s="255">
        <f t="shared" si="0"/>
        <v>0</v>
      </c>
      <c r="D10" s="256">
        <f t="shared" si="1"/>
        <v>0</v>
      </c>
      <c r="E10" s="255"/>
      <c r="F10" s="256"/>
      <c r="G10" s="255">
        <v>0</v>
      </c>
      <c r="H10" s="256">
        <v>0</v>
      </c>
      <c r="I10" s="255">
        <v>1.8260000000000001</v>
      </c>
      <c r="J10" s="256">
        <v>2.1739999999999999</v>
      </c>
      <c r="K10" s="6">
        <v>872</v>
      </c>
      <c r="L10" s="7">
        <v>995</v>
      </c>
      <c r="M10" s="37">
        <v>213</v>
      </c>
      <c r="N10" s="38">
        <v>221</v>
      </c>
      <c r="O10" s="6">
        <v>98</v>
      </c>
      <c r="P10" s="7">
        <v>85</v>
      </c>
      <c r="Q10" s="6">
        <v>643</v>
      </c>
      <c r="R10" s="7">
        <v>873</v>
      </c>
      <c r="S10" s="170">
        <v>1358</v>
      </c>
    </row>
    <row r="11" spans="1:29" ht="21" customHeight="1">
      <c r="A11" s="255">
        <v>1.292</v>
      </c>
      <c r="B11" s="256">
        <v>2.0760000000000001</v>
      </c>
      <c r="C11" s="255">
        <f t="shared" si="0"/>
        <v>0</v>
      </c>
      <c r="D11" s="256">
        <f t="shared" si="1"/>
        <v>0</v>
      </c>
      <c r="E11" s="255"/>
      <c r="F11" s="256"/>
      <c r="G11" s="255">
        <v>0</v>
      </c>
      <c r="H11" s="256">
        <v>0</v>
      </c>
      <c r="I11" s="255">
        <v>1.292</v>
      </c>
      <c r="J11" s="256">
        <v>2.0760000000000001</v>
      </c>
      <c r="K11" s="6">
        <v>713</v>
      </c>
      <c r="L11" s="7">
        <v>913</v>
      </c>
      <c r="M11" s="37">
        <v>105</v>
      </c>
      <c r="N11" s="38">
        <v>112</v>
      </c>
      <c r="O11" s="6">
        <v>44</v>
      </c>
      <c r="P11" s="7">
        <v>76</v>
      </c>
      <c r="Q11" s="6">
        <v>430</v>
      </c>
      <c r="R11" s="7">
        <v>975</v>
      </c>
      <c r="S11" s="170">
        <v>1359</v>
      </c>
    </row>
    <row r="12" spans="1:29" ht="21" customHeight="1">
      <c r="A12" s="255">
        <f>0.843</f>
        <v>0.84299999999999997</v>
      </c>
      <c r="B12" s="256">
        <v>2.3610000000000002</v>
      </c>
      <c r="C12" s="255">
        <f t="shared" si="0"/>
        <v>0</v>
      </c>
      <c r="D12" s="256">
        <f t="shared" si="1"/>
        <v>0</v>
      </c>
      <c r="E12" s="255"/>
      <c r="F12" s="256"/>
      <c r="G12" s="255">
        <v>0</v>
      </c>
      <c r="H12" s="256">
        <v>0</v>
      </c>
      <c r="I12" s="255">
        <f>0.843</f>
        <v>0.84299999999999997</v>
      </c>
      <c r="J12" s="256">
        <v>2.3610000000000002</v>
      </c>
      <c r="K12" s="6">
        <v>351</v>
      </c>
      <c r="L12" s="7">
        <v>477</v>
      </c>
      <c r="M12" s="37">
        <v>43</v>
      </c>
      <c r="N12" s="38">
        <v>128</v>
      </c>
      <c r="O12" s="6">
        <v>58</v>
      </c>
      <c r="P12" s="7">
        <v>394</v>
      </c>
      <c r="Q12" s="6">
        <v>391</v>
      </c>
      <c r="R12" s="7">
        <v>1362</v>
      </c>
      <c r="S12" s="170">
        <v>1360</v>
      </c>
    </row>
    <row r="13" spans="1:29" ht="21" customHeight="1">
      <c r="A13" s="255">
        <f>0.891</f>
        <v>0.89100000000000001</v>
      </c>
      <c r="B13" s="256">
        <v>3.226</v>
      </c>
      <c r="C13" s="255">
        <f t="shared" si="0"/>
        <v>0</v>
      </c>
      <c r="D13" s="256">
        <f t="shared" si="1"/>
        <v>0</v>
      </c>
      <c r="E13" s="255"/>
      <c r="F13" s="256"/>
      <c r="G13" s="255">
        <v>0</v>
      </c>
      <c r="H13" s="256">
        <v>0</v>
      </c>
      <c r="I13" s="255">
        <f>0.891</f>
        <v>0.89100000000000001</v>
      </c>
      <c r="J13" s="256">
        <v>3.226</v>
      </c>
      <c r="K13" s="6">
        <v>115</v>
      </c>
      <c r="L13" s="7">
        <v>-78</v>
      </c>
      <c r="M13" s="37">
        <v>45</v>
      </c>
      <c r="N13" s="38">
        <v>179</v>
      </c>
      <c r="O13" s="6">
        <v>186</v>
      </c>
      <c r="P13" s="7">
        <v>675</v>
      </c>
      <c r="Q13" s="6">
        <v>545</v>
      </c>
      <c r="R13" s="7">
        <v>2450</v>
      </c>
      <c r="S13" s="170">
        <v>1361</v>
      </c>
    </row>
    <row r="14" spans="1:29" ht="21" customHeight="1">
      <c r="A14" s="255">
        <v>1.431</v>
      </c>
      <c r="B14" s="256">
        <v>4.6550000000000002</v>
      </c>
      <c r="C14" s="255">
        <f t="shared" si="0"/>
        <v>0</v>
      </c>
      <c r="D14" s="256">
        <f t="shared" si="1"/>
        <v>0</v>
      </c>
      <c r="E14" s="255"/>
      <c r="F14" s="256"/>
      <c r="G14" s="255">
        <v>0</v>
      </c>
      <c r="H14" s="256">
        <v>0</v>
      </c>
      <c r="I14" s="255">
        <v>1.431</v>
      </c>
      <c r="J14" s="256">
        <v>4.6550000000000002</v>
      </c>
      <c r="K14" s="6">
        <v>13</v>
      </c>
      <c r="L14" s="7">
        <v>-3</v>
      </c>
      <c r="M14" s="37">
        <v>49</v>
      </c>
      <c r="N14" s="38">
        <v>235</v>
      </c>
      <c r="O14" s="6">
        <v>288</v>
      </c>
      <c r="P14" s="7">
        <v>716</v>
      </c>
      <c r="Q14" s="6">
        <v>1081</v>
      </c>
      <c r="R14" s="7">
        <v>3707</v>
      </c>
      <c r="S14" s="170">
        <v>1362</v>
      </c>
    </row>
    <row r="15" spans="1:29" ht="21" customHeight="1">
      <c r="A15" s="255">
        <v>1.6579999999999999</v>
      </c>
      <c r="B15" s="256">
        <v>5.2830000000000004</v>
      </c>
      <c r="C15" s="255">
        <f t="shared" si="0"/>
        <v>0</v>
      </c>
      <c r="D15" s="256">
        <f t="shared" si="1"/>
        <v>0</v>
      </c>
      <c r="E15" s="255"/>
      <c r="F15" s="256"/>
      <c r="G15" s="255">
        <v>0</v>
      </c>
      <c r="H15" s="256">
        <v>0</v>
      </c>
      <c r="I15" s="255">
        <v>1.6579999999999999</v>
      </c>
      <c r="J15" s="256">
        <v>5.2830000000000004</v>
      </c>
      <c r="K15" s="6">
        <v>3</v>
      </c>
      <c r="L15" s="7">
        <v>2</v>
      </c>
      <c r="M15" s="37">
        <v>80</v>
      </c>
      <c r="N15" s="38">
        <v>352</v>
      </c>
      <c r="O15" s="6">
        <v>392</v>
      </c>
      <c r="P15" s="7">
        <v>1263</v>
      </c>
      <c r="Q15" s="6">
        <v>1183</v>
      </c>
      <c r="R15" s="7">
        <v>3666</v>
      </c>
      <c r="S15" s="170">
        <v>1363</v>
      </c>
    </row>
    <row r="16" spans="1:29" ht="21" customHeight="1">
      <c r="A16" s="255">
        <v>1.7509999999999999</v>
      </c>
      <c r="B16" s="256">
        <v>4.4009999999999998</v>
      </c>
      <c r="C16" s="255">
        <f t="shared" si="0"/>
        <v>0</v>
      </c>
      <c r="D16" s="256">
        <f t="shared" si="1"/>
        <v>0</v>
      </c>
      <c r="E16" s="255"/>
      <c r="F16" s="256"/>
      <c r="G16" s="255">
        <v>0</v>
      </c>
      <c r="H16" s="256">
        <v>0</v>
      </c>
      <c r="I16" s="255">
        <v>1.7509999999999999</v>
      </c>
      <c r="J16" s="256">
        <v>4.4009999999999998</v>
      </c>
      <c r="K16" s="6">
        <v>6</v>
      </c>
      <c r="L16" s="7">
        <v>3</v>
      </c>
      <c r="M16" s="37">
        <v>125</v>
      </c>
      <c r="N16" s="38">
        <v>327</v>
      </c>
      <c r="O16" s="6">
        <v>519</v>
      </c>
      <c r="P16" s="7">
        <v>1069</v>
      </c>
      <c r="Q16" s="6">
        <v>1101</v>
      </c>
      <c r="R16" s="7">
        <v>3002</v>
      </c>
      <c r="S16" s="170">
        <v>1364</v>
      </c>
    </row>
    <row r="17" spans="1:20" ht="21" customHeight="1">
      <c r="A17" s="255">
        <v>1.7790299999999999</v>
      </c>
      <c r="B17" s="256">
        <v>3.6120000000000001</v>
      </c>
      <c r="C17" s="255">
        <f t="shared" si="0"/>
        <v>0</v>
      </c>
      <c r="D17" s="256">
        <f t="shared" si="1"/>
        <v>0</v>
      </c>
      <c r="E17" s="255">
        <v>0</v>
      </c>
      <c r="F17" s="256">
        <v>0</v>
      </c>
      <c r="G17" s="255">
        <v>0</v>
      </c>
      <c r="H17" s="256">
        <v>0</v>
      </c>
      <c r="I17" s="255">
        <v>1.7790299999999999</v>
      </c>
      <c r="J17" s="256">
        <v>3.6120000000000001</v>
      </c>
      <c r="K17" s="6">
        <v>0.03</v>
      </c>
      <c r="L17" s="7">
        <v>0</v>
      </c>
      <c r="M17" s="37">
        <v>103</v>
      </c>
      <c r="N17" s="38">
        <v>339</v>
      </c>
      <c r="O17" s="6">
        <v>499</v>
      </c>
      <c r="P17" s="7">
        <v>1009</v>
      </c>
      <c r="Q17" s="6">
        <v>1177</v>
      </c>
      <c r="R17" s="7">
        <v>2264</v>
      </c>
      <c r="S17" s="170">
        <v>1365</v>
      </c>
    </row>
    <row r="18" spans="1:20" ht="21" customHeight="1">
      <c r="A18" s="255">
        <v>2.5230000000000001</v>
      </c>
      <c r="B18" s="256">
        <v>4.4559300000000004</v>
      </c>
      <c r="C18" s="255">
        <f t="shared" si="0"/>
        <v>0</v>
      </c>
      <c r="D18" s="256">
        <f t="shared" si="1"/>
        <v>0</v>
      </c>
      <c r="E18" s="255">
        <v>0</v>
      </c>
      <c r="F18" s="256">
        <v>0</v>
      </c>
      <c r="G18" s="255">
        <v>0</v>
      </c>
      <c r="H18" s="256">
        <v>0</v>
      </c>
      <c r="I18" s="255">
        <v>2.5230000000000001</v>
      </c>
      <c r="J18" s="256">
        <v>4.4559300000000004</v>
      </c>
      <c r="K18" s="6">
        <v>20</v>
      </c>
      <c r="L18" s="7">
        <v>-7.0000000000000007E-2</v>
      </c>
      <c r="M18" s="37">
        <v>158</v>
      </c>
      <c r="N18" s="38">
        <v>335</v>
      </c>
      <c r="O18" s="6">
        <v>566</v>
      </c>
      <c r="P18" s="7">
        <v>1099</v>
      </c>
      <c r="Q18" s="6">
        <v>1779</v>
      </c>
      <c r="R18" s="7">
        <v>3022</v>
      </c>
      <c r="S18" s="170">
        <v>1366</v>
      </c>
    </row>
    <row r="19" spans="1:20" ht="21" customHeight="1">
      <c r="A19" s="255">
        <v>1.9359999999999999</v>
      </c>
      <c r="B19" s="256">
        <v>3.9049999999999998</v>
      </c>
      <c r="C19" s="255">
        <f t="shared" si="0"/>
        <v>0</v>
      </c>
      <c r="D19" s="256">
        <f t="shared" si="1"/>
        <v>0</v>
      </c>
      <c r="E19" s="255">
        <v>0</v>
      </c>
      <c r="F19" s="256">
        <v>0</v>
      </c>
      <c r="G19" s="255">
        <v>0</v>
      </c>
      <c r="H19" s="256">
        <v>0</v>
      </c>
      <c r="I19" s="255">
        <v>1.9359999999999999</v>
      </c>
      <c r="J19" s="256">
        <v>3.9049999999999998</v>
      </c>
      <c r="K19" s="6">
        <v>0</v>
      </c>
      <c r="L19" s="7">
        <v>0</v>
      </c>
      <c r="M19" s="37">
        <v>169</v>
      </c>
      <c r="N19" s="38">
        <v>327</v>
      </c>
      <c r="O19" s="6">
        <v>657</v>
      </c>
      <c r="P19" s="7">
        <v>1061</v>
      </c>
      <c r="Q19" s="6">
        <v>1110</v>
      </c>
      <c r="R19" s="7">
        <v>2517</v>
      </c>
      <c r="S19" s="170">
        <v>1367</v>
      </c>
    </row>
    <row r="20" spans="1:20" ht="21" customHeight="1">
      <c r="A20" s="255">
        <v>2.09</v>
      </c>
      <c r="B20" s="256">
        <v>4.585</v>
      </c>
      <c r="C20" s="255">
        <f t="shared" si="0"/>
        <v>0</v>
      </c>
      <c r="D20" s="256">
        <f t="shared" si="1"/>
        <v>0</v>
      </c>
      <c r="E20" s="255">
        <v>0</v>
      </c>
      <c r="F20" s="256">
        <v>0</v>
      </c>
      <c r="G20" s="255">
        <v>0</v>
      </c>
      <c r="H20" s="256">
        <v>0</v>
      </c>
      <c r="I20" s="255">
        <v>2.09</v>
      </c>
      <c r="J20" s="256">
        <v>4.585</v>
      </c>
      <c r="K20" s="6">
        <v>-2</v>
      </c>
      <c r="L20" s="7">
        <v>0</v>
      </c>
      <c r="M20" s="37">
        <v>208</v>
      </c>
      <c r="N20" s="38">
        <v>442</v>
      </c>
      <c r="O20" s="6">
        <v>727</v>
      </c>
      <c r="P20" s="7">
        <v>1521</v>
      </c>
      <c r="Q20" s="6">
        <v>1157</v>
      </c>
      <c r="R20" s="7">
        <v>2622</v>
      </c>
      <c r="S20" s="170">
        <v>1368</v>
      </c>
    </row>
    <row r="21" spans="1:20" ht="21" customHeight="1">
      <c r="A21" s="255">
        <v>2.1259999999999999</v>
      </c>
      <c r="B21" s="256">
        <v>5.9240000000000004</v>
      </c>
      <c r="C21" s="255">
        <f t="shared" si="0"/>
        <v>0</v>
      </c>
      <c r="D21" s="256">
        <f t="shared" si="1"/>
        <v>0</v>
      </c>
      <c r="E21" s="255">
        <v>0</v>
      </c>
      <c r="F21" s="256">
        <v>0</v>
      </c>
      <c r="G21" s="255">
        <v>0</v>
      </c>
      <c r="H21" s="256">
        <v>0</v>
      </c>
      <c r="I21" s="255">
        <v>2.1259999999999999</v>
      </c>
      <c r="J21" s="256">
        <v>5.9240000000000004</v>
      </c>
      <c r="K21" s="6">
        <v>0</v>
      </c>
      <c r="L21" s="7">
        <v>0</v>
      </c>
      <c r="M21" s="37">
        <v>41</v>
      </c>
      <c r="N21" s="38">
        <v>615</v>
      </c>
      <c r="O21" s="6">
        <v>876</v>
      </c>
      <c r="P21" s="7">
        <v>1812</v>
      </c>
      <c r="Q21" s="6">
        <v>1209</v>
      </c>
      <c r="R21" s="7">
        <v>3497</v>
      </c>
      <c r="S21" s="170">
        <v>1369</v>
      </c>
    </row>
    <row r="22" spans="1:20" ht="21" customHeight="1">
      <c r="A22" s="255">
        <v>4.1020000000000003</v>
      </c>
      <c r="B22" s="256">
        <v>12.367000000000001</v>
      </c>
      <c r="C22" s="255">
        <f t="shared" si="0"/>
        <v>0</v>
      </c>
      <c r="D22" s="256">
        <f t="shared" si="1"/>
        <v>0</v>
      </c>
      <c r="E22" s="255">
        <v>0</v>
      </c>
      <c r="F22" s="256">
        <v>0</v>
      </c>
      <c r="G22" s="255">
        <v>0</v>
      </c>
      <c r="H22" s="256">
        <v>0</v>
      </c>
      <c r="I22" s="255">
        <v>4.1020000000000003</v>
      </c>
      <c r="J22" s="256">
        <v>12.367000000000001</v>
      </c>
      <c r="K22" s="6">
        <v>0</v>
      </c>
      <c r="L22" s="7">
        <v>0</v>
      </c>
      <c r="M22" s="37">
        <v>639</v>
      </c>
      <c r="N22" s="38">
        <v>1371</v>
      </c>
      <c r="O22" s="6">
        <v>1434</v>
      </c>
      <c r="P22" s="7">
        <v>3989</v>
      </c>
      <c r="Q22" s="6">
        <v>2029</v>
      </c>
      <c r="R22" s="7">
        <v>7007</v>
      </c>
      <c r="S22" s="170">
        <v>1370</v>
      </c>
    </row>
    <row r="23" spans="1:20" ht="21" customHeight="1">
      <c r="A23" s="255">
        <v>8.6270000000000007</v>
      </c>
      <c r="B23" s="256">
        <v>25.292999999999999</v>
      </c>
      <c r="C23" s="255">
        <f t="shared" si="0"/>
        <v>0</v>
      </c>
      <c r="D23" s="256">
        <f t="shared" si="1"/>
        <v>0</v>
      </c>
      <c r="E23" s="255">
        <v>0</v>
      </c>
      <c r="F23" s="256">
        <v>0</v>
      </c>
      <c r="G23" s="255">
        <v>0</v>
      </c>
      <c r="H23" s="256">
        <v>0</v>
      </c>
      <c r="I23" s="255">
        <v>8.6270000000000007</v>
      </c>
      <c r="J23" s="256">
        <v>25.292999999999999</v>
      </c>
      <c r="K23" s="6">
        <v>0</v>
      </c>
      <c r="L23" s="7">
        <v>0</v>
      </c>
      <c r="M23" s="37">
        <v>834</v>
      </c>
      <c r="N23" s="38">
        <v>3502</v>
      </c>
      <c r="O23" s="6">
        <v>3217</v>
      </c>
      <c r="P23" s="7">
        <v>6948</v>
      </c>
      <c r="Q23" s="6">
        <v>4576</v>
      </c>
      <c r="R23" s="7">
        <v>14843</v>
      </c>
      <c r="S23" s="170">
        <v>1371</v>
      </c>
    </row>
    <row r="24" spans="1:20" ht="21" customHeight="1">
      <c r="A24" s="255">
        <v>19.536999999999999</v>
      </c>
      <c r="B24" s="256">
        <v>38.368000000000002</v>
      </c>
      <c r="C24" s="255">
        <f t="shared" si="0"/>
        <v>0</v>
      </c>
      <c r="D24" s="256">
        <f t="shared" si="1"/>
        <v>0</v>
      </c>
      <c r="E24" s="255">
        <v>0</v>
      </c>
      <c r="F24" s="256">
        <v>0</v>
      </c>
      <c r="G24" s="255">
        <v>0</v>
      </c>
      <c r="H24" s="256">
        <v>0</v>
      </c>
      <c r="I24" s="255">
        <v>19.536999999999999</v>
      </c>
      <c r="J24" s="256">
        <v>38.368000000000002</v>
      </c>
      <c r="K24" s="6">
        <v>0</v>
      </c>
      <c r="L24" s="7">
        <v>0</v>
      </c>
      <c r="M24" s="37">
        <v>2485</v>
      </c>
      <c r="N24" s="38">
        <v>4381</v>
      </c>
      <c r="O24" s="6">
        <v>8205</v>
      </c>
      <c r="P24" s="7">
        <v>14003</v>
      </c>
      <c r="Q24" s="6">
        <v>8847</v>
      </c>
      <c r="R24" s="7">
        <v>19984</v>
      </c>
      <c r="S24" s="170">
        <v>1372</v>
      </c>
    </row>
    <row r="25" spans="1:20" ht="21" customHeight="1">
      <c r="A25" s="255">
        <v>40.789000000000001</v>
      </c>
      <c r="B25" s="256">
        <v>61.133000000000003</v>
      </c>
      <c r="C25" s="255">
        <f t="shared" si="0"/>
        <v>0</v>
      </c>
      <c r="D25" s="256">
        <f t="shared" si="1"/>
        <v>0</v>
      </c>
      <c r="E25" s="255">
        <v>0</v>
      </c>
      <c r="F25" s="256">
        <v>0</v>
      </c>
      <c r="G25" s="255">
        <v>0</v>
      </c>
      <c r="H25" s="256">
        <v>0</v>
      </c>
      <c r="I25" s="255">
        <v>40.789000000000001</v>
      </c>
      <c r="J25" s="256">
        <v>61.133000000000003</v>
      </c>
      <c r="K25" s="6">
        <v>0</v>
      </c>
      <c r="L25" s="7">
        <v>0</v>
      </c>
      <c r="M25" s="37">
        <v>4504</v>
      </c>
      <c r="N25" s="38">
        <v>7986</v>
      </c>
      <c r="O25" s="6">
        <v>19205</v>
      </c>
      <c r="P25" s="7">
        <v>25464</v>
      </c>
      <c r="Q25" s="6">
        <v>17080</v>
      </c>
      <c r="R25" s="7">
        <v>27683</v>
      </c>
      <c r="S25" s="170">
        <v>1373</v>
      </c>
    </row>
    <row r="26" spans="1:20" ht="21" customHeight="1">
      <c r="A26" s="255">
        <v>76.602999999999994</v>
      </c>
      <c r="B26" s="256">
        <v>101.761</v>
      </c>
      <c r="C26" s="255">
        <f t="shared" si="0"/>
        <v>0</v>
      </c>
      <c r="D26" s="256">
        <f t="shared" si="1"/>
        <v>0</v>
      </c>
      <c r="E26" s="255">
        <v>0</v>
      </c>
      <c r="F26" s="256">
        <v>0</v>
      </c>
      <c r="G26" s="255">
        <v>0</v>
      </c>
      <c r="H26" s="256">
        <v>0</v>
      </c>
      <c r="I26" s="255">
        <v>76.602999999999994</v>
      </c>
      <c r="J26" s="256">
        <v>101.761</v>
      </c>
      <c r="K26" s="6">
        <v>0</v>
      </c>
      <c r="L26" s="7">
        <v>0</v>
      </c>
      <c r="M26" s="37">
        <v>10008</v>
      </c>
      <c r="N26" s="38">
        <v>15102</v>
      </c>
      <c r="O26" s="6">
        <v>37140</v>
      </c>
      <c r="P26" s="7">
        <v>39695</v>
      </c>
      <c r="Q26" s="6">
        <v>29455</v>
      </c>
      <c r="R26" s="7">
        <v>46964</v>
      </c>
      <c r="S26" s="170">
        <v>1374</v>
      </c>
    </row>
    <row r="27" spans="1:20" ht="21" customHeight="1">
      <c r="A27" s="255">
        <v>101.11199999999999</v>
      </c>
      <c r="B27" s="256">
        <v>158.851</v>
      </c>
      <c r="C27" s="255">
        <f t="shared" si="0"/>
        <v>0</v>
      </c>
      <c r="D27" s="256">
        <f t="shared" si="1"/>
        <v>0</v>
      </c>
      <c r="E27" s="255">
        <v>0</v>
      </c>
      <c r="F27" s="256">
        <v>0</v>
      </c>
      <c r="G27" s="255">
        <v>0</v>
      </c>
      <c r="H27" s="256">
        <v>0</v>
      </c>
      <c r="I27" s="255">
        <v>101.11199999999999</v>
      </c>
      <c r="J27" s="256">
        <v>158.851</v>
      </c>
      <c r="K27" s="6">
        <v>0</v>
      </c>
      <c r="L27" s="7">
        <v>97</v>
      </c>
      <c r="M27" s="37">
        <v>14986</v>
      </c>
      <c r="N27" s="38">
        <v>20685</v>
      </c>
      <c r="O27" s="6">
        <v>41727</v>
      </c>
      <c r="P27" s="7">
        <v>58342</v>
      </c>
      <c r="Q27" s="6">
        <v>44399</v>
      </c>
      <c r="R27" s="7">
        <v>79727</v>
      </c>
      <c r="S27" s="170">
        <v>1375</v>
      </c>
    </row>
    <row r="28" spans="1:20" ht="21" customHeight="1">
      <c r="A28" s="255">
        <v>108.337</v>
      </c>
      <c r="B28" s="256">
        <v>195.797</v>
      </c>
      <c r="C28" s="255">
        <f t="shared" si="0"/>
        <v>0</v>
      </c>
      <c r="D28" s="256">
        <f t="shared" si="1"/>
        <v>0</v>
      </c>
      <c r="E28" s="255">
        <v>0</v>
      </c>
      <c r="F28" s="256">
        <v>0</v>
      </c>
      <c r="G28" s="255">
        <v>0</v>
      </c>
      <c r="H28" s="256">
        <v>0</v>
      </c>
      <c r="I28" s="255">
        <v>108.337</v>
      </c>
      <c r="J28" s="256">
        <v>195.797</v>
      </c>
      <c r="K28" s="6">
        <v>549</v>
      </c>
      <c r="L28" s="7">
        <v>9306</v>
      </c>
      <c r="M28" s="37">
        <v>13411</v>
      </c>
      <c r="N28" s="38">
        <v>22909</v>
      </c>
      <c r="O28" s="6">
        <v>40623</v>
      </c>
      <c r="P28" s="7">
        <v>62958</v>
      </c>
      <c r="Q28" s="6">
        <v>53754</v>
      </c>
      <c r="R28" s="7">
        <v>100624</v>
      </c>
      <c r="S28" s="170">
        <v>1376</v>
      </c>
    </row>
    <row r="29" spans="1:20" ht="21" customHeight="1">
      <c r="A29" s="255">
        <v>113.744</v>
      </c>
      <c r="B29" s="256">
        <v>225.86199999999999</v>
      </c>
      <c r="C29" s="255">
        <f t="shared" si="0"/>
        <v>0</v>
      </c>
      <c r="D29" s="256">
        <f t="shared" si="1"/>
        <v>0</v>
      </c>
      <c r="E29" s="255">
        <v>0</v>
      </c>
      <c r="F29" s="256">
        <v>0</v>
      </c>
      <c r="G29" s="255">
        <v>0</v>
      </c>
      <c r="H29" s="256">
        <v>0</v>
      </c>
      <c r="I29" s="255">
        <v>113.744</v>
      </c>
      <c r="J29" s="256">
        <v>225.86199999999999</v>
      </c>
      <c r="K29" s="6">
        <v>10353</v>
      </c>
      <c r="L29" s="7">
        <v>18263</v>
      </c>
      <c r="M29" s="37">
        <v>11500</v>
      </c>
      <c r="N29" s="38">
        <v>23875</v>
      </c>
      <c r="O29" s="6">
        <v>39170</v>
      </c>
      <c r="P29" s="7">
        <v>71841</v>
      </c>
      <c r="Q29" s="6">
        <v>52721</v>
      </c>
      <c r="R29" s="7">
        <v>111883</v>
      </c>
      <c r="S29" s="170">
        <v>1377</v>
      </c>
    </row>
    <row r="30" spans="1:20" ht="21" customHeight="1">
      <c r="A30" s="255">
        <v>137.63069999999999</v>
      </c>
      <c r="B30" s="256">
        <v>279.90940000000001</v>
      </c>
      <c r="C30" s="255">
        <f t="shared" si="0"/>
        <v>0</v>
      </c>
      <c r="D30" s="256">
        <f t="shared" si="1"/>
        <v>0</v>
      </c>
      <c r="E30" s="255">
        <v>0</v>
      </c>
      <c r="F30" s="256">
        <v>0</v>
      </c>
      <c r="G30" s="255">
        <v>0</v>
      </c>
      <c r="H30" s="256">
        <v>0</v>
      </c>
      <c r="I30" s="255">
        <v>137.63069999999999</v>
      </c>
      <c r="J30" s="256">
        <v>279.90940000000001</v>
      </c>
      <c r="K30" s="6">
        <v>16437.400000000001</v>
      </c>
      <c r="L30" s="7">
        <v>25015.4</v>
      </c>
      <c r="M30" s="37">
        <v>12748.5</v>
      </c>
      <c r="N30" s="38">
        <v>28669.200000000001</v>
      </c>
      <c r="O30" s="6">
        <v>44323.4</v>
      </c>
      <c r="P30" s="7">
        <v>87363.4</v>
      </c>
      <c r="Q30" s="6">
        <v>64121.4</v>
      </c>
      <c r="R30" s="7">
        <v>138861.4</v>
      </c>
      <c r="S30" s="170">
        <v>1378</v>
      </c>
    </row>
    <row r="31" spans="1:20" ht="21" customHeight="1">
      <c r="A31" s="255">
        <v>190.79470000000001</v>
      </c>
      <c r="B31" s="256">
        <v>434.86750000000001</v>
      </c>
      <c r="C31" s="255">
        <f t="shared" si="0"/>
        <v>0</v>
      </c>
      <c r="D31" s="256">
        <f t="shared" si="1"/>
        <v>0</v>
      </c>
      <c r="E31" s="255">
        <v>0</v>
      </c>
      <c r="F31" s="256">
        <v>0</v>
      </c>
      <c r="G31" s="255">
        <v>0</v>
      </c>
      <c r="H31" s="256">
        <v>0</v>
      </c>
      <c r="I31" s="255">
        <v>190.79470000000001</v>
      </c>
      <c r="J31" s="256">
        <v>434.86750000000001</v>
      </c>
      <c r="K31" s="6">
        <v>31339.1</v>
      </c>
      <c r="L31" s="7">
        <v>49039.5</v>
      </c>
      <c r="M31" s="37">
        <v>12907.9</v>
      </c>
      <c r="N31" s="38">
        <v>29965.4</v>
      </c>
      <c r="O31" s="6">
        <v>73661</v>
      </c>
      <c r="P31" s="7">
        <v>170224.2</v>
      </c>
      <c r="Q31" s="6">
        <v>72886.7</v>
      </c>
      <c r="R31" s="7">
        <v>185638.39999999999</v>
      </c>
      <c r="S31" s="170">
        <v>1379</v>
      </c>
    </row>
    <row r="32" spans="1:20" ht="21" customHeight="1">
      <c r="A32" s="255">
        <v>253.88409999999999</v>
      </c>
      <c r="B32" s="256">
        <v>565.16219999999998</v>
      </c>
      <c r="C32" s="255">
        <f t="shared" si="0"/>
        <v>0</v>
      </c>
      <c r="D32" s="256">
        <f t="shared" si="1"/>
        <v>0</v>
      </c>
      <c r="E32" s="255">
        <v>0</v>
      </c>
      <c r="F32" s="256">
        <v>0</v>
      </c>
      <c r="G32" s="255">
        <v>0</v>
      </c>
      <c r="H32" s="256">
        <v>0</v>
      </c>
      <c r="I32" s="255">
        <v>253.88409999999999</v>
      </c>
      <c r="J32" s="256">
        <v>565.16219999999998</v>
      </c>
      <c r="K32" s="6">
        <v>49273.2</v>
      </c>
      <c r="L32" s="7">
        <v>80694.3</v>
      </c>
      <c r="M32" s="37">
        <v>14621.9</v>
      </c>
      <c r="N32" s="38">
        <v>34079.4</v>
      </c>
      <c r="O32" s="6">
        <v>71178.899999999994</v>
      </c>
      <c r="P32" s="7">
        <v>194011.7</v>
      </c>
      <c r="Q32" s="6">
        <v>118810.1</v>
      </c>
      <c r="R32" s="7">
        <v>256376.8</v>
      </c>
      <c r="S32" s="170">
        <v>1380</v>
      </c>
      <c r="T32" s="1"/>
    </row>
    <row r="33" spans="1:19" ht="21" customHeight="1">
      <c r="A33" s="301">
        <v>428.16261276</v>
      </c>
      <c r="B33" s="256">
        <v>949.92782747399997</v>
      </c>
      <c r="C33" s="301">
        <f t="shared" si="0"/>
        <v>2.0099999999843021E-3</v>
      </c>
      <c r="D33" s="256">
        <f t="shared" si="1"/>
        <v>0.12829577000002246</v>
      </c>
      <c r="E33" s="301">
        <v>2.0099999999999998</v>
      </c>
      <c r="F33" s="256">
        <v>128.29577</v>
      </c>
      <c r="G33" s="301">
        <v>0</v>
      </c>
      <c r="H33" s="256">
        <v>0</v>
      </c>
      <c r="I33" s="301">
        <v>428.16060276000002</v>
      </c>
      <c r="J33" s="256">
        <v>949.79953170399995</v>
      </c>
      <c r="K33" s="74">
        <f>'[1]بيمه دانا'!$I$19/1000000</f>
        <v>72555.25116</v>
      </c>
      <c r="L33" s="7">
        <f>'[1]بيمه دانا'!$Q$19/1000000</f>
        <v>136335.80739599999</v>
      </c>
      <c r="M33" s="99">
        <f>'[1]بيمه البرز'!$I$19/1000000</f>
        <v>22449.300768000001</v>
      </c>
      <c r="N33" s="38">
        <f>'[1]بيمه البرز'!$Q$19/1000000</f>
        <v>62910.265171999999</v>
      </c>
      <c r="O33" s="74">
        <f>'[1]بيمه آسيا'!$I$19/1000000</f>
        <v>146669.598352</v>
      </c>
      <c r="P33" s="7">
        <f>'[1]بيمه آسيا'!$Q$19/1000000</f>
        <v>308839.14445600001</v>
      </c>
      <c r="Q33" s="74">
        <f>'[1]بيمه ايران'!$I$19/1000000</f>
        <v>186486.45248000001</v>
      </c>
      <c r="R33" s="7">
        <f>'[1]بيمه ايران'!$Q$19/1000000</f>
        <v>441714.31468000001</v>
      </c>
      <c r="S33" s="170">
        <v>1381</v>
      </c>
    </row>
    <row r="34" spans="1:19" ht="21" customHeight="1">
      <c r="A34" s="301">
        <v>689.18717923600002</v>
      </c>
      <c r="B34" s="256">
        <v>1487.4775335520001</v>
      </c>
      <c r="C34" s="301">
        <f t="shared" si="0"/>
        <v>2.2595310240000117</v>
      </c>
      <c r="D34" s="256">
        <f t="shared" si="1"/>
        <v>16.220843924000064</v>
      </c>
      <c r="E34" s="301">
        <v>2259.5310239999999</v>
      </c>
      <c r="F34" s="256">
        <v>16220.843924000001</v>
      </c>
      <c r="G34" s="301">
        <v>0</v>
      </c>
      <c r="H34" s="256">
        <v>0</v>
      </c>
      <c r="I34" s="301">
        <v>686.92764821200001</v>
      </c>
      <c r="J34" s="256">
        <v>1471.256689628</v>
      </c>
      <c r="K34" s="74">
        <f>'[2]بيمه دانا'!$I$19/1000000</f>
        <v>79828.888091999994</v>
      </c>
      <c r="L34" s="7">
        <f>'[2]بيمه دانا'!$Q$19/1000000</f>
        <v>119369.59467200001</v>
      </c>
      <c r="M34" s="99">
        <f>'[2]بيمه البرز'!$I$19/1000000</f>
        <v>59452.517588000002</v>
      </c>
      <c r="N34" s="38">
        <f>'[2]بيمه البرز'!$Q$19/1000000</f>
        <v>136775.25097200001</v>
      </c>
      <c r="O34" s="74">
        <f>'[2]بيمه آسيا'!$I$19/1000000</f>
        <v>234813.958384</v>
      </c>
      <c r="P34" s="7">
        <f>'[2]بيمه آسيا'!$Q$19/1000000</f>
        <v>478028.041432</v>
      </c>
      <c r="Q34" s="74">
        <f>'[2]بيمه ايران'!$I$19/1000000</f>
        <v>312832.28414800001</v>
      </c>
      <c r="R34" s="7">
        <f>'[2]بيمه ايران'!$Q$19/1000000</f>
        <v>737083.80255200004</v>
      </c>
      <c r="S34" s="170">
        <v>1382</v>
      </c>
    </row>
    <row r="35" spans="1:19" ht="21" customHeight="1">
      <c r="A35" s="301">
        <v>1213.20225194</v>
      </c>
      <c r="B35" s="256">
        <v>2630.389916823</v>
      </c>
      <c r="C35" s="312">
        <f t="shared" si="0"/>
        <v>41.724528352000107</v>
      </c>
      <c r="D35" s="300">
        <f t="shared" si="1"/>
        <v>638.63992029499991</v>
      </c>
      <c r="E35" s="312">
        <v>41712.030748000005</v>
      </c>
      <c r="F35" s="300">
        <v>638508.92688699998</v>
      </c>
      <c r="G35" s="312">
        <v>12.497604000000001</v>
      </c>
      <c r="H35" s="300">
        <v>130.99340799999999</v>
      </c>
      <c r="I35" s="312">
        <v>1171.4777235879999</v>
      </c>
      <c r="J35" s="300">
        <v>1991.7499965280001</v>
      </c>
      <c r="K35" s="75">
        <f>'[2]بيمه دانا'!$H$19/1000000</f>
        <v>84058.119856000005</v>
      </c>
      <c r="L35" s="11">
        <f>'[2]بيمه دانا'!$P$19/1000000</f>
        <v>173747.50470399999</v>
      </c>
      <c r="M35" s="106">
        <f>'[2]بيمه البرز'!$H$19/1000000</f>
        <v>96183.113320000004</v>
      </c>
      <c r="N35" s="21">
        <f>'[2]بيمه البرز'!$P$19/1000000</f>
        <v>146895.850328</v>
      </c>
      <c r="O35" s="75">
        <f>'[2]بيمه آسيا'!$H$19/1000000</f>
        <v>397032.68729199999</v>
      </c>
      <c r="P35" s="11">
        <f>'[2]بيمه آسيا'!$P$19/1000000</f>
        <v>472619.38845600002</v>
      </c>
      <c r="Q35" s="75">
        <f>'[2]بيمه ايران'!$H$19/1000000</f>
        <v>594203.80312000006</v>
      </c>
      <c r="R35" s="11">
        <f>'[2]بيمه ايران'!$P$19/1000000</f>
        <v>1198487.2530400001</v>
      </c>
      <c r="S35" s="187">
        <v>1383</v>
      </c>
    </row>
    <row r="36" spans="1:19" ht="21" customHeight="1">
      <c r="A36" s="301">
        <v>1938.49281425</v>
      </c>
      <c r="B36" s="256">
        <v>3147.3282728230001</v>
      </c>
      <c r="C36" s="301">
        <f t="shared" si="0"/>
        <v>160.894286362</v>
      </c>
      <c r="D36" s="256">
        <f t="shared" si="1"/>
        <v>642.02875163099998</v>
      </c>
      <c r="E36" s="301">
        <v>159110.25217399999</v>
      </c>
      <c r="F36" s="256">
        <v>636935.05657999997</v>
      </c>
      <c r="G36" s="301">
        <v>262.35848800000002</v>
      </c>
      <c r="H36" s="256">
        <v>1320.4078239999999</v>
      </c>
      <c r="I36" s="301">
        <v>1777.598527888</v>
      </c>
      <c r="J36" s="256">
        <v>2505.2995211920002</v>
      </c>
      <c r="K36" s="74">
        <f>'[3]بيمه دانا'!$H$19/1000000</f>
        <v>94025.573659999995</v>
      </c>
      <c r="L36" s="7">
        <f>'[3]بيمه دانا'!$P$19/1000000</f>
        <v>161833.554408</v>
      </c>
      <c r="M36" s="99">
        <f>'[3]بيمه البرز'!$H$19/1000000</f>
        <v>139890.23988800001</v>
      </c>
      <c r="N36" s="38">
        <f>'[3]بيمه البرز'!$P$19/1000000</f>
        <v>184689.56985599999</v>
      </c>
      <c r="O36" s="74">
        <f>'[3]بيمه آسيا'!$H$19/1000000</f>
        <v>412124.97431600001</v>
      </c>
      <c r="P36" s="7">
        <f>'[3]بيمه آسيا'!$P$19/1000000</f>
        <v>504806.60397599998</v>
      </c>
      <c r="Q36" s="74">
        <f>'[3]بيمه ايران'!$H$19/1000000</f>
        <v>1131557.7400239999</v>
      </c>
      <c r="R36" s="7">
        <f>'[3]بيمه ايران'!$P$19/1000000</f>
        <v>1653969.7929519999</v>
      </c>
      <c r="S36" s="170">
        <v>1384</v>
      </c>
    </row>
    <row r="37" spans="1:19" ht="21" customHeight="1">
      <c r="A37" s="301">
        <v>2552.369895452</v>
      </c>
      <c r="B37" s="256">
        <v>3546.7083967439999</v>
      </c>
      <c r="C37" s="313">
        <f t="shared" si="0"/>
        <v>502.5295987720001</v>
      </c>
      <c r="D37" s="297">
        <f t="shared" si="1"/>
        <v>539.77065631599999</v>
      </c>
      <c r="E37" s="313"/>
      <c r="F37" s="297"/>
      <c r="G37" s="313"/>
      <c r="H37" s="297"/>
      <c r="I37" s="313">
        <v>2049.8402966799999</v>
      </c>
      <c r="J37" s="297">
        <v>3006.9377404279999</v>
      </c>
      <c r="K37" s="143"/>
      <c r="L37" s="15"/>
      <c r="M37" s="144"/>
      <c r="N37" s="23"/>
      <c r="O37" s="143"/>
      <c r="P37" s="15"/>
      <c r="Q37" s="143"/>
      <c r="R37" s="15"/>
      <c r="S37" s="226">
        <v>1385</v>
      </c>
    </row>
    <row r="38" spans="1:19" ht="21" customHeight="1">
      <c r="A38" s="301">
        <v>2535.13817092</v>
      </c>
      <c r="B38" s="256">
        <v>4161.1050658840004</v>
      </c>
      <c r="C38" s="313">
        <f t="shared" si="0"/>
        <v>606.21550000799994</v>
      </c>
      <c r="D38" s="297">
        <f t="shared" si="1"/>
        <v>1102.8623994680006</v>
      </c>
      <c r="E38" s="301"/>
      <c r="F38" s="256"/>
      <c r="G38" s="301"/>
      <c r="H38" s="256"/>
      <c r="I38" s="301">
        <v>1928.9226709120001</v>
      </c>
      <c r="J38" s="256">
        <v>3058.2426664159998</v>
      </c>
      <c r="K38" s="74"/>
      <c r="L38" s="7"/>
      <c r="M38" s="99"/>
      <c r="N38" s="38"/>
      <c r="O38" s="74"/>
      <c r="P38" s="7"/>
      <c r="Q38" s="74"/>
      <c r="R38" s="7"/>
      <c r="S38" s="170">
        <v>1386</v>
      </c>
    </row>
    <row r="39" spans="1:19" ht="21" customHeight="1">
      <c r="A39" s="301">
        <v>2688.6493463759998</v>
      </c>
      <c r="B39" s="256">
        <v>4977.9340433679999</v>
      </c>
      <c r="C39" s="313">
        <f t="shared" si="0"/>
        <v>660.71691366399978</v>
      </c>
      <c r="D39" s="297">
        <f t="shared" si="1"/>
        <v>1188.2695059399998</v>
      </c>
      <c r="E39" s="301"/>
      <c r="F39" s="256"/>
      <c r="G39" s="301"/>
      <c r="H39" s="256"/>
      <c r="I39" s="301">
        <v>2027.932432712</v>
      </c>
      <c r="J39" s="256">
        <v>3789.6645374280001</v>
      </c>
      <c r="K39" s="74"/>
      <c r="L39" s="7"/>
      <c r="M39" s="99"/>
      <c r="N39" s="38"/>
      <c r="O39" s="74"/>
      <c r="P39" s="7"/>
      <c r="Q39" s="74"/>
      <c r="R39" s="7"/>
      <c r="S39" s="170">
        <v>1387</v>
      </c>
    </row>
    <row r="40" spans="1:19" ht="21" customHeight="1">
      <c r="A40" s="301">
        <v>3069.3</v>
      </c>
      <c r="B40" s="256">
        <v>5451.871067864</v>
      </c>
      <c r="C40" s="313">
        <f t="shared" si="0"/>
        <v>1508.8478953120002</v>
      </c>
      <c r="D40" s="297">
        <f t="shared" si="1"/>
        <v>2727.513068324</v>
      </c>
      <c r="E40" s="301"/>
      <c r="F40" s="256"/>
      <c r="G40" s="301"/>
      <c r="H40" s="256"/>
      <c r="I40" s="301">
        <v>1560.452104688</v>
      </c>
      <c r="J40" s="256">
        <v>2724.35799954</v>
      </c>
      <c r="K40" s="74"/>
      <c r="L40" s="7"/>
      <c r="M40" s="99"/>
      <c r="N40" s="38"/>
      <c r="O40" s="74"/>
      <c r="P40" s="7"/>
      <c r="Q40" s="74"/>
      <c r="R40" s="7"/>
      <c r="S40" s="170">
        <v>1388</v>
      </c>
    </row>
    <row r="41" spans="1:19" ht="21" customHeight="1">
      <c r="A41" s="301">
        <v>3539.3878409240001</v>
      </c>
      <c r="B41" s="256">
        <v>5459.4071626080004</v>
      </c>
      <c r="C41" s="313">
        <f t="shared" si="0"/>
        <v>1809.102017228</v>
      </c>
      <c r="D41" s="297">
        <f t="shared" si="1"/>
        <v>2844.9534125680002</v>
      </c>
      <c r="E41" s="301"/>
      <c r="F41" s="256"/>
      <c r="G41" s="301"/>
      <c r="H41" s="256"/>
      <c r="I41" s="301">
        <v>1730.2858236960001</v>
      </c>
      <c r="J41" s="256">
        <v>2614.4537500400002</v>
      </c>
      <c r="K41" s="74"/>
      <c r="L41" s="7"/>
      <c r="M41" s="99"/>
      <c r="N41" s="38"/>
      <c r="O41" s="74"/>
      <c r="P41" s="7"/>
      <c r="Q41" s="74"/>
      <c r="R41" s="7"/>
      <c r="S41" s="170">
        <v>1389</v>
      </c>
    </row>
    <row r="42" spans="1:19" ht="21" customHeight="1" thickBot="1">
      <c r="A42" s="424">
        <f>4148</f>
        <v>4148</v>
      </c>
      <c r="B42" s="423">
        <f>6313.8</f>
        <v>6313.8</v>
      </c>
      <c r="C42" s="424">
        <f t="shared" ref="C42:D51" si="2">A42-I42</f>
        <v>2084.9</v>
      </c>
      <c r="D42" s="423">
        <f t="shared" si="2"/>
        <v>3267.4</v>
      </c>
      <c r="E42" s="424"/>
      <c r="F42" s="423"/>
      <c r="G42" s="424"/>
      <c r="H42" s="423"/>
      <c r="I42" s="424">
        <f>2063.1</f>
        <v>2063.1</v>
      </c>
      <c r="J42" s="423">
        <f>3046.4</f>
        <v>3046.4</v>
      </c>
      <c r="K42" s="464"/>
      <c r="L42" s="465"/>
      <c r="M42" s="464"/>
      <c r="N42" s="465"/>
      <c r="O42" s="464"/>
      <c r="P42" s="465"/>
      <c r="Q42" s="464"/>
      <c r="R42" s="465"/>
      <c r="S42" s="466">
        <v>1390</v>
      </c>
    </row>
    <row r="43" spans="1:19" ht="21" customHeight="1">
      <c r="A43" s="428">
        <v>5082.7</v>
      </c>
      <c r="B43" s="429">
        <v>8218.9</v>
      </c>
      <c r="C43" s="424">
        <f t="shared" si="2"/>
        <v>2627.8999999999996</v>
      </c>
      <c r="D43" s="423">
        <f t="shared" si="2"/>
        <v>4427.7</v>
      </c>
      <c r="E43" s="467"/>
      <c r="F43" s="467"/>
      <c r="G43" s="467"/>
      <c r="H43" s="467"/>
      <c r="I43" s="428">
        <v>2454.8000000000002</v>
      </c>
      <c r="J43" s="432">
        <v>3791.2</v>
      </c>
      <c r="K43" s="468"/>
      <c r="L43" s="468"/>
      <c r="M43" s="468"/>
      <c r="N43" s="468"/>
      <c r="O43" s="468"/>
      <c r="P43" s="468"/>
      <c r="Q43" s="468"/>
      <c r="R43" s="468"/>
      <c r="S43" s="194">
        <v>1391</v>
      </c>
    </row>
    <row r="44" spans="1:19" ht="21" customHeight="1">
      <c r="A44" s="422">
        <v>6452.4</v>
      </c>
      <c r="B44" s="423">
        <v>11581</v>
      </c>
      <c r="C44" s="424">
        <f t="shared" si="2"/>
        <v>3404.0999999999995</v>
      </c>
      <c r="D44" s="423">
        <f t="shared" si="2"/>
        <v>6428.8</v>
      </c>
      <c r="E44" s="467"/>
      <c r="F44" s="467"/>
      <c r="G44" s="467"/>
      <c r="H44" s="467"/>
      <c r="I44" s="422">
        <v>3048.3</v>
      </c>
      <c r="J44" s="436">
        <v>5152.2</v>
      </c>
      <c r="K44" s="433"/>
      <c r="L44" s="433"/>
      <c r="M44" s="433"/>
      <c r="N44" s="433"/>
      <c r="O44" s="433"/>
      <c r="P44" s="433"/>
      <c r="Q44" s="433"/>
      <c r="R44" s="433"/>
      <c r="S44" s="194">
        <v>1392</v>
      </c>
    </row>
    <row r="45" spans="1:19" ht="21" customHeight="1">
      <c r="A45" s="422">
        <v>7748.7</v>
      </c>
      <c r="B45" s="423">
        <v>13919.1</v>
      </c>
      <c r="C45" s="424">
        <f t="shared" si="2"/>
        <v>3872.5</v>
      </c>
      <c r="D45" s="423">
        <f t="shared" si="2"/>
        <v>7590.2000000000007</v>
      </c>
      <c r="E45" s="467"/>
      <c r="F45" s="467"/>
      <c r="G45" s="467"/>
      <c r="H45" s="467"/>
      <c r="I45" s="422">
        <v>3876.2</v>
      </c>
      <c r="J45" s="436">
        <v>6328.9</v>
      </c>
      <c r="K45" s="433"/>
      <c r="L45" s="433"/>
      <c r="M45" s="433"/>
      <c r="N45" s="433"/>
      <c r="O45" s="433"/>
      <c r="P45" s="433"/>
      <c r="Q45" s="433"/>
      <c r="R45" s="433"/>
      <c r="S45" s="194">
        <v>1393</v>
      </c>
    </row>
    <row r="46" spans="1:19" ht="21" customHeight="1">
      <c r="A46" s="422">
        <v>8791.4</v>
      </c>
      <c r="B46" s="423">
        <v>13613.1</v>
      </c>
      <c r="C46" s="424">
        <f t="shared" si="2"/>
        <v>4697.0999999999995</v>
      </c>
      <c r="D46" s="423">
        <f t="shared" si="2"/>
        <v>7849.8</v>
      </c>
      <c r="E46" s="467"/>
      <c r="F46" s="467"/>
      <c r="G46" s="467"/>
      <c r="H46" s="467"/>
      <c r="I46" s="422">
        <v>4094.3</v>
      </c>
      <c r="J46" s="436">
        <v>5763.3</v>
      </c>
      <c r="K46" s="433"/>
      <c r="L46" s="433"/>
      <c r="M46" s="433"/>
      <c r="N46" s="433"/>
      <c r="O46" s="433"/>
      <c r="P46" s="433"/>
      <c r="Q46" s="433"/>
      <c r="R46" s="433"/>
      <c r="S46" s="194">
        <v>1394</v>
      </c>
    </row>
    <row r="47" spans="1:19" ht="21" customHeight="1">
      <c r="A47" s="422">
        <v>9627</v>
      </c>
      <c r="B47" s="423">
        <v>14741.5</v>
      </c>
      <c r="C47" s="424">
        <f t="shared" si="2"/>
        <v>5274.8</v>
      </c>
      <c r="D47" s="423">
        <f t="shared" si="2"/>
        <v>8385.7000000000007</v>
      </c>
      <c r="E47" s="467"/>
      <c r="F47" s="467"/>
      <c r="G47" s="467"/>
      <c r="H47" s="467"/>
      <c r="I47" s="422">
        <v>4352.2</v>
      </c>
      <c r="J47" s="436">
        <v>6355.8</v>
      </c>
      <c r="K47" s="433"/>
      <c r="L47" s="433"/>
      <c r="M47" s="433"/>
      <c r="N47" s="433"/>
      <c r="O47" s="433"/>
      <c r="P47" s="433"/>
      <c r="Q47" s="433"/>
      <c r="R47" s="433"/>
      <c r="S47" s="194">
        <v>1395</v>
      </c>
    </row>
    <row r="48" spans="1:19" ht="21" customHeight="1">
      <c r="A48" s="422">
        <v>11097.4</v>
      </c>
      <c r="B48" s="423">
        <v>17396</v>
      </c>
      <c r="C48" s="424">
        <f t="shared" si="2"/>
        <v>6203.7999999999993</v>
      </c>
      <c r="D48" s="423">
        <f t="shared" si="2"/>
        <v>10097</v>
      </c>
      <c r="E48" s="467"/>
      <c r="F48" s="467"/>
      <c r="G48" s="467"/>
      <c r="H48" s="467"/>
      <c r="I48" s="422">
        <v>4893.6000000000004</v>
      </c>
      <c r="J48" s="436">
        <v>7299</v>
      </c>
      <c r="K48" s="433"/>
      <c r="L48" s="433"/>
      <c r="M48" s="433"/>
      <c r="N48" s="433"/>
      <c r="O48" s="433"/>
      <c r="P48" s="433"/>
      <c r="Q48" s="433"/>
      <c r="R48" s="433"/>
      <c r="S48" s="194">
        <v>1396</v>
      </c>
    </row>
    <row r="49" spans="1:19" ht="21" customHeight="1">
      <c r="A49" s="422">
        <v>14741.1</v>
      </c>
      <c r="B49" s="423">
        <v>28249.599999999999</v>
      </c>
      <c r="C49" s="424">
        <f>A49-I49</f>
        <v>8584.6</v>
      </c>
      <c r="D49" s="423">
        <f>B49-J49</f>
        <v>15652.3</v>
      </c>
      <c r="E49" s="467"/>
      <c r="F49" s="467"/>
      <c r="G49" s="467"/>
      <c r="H49" s="467"/>
      <c r="I49" s="422">
        <f>[6]ایران!$J$10</f>
        <v>6156.5</v>
      </c>
      <c r="J49" s="436">
        <f>[6]ایران!$B$10</f>
        <v>12597.3</v>
      </c>
      <c r="K49" s="433"/>
      <c r="L49" s="433"/>
      <c r="M49" s="433"/>
      <c r="N49" s="433"/>
      <c r="O49" s="433"/>
      <c r="P49" s="433"/>
      <c r="Q49" s="433"/>
      <c r="R49" s="433"/>
      <c r="S49" s="194">
        <v>1397</v>
      </c>
    </row>
    <row r="50" spans="1:19" ht="21" customHeight="1">
      <c r="A50" s="422">
        <v>22846.7</v>
      </c>
      <c r="B50" s="423">
        <v>43625.1</v>
      </c>
      <c r="C50" s="424">
        <f t="shared" si="2"/>
        <v>13461.7</v>
      </c>
      <c r="D50" s="423">
        <f t="shared" si="2"/>
        <v>24506.799999999999</v>
      </c>
      <c r="E50" s="467"/>
      <c r="F50" s="467"/>
      <c r="G50" s="467"/>
      <c r="H50" s="467"/>
      <c r="I50" s="422">
        <v>9385</v>
      </c>
      <c r="J50" s="436">
        <v>19118.3</v>
      </c>
      <c r="K50" s="433"/>
      <c r="L50" s="433"/>
      <c r="M50" s="433"/>
      <c r="N50" s="433"/>
      <c r="O50" s="433"/>
      <c r="P50" s="433"/>
      <c r="Q50" s="433"/>
      <c r="R50" s="433"/>
      <c r="S50" s="194">
        <v>1398</v>
      </c>
    </row>
    <row r="51" spans="1:19" ht="21" customHeight="1" thickBot="1">
      <c r="A51" s="469">
        <v>28460.2</v>
      </c>
      <c r="B51" s="470">
        <v>72836.100000000006</v>
      </c>
      <c r="C51" s="471">
        <f t="shared" si="2"/>
        <v>17215.400000000001</v>
      </c>
      <c r="D51" s="470">
        <f t="shared" si="2"/>
        <v>41818.900000000009</v>
      </c>
      <c r="E51" s="467"/>
      <c r="F51" s="467"/>
      <c r="G51" s="467"/>
      <c r="H51" s="467"/>
      <c r="I51" s="469">
        <v>11244.8</v>
      </c>
      <c r="J51" s="472">
        <v>31017.200000000001</v>
      </c>
      <c r="K51" s="433"/>
      <c r="L51" s="433"/>
      <c r="M51" s="433"/>
      <c r="N51" s="433"/>
      <c r="O51" s="433"/>
      <c r="P51" s="433"/>
      <c r="Q51" s="433"/>
      <c r="R51" s="433"/>
      <c r="S51" s="466">
        <v>1399</v>
      </c>
    </row>
    <row r="52" spans="1:19" ht="22.5" customHeight="1">
      <c r="A52" s="565" t="s">
        <v>32</v>
      </c>
      <c r="B52" s="565"/>
      <c r="C52" s="565"/>
      <c r="D52" s="565"/>
      <c r="E52" s="565"/>
      <c r="F52" s="565"/>
      <c r="G52" s="565"/>
      <c r="H52" s="565"/>
      <c r="I52" s="565"/>
      <c r="J52" s="565"/>
      <c r="K52" s="565"/>
      <c r="L52" s="565"/>
      <c r="M52" s="565"/>
      <c r="N52" s="565"/>
      <c r="O52" s="565"/>
      <c r="P52" s="565"/>
      <c r="Q52" s="565"/>
      <c r="R52" s="565"/>
      <c r="S52" s="565"/>
    </row>
    <row r="61" spans="1:19" ht="60.75" customHeight="1"/>
  </sheetData>
  <mergeCells count="14">
    <mergeCell ref="A1:S1"/>
    <mergeCell ref="A2:S2"/>
    <mergeCell ref="A3:B3"/>
    <mergeCell ref="A52:S52"/>
    <mergeCell ref="A4:B4"/>
    <mergeCell ref="G4:H4"/>
    <mergeCell ref="K4:L4"/>
    <mergeCell ref="M4:N4"/>
    <mergeCell ref="C4:D4"/>
    <mergeCell ref="I4:J4"/>
    <mergeCell ref="S4:S5"/>
    <mergeCell ref="O4:P4"/>
    <mergeCell ref="E4:F4"/>
    <mergeCell ref="Q4:R4"/>
  </mergeCells>
  <phoneticPr fontId="0" type="noConversion"/>
  <printOptions horizontalCentered="1" verticalCentered="1"/>
  <pageMargins left="0.11811023622047245" right="0.31496062992125984" top="0.98425196850393704" bottom="0.98425196850393704" header="0.51181102362204722" footer="0.51181102362204722"/>
  <pageSetup paperSize="9" scale="46" orientation="landscape" horizontalDpi="180" verticalDpi="18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2"/>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13.88671875" hidden="1" customWidth="1"/>
    <col min="9" max="10" width="20.6640625" customWidth="1"/>
    <col min="11" max="18" width="13.88671875" hidden="1" customWidth="1"/>
    <col min="19" max="19" width="20.6640625" customWidth="1"/>
    <col min="20" max="21" width="13.88671875" style="131" hidden="1" customWidth="1"/>
    <col min="22" max="27" width="0" hidden="1" customWidth="1"/>
  </cols>
  <sheetData>
    <row r="1" spans="1:27" ht="21" customHeight="1">
      <c r="A1" s="549" t="s">
        <v>26</v>
      </c>
      <c r="B1" s="549"/>
      <c r="C1" s="549"/>
      <c r="D1" s="549"/>
      <c r="E1" s="549"/>
      <c r="F1" s="549"/>
      <c r="G1" s="549"/>
      <c r="H1" s="549"/>
      <c r="I1" s="549"/>
      <c r="J1" s="549"/>
      <c r="K1" s="549"/>
      <c r="L1" s="549"/>
      <c r="M1" s="549"/>
      <c r="N1" s="549"/>
      <c r="O1" s="549"/>
      <c r="P1" s="549"/>
      <c r="Q1" s="549"/>
      <c r="R1" s="549"/>
      <c r="S1" s="549"/>
    </row>
    <row r="2" spans="1:27" ht="21" customHeight="1">
      <c r="A2" s="549" t="s">
        <v>58</v>
      </c>
      <c r="B2" s="549"/>
      <c r="C2" s="549"/>
      <c r="D2" s="549"/>
      <c r="E2" s="549"/>
      <c r="F2" s="549"/>
      <c r="G2" s="549"/>
      <c r="H2" s="549"/>
      <c r="I2" s="549"/>
      <c r="J2" s="549"/>
      <c r="K2" s="549"/>
      <c r="L2" s="549"/>
      <c r="M2" s="549"/>
      <c r="N2" s="549"/>
      <c r="O2" s="549"/>
      <c r="P2" s="549"/>
      <c r="Q2" s="549"/>
      <c r="R2" s="549"/>
      <c r="S2" s="549"/>
      <c r="Y2" s="2"/>
      <c r="Z2" s="2"/>
      <c r="AA2" s="2"/>
    </row>
    <row r="3" spans="1:27" ht="14.1" customHeight="1" thickBot="1">
      <c r="A3" s="550" t="s">
        <v>56</v>
      </c>
      <c r="B3" s="550"/>
      <c r="C3" s="86"/>
      <c r="D3" s="86"/>
      <c r="E3" s="86"/>
      <c r="F3" s="86"/>
      <c r="G3" s="1"/>
      <c r="H3" s="1"/>
      <c r="I3" s="1"/>
      <c r="J3" s="1"/>
      <c r="K3" s="1"/>
      <c r="L3" s="1"/>
      <c r="M3" s="1"/>
      <c r="N3" s="1"/>
      <c r="O3" s="1"/>
      <c r="P3" s="1"/>
      <c r="Q3" s="1"/>
      <c r="R3" s="1"/>
      <c r="S3" s="1"/>
      <c r="Y3" s="2"/>
      <c r="Z3" s="2"/>
      <c r="AA3" s="2"/>
    </row>
    <row r="4" spans="1:27" ht="21"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7" ht="21" customHeight="1" thickBot="1">
      <c r="A5" s="185" t="s">
        <v>25</v>
      </c>
      <c r="B5" s="186" t="s">
        <v>34</v>
      </c>
      <c r="C5" s="185" t="s">
        <v>25</v>
      </c>
      <c r="D5" s="186" t="s">
        <v>34</v>
      </c>
      <c r="E5" s="185" t="s">
        <v>1</v>
      </c>
      <c r="F5" s="186" t="s">
        <v>0</v>
      </c>
      <c r="G5" s="185" t="s">
        <v>1</v>
      </c>
      <c r="H5" s="186" t="s">
        <v>0</v>
      </c>
      <c r="I5" s="185" t="s">
        <v>25</v>
      </c>
      <c r="J5" s="186" t="s">
        <v>34</v>
      </c>
      <c r="K5" s="161" t="s">
        <v>1</v>
      </c>
      <c r="L5" s="162" t="s">
        <v>0</v>
      </c>
      <c r="M5" s="163" t="s">
        <v>1</v>
      </c>
      <c r="N5" s="164" t="s">
        <v>0</v>
      </c>
      <c r="O5" s="161" t="s">
        <v>1</v>
      </c>
      <c r="P5" s="162" t="s">
        <v>0</v>
      </c>
      <c r="Q5" s="161" t="s">
        <v>1</v>
      </c>
      <c r="R5" s="162" t="s">
        <v>0</v>
      </c>
      <c r="S5" s="558"/>
    </row>
    <row r="6" spans="1:27" ht="18.899999999999999" customHeight="1">
      <c r="A6" s="253">
        <v>1.7969999999999999</v>
      </c>
      <c r="B6" s="254">
        <v>2.3319999999999999</v>
      </c>
      <c r="C6" s="253">
        <f>A6-I6</f>
        <v>0</v>
      </c>
      <c r="D6" s="254">
        <f>B6-J6</f>
        <v>0</v>
      </c>
      <c r="E6" s="253"/>
      <c r="F6" s="254"/>
      <c r="G6" s="253">
        <v>0</v>
      </c>
      <c r="H6" s="254">
        <v>0</v>
      </c>
      <c r="I6" s="253">
        <v>1.7969999999999999</v>
      </c>
      <c r="J6" s="254">
        <v>2.3319999999999999</v>
      </c>
      <c r="K6" s="18">
        <v>591</v>
      </c>
      <c r="L6" s="19">
        <v>752</v>
      </c>
      <c r="M6" s="43">
        <v>235</v>
      </c>
      <c r="N6" s="44">
        <v>324</v>
      </c>
      <c r="O6" s="18">
        <v>126</v>
      </c>
      <c r="P6" s="19">
        <v>66</v>
      </c>
      <c r="Q6" s="18">
        <v>845</v>
      </c>
      <c r="R6" s="19">
        <v>1190</v>
      </c>
      <c r="S6" s="169">
        <v>1354</v>
      </c>
    </row>
    <row r="7" spans="1:27" ht="18.899999999999999" customHeight="1">
      <c r="A7" s="255">
        <v>2.2919999999999998</v>
      </c>
      <c r="B7" s="256">
        <v>2.8620000000000001</v>
      </c>
      <c r="C7" s="255">
        <f t="shared" ref="C7:C41" si="0">A7-I7</f>
        <v>0</v>
      </c>
      <c r="D7" s="256">
        <f t="shared" ref="D7:D41" si="1">B7-J7</f>
        <v>0</v>
      </c>
      <c r="E7" s="255"/>
      <c r="F7" s="256"/>
      <c r="G7" s="255">
        <v>0</v>
      </c>
      <c r="H7" s="256">
        <v>0</v>
      </c>
      <c r="I7" s="255">
        <v>2.2919999999999998</v>
      </c>
      <c r="J7" s="256">
        <v>2.8620000000000001</v>
      </c>
      <c r="K7" s="6">
        <v>760</v>
      </c>
      <c r="L7" s="7">
        <v>863</v>
      </c>
      <c r="M7" s="37">
        <v>328</v>
      </c>
      <c r="N7" s="38">
        <v>347</v>
      </c>
      <c r="O7" s="6">
        <v>39</v>
      </c>
      <c r="P7" s="7">
        <v>29</v>
      </c>
      <c r="Q7" s="6">
        <v>1165</v>
      </c>
      <c r="R7" s="7">
        <v>1623</v>
      </c>
      <c r="S7" s="170">
        <v>1355</v>
      </c>
    </row>
    <row r="8" spans="1:27" ht="18.899999999999999" customHeight="1">
      <c r="A8" s="255">
        <v>2.5569999999999999</v>
      </c>
      <c r="B8" s="256">
        <v>3.145</v>
      </c>
      <c r="C8" s="255">
        <f t="shared" si="0"/>
        <v>0</v>
      </c>
      <c r="D8" s="256">
        <f t="shared" si="1"/>
        <v>0</v>
      </c>
      <c r="E8" s="255"/>
      <c r="F8" s="256"/>
      <c r="G8" s="255">
        <v>0</v>
      </c>
      <c r="H8" s="256">
        <v>0</v>
      </c>
      <c r="I8" s="255">
        <v>2.5569999999999999</v>
      </c>
      <c r="J8" s="256">
        <v>3.145</v>
      </c>
      <c r="K8" s="6">
        <v>759</v>
      </c>
      <c r="L8" s="7">
        <v>795</v>
      </c>
      <c r="M8" s="37">
        <v>198</v>
      </c>
      <c r="N8" s="38">
        <v>131</v>
      </c>
      <c r="O8" s="6">
        <v>22</v>
      </c>
      <c r="P8" s="7">
        <v>29</v>
      </c>
      <c r="Q8" s="6">
        <v>1578</v>
      </c>
      <c r="R8" s="7">
        <v>2190</v>
      </c>
      <c r="S8" s="170">
        <v>1356</v>
      </c>
    </row>
    <row r="9" spans="1:27" ht="18.899999999999999" customHeight="1">
      <c r="A9" s="255">
        <v>2.6080000000000001</v>
      </c>
      <c r="B9" s="256">
        <v>2.613</v>
      </c>
      <c r="C9" s="255">
        <f t="shared" si="0"/>
        <v>0</v>
      </c>
      <c r="D9" s="256">
        <f t="shared" si="1"/>
        <v>0</v>
      </c>
      <c r="E9" s="255"/>
      <c r="F9" s="256"/>
      <c r="G9" s="255">
        <v>0</v>
      </c>
      <c r="H9" s="256">
        <v>0</v>
      </c>
      <c r="I9" s="255">
        <v>2.6080000000000001</v>
      </c>
      <c r="J9" s="256">
        <v>2.613</v>
      </c>
      <c r="K9" s="6">
        <v>676</v>
      </c>
      <c r="L9" s="7">
        <v>609</v>
      </c>
      <c r="M9" s="37">
        <v>93</v>
      </c>
      <c r="N9" s="38">
        <v>84</v>
      </c>
      <c r="O9" s="6">
        <v>29</v>
      </c>
      <c r="P9" s="7">
        <v>41</v>
      </c>
      <c r="Q9" s="6">
        <v>1810</v>
      </c>
      <c r="R9" s="7">
        <v>1879</v>
      </c>
      <c r="S9" s="170">
        <v>1357</v>
      </c>
    </row>
    <row r="10" spans="1:27" ht="18.899999999999999" customHeight="1">
      <c r="A10" s="255">
        <v>2.6349999999999998</v>
      </c>
      <c r="B10" s="256">
        <v>2.569</v>
      </c>
      <c r="C10" s="255">
        <f t="shared" si="0"/>
        <v>0</v>
      </c>
      <c r="D10" s="256">
        <f t="shared" si="1"/>
        <v>0</v>
      </c>
      <c r="E10" s="255"/>
      <c r="F10" s="256"/>
      <c r="G10" s="255">
        <v>0</v>
      </c>
      <c r="H10" s="256">
        <v>0</v>
      </c>
      <c r="I10" s="255">
        <v>2.6349999999999998</v>
      </c>
      <c r="J10" s="256">
        <v>2.569</v>
      </c>
      <c r="K10" s="6">
        <v>455</v>
      </c>
      <c r="L10" s="7">
        <v>433</v>
      </c>
      <c r="M10" s="37">
        <v>55</v>
      </c>
      <c r="N10" s="38">
        <v>42</v>
      </c>
      <c r="O10" s="6">
        <v>49</v>
      </c>
      <c r="P10" s="7">
        <v>46</v>
      </c>
      <c r="Q10" s="6">
        <v>2076</v>
      </c>
      <c r="R10" s="7">
        <v>2048</v>
      </c>
      <c r="S10" s="170">
        <v>1358</v>
      </c>
    </row>
    <row r="11" spans="1:27" ht="18.899999999999999" customHeight="1">
      <c r="A11" s="255">
        <v>2.1349999999999998</v>
      </c>
      <c r="B11" s="256">
        <v>2.774</v>
      </c>
      <c r="C11" s="255">
        <f t="shared" si="0"/>
        <v>0</v>
      </c>
      <c r="D11" s="256">
        <f t="shared" si="1"/>
        <v>0</v>
      </c>
      <c r="E11" s="255"/>
      <c r="F11" s="256"/>
      <c r="G11" s="255">
        <v>0</v>
      </c>
      <c r="H11" s="256">
        <v>0</v>
      </c>
      <c r="I11" s="255">
        <v>2.1349999999999998</v>
      </c>
      <c r="J11" s="256">
        <v>2.774</v>
      </c>
      <c r="K11" s="6">
        <v>389</v>
      </c>
      <c r="L11" s="7">
        <v>504</v>
      </c>
      <c r="M11" s="37">
        <v>28</v>
      </c>
      <c r="N11" s="38">
        <v>44</v>
      </c>
      <c r="O11" s="6">
        <v>32</v>
      </c>
      <c r="P11" s="7">
        <v>55</v>
      </c>
      <c r="Q11" s="6">
        <v>1686</v>
      </c>
      <c r="R11" s="7">
        <v>2171</v>
      </c>
      <c r="S11" s="170">
        <v>1359</v>
      </c>
    </row>
    <row r="12" spans="1:27" ht="18.899999999999999" customHeight="1">
      <c r="A12" s="255">
        <v>1.976</v>
      </c>
      <c r="B12" s="256">
        <v>3.121</v>
      </c>
      <c r="C12" s="255">
        <f t="shared" si="0"/>
        <v>0</v>
      </c>
      <c r="D12" s="256">
        <f t="shared" si="1"/>
        <v>0</v>
      </c>
      <c r="E12" s="255"/>
      <c r="F12" s="256"/>
      <c r="G12" s="255">
        <v>0</v>
      </c>
      <c r="H12" s="256">
        <v>0</v>
      </c>
      <c r="I12" s="255">
        <v>1.976</v>
      </c>
      <c r="J12" s="256">
        <v>3.121</v>
      </c>
      <c r="K12" s="6">
        <v>239</v>
      </c>
      <c r="L12" s="7">
        <v>227</v>
      </c>
      <c r="M12" s="37">
        <v>33</v>
      </c>
      <c r="N12" s="38">
        <v>73</v>
      </c>
      <c r="O12" s="6">
        <v>94</v>
      </c>
      <c r="P12" s="7">
        <v>262</v>
      </c>
      <c r="Q12" s="6">
        <v>1610</v>
      </c>
      <c r="R12" s="7">
        <v>2559</v>
      </c>
      <c r="S12" s="170">
        <v>1360</v>
      </c>
    </row>
    <row r="13" spans="1:27" ht="18.899999999999999" customHeight="1">
      <c r="A13" s="255">
        <v>2.0089999999999999</v>
      </c>
      <c r="B13" s="256">
        <v>3.0779999999999998</v>
      </c>
      <c r="C13" s="255">
        <f t="shared" si="0"/>
        <v>0</v>
      </c>
      <c r="D13" s="256">
        <f t="shared" si="1"/>
        <v>0</v>
      </c>
      <c r="E13" s="255"/>
      <c r="F13" s="256"/>
      <c r="G13" s="255">
        <v>0</v>
      </c>
      <c r="H13" s="256">
        <v>0</v>
      </c>
      <c r="I13" s="255">
        <v>2.0089999999999999</v>
      </c>
      <c r="J13" s="256">
        <v>3.0779999999999998</v>
      </c>
      <c r="K13" s="6">
        <v>51</v>
      </c>
      <c r="L13" s="7">
        <v>-18</v>
      </c>
      <c r="M13" s="37">
        <v>42</v>
      </c>
      <c r="N13" s="38">
        <v>78</v>
      </c>
      <c r="O13" s="6">
        <v>212</v>
      </c>
      <c r="P13" s="7">
        <v>298</v>
      </c>
      <c r="Q13" s="6">
        <v>1704</v>
      </c>
      <c r="R13" s="7">
        <v>2720</v>
      </c>
      <c r="S13" s="170">
        <v>1361</v>
      </c>
    </row>
    <row r="14" spans="1:27" ht="18.899999999999999" customHeight="1">
      <c r="A14" s="255">
        <v>2.4990000000000001</v>
      </c>
      <c r="B14" s="256">
        <v>3.2770000000000001</v>
      </c>
      <c r="C14" s="255">
        <f t="shared" si="0"/>
        <v>0</v>
      </c>
      <c r="D14" s="256">
        <f t="shared" si="1"/>
        <v>0</v>
      </c>
      <c r="E14" s="255"/>
      <c r="F14" s="256"/>
      <c r="G14" s="255">
        <v>0</v>
      </c>
      <c r="H14" s="256">
        <v>0</v>
      </c>
      <c r="I14" s="255">
        <v>2.4990000000000001</v>
      </c>
      <c r="J14" s="256">
        <v>3.2770000000000001</v>
      </c>
      <c r="K14" s="6">
        <v>1</v>
      </c>
      <c r="L14" s="7">
        <v>0</v>
      </c>
      <c r="M14" s="37">
        <v>79</v>
      </c>
      <c r="N14" s="38">
        <v>108</v>
      </c>
      <c r="O14" s="6">
        <v>240</v>
      </c>
      <c r="P14" s="7">
        <v>312</v>
      </c>
      <c r="Q14" s="6">
        <v>2179</v>
      </c>
      <c r="R14" s="7">
        <v>2857</v>
      </c>
      <c r="S14" s="170">
        <v>1362</v>
      </c>
    </row>
    <row r="15" spans="1:27" ht="18.899999999999999" customHeight="1">
      <c r="A15" s="255">
        <v>2.7810000000000001</v>
      </c>
      <c r="B15" s="256">
        <v>3.4119999999999999</v>
      </c>
      <c r="C15" s="255">
        <f t="shared" si="0"/>
        <v>0</v>
      </c>
      <c r="D15" s="256">
        <f t="shared" si="1"/>
        <v>0</v>
      </c>
      <c r="E15" s="255"/>
      <c r="F15" s="256"/>
      <c r="G15" s="255">
        <v>0</v>
      </c>
      <c r="H15" s="256">
        <v>0</v>
      </c>
      <c r="I15" s="255">
        <v>2.7810000000000001</v>
      </c>
      <c r="J15" s="256">
        <v>3.4119999999999999</v>
      </c>
      <c r="K15" s="6">
        <v>10</v>
      </c>
      <c r="L15" s="7">
        <v>0</v>
      </c>
      <c r="M15" s="37">
        <v>107</v>
      </c>
      <c r="N15" s="38">
        <v>138</v>
      </c>
      <c r="O15" s="6">
        <v>262</v>
      </c>
      <c r="P15" s="7">
        <v>308</v>
      </c>
      <c r="Q15" s="6">
        <v>2402</v>
      </c>
      <c r="R15" s="7">
        <v>2966</v>
      </c>
      <c r="S15" s="170">
        <v>1363</v>
      </c>
    </row>
    <row r="16" spans="1:27" ht="18.899999999999999" customHeight="1">
      <c r="A16" s="255">
        <v>3.0129999999999999</v>
      </c>
      <c r="B16" s="256">
        <v>4.7080000000000002</v>
      </c>
      <c r="C16" s="255">
        <f t="shared" si="0"/>
        <v>0</v>
      </c>
      <c r="D16" s="256">
        <f t="shared" si="1"/>
        <v>0</v>
      </c>
      <c r="E16" s="255"/>
      <c r="F16" s="256"/>
      <c r="G16" s="255">
        <v>0</v>
      </c>
      <c r="H16" s="256">
        <v>0</v>
      </c>
      <c r="I16" s="255">
        <v>3.0129999999999999</v>
      </c>
      <c r="J16" s="256">
        <v>4.7080000000000002</v>
      </c>
      <c r="K16" s="6">
        <v>4</v>
      </c>
      <c r="L16" s="7">
        <v>0</v>
      </c>
      <c r="M16" s="37">
        <v>116</v>
      </c>
      <c r="N16" s="38">
        <v>129</v>
      </c>
      <c r="O16" s="6">
        <v>284</v>
      </c>
      <c r="P16" s="7">
        <v>297</v>
      </c>
      <c r="Q16" s="6">
        <v>2609</v>
      </c>
      <c r="R16" s="7">
        <v>4282</v>
      </c>
      <c r="S16" s="170">
        <v>1364</v>
      </c>
    </row>
    <row r="17" spans="1:22" ht="18.899999999999999" customHeight="1">
      <c r="A17" s="255">
        <v>2.9529999999999998</v>
      </c>
      <c r="B17" s="256">
        <v>5.6020000000000003</v>
      </c>
      <c r="C17" s="255">
        <f t="shared" si="0"/>
        <v>0</v>
      </c>
      <c r="D17" s="256">
        <f t="shared" si="1"/>
        <v>0</v>
      </c>
      <c r="E17" s="255">
        <v>0</v>
      </c>
      <c r="F17" s="256">
        <v>0</v>
      </c>
      <c r="G17" s="255">
        <v>0</v>
      </c>
      <c r="H17" s="256">
        <v>0</v>
      </c>
      <c r="I17" s="255">
        <v>2.9529999999999998</v>
      </c>
      <c r="J17" s="256">
        <v>5.6020000000000003</v>
      </c>
      <c r="K17" s="6">
        <v>-1</v>
      </c>
      <c r="L17" s="7">
        <v>0</v>
      </c>
      <c r="M17" s="37">
        <v>83</v>
      </c>
      <c r="N17" s="38">
        <v>157</v>
      </c>
      <c r="O17" s="6">
        <v>277</v>
      </c>
      <c r="P17" s="7">
        <v>484</v>
      </c>
      <c r="Q17" s="6">
        <v>2594</v>
      </c>
      <c r="R17" s="7">
        <v>4961</v>
      </c>
      <c r="S17" s="170">
        <v>1365</v>
      </c>
      <c r="T17" s="131" t="s">
        <v>23</v>
      </c>
      <c r="U17" s="131" t="s">
        <v>15</v>
      </c>
    </row>
    <row r="18" spans="1:22" ht="18.899999999999999" customHeight="1">
      <c r="A18" s="255">
        <v>5.8460000000000001</v>
      </c>
      <c r="B18" s="256">
        <v>6.4469900000000004</v>
      </c>
      <c r="C18" s="255">
        <f t="shared" si="0"/>
        <v>0</v>
      </c>
      <c r="D18" s="256">
        <f t="shared" si="1"/>
        <v>0</v>
      </c>
      <c r="E18" s="255">
        <v>0</v>
      </c>
      <c r="F18" s="256">
        <v>0</v>
      </c>
      <c r="G18" s="255">
        <v>0</v>
      </c>
      <c r="H18" s="256">
        <v>0</v>
      </c>
      <c r="I18" s="255">
        <v>5.8460000000000001</v>
      </c>
      <c r="J18" s="256">
        <v>6.4469900000000004</v>
      </c>
      <c r="K18" s="6">
        <v>4</v>
      </c>
      <c r="L18" s="52">
        <v>-0.01</v>
      </c>
      <c r="M18" s="37">
        <v>88</v>
      </c>
      <c r="N18" s="38">
        <v>213</v>
      </c>
      <c r="O18" s="6">
        <v>306</v>
      </c>
      <c r="P18" s="7">
        <v>587</v>
      </c>
      <c r="Q18" s="6">
        <v>5448</v>
      </c>
      <c r="R18" s="7">
        <v>5647</v>
      </c>
      <c r="S18" s="170">
        <v>1366</v>
      </c>
      <c r="T18" s="131">
        <f t="shared" ref="T18:T34" si="2">A18/B18*100</f>
        <v>90.67797530320351</v>
      </c>
      <c r="U18" s="131">
        <f>101.21</f>
        <v>101.21</v>
      </c>
      <c r="V18" s="131">
        <f>U18-T18</f>
        <v>10.532024696796483</v>
      </c>
    </row>
    <row r="19" spans="1:22" ht="18.899999999999999" customHeight="1">
      <c r="A19" s="255">
        <v>5.266</v>
      </c>
      <c r="B19" s="256">
        <v>6.28</v>
      </c>
      <c r="C19" s="255">
        <f t="shared" si="0"/>
        <v>0</v>
      </c>
      <c r="D19" s="256">
        <f t="shared" si="1"/>
        <v>-0.64799999999999969</v>
      </c>
      <c r="E19" s="255">
        <v>0</v>
      </c>
      <c r="F19" s="256">
        <v>0</v>
      </c>
      <c r="G19" s="255">
        <v>0</v>
      </c>
      <c r="H19" s="256">
        <v>0</v>
      </c>
      <c r="I19" s="255">
        <v>5.266</v>
      </c>
      <c r="J19" s="256">
        <v>6.9279999999999999</v>
      </c>
      <c r="K19" s="6">
        <v>0</v>
      </c>
      <c r="L19" s="7">
        <v>0</v>
      </c>
      <c r="M19" s="37">
        <v>101</v>
      </c>
      <c r="N19" s="38">
        <v>226</v>
      </c>
      <c r="O19" s="6">
        <v>489</v>
      </c>
      <c r="P19" s="7">
        <v>716</v>
      </c>
      <c r="Q19" s="6">
        <v>4676</v>
      </c>
      <c r="R19" s="7">
        <v>5986</v>
      </c>
      <c r="S19" s="170">
        <v>1367</v>
      </c>
      <c r="T19" s="131">
        <f t="shared" si="2"/>
        <v>83.853503184713375</v>
      </c>
      <c r="U19" s="131">
        <f>114.21</f>
        <v>114.21</v>
      </c>
      <c r="V19" s="131">
        <f>U19-T19</f>
        <v>30.356496815286619</v>
      </c>
    </row>
    <row r="20" spans="1:22" ht="18.899999999999999" customHeight="1">
      <c r="A20" s="255">
        <v>6.5071000000000003</v>
      </c>
      <c r="B20" s="256">
        <v>8.1280000000000001</v>
      </c>
      <c r="C20" s="255">
        <f t="shared" si="0"/>
        <v>0</v>
      </c>
      <c r="D20" s="256">
        <f t="shared" si="1"/>
        <v>0</v>
      </c>
      <c r="E20" s="255">
        <v>0</v>
      </c>
      <c r="F20" s="256">
        <v>0</v>
      </c>
      <c r="G20" s="255">
        <v>0</v>
      </c>
      <c r="H20" s="256">
        <v>0</v>
      </c>
      <c r="I20" s="255">
        <v>6.5071000000000003</v>
      </c>
      <c r="J20" s="256">
        <v>8.1280000000000001</v>
      </c>
      <c r="K20" s="51">
        <v>0.1</v>
      </c>
      <c r="L20" s="7">
        <v>0</v>
      </c>
      <c r="M20" s="37">
        <v>109</v>
      </c>
      <c r="N20" s="38">
        <v>261</v>
      </c>
      <c r="O20" s="6">
        <v>760</v>
      </c>
      <c r="P20" s="7">
        <v>882</v>
      </c>
      <c r="Q20" s="6">
        <v>5638</v>
      </c>
      <c r="R20" s="7">
        <v>6985</v>
      </c>
      <c r="S20" s="170">
        <v>1368</v>
      </c>
      <c r="T20" s="131">
        <f t="shared" si="2"/>
        <v>80.057824803149614</v>
      </c>
      <c r="U20" s="131">
        <f>97.94</f>
        <v>97.94</v>
      </c>
      <c r="V20" s="131">
        <f t="shared" ref="V20:V35" si="3">U20-T20</f>
        <v>17.882175196850383</v>
      </c>
    </row>
    <row r="21" spans="1:22" ht="18.899999999999999" customHeight="1">
      <c r="A21" s="255">
        <v>8.2270000000000003</v>
      </c>
      <c r="B21" s="256">
        <v>13.617000000000001</v>
      </c>
      <c r="C21" s="255">
        <f t="shared" si="0"/>
        <v>0</v>
      </c>
      <c r="D21" s="256">
        <f t="shared" si="1"/>
        <v>0</v>
      </c>
      <c r="E21" s="255">
        <v>0</v>
      </c>
      <c r="F21" s="256">
        <v>0</v>
      </c>
      <c r="G21" s="255">
        <v>0</v>
      </c>
      <c r="H21" s="256">
        <v>0</v>
      </c>
      <c r="I21" s="255">
        <v>8.2270000000000003</v>
      </c>
      <c r="J21" s="256">
        <v>13.617000000000001</v>
      </c>
      <c r="K21" s="6">
        <v>0</v>
      </c>
      <c r="L21" s="7">
        <v>0</v>
      </c>
      <c r="M21" s="37">
        <v>38</v>
      </c>
      <c r="N21" s="38">
        <v>312</v>
      </c>
      <c r="O21" s="6">
        <v>1071</v>
      </c>
      <c r="P21" s="7">
        <v>1355</v>
      </c>
      <c r="Q21" s="6">
        <v>7118</v>
      </c>
      <c r="R21" s="7">
        <v>11950</v>
      </c>
      <c r="S21" s="170">
        <v>1369</v>
      </c>
      <c r="T21" s="131">
        <f t="shared" si="2"/>
        <v>60.41712565175883</v>
      </c>
      <c r="U21" s="131">
        <f>86.39</f>
        <v>86.39</v>
      </c>
      <c r="V21" s="131">
        <f t="shared" si="3"/>
        <v>25.97287434824117</v>
      </c>
    </row>
    <row r="22" spans="1:22" ht="18.899999999999999" customHeight="1">
      <c r="A22" s="255">
        <v>12.909000000000001</v>
      </c>
      <c r="B22" s="256">
        <v>25.515000000000001</v>
      </c>
      <c r="C22" s="255">
        <f t="shared" si="0"/>
        <v>0</v>
      </c>
      <c r="D22" s="256">
        <f t="shared" si="1"/>
        <v>0</v>
      </c>
      <c r="E22" s="255">
        <v>0</v>
      </c>
      <c r="F22" s="256">
        <v>0</v>
      </c>
      <c r="G22" s="255">
        <v>0</v>
      </c>
      <c r="H22" s="256">
        <v>0</v>
      </c>
      <c r="I22" s="255">
        <v>12.909000000000001</v>
      </c>
      <c r="J22" s="256">
        <v>25.515000000000001</v>
      </c>
      <c r="K22" s="6">
        <v>0</v>
      </c>
      <c r="L22" s="7">
        <v>0</v>
      </c>
      <c r="M22" s="37">
        <v>550</v>
      </c>
      <c r="N22" s="38">
        <v>791</v>
      </c>
      <c r="O22" s="6">
        <v>1719</v>
      </c>
      <c r="P22" s="7">
        <v>2829</v>
      </c>
      <c r="Q22" s="6">
        <v>10640</v>
      </c>
      <c r="R22" s="7">
        <v>21895</v>
      </c>
      <c r="S22" s="170">
        <v>1370</v>
      </c>
      <c r="T22" s="131">
        <f t="shared" si="2"/>
        <v>50.593768371546155</v>
      </c>
      <c r="U22" s="131">
        <f>99.34</f>
        <v>99.34</v>
      </c>
      <c r="V22" s="131">
        <f t="shared" si="3"/>
        <v>48.746231628453849</v>
      </c>
    </row>
    <row r="23" spans="1:22" ht="18.899999999999999" customHeight="1">
      <c r="A23" s="255">
        <v>24.66</v>
      </c>
      <c r="B23" s="256">
        <v>39.298000000000002</v>
      </c>
      <c r="C23" s="255">
        <f t="shared" si="0"/>
        <v>0</v>
      </c>
      <c r="D23" s="256">
        <f t="shared" si="1"/>
        <v>0</v>
      </c>
      <c r="E23" s="255">
        <v>0</v>
      </c>
      <c r="F23" s="256">
        <v>0</v>
      </c>
      <c r="G23" s="255">
        <v>0</v>
      </c>
      <c r="H23" s="256">
        <v>0</v>
      </c>
      <c r="I23" s="255">
        <v>24.66</v>
      </c>
      <c r="J23" s="256">
        <v>39.298000000000002</v>
      </c>
      <c r="K23" s="6">
        <v>0</v>
      </c>
      <c r="L23" s="7">
        <v>0</v>
      </c>
      <c r="M23" s="37">
        <v>723</v>
      </c>
      <c r="N23" s="38">
        <v>1900</v>
      </c>
      <c r="O23" s="6">
        <v>3659</v>
      </c>
      <c r="P23" s="7">
        <v>5962</v>
      </c>
      <c r="Q23" s="6">
        <v>20278</v>
      </c>
      <c r="R23" s="7">
        <v>31436</v>
      </c>
      <c r="S23" s="170">
        <v>1371</v>
      </c>
      <c r="T23" s="131">
        <f t="shared" si="2"/>
        <v>62.751285052674433</v>
      </c>
      <c r="U23" s="131">
        <f>80.04</f>
        <v>80.040000000000006</v>
      </c>
      <c r="V23" s="131">
        <f t="shared" si="3"/>
        <v>17.288714947325573</v>
      </c>
    </row>
    <row r="24" spans="1:22" ht="18.899999999999999" customHeight="1">
      <c r="A24" s="255">
        <v>45.017000000000003</v>
      </c>
      <c r="B24" s="256">
        <v>51.125999999999998</v>
      </c>
      <c r="C24" s="255">
        <f t="shared" si="0"/>
        <v>0</v>
      </c>
      <c r="D24" s="256">
        <f t="shared" si="1"/>
        <v>0</v>
      </c>
      <c r="E24" s="255">
        <v>0</v>
      </c>
      <c r="F24" s="256">
        <v>0</v>
      </c>
      <c r="G24" s="255">
        <v>0</v>
      </c>
      <c r="H24" s="256">
        <v>0</v>
      </c>
      <c r="I24" s="255">
        <v>45.017000000000003</v>
      </c>
      <c r="J24" s="256">
        <v>51.125999999999998</v>
      </c>
      <c r="K24" s="6">
        <v>0</v>
      </c>
      <c r="L24" s="7">
        <v>0</v>
      </c>
      <c r="M24" s="37">
        <v>1540</v>
      </c>
      <c r="N24" s="38">
        <v>2508</v>
      </c>
      <c r="O24" s="6">
        <v>8624</v>
      </c>
      <c r="P24" s="7">
        <v>9761</v>
      </c>
      <c r="Q24" s="6">
        <v>34853</v>
      </c>
      <c r="R24" s="7">
        <v>38857</v>
      </c>
      <c r="S24" s="170">
        <v>1372</v>
      </c>
      <c r="T24" s="131">
        <f t="shared" si="2"/>
        <v>88.051089465242754</v>
      </c>
      <c r="U24" s="131">
        <f>111.17</f>
        <v>111.17</v>
      </c>
      <c r="V24" s="131">
        <f t="shared" si="3"/>
        <v>23.118910534757248</v>
      </c>
    </row>
    <row r="25" spans="1:22" ht="18.899999999999999" customHeight="1">
      <c r="A25" s="255">
        <v>83.599000000000004</v>
      </c>
      <c r="B25" s="256">
        <v>69.126000000000005</v>
      </c>
      <c r="C25" s="255">
        <f t="shared" si="0"/>
        <v>0</v>
      </c>
      <c r="D25" s="256">
        <f t="shared" si="1"/>
        <v>0</v>
      </c>
      <c r="E25" s="255">
        <v>0</v>
      </c>
      <c r="F25" s="256">
        <v>0</v>
      </c>
      <c r="G25" s="255">
        <v>0</v>
      </c>
      <c r="H25" s="256">
        <v>0</v>
      </c>
      <c r="I25" s="255">
        <v>83.599000000000004</v>
      </c>
      <c r="J25" s="256">
        <v>69.126000000000005</v>
      </c>
      <c r="K25" s="6">
        <v>0</v>
      </c>
      <c r="L25" s="7">
        <v>0</v>
      </c>
      <c r="M25" s="37">
        <v>3416</v>
      </c>
      <c r="N25" s="38">
        <v>3316</v>
      </c>
      <c r="O25" s="6">
        <v>20638</v>
      </c>
      <c r="P25" s="7">
        <v>16971</v>
      </c>
      <c r="Q25" s="6">
        <v>59545</v>
      </c>
      <c r="R25" s="7">
        <v>48839</v>
      </c>
      <c r="S25" s="170">
        <v>1373</v>
      </c>
      <c r="T25" s="131">
        <f t="shared" si="2"/>
        <v>120.93712930011861</v>
      </c>
      <c r="U25" s="131">
        <v>165.56</v>
      </c>
      <c r="V25" s="131">
        <f t="shared" si="3"/>
        <v>44.622870699881389</v>
      </c>
    </row>
    <row r="26" spans="1:22" ht="18.899999999999999" customHeight="1">
      <c r="A26" s="255">
        <v>175.36199999999999</v>
      </c>
      <c r="B26" s="256">
        <v>189.63</v>
      </c>
      <c r="C26" s="255">
        <f t="shared" si="0"/>
        <v>0</v>
      </c>
      <c r="D26" s="256">
        <f t="shared" si="1"/>
        <v>0</v>
      </c>
      <c r="E26" s="255">
        <v>0</v>
      </c>
      <c r="F26" s="256">
        <v>0</v>
      </c>
      <c r="G26" s="255">
        <v>0</v>
      </c>
      <c r="H26" s="256">
        <v>0</v>
      </c>
      <c r="I26" s="255">
        <v>175.36199999999999</v>
      </c>
      <c r="J26" s="256">
        <v>189.63</v>
      </c>
      <c r="K26" s="6">
        <v>0</v>
      </c>
      <c r="L26" s="7">
        <v>0</v>
      </c>
      <c r="M26" s="37">
        <v>8840</v>
      </c>
      <c r="N26" s="38">
        <v>10318</v>
      </c>
      <c r="O26" s="6">
        <v>53866</v>
      </c>
      <c r="P26" s="7">
        <v>47047</v>
      </c>
      <c r="Q26" s="6">
        <v>112656</v>
      </c>
      <c r="R26" s="7">
        <v>132265</v>
      </c>
      <c r="S26" s="170">
        <v>1374</v>
      </c>
      <c r="T26" s="131">
        <f t="shared" si="2"/>
        <v>92.475874070558447</v>
      </c>
      <c r="U26" s="131">
        <v>138.86000000000001</v>
      </c>
      <c r="V26" s="131">
        <f t="shared" si="3"/>
        <v>46.384125929441566</v>
      </c>
    </row>
    <row r="27" spans="1:22" ht="18.899999999999999" customHeight="1">
      <c r="A27" s="255">
        <v>366.60300000000001</v>
      </c>
      <c r="B27" s="256">
        <v>302.53800000000001</v>
      </c>
      <c r="C27" s="255">
        <f t="shared" si="0"/>
        <v>0</v>
      </c>
      <c r="D27" s="256">
        <f t="shared" si="1"/>
        <v>0</v>
      </c>
      <c r="E27" s="255">
        <v>0</v>
      </c>
      <c r="F27" s="256">
        <v>0</v>
      </c>
      <c r="G27" s="255">
        <v>0</v>
      </c>
      <c r="H27" s="256">
        <v>0</v>
      </c>
      <c r="I27" s="255">
        <v>366.60300000000001</v>
      </c>
      <c r="J27" s="256">
        <v>302.53800000000001</v>
      </c>
      <c r="K27" s="6">
        <v>0</v>
      </c>
      <c r="L27" s="7">
        <v>15</v>
      </c>
      <c r="M27" s="37">
        <v>18980</v>
      </c>
      <c r="N27" s="38">
        <v>17318</v>
      </c>
      <c r="O27" s="6">
        <v>103015</v>
      </c>
      <c r="P27" s="7">
        <v>72242</v>
      </c>
      <c r="Q27" s="6">
        <v>244608</v>
      </c>
      <c r="R27" s="7">
        <v>212963</v>
      </c>
      <c r="S27" s="170">
        <v>1375</v>
      </c>
      <c r="T27" s="131">
        <f t="shared" si="2"/>
        <v>121.17585228962973</v>
      </c>
      <c r="U27" s="131">
        <v>162.16999999999999</v>
      </c>
      <c r="V27" s="131">
        <f t="shared" si="3"/>
        <v>40.994147710370257</v>
      </c>
    </row>
    <row r="28" spans="1:22" ht="18.899999999999999" customHeight="1">
      <c r="A28" s="255">
        <v>516.37900000000002</v>
      </c>
      <c r="B28" s="256">
        <v>380.95100000000002</v>
      </c>
      <c r="C28" s="255">
        <f t="shared" si="0"/>
        <v>0</v>
      </c>
      <c r="D28" s="256">
        <f t="shared" si="1"/>
        <v>0</v>
      </c>
      <c r="E28" s="255">
        <v>0</v>
      </c>
      <c r="F28" s="256">
        <v>0</v>
      </c>
      <c r="G28" s="255">
        <v>0</v>
      </c>
      <c r="H28" s="256">
        <v>0</v>
      </c>
      <c r="I28" s="255">
        <v>516.37900000000002</v>
      </c>
      <c r="J28" s="256">
        <v>380.95100000000002</v>
      </c>
      <c r="K28" s="6">
        <v>112</v>
      </c>
      <c r="L28" s="7">
        <v>1022</v>
      </c>
      <c r="M28" s="37">
        <v>29281</v>
      </c>
      <c r="N28" s="38">
        <v>24612</v>
      </c>
      <c r="O28" s="6">
        <v>144737</v>
      </c>
      <c r="P28" s="7">
        <v>85198</v>
      </c>
      <c r="Q28" s="6">
        <v>342249</v>
      </c>
      <c r="R28" s="7">
        <v>270119</v>
      </c>
      <c r="S28" s="170">
        <v>1376</v>
      </c>
      <c r="T28" s="131">
        <f t="shared" si="2"/>
        <v>135.54997886867341</v>
      </c>
      <c r="U28" s="131">
        <v>156.56</v>
      </c>
      <c r="V28" s="131">
        <f t="shared" si="3"/>
        <v>21.010021131326596</v>
      </c>
    </row>
    <row r="29" spans="1:22" ht="18.899999999999999" customHeight="1">
      <c r="A29" s="255">
        <v>661.63099999999997</v>
      </c>
      <c r="B29" s="256">
        <v>597.29999999999995</v>
      </c>
      <c r="C29" s="255">
        <f t="shared" si="0"/>
        <v>0</v>
      </c>
      <c r="D29" s="256">
        <f t="shared" si="1"/>
        <v>-0.33000000000004093</v>
      </c>
      <c r="E29" s="255">
        <v>0</v>
      </c>
      <c r="F29" s="256">
        <v>0</v>
      </c>
      <c r="G29" s="255">
        <v>0</v>
      </c>
      <c r="H29" s="256">
        <v>0</v>
      </c>
      <c r="I29" s="255">
        <v>661.63099999999997</v>
      </c>
      <c r="J29" s="256">
        <v>597.63</v>
      </c>
      <c r="K29" s="6">
        <v>1212</v>
      </c>
      <c r="L29" s="7">
        <v>3467</v>
      </c>
      <c r="M29" s="37">
        <v>39122</v>
      </c>
      <c r="N29" s="38">
        <v>39029</v>
      </c>
      <c r="O29" s="6">
        <v>184172</v>
      </c>
      <c r="P29" s="7">
        <v>137163</v>
      </c>
      <c r="Q29" s="6">
        <v>437125</v>
      </c>
      <c r="R29" s="7">
        <v>417971</v>
      </c>
      <c r="S29" s="170">
        <v>1377</v>
      </c>
      <c r="T29" s="131">
        <f t="shared" si="2"/>
        <v>110.77029968190189</v>
      </c>
      <c r="U29" s="131">
        <v>138.66</v>
      </c>
      <c r="V29" s="131">
        <f t="shared" si="3"/>
        <v>27.889700318098107</v>
      </c>
    </row>
    <row r="30" spans="1:22" ht="18.899999999999999" customHeight="1">
      <c r="A30" s="255">
        <v>868.11149999999998</v>
      </c>
      <c r="B30" s="256">
        <v>894.58370000000002</v>
      </c>
      <c r="C30" s="255">
        <f t="shared" si="0"/>
        <v>0</v>
      </c>
      <c r="D30" s="256">
        <f t="shared" si="1"/>
        <v>0</v>
      </c>
      <c r="E30" s="255">
        <v>0</v>
      </c>
      <c r="F30" s="256">
        <v>0</v>
      </c>
      <c r="G30" s="255">
        <v>0</v>
      </c>
      <c r="H30" s="256">
        <v>0</v>
      </c>
      <c r="I30" s="255">
        <v>868.11149999999998</v>
      </c>
      <c r="J30" s="256">
        <v>894.58370000000002</v>
      </c>
      <c r="K30" s="6">
        <f>6104.2+1667.3</f>
        <v>7771.5</v>
      </c>
      <c r="L30" s="7">
        <f>35141.3+6951.2</f>
        <v>42092.5</v>
      </c>
      <c r="M30" s="37">
        <f>51488.9</f>
        <v>51488.9</v>
      </c>
      <c r="N30" s="38">
        <f>12325.7+30038.1</f>
        <v>42363.8</v>
      </c>
      <c r="O30" s="6">
        <f>29534.4+205140.7</f>
        <v>234675.1</v>
      </c>
      <c r="P30" s="7">
        <f>126564.5+72095.2</f>
        <v>198659.7</v>
      </c>
      <c r="Q30" s="6">
        <f>453730.3+120445.7</f>
        <v>574176</v>
      </c>
      <c r="R30" s="7">
        <f>260578.5+350889.2</f>
        <v>611467.69999999995</v>
      </c>
      <c r="S30" s="170">
        <v>1378</v>
      </c>
      <c r="T30" s="131">
        <f t="shared" si="2"/>
        <v>97.040835865889349</v>
      </c>
      <c r="U30" s="131">
        <v>120.25</v>
      </c>
      <c r="V30" s="131">
        <f t="shared" si="3"/>
        <v>23.209164134110651</v>
      </c>
    </row>
    <row r="31" spans="1:22" ht="18.899999999999999" customHeight="1">
      <c r="A31" s="255">
        <v>1155.5904</v>
      </c>
      <c r="B31" s="256">
        <v>1090.9644000000001</v>
      </c>
      <c r="C31" s="255">
        <f t="shared" si="0"/>
        <v>0</v>
      </c>
      <c r="D31" s="256">
        <f t="shared" si="1"/>
        <v>0</v>
      </c>
      <c r="E31" s="255">
        <v>0</v>
      </c>
      <c r="F31" s="256">
        <v>0</v>
      </c>
      <c r="G31" s="255">
        <v>0</v>
      </c>
      <c r="H31" s="256">
        <v>0</v>
      </c>
      <c r="I31" s="255">
        <v>1155.5904</v>
      </c>
      <c r="J31" s="256">
        <v>1090.9644000000001</v>
      </c>
      <c r="K31" s="6">
        <f>17879.5+8113.2</f>
        <v>25992.7</v>
      </c>
      <c r="L31" s="7">
        <f>46830+20559.6</f>
        <v>67389.600000000006</v>
      </c>
      <c r="M31" s="37">
        <v>61339.6</v>
      </c>
      <c r="N31" s="38">
        <f>12903.4+27763.4</f>
        <v>40666.800000000003</v>
      </c>
      <c r="O31" s="6">
        <f>268493.4+60113.7</f>
        <v>328607.10000000003</v>
      </c>
      <c r="P31" s="7">
        <f>132912.8+162344.4</f>
        <v>295257.19999999995</v>
      </c>
      <c r="Q31" s="6">
        <f>161457.6+578193.4</f>
        <v>739651</v>
      </c>
      <c r="R31" s="7">
        <f>392719.8+294931</f>
        <v>687650.8</v>
      </c>
      <c r="S31" s="170">
        <v>1379</v>
      </c>
      <c r="T31" s="131">
        <f t="shared" si="2"/>
        <v>105.92374966589193</v>
      </c>
      <c r="U31" s="131">
        <v>118.9</v>
      </c>
      <c r="V31" s="131">
        <f t="shared" si="3"/>
        <v>12.976250334108073</v>
      </c>
    </row>
    <row r="32" spans="1:22" ht="18.899999999999999" customHeight="1">
      <c r="A32" s="296">
        <v>1999.71950814</v>
      </c>
      <c r="B32" s="297">
        <v>2038.4566</v>
      </c>
      <c r="C32" s="296">
        <f t="shared" si="0"/>
        <v>0</v>
      </c>
      <c r="D32" s="297">
        <f t="shared" si="1"/>
        <v>0</v>
      </c>
      <c r="E32" s="296">
        <v>0</v>
      </c>
      <c r="F32" s="297">
        <v>0</v>
      </c>
      <c r="G32" s="296">
        <v>0</v>
      </c>
      <c r="H32" s="297">
        <v>0</v>
      </c>
      <c r="I32" s="255">
        <v>1999.71950814</v>
      </c>
      <c r="J32" s="256">
        <v>2038.4566</v>
      </c>
      <c r="K32" s="17">
        <f>99242.6</f>
        <v>99242.6</v>
      </c>
      <c r="L32" s="15">
        <f>171719.3</f>
        <v>171719.3</v>
      </c>
      <c r="M32" s="22">
        <f>72978.8</f>
        <v>72978.8</v>
      </c>
      <c r="N32" s="23">
        <f>72989.5</f>
        <v>72989.5</v>
      </c>
      <c r="O32" s="17">
        <f>492878</f>
        <v>492878</v>
      </c>
      <c r="P32" s="15">
        <f>511084.1</f>
        <v>511084.1</v>
      </c>
      <c r="Q32" s="17">
        <v>1334620.1081399999</v>
      </c>
      <c r="R32" s="15">
        <f>1282663.7</f>
        <v>1282663.7</v>
      </c>
      <c r="S32" s="226">
        <v>1380</v>
      </c>
      <c r="T32" s="131">
        <f t="shared" si="2"/>
        <v>98.099685229501574</v>
      </c>
      <c r="U32" s="131">
        <v>129.66</v>
      </c>
      <c r="V32" s="131">
        <f t="shared" si="3"/>
        <v>31.560314770498422</v>
      </c>
    </row>
    <row r="33" spans="1:22" ht="18.899999999999999" customHeight="1">
      <c r="A33" s="255">
        <v>3121.1696311400001</v>
      </c>
      <c r="B33" s="256">
        <v>3073.3934804229998</v>
      </c>
      <c r="C33" s="255">
        <f t="shared" si="0"/>
        <v>3.095000000030268E-3</v>
      </c>
      <c r="D33" s="256">
        <f t="shared" si="1"/>
        <v>0.1269649189998745</v>
      </c>
      <c r="E33" s="255">
        <v>3.0950000000000002</v>
      </c>
      <c r="F33" s="256">
        <v>126.96491899999999</v>
      </c>
      <c r="G33" s="255">
        <v>0</v>
      </c>
      <c r="H33" s="256">
        <v>0</v>
      </c>
      <c r="I33" s="255">
        <v>3121.1665361400001</v>
      </c>
      <c r="J33" s="256">
        <v>3073.2665155039999</v>
      </c>
      <c r="K33" s="6">
        <f>'[1]بيمه دانا'!$I$23/1000000</f>
        <v>249566.836312</v>
      </c>
      <c r="L33" s="7">
        <f>'[1]بيمه دانا'!$Q$23/1000000</f>
        <v>261514.548672</v>
      </c>
      <c r="M33" s="37">
        <f>'[1]بيمه البرز'!$I$23/1000000</f>
        <v>104038.95556</v>
      </c>
      <c r="N33" s="38">
        <f>'[1]بيمه البرز'!$Q$23/1000000</f>
        <v>95895.004088000002</v>
      </c>
      <c r="O33" s="6">
        <f>'[1]بيمه آسيا'!$I$23/1000000</f>
        <v>969243.79498400004</v>
      </c>
      <c r="P33" s="7">
        <f>'[1]بيمه آسيا'!$Q$23/1000000</f>
        <v>873626.49587999994</v>
      </c>
      <c r="Q33" s="6">
        <f>'[1]بيمه ايران'!$I$23/1000000</f>
        <v>1798316.9492840001</v>
      </c>
      <c r="R33" s="7">
        <f>'[1]بيمه ايران'!$Q$23/1000000</f>
        <v>1842230.4668640001</v>
      </c>
      <c r="S33" s="170">
        <v>1381</v>
      </c>
      <c r="T33" s="131">
        <f t="shared" si="2"/>
        <v>101.5545081038704</v>
      </c>
      <c r="U33" s="131">
        <v>127.45</v>
      </c>
      <c r="V33" s="131">
        <f t="shared" si="3"/>
        <v>25.895491896129599</v>
      </c>
    </row>
    <row r="34" spans="1:22" ht="18.899999999999999" customHeight="1">
      <c r="A34" s="255">
        <v>4440.3406110639999</v>
      </c>
      <c r="B34" s="256">
        <v>4653.432645457</v>
      </c>
      <c r="C34" s="301">
        <f t="shared" si="0"/>
        <v>0.5663665519996357</v>
      </c>
      <c r="D34" s="256">
        <f t="shared" si="1"/>
        <v>9.8660414969999692</v>
      </c>
      <c r="E34" s="301">
        <v>566.36655199999996</v>
      </c>
      <c r="F34" s="256">
        <v>9866.0414970000002</v>
      </c>
      <c r="G34" s="301">
        <v>0</v>
      </c>
      <c r="H34" s="256">
        <v>0</v>
      </c>
      <c r="I34" s="255">
        <v>4439.7742445120002</v>
      </c>
      <c r="J34" s="256">
        <v>4643.5666039600001</v>
      </c>
      <c r="K34" s="74">
        <f>'[2]بيمه دانا'!$I$23/1000000</f>
        <v>445679.31725199998</v>
      </c>
      <c r="L34" s="7">
        <f>'[2]بيمه دانا'!$Q$23/1000000</f>
        <v>414648.243212</v>
      </c>
      <c r="M34" s="99">
        <f>'[2]بيمه البرز'!$I$23/1000000</f>
        <v>170572.95549600001</v>
      </c>
      <c r="N34" s="38">
        <f>'[2]بيمه البرز'!$Q$23/1000000</f>
        <v>227770.39438400001</v>
      </c>
      <c r="O34" s="74">
        <f>'[2]بيمه آسيا'!$I$23/1000000</f>
        <v>1352852.5513160001</v>
      </c>
      <c r="P34" s="7">
        <f>'[2]بيمه آسيا'!$Q$23/1000000</f>
        <v>1342265.4932520001</v>
      </c>
      <c r="Q34" s="74">
        <f>'[2]بيمه ايران'!$I$23/1000000</f>
        <v>2470669.4204480001</v>
      </c>
      <c r="R34" s="7">
        <f>'[2]بيمه ايران'!$Q$23/1000000</f>
        <v>2658882.4731120002</v>
      </c>
      <c r="S34" s="170">
        <v>1382</v>
      </c>
      <c r="T34" s="131">
        <f t="shared" si="2"/>
        <v>95.420756017581226</v>
      </c>
      <c r="U34" s="131">
        <v>109.72</v>
      </c>
      <c r="V34" s="131">
        <f t="shared" si="3"/>
        <v>14.299243982418773</v>
      </c>
    </row>
    <row r="35" spans="1:22" ht="18.899999999999999" customHeight="1">
      <c r="A35" s="296">
        <v>5845.7935138359999</v>
      </c>
      <c r="B35" s="297">
        <v>6996.2751779239998</v>
      </c>
      <c r="C35" s="313">
        <f t="shared" si="0"/>
        <v>23.790560827999798</v>
      </c>
      <c r="D35" s="297">
        <f t="shared" si="1"/>
        <v>540.47996932400019</v>
      </c>
      <c r="E35" s="313">
        <v>23781.825076000001</v>
      </c>
      <c r="F35" s="297">
        <v>539677.0147559999</v>
      </c>
      <c r="G35" s="313">
        <v>8.7357519999999997</v>
      </c>
      <c r="H35" s="297">
        <v>802.95456799999999</v>
      </c>
      <c r="I35" s="255">
        <v>5822.0029530080001</v>
      </c>
      <c r="J35" s="256">
        <v>6455.7952085999996</v>
      </c>
      <c r="K35" s="143">
        <f>'[2]بيمه دانا'!$H$23/1000000</f>
        <v>530051.43008800002</v>
      </c>
      <c r="L35" s="15">
        <f>'[2]بيمه دانا'!$P$23/1000000</f>
        <v>413166.59034</v>
      </c>
      <c r="M35" s="144">
        <f>'[2]بيمه البرز'!$H$23/1000000</f>
        <v>283049.57982799999</v>
      </c>
      <c r="N35" s="23">
        <f>'[2]بيمه البرز'!$P$23/1000000</f>
        <v>319697.17312400002</v>
      </c>
      <c r="O35" s="143">
        <f>'[2]بيمه آسيا'!$H$23/1000000</f>
        <v>1714563.8506159999</v>
      </c>
      <c r="P35" s="15">
        <f>'[2]بيمه آسيا'!$P$23/1000000</f>
        <v>1713612.4668040001</v>
      </c>
      <c r="Q35" s="143">
        <f>'[2]بيمه ايران'!$H$23/1000000</f>
        <v>3294338.0924760001</v>
      </c>
      <c r="R35" s="15">
        <f>'[2]بيمه ايران'!$P$23/1000000</f>
        <v>4009318.9783319999</v>
      </c>
      <c r="S35" s="226">
        <v>1383</v>
      </c>
      <c r="T35" s="131">
        <f>A35/B35*100</f>
        <v>83.555797408909498</v>
      </c>
      <c r="U35" s="131">
        <v>102.68</v>
      </c>
      <c r="V35" s="133">
        <f t="shared" si="3"/>
        <v>19.124202591090508</v>
      </c>
    </row>
    <row r="36" spans="1:22" s="1" customFormat="1" ht="18.899999999999999" customHeight="1">
      <c r="A36" s="255">
        <v>8264.7554349220009</v>
      </c>
      <c r="B36" s="256">
        <v>9327.6508211630007</v>
      </c>
      <c r="C36" s="255">
        <f t="shared" si="0"/>
        <v>769.07803931400122</v>
      </c>
      <c r="D36" s="256">
        <f t="shared" si="1"/>
        <v>1104.6954331590005</v>
      </c>
      <c r="E36" s="298">
        <v>767679.53906800004</v>
      </c>
      <c r="F36" s="256">
        <v>1088537.7062830001</v>
      </c>
      <c r="G36" s="298">
        <v>558.75817600000005</v>
      </c>
      <c r="H36" s="256">
        <v>6485.3498879999997</v>
      </c>
      <c r="I36" s="255">
        <v>7495.6773956079996</v>
      </c>
      <c r="J36" s="256">
        <v>8222.9553880040003</v>
      </c>
      <c r="K36" s="85">
        <f>'[3]بيمه دانا'!$H$23/1000000</f>
        <v>646561.27763999999</v>
      </c>
      <c r="L36" s="7">
        <f>'[3]بيمه دانا'!$P$23/1000000</f>
        <v>649929.90111199999</v>
      </c>
      <c r="M36" s="103">
        <f>'[3]بيمه البرز'!$H$23/1000000</f>
        <v>342871.08803599997</v>
      </c>
      <c r="N36" s="38">
        <f>'[3]بيمه البرز'!$P$23/1000000</f>
        <v>391952.12510800001</v>
      </c>
      <c r="O36" s="85">
        <f>'[3]بيمه آسيا'!$H$23/1000000</f>
        <v>1924065.4405159999</v>
      </c>
      <c r="P36" s="7">
        <f>'[3]بيمه آسيا'!$P$23/1000000</f>
        <v>1913791.7183640001</v>
      </c>
      <c r="Q36" s="85">
        <f>'[3]بيمه ايران'!$H$23/1000000</f>
        <v>4582179.5894160001</v>
      </c>
      <c r="R36" s="7">
        <f>'[3]بيمه ايران'!$P$23/1000000</f>
        <v>5267281.6434199996</v>
      </c>
      <c r="S36" s="190">
        <v>1384</v>
      </c>
      <c r="T36" s="133">
        <f>[8]Sheet4!$Q$24</f>
        <v>88.595894628714561</v>
      </c>
      <c r="U36" s="133">
        <f>[8]Sheet4!$O$24</f>
        <v>100.82366824407281</v>
      </c>
      <c r="V36" s="133">
        <f>U36-T36</f>
        <v>12.227773615358245</v>
      </c>
    </row>
    <row r="37" spans="1:22" s="1" customFormat="1" ht="18.899999999999999" customHeight="1">
      <c r="A37" s="259">
        <v>9552.8282348560006</v>
      </c>
      <c r="B37" s="260">
        <v>11655.213464472001</v>
      </c>
      <c r="C37" s="315">
        <f t="shared" si="0"/>
        <v>796.72299488000135</v>
      </c>
      <c r="D37" s="260">
        <f t="shared" si="1"/>
        <v>1945.1681672920004</v>
      </c>
      <c r="E37" s="315"/>
      <c r="F37" s="315"/>
      <c r="G37" s="315"/>
      <c r="H37" s="315"/>
      <c r="I37" s="315">
        <v>8756.1052399759992</v>
      </c>
      <c r="J37" s="260">
        <v>9710.0452971800005</v>
      </c>
      <c r="K37" s="228"/>
      <c r="L37" s="228"/>
      <c r="M37" s="229"/>
      <c r="N37" s="229"/>
      <c r="O37" s="228"/>
      <c r="P37" s="228"/>
      <c r="Q37" s="228"/>
      <c r="R37" s="228"/>
      <c r="S37" s="230">
        <v>1385</v>
      </c>
      <c r="T37" s="133"/>
      <c r="U37" s="133"/>
      <c r="V37" s="133"/>
    </row>
    <row r="38" spans="1:22" s="1" customFormat="1" ht="18.899999999999999" customHeight="1">
      <c r="A38" s="255">
        <v>13527.652017912</v>
      </c>
      <c r="B38" s="256">
        <v>15030.061824468001</v>
      </c>
      <c r="C38" s="298">
        <f t="shared" si="0"/>
        <v>1736.5297811</v>
      </c>
      <c r="D38" s="256">
        <f t="shared" si="1"/>
        <v>3080.162258104001</v>
      </c>
      <c r="E38" s="298"/>
      <c r="F38" s="298"/>
      <c r="G38" s="298"/>
      <c r="H38" s="298"/>
      <c r="I38" s="298">
        <v>11791.122236812</v>
      </c>
      <c r="J38" s="256">
        <v>11949.899566364</v>
      </c>
      <c r="K38" s="85"/>
      <c r="L38" s="85"/>
      <c r="M38" s="103"/>
      <c r="N38" s="103"/>
      <c r="O38" s="85"/>
      <c r="P38" s="85"/>
      <c r="Q38" s="85"/>
      <c r="R38" s="85"/>
      <c r="S38" s="190">
        <v>1386</v>
      </c>
      <c r="T38" s="133"/>
      <c r="U38" s="133"/>
      <c r="V38" s="133"/>
    </row>
    <row r="39" spans="1:22" s="1" customFormat="1" ht="18.899999999999999" customHeight="1">
      <c r="A39" s="255">
        <v>14980.453097355999</v>
      </c>
      <c r="B39" s="256">
        <v>18388.570563668</v>
      </c>
      <c r="C39" s="298">
        <f t="shared" si="0"/>
        <v>2513.5702786519996</v>
      </c>
      <c r="D39" s="256">
        <f t="shared" si="1"/>
        <v>4475.2871050239992</v>
      </c>
      <c r="E39" s="298"/>
      <c r="F39" s="298"/>
      <c r="G39" s="298"/>
      <c r="H39" s="298"/>
      <c r="I39" s="298">
        <v>12466.882818704</v>
      </c>
      <c r="J39" s="256">
        <v>13913.283458644</v>
      </c>
      <c r="K39" s="85"/>
      <c r="L39" s="85"/>
      <c r="M39" s="103"/>
      <c r="N39" s="103"/>
      <c r="O39" s="85"/>
      <c r="P39" s="85"/>
      <c r="Q39" s="85"/>
      <c r="R39" s="85"/>
      <c r="S39" s="190">
        <v>1387</v>
      </c>
      <c r="T39" s="133"/>
      <c r="U39" s="133"/>
      <c r="V39" s="133"/>
    </row>
    <row r="40" spans="1:22" s="1" customFormat="1" ht="18.899999999999999" customHeight="1">
      <c r="A40" s="255">
        <v>17396.599999999999</v>
      </c>
      <c r="B40" s="256">
        <v>20051.888614968</v>
      </c>
      <c r="C40" s="298">
        <f t="shared" si="0"/>
        <v>7495.234414483999</v>
      </c>
      <c r="D40" s="256">
        <f t="shared" si="1"/>
        <v>9387.0671396840007</v>
      </c>
      <c r="E40" s="298"/>
      <c r="F40" s="298"/>
      <c r="G40" s="298"/>
      <c r="H40" s="298"/>
      <c r="I40" s="298">
        <v>9901.3655855159996</v>
      </c>
      <c r="J40" s="256">
        <v>10664.821475283999</v>
      </c>
      <c r="K40" s="85"/>
      <c r="L40" s="85"/>
      <c r="M40" s="103"/>
      <c r="N40" s="103"/>
      <c r="O40" s="85"/>
      <c r="P40" s="85"/>
      <c r="Q40" s="85"/>
      <c r="R40" s="85"/>
      <c r="S40" s="190">
        <v>1388</v>
      </c>
      <c r="T40" s="133"/>
      <c r="U40" s="133"/>
      <c r="V40" s="133"/>
    </row>
    <row r="41" spans="1:22" s="1" customFormat="1" ht="18.899999999999999" customHeight="1">
      <c r="A41" s="255">
        <v>20049.258295340001</v>
      </c>
      <c r="B41" s="256">
        <v>24279.499376872001</v>
      </c>
      <c r="C41" s="298">
        <f t="shared" si="0"/>
        <v>9513.3183043800018</v>
      </c>
      <c r="D41" s="256">
        <f t="shared" si="1"/>
        <v>12755.658655056002</v>
      </c>
      <c r="E41" s="298"/>
      <c r="F41" s="298"/>
      <c r="G41" s="298"/>
      <c r="H41" s="298"/>
      <c r="I41" s="298">
        <v>10535.93999096</v>
      </c>
      <c r="J41" s="256">
        <v>11523.840721815999</v>
      </c>
      <c r="K41" s="85"/>
      <c r="L41" s="85"/>
      <c r="M41" s="103"/>
      <c r="N41" s="103"/>
      <c r="O41" s="85"/>
      <c r="P41" s="85"/>
      <c r="Q41" s="85"/>
      <c r="R41" s="85"/>
      <c r="S41" s="190">
        <v>1389</v>
      </c>
      <c r="T41" s="133"/>
      <c r="U41" s="133"/>
      <c r="V41" s="133"/>
    </row>
    <row r="42" spans="1:22" s="1" customFormat="1" ht="21.75" customHeight="1">
      <c r="A42" s="422">
        <f>26814.5</f>
        <v>26814.5</v>
      </c>
      <c r="B42" s="423">
        <f>38836.6</f>
        <v>38836.6</v>
      </c>
      <c r="C42" s="424">
        <f t="shared" ref="C42:D51" si="4">A42-I42</f>
        <v>13601.7</v>
      </c>
      <c r="D42" s="423">
        <f t="shared" si="4"/>
        <v>19486.3</v>
      </c>
      <c r="E42" s="425"/>
      <c r="F42" s="425"/>
      <c r="G42" s="425"/>
      <c r="H42" s="425"/>
      <c r="I42" s="425">
        <f>13212.8</f>
        <v>13212.8</v>
      </c>
      <c r="J42" s="423">
        <f>19350.3</f>
        <v>19350.3</v>
      </c>
      <c r="K42" s="426"/>
      <c r="L42" s="426"/>
      <c r="M42" s="426"/>
      <c r="N42" s="426"/>
      <c r="O42" s="426"/>
      <c r="P42" s="426"/>
      <c r="Q42" s="426"/>
      <c r="R42" s="426"/>
      <c r="S42" s="427">
        <v>1390</v>
      </c>
      <c r="T42" s="133"/>
      <c r="U42" s="133"/>
      <c r="V42" s="133"/>
    </row>
    <row r="43" spans="1:22" s="1" customFormat="1" ht="21.75" customHeight="1">
      <c r="A43" s="428">
        <v>37956</v>
      </c>
      <c r="B43" s="429">
        <v>59576</v>
      </c>
      <c r="C43" s="424">
        <f t="shared" si="4"/>
        <v>19582.8</v>
      </c>
      <c r="D43" s="423">
        <f t="shared" si="4"/>
        <v>31084.799999999999</v>
      </c>
      <c r="E43" s="430"/>
      <c r="F43" s="431"/>
      <c r="G43" s="431"/>
      <c r="H43" s="431"/>
      <c r="I43" s="431">
        <v>18373.2</v>
      </c>
      <c r="J43" s="429">
        <v>28491.200000000001</v>
      </c>
      <c r="K43" s="473"/>
      <c r="L43" s="474"/>
      <c r="M43" s="474"/>
      <c r="N43" s="474"/>
      <c r="O43" s="474"/>
      <c r="P43" s="474"/>
      <c r="Q43" s="474"/>
      <c r="R43" s="474"/>
      <c r="S43" s="475">
        <v>1391</v>
      </c>
      <c r="T43" s="133"/>
      <c r="U43" s="133"/>
      <c r="V43" s="133"/>
    </row>
    <row r="44" spans="1:22" s="1" customFormat="1" ht="21.75" customHeight="1">
      <c r="A44" s="422">
        <v>49258.9</v>
      </c>
      <c r="B44" s="423">
        <v>69372.2</v>
      </c>
      <c r="C44" s="424">
        <f t="shared" si="4"/>
        <v>24356.7</v>
      </c>
      <c r="D44" s="423">
        <f t="shared" si="4"/>
        <v>37172</v>
      </c>
      <c r="E44" s="434"/>
      <c r="F44" s="435"/>
      <c r="G44" s="435"/>
      <c r="H44" s="435"/>
      <c r="I44" s="435">
        <v>24902.2</v>
      </c>
      <c r="J44" s="423">
        <v>32200.2</v>
      </c>
      <c r="K44" s="476"/>
      <c r="L44" s="477"/>
      <c r="M44" s="477"/>
      <c r="N44" s="477"/>
      <c r="O44" s="477"/>
      <c r="P44" s="477"/>
      <c r="Q44" s="477"/>
      <c r="R44" s="477"/>
      <c r="S44" s="478">
        <v>1392</v>
      </c>
      <c r="T44" s="133"/>
      <c r="U44" s="133"/>
      <c r="V44" s="133"/>
    </row>
    <row r="45" spans="1:22" s="1" customFormat="1" ht="21.75" customHeight="1">
      <c r="A45" s="422">
        <v>57933.599999999999</v>
      </c>
      <c r="B45" s="423">
        <v>86890.6</v>
      </c>
      <c r="C45" s="424">
        <f t="shared" si="4"/>
        <v>29227.8</v>
      </c>
      <c r="D45" s="423">
        <f t="shared" si="4"/>
        <v>48794.900000000009</v>
      </c>
      <c r="E45" s="434"/>
      <c r="F45" s="435"/>
      <c r="G45" s="435"/>
      <c r="H45" s="435"/>
      <c r="I45" s="435">
        <v>28705.8</v>
      </c>
      <c r="J45" s="423">
        <v>38095.699999999997</v>
      </c>
      <c r="K45" s="476"/>
      <c r="L45" s="477"/>
      <c r="M45" s="477"/>
      <c r="N45" s="477"/>
      <c r="O45" s="477"/>
      <c r="P45" s="477"/>
      <c r="Q45" s="477"/>
      <c r="R45" s="477"/>
      <c r="S45" s="478">
        <v>1393</v>
      </c>
      <c r="T45" s="133"/>
      <c r="U45" s="133"/>
      <c r="V45" s="133"/>
    </row>
    <row r="46" spans="1:22" s="1" customFormat="1" ht="21.75" customHeight="1">
      <c r="A46" s="422">
        <v>63936.800000000003</v>
      </c>
      <c r="B46" s="423">
        <v>85416.3</v>
      </c>
      <c r="C46" s="424">
        <f t="shared" si="4"/>
        <v>36130</v>
      </c>
      <c r="D46" s="423">
        <f t="shared" si="4"/>
        <v>48227.8</v>
      </c>
      <c r="E46" s="434"/>
      <c r="F46" s="435"/>
      <c r="G46" s="435"/>
      <c r="H46" s="435"/>
      <c r="I46" s="435">
        <v>27806.799999999999</v>
      </c>
      <c r="J46" s="423">
        <v>37188.5</v>
      </c>
      <c r="K46" s="476"/>
      <c r="L46" s="477"/>
      <c r="M46" s="477"/>
      <c r="N46" s="477"/>
      <c r="O46" s="477"/>
      <c r="P46" s="477"/>
      <c r="Q46" s="477"/>
      <c r="R46" s="477"/>
      <c r="S46" s="478">
        <v>1394</v>
      </c>
      <c r="T46" s="133"/>
      <c r="U46" s="133"/>
      <c r="V46" s="133"/>
    </row>
    <row r="47" spans="1:22" s="1" customFormat="1" ht="21.75" customHeight="1">
      <c r="A47" s="422">
        <v>79145.399999999994</v>
      </c>
      <c r="B47" s="423">
        <v>109583.8</v>
      </c>
      <c r="C47" s="424">
        <f t="shared" si="4"/>
        <v>44506.399999999994</v>
      </c>
      <c r="D47" s="423">
        <f t="shared" si="4"/>
        <v>60453.5</v>
      </c>
      <c r="E47" s="434"/>
      <c r="F47" s="435"/>
      <c r="G47" s="435"/>
      <c r="H47" s="435"/>
      <c r="I47" s="435">
        <v>34639</v>
      </c>
      <c r="J47" s="423">
        <v>49130.3</v>
      </c>
      <c r="K47" s="476"/>
      <c r="L47" s="477"/>
      <c r="M47" s="477"/>
      <c r="N47" s="477"/>
      <c r="O47" s="477"/>
      <c r="P47" s="477"/>
      <c r="Q47" s="477"/>
      <c r="R47" s="477"/>
      <c r="S47" s="478">
        <v>1395</v>
      </c>
      <c r="T47" s="133"/>
      <c r="U47" s="133"/>
      <c r="V47" s="133"/>
    </row>
    <row r="48" spans="1:22" s="1" customFormat="1" ht="21.75" customHeight="1">
      <c r="A48" s="422">
        <v>89798.5</v>
      </c>
      <c r="B48" s="423">
        <v>126169.4</v>
      </c>
      <c r="C48" s="424">
        <f t="shared" si="4"/>
        <v>47631.7</v>
      </c>
      <c r="D48" s="423">
        <f t="shared" si="4"/>
        <v>66309.099999999991</v>
      </c>
      <c r="E48" s="434"/>
      <c r="F48" s="435"/>
      <c r="G48" s="435"/>
      <c r="H48" s="435"/>
      <c r="I48" s="435">
        <v>42166.8</v>
      </c>
      <c r="J48" s="423">
        <v>59860.3</v>
      </c>
      <c r="K48" s="476"/>
      <c r="L48" s="477"/>
      <c r="M48" s="477"/>
      <c r="N48" s="477"/>
      <c r="O48" s="477"/>
      <c r="P48" s="477"/>
      <c r="Q48" s="477"/>
      <c r="R48" s="477"/>
      <c r="S48" s="478">
        <v>1396</v>
      </c>
      <c r="T48" s="133"/>
      <c r="U48" s="133"/>
      <c r="V48" s="133"/>
    </row>
    <row r="49" spans="1:22" s="1" customFormat="1" ht="21.75" customHeight="1">
      <c r="A49" s="422">
        <v>117862.5</v>
      </c>
      <c r="B49" s="423">
        <v>146731.9</v>
      </c>
      <c r="C49" s="424">
        <f>A49-I49</f>
        <v>58284</v>
      </c>
      <c r="D49" s="423">
        <f>B49-J49</f>
        <v>73027.299999999988</v>
      </c>
      <c r="E49" s="434"/>
      <c r="F49" s="435"/>
      <c r="G49" s="435"/>
      <c r="H49" s="435"/>
      <c r="I49" s="435">
        <v>59578.5</v>
      </c>
      <c r="J49" s="423">
        <v>73704.600000000006</v>
      </c>
      <c r="K49" s="476"/>
      <c r="L49" s="477"/>
      <c r="M49" s="477"/>
      <c r="N49" s="477"/>
      <c r="O49" s="477"/>
      <c r="P49" s="477"/>
      <c r="Q49" s="477"/>
      <c r="R49" s="477"/>
      <c r="S49" s="478">
        <v>1397</v>
      </c>
      <c r="T49" s="133"/>
      <c r="U49" s="133"/>
      <c r="V49" s="133"/>
    </row>
    <row r="50" spans="1:22" s="1" customFormat="1" ht="21.75" customHeight="1">
      <c r="A50" s="422">
        <v>139514</v>
      </c>
      <c r="B50" s="423">
        <v>205341.1</v>
      </c>
      <c r="C50" s="424">
        <f t="shared" si="4"/>
        <v>66417.100000000006</v>
      </c>
      <c r="D50" s="423">
        <f t="shared" si="4"/>
        <v>105904.20000000001</v>
      </c>
      <c r="E50" s="434"/>
      <c r="F50" s="435"/>
      <c r="G50" s="435"/>
      <c r="H50" s="435"/>
      <c r="I50" s="435">
        <v>73096.899999999994</v>
      </c>
      <c r="J50" s="423">
        <v>99436.9</v>
      </c>
      <c r="K50" s="476"/>
      <c r="L50" s="477"/>
      <c r="M50" s="477"/>
      <c r="N50" s="477"/>
      <c r="O50" s="477"/>
      <c r="P50" s="477"/>
      <c r="Q50" s="477"/>
      <c r="R50" s="477"/>
      <c r="S50" s="478">
        <v>1398</v>
      </c>
      <c r="T50" s="133"/>
      <c r="U50" s="133"/>
      <c r="V50" s="133"/>
    </row>
    <row r="51" spans="1:22" s="1" customFormat="1" ht="21.75" customHeight="1" thickBot="1">
      <c r="A51" s="437">
        <v>176012.7</v>
      </c>
      <c r="B51" s="438">
        <v>275229.40000000002</v>
      </c>
      <c r="C51" s="479">
        <f t="shared" si="4"/>
        <v>87839.900000000009</v>
      </c>
      <c r="D51" s="438">
        <f t="shared" si="4"/>
        <v>143739.90000000002</v>
      </c>
      <c r="E51" s="439"/>
      <c r="F51" s="440"/>
      <c r="G51" s="440"/>
      <c r="H51" s="440"/>
      <c r="I51" s="440">
        <v>88172.800000000003</v>
      </c>
      <c r="J51" s="438">
        <v>131489.5</v>
      </c>
      <c r="K51" s="480"/>
      <c r="L51" s="481"/>
      <c r="M51" s="481"/>
      <c r="N51" s="481"/>
      <c r="O51" s="481"/>
      <c r="P51" s="481"/>
      <c r="Q51" s="481"/>
      <c r="R51" s="481"/>
      <c r="S51" s="482">
        <v>1399</v>
      </c>
      <c r="T51" s="133"/>
      <c r="U51" s="133"/>
      <c r="V51" s="133"/>
    </row>
    <row r="52" spans="1:22" ht="18.75" customHeight="1">
      <c r="A52" s="565" t="s">
        <v>32</v>
      </c>
      <c r="B52" s="565"/>
      <c r="C52" s="565"/>
      <c r="D52" s="565"/>
      <c r="E52" s="565"/>
      <c r="F52" s="565"/>
      <c r="G52" s="565"/>
      <c r="H52" s="565"/>
      <c r="I52" s="565"/>
      <c r="J52" s="565"/>
      <c r="K52" s="565"/>
      <c r="L52" s="565"/>
      <c r="M52" s="565"/>
      <c r="N52" s="565"/>
      <c r="O52" s="565"/>
      <c r="P52" s="565"/>
      <c r="Q52" s="565"/>
      <c r="R52" s="565"/>
      <c r="S52" s="565"/>
      <c r="T52" s="131">
        <f>[8]Sheet4!$Q$25</f>
        <v>81.962628500714089</v>
      </c>
      <c r="U52" s="131">
        <f>[8]Sheet4!$O$25</f>
        <v>100.35856434593167</v>
      </c>
      <c r="V52" s="131">
        <f>AVERAGE(V18:V36)</f>
        <v>26.004775541081237</v>
      </c>
    </row>
    <row r="53" spans="1:22" ht="14.1" customHeight="1">
      <c r="E53" s="121">
        <f>E36+G36</f>
        <v>768238.29724400002</v>
      </c>
    </row>
    <row r="69" spans="17:19" ht="14.1" customHeight="1">
      <c r="S69" s="252"/>
    </row>
    <row r="70" spans="17:19" ht="14.1" customHeight="1">
      <c r="S70" s="252"/>
    </row>
    <row r="71" spans="17:19" ht="14.1" customHeight="1">
      <c r="S71" s="252"/>
    </row>
    <row r="72" spans="17:19" ht="14.1" customHeight="1">
      <c r="Q72" t="s">
        <v>20</v>
      </c>
      <c r="R72" t="s">
        <v>19</v>
      </c>
      <c r="S72" s="252"/>
    </row>
    <row r="73" spans="17:19" ht="14.1" customHeight="1">
      <c r="Q73" s="131">
        <f>(Q7/Q6-1)*100</f>
        <v>37.869822485207095</v>
      </c>
      <c r="R73" s="131">
        <f>(R7/R6-1)*100</f>
        <v>36.386554621848745</v>
      </c>
      <c r="S73" s="252"/>
    </row>
    <row r="74" spans="17:19" ht="14.1" customHeight="1">
      <c r="Q74" s="131">
        <f t="shared" ref="Q74:R102" si="5">(Q8/Q7-1)*100</f>
        <v>35.45064377682403</v>
      </c>
      <c r="R74" s="131">
        <f t="shared" si="5"/>
        <v>34.935304990757857</v>
      </c>
      <c r="S74" s="252"/>
    </row>
    <row r="75" spans="17:19" ht="14.1" customHeight="1">
      <c r="Q75" s="131">
        <f t="shared" si="5"/>
        <v>14.702154626108999</v>
      </c>
      <c r="R75" s="131">
        <f t="shared" si="5"/>
        <v>-14.200913242009127</v>
      </c>
      <c r="S75" s="252"/>
    </row>
    <row r="76" spans="17:19" ht="14.1" customHeight="1">
      <c r="Q76" s="131">
        <f t="shared" si="5"/>
        <v>14.696132596685075</v>
      </c>
      <c r="R76" s="131">
        <f t="shared" si="5"/>
        <v>8.9941458222458692</v>
      </c>
      <c r="S76" s="252"/>
    </row>
    <row r="77" spans="17:19" ht="14.1" customHeight="1">
      <c r="Q77" s="131">
        <f t="shared" si="5"/>
        <v>-18.786127167630063</v>
      </c>
      <c r="R77" s="131">
        <f t="shared" si="5"/>
        <v>6.005859375</v>
      </c>
      <c r="S77" s="252"/>
    </row>
    <row r="78" spans="17:19" ht="14.1" customHeight="1">
      <c r="Q78" s="131">
        <f t="shared" si="5"/>
        <v>-4.5077105575326186</v>
      </c>
      <c r="R78" s="131">
        <f t="shared" si="5"/>
        <v>17.871948410870566</v>
      </c>
      <c r="S78" s="252"/>
    </row>
    <row r="79" spans="17:19" ht="14.1" customHeight="1">
      <c r="Q79" s="131">
        <f t="shared" si="5"/>
        <v>5.8385093167701907</v>
      </c>
      <c r="R79" s="131">
        <f t="shared" si="5"/>
        <v>6.291520125048855</v>
      </c>
      <c r="S79" s="252"/>
    </row>
    <row r="80" spans="17:19" ht="14.1" customHeight="1">
      <c r="Q80" s="131">
        <f t="shared" si="5"/>
        <v>27.875586854460099</v>
      </c>
      <c r="R80" s="131">
        <f t="shared" si="5"/>
        <v>5.0367647058823461</v>
      </c>
      <c r="S80" s="252"/>
    </row>
    <row r="81" spans="17:19" ht="14.1" customHeight="1">
      <c r="Q81" s="131">
        <f t="shared" si="5"/>
        <v>10.23405231757688</v>
      </c>
      <c r="R81" s="131">
        <f t="shared" si="5"/>
        <v>3.8151907595379786</v>
      </c>
      <c r="S81" s="252"/>
    </row>
    <row r="82" spans="17:19" ht="14.1" customHeight="1">
      <c r="Q82" s="131">
        <f t="shared" si="5"/>
        <v>8.6178184845961745</v>
      </c>
      <c r="R82" s="131">
        <f t="shared" si="5"/>
        <v>44.369521240728261</v>
      </c>
      <c r="S82" s="252"/>
    </row>
    <row r="83" spans="17:19" ht="14.1" customHeight="1">
      <c r="Q83" s="131">
        <f t="shared" si="5"/>
        <v>-0.57493292449214417</v>
      </c>
      <c r="R83" s="131">
        <f t="shared" si="5"/>
        <v>15.857076132648285</v>
      </c>
      <c r="S83" s="252"/>
    </row>
    <row r="84" spans="17:19" ht="14.1" customHeight="1">
      <c r="Q84" s="131">
        <f t="shared" si="5"/>
        <v>110.02313030069391</v>
      </c>
      <c r="R84" s="131">
        <f t="shared" si="5"/>
        <v>13.827857286837331</v>
      </c>
      <c r="S84" s="252"/>
    </row>
    <row r="85" spans="17:19" ht="14.1" customHeight="1">
      <c r="Q85" s="131">
        <f t="shared" si="5"/>
        <v>-14.170337738619676</v>
      </c>
      <c r="R85" s="131">
        <f t="shared" si="5"/>
        <v>6.0031875332034801</v>
      </c>
      <c r="S85" s="252"/>
    </row>
    <row r="86" spans="17:19" ht="14.1" customHeight="1">
      <c r="Q86" s="131">
        <f t="shared" si="5"/>
        <v>20.573139435414877</v>
      </c>
      <c r="R86" s="131">
        <f t="shared" si="5"/>
        <v>16.688940862011357</v>
      </c>
      <c r="S86" s="252"/>
    </row>
    <row r="87" spans="17:19" ht="14.1" customHeight="1">
      <c r="Q87" s="131">
        <f t="shared" si="5"/>
        <v>26.25044341965237</v>
      </c>
      <c r="R87" s="131">
        <f t="shared" si="5"/>
        <v>71.080887616320695</v>
      </c>
      <c r="S87" s="252"/>
    </row>
    <row r="88" spans="17:19" ht="14.1" customHeight="1">
      <c r="Q88" s="131">
        <f t="shared" si="5"/>
        <v>49.480191064905867</v>
      </c>
      <c r="R88" s="131">
        <f t="shared" si="5"/>
        <v>83.221757322175733</v>
      </c>
      <c r="S88" s="252"/>
    </row>
    <row r="89" spans="17:19" ht="14.1" customHeight="1">
      <c r="Q89" s="131">
        <f t="shared" si="5"/>
        <v>90.582706766917283</v>
      </c>
      <c r="R89" s="131">
        <f t="shared" si="5"/>
        <v>43.576158940397349</v>
      </c>
      <c r="S89" s="252"/>
    </row>
    <row r="90" spans="17:19" ht="14.1" customHeight="1">
      <c r="Q90" s="131">
        <f t="shared" si="5"/>
        <v>71.875924647401135</v>
      </c>
      <c r="R90" s="131">
        <f t="shared" si="5"/>
        <v>23.606692963481368</v>
      </c>
      <c r="S90" s="252"/>
    </row>
    <row r="91" spans="17:19" ht="14.1" customHeight="1">
      <c r="Q91" s="131">
        <f t="shared" si="5"/>
        <v>70.846125154219152</v>
      </c>
      <c r="R91" s="131">
        <f t="shared" si="5"/>
        <v>25.689065033327331</v>
      </c>
      <c r="S91" s="252"/>
    </row>
    <row r="92" spans="17:19" ht="14.1" customHeight="1">
      <c r="Q92" s="131">
        <f t="shared" si="5"/>
        <v>89.194726677302882</v>
      </c>
      <c r="R92" s="131">
        <f t="shared" si="5"/>
        <v>170.81840332521142</v>
      </c>
      <c r="S92" s="252"/>
    </row>
    <row r="93" spans="17:19" ht="14.1" customHeight="1">
      <c r="Q93" s="131">
        <f t="shared" si="5"/>
        <v>117.12824882829142</v>
      </c>
      <c r="R93" s="131">
        <f t="shared" si="5"/>
        <v>61.012361546894489</v>
      </c>
      <c r="S93" s="252"/>
    </row>
    <row r="94" spans="17:19" ht="14.1" customHeight="1">
      <c r="Q94" s="131">
        <f t="shared" si="5"/>
        <v>39.917337127158547</v>
      </c>
      <c r="R94" s="131">
        <f t="shared" si="5"/>
        <v>26.838464897658287</v>
      </c>
      <c r="S94" s="252"/>
    </row>
    <row r="95" spans="17:19" ht="14.1" customHeight="1">
      <c r="Q95" s="131">
        <f t="shared" si="5"/>
        <v>27.721337388860157</v>
      </c>
      <c r="R95" s="131">
        <f t="shared" si="5"/>
        <v>54.735875669612291</v>
      </c>
      <c r="S95" s="252"/>
    </row>
    <row r="96" spans="17:19" ht="14.1" customHeight="1">
      <c r="Q96" s="131">
        <f t="shared" si="5"/>
        <v>31.352816700028583</v>
      </c>
      <c r="R96" s="131">
        <f t="shared" si="5"/>
        <v>46.294288359718713</v>
      </c>
      <c r="S96" s="252"/>
    </row>
    <row r="97" spans="17:19" ht="14.1" customHeight="1">
      <c r="Q97" s="131">
        <f t="shared" si="5"/>
        <v>28.819560552861834</v>
      </c>
      <c r="R97" s="131">
        <f t="shared" si="5"/>
        <v>12.459055482407354</v>
      </c>
      <c r="S97" s="252"/>
    </row>
    <row r="98" spans="17:19" ht="14.1" customHeight="1">
      <c r="Q98" s="131">
        <f t="shared" si="5"/>
        <v>80.439167680433059</v>
      </c>
      <c r="R98" s="131">
        <f t="shared" si="5"/>
        <v>86.528351308542042</v>
      </c>
      <c r="S98" s="252"/>
    </row>
    <row r="99" spans="17:19" ht="14.1" customHeight="1">
      <c r="Q99" s="131">
        <f t="shared" si="5"/>
        <v>34.743732565983422</v>
      </c>
      <c r="R99" s="131">
        <f t="shared" si="5"/>
        <v>43.625368587572886</v>
      </c>
      <c r="S99" s="252"/>
    </row>
    <row r="100" spans="17:19" ht="14.1" customHeight="1">
      <c r="Q100" s="131">
        <f t="shared" si="5"/>
        <v>37.387873780075154</v>
      </c>
      <c r="R100" s="131">
        <f t="shared" si="5"/>
        <v>44.32952450505141</v>
      </c>
      <c r="S100" s="252"/>
    </row>
    <row r="101" spans="17:19" ht="14.1" customHeight="1">
      <c r="Q101" s="131">
        <f t="shared" si="5"/>
        <v>33.33787455379791</v>
      </c>
      <c r="R101" s="131">
        <f t="shared" si="5"/>
        <v>50.7896275550467</v>
      </c>
      <c r="S101" s="252"/>
    </row>
    <row r="102" spans="17:19" ht="14.1" customHeight="1">
      <c r="Q102" s="131">
        <f t="shared" si="5"/>
        <v>39.092572188668953</v>
      </c>
      <c r="R102" s="131">
        <f t="shared" si="5"/>
        <v>31.375968634237992</v>
      </c>
      <c r="S102" s="252"/>
    </row>
    <row r="103" spans="17:19" ht="14.1" customHeight="1">
      <c r="S103" s="252"/>
    </row>
    <row r="104" spans="17:19" ht="14.1" customHeight="1">
      <c r="S104" s="252"/>
    </row>
    <row r="105" spans="17:19" ht="14.1" customHeight="1">
      <c r="S105" s="252"/>
    </row>
    <row r="106" spans="17:19" ht="14.1" customHeight="1">
      <c r="S106" s="252"/>
    </row>
    <row r="107" spans="17:19" ht="14.1" customHeight="1">
      <c r="S107" s="252"/>
    </row>
    <row r="108" spans="17:19" ht="14.1" customHeight="1">
      <c r="S108" s="252"/>
    </row>
    <row r="109" spans="17:19" ht="14.1" customHeight="1">
      <c r="S109" s="252"/>
    </row>
    <row r="110" spans="17:19" ht="14.1" customHeight="1">
      <c r="S110" s="252"/>
    </row>
    <row r="111" spans="17:19" ht="14.1" customHeight="1">
      <c r="S111" s="252"/>
    </row>
    <row r="112" spans="17:19" ht="14.1" customHeight="1">
      <c r="S112" s="252"/>
    </row>
    <row r="113" spans="19:19" ht="14.1" customHeight="1">
      <c r="S113" s="252"/>
    </row>
    <row r="114" spans="19:19" ht="14.1" customHeight="1">
      <c r="S114" s="252"/>
    </row>
    <row r="115" spans="19:19" ht="14.1" customHeight="1">
      <c r="S115" s="252"/>
    </row>
    <row r="116" spans="19:19" ht="14.1" customHeight="1">
      <c r="S116" s="252"/>
    </row>
    <row r="117" spans="19:19" ht="14.1" customHeight="1">
      <c r="S117" s="252"/>
    </row>
    <row r="118" spans="19:19" ht="14.1" customHeight="1">
      <c r="S118" s="252"/>
    </row>
    <row r="119" spans="19:19" ht="14.1" customHeight="1">
      <c r="S119" s="252"/>
    </row>
    <row r="120" spans="19:19" ht="14.1" customHeight="1">
      <c r="S120" s="252"/>
    </row>
    <row r="121" spans="19:19" ht="14.1" customHeight="1">
      <c r="S121" s="252"/>
    </row>
    <row r="122" spans="19:19" ht="14.1" customHeight="1">
      <c r="S122" s="252"/>
    </row>
    <row r="123" spans="19:19" ht="14.1" customHeight="1">
      <c r="S123" s="252"/>
    </row>
    <row r="124" spans="19:19" ht="14.1" customHeight="1">
      <c r="S124" s="252"/>
    </row>
    <row r="125" spans="19:19" ht="14.1" customHeight="1">
      <c r="S125" s="252"/>
    </row>
    <row r="126" spans="19:19" ht="14.1" customHeight="1">
      <c r="S126" s="252"/>
    </row>
    <row r="127" spans="19:19" ht="14.1" customHeight="1">
      <c r="S127" s="252"/>
    </row>
    <row r="128" spans="19:19" ht="14.1" customHeight="1">
      <c r="S128" s="252"/>
    </row>
    <row r="129" spans="19:19" ht="14.1" customHeight="1">
      <c r="S129" s="252"/>
    </row>
    <row r="130" spans="19:19" ht="14.1" customHeight="1">
      <c r="S130" s="252"/>
    </row>
    <row r="131" spans="19:19" ht="14.1" customHeight="1">
      <c r="S131" s="252"/>
    </row>
    <row r="132" spans="19:19" ht="14.1" customHeight="1">
      <c r="S132" s="252"/>
    </row>
    <row r="133" spans="19:19" ht="14.1" customHeight="1">
      <c r="S133" s="252"/>
    </row>
    <row r="134" spans="19:19" ht="14.1" customHeight="1">
      <c r="S134" s="252"/>
    </row>
    <row r="135" spans="19:19" ht="14.1" customHeight="1">
      <c r="S135" s="252"/>
    </row>
    <row r="136" spans="19:19" ht="14.1" customHeight="1">
      <c r="S136" s="252"/>
    </row>
    <row r="137" spans="19:19" ht="14.1" customHeight="1">
      <c r="S137" s="252"/>
    </row>
    <row r="138" spans="19:19" ht="14.1" customHeight="1">
      <c r="S138" s="252"/>
    </row>
    <row r="139" spans="19:19" ht="14.1" customHeight="1">
      <c r="S139" s="252"/>
    </row>
    <row r="140" spans="19:19" ht="14.1" customHeight="1">
      <c r="S140" s="252"/>
    </row>
    <row r="141" spans="19:19" ht="14.1" customHeight="1">
      <c r="S141" s="252"/>
    </row>
    <row r="142" spans="19:19" ht="14.1" customHeight="1">
      <c r="S142" s="252"/>
    </row>
    <row r="143" spans="19:19" ht="14.1" customHeight="1">
      <c r="S143" s="252"/>
    </row>
    <row r="144" spans="19:19" ht="14.1" customHeight="1">
      <c r="S144" s="252"/>
    </row>
    <row r="145" spans="19:19" ht="14.1" customHeight="1">
      <c r="S145" s="252"/>
    </row>
    <row r="146" spans="19:19" ht="14.1" customHeight="1">
      <c r="S146" s="252"/>
    </row>
    <row r="147" spans="19:19" ht="14.1" customHeight="1">
      <c r="S147" s="252"/>
    </row>
    <row r="148" spans="19:19" ht="14.1" customHeight="1">
      <c r="S148" s="252"/>
    </row>
    <row r="149" spans="19:19" ht="14.1" customHeight="1">
      <c r="S149" s="252"/>
    </row>
    <row r="150" spans="19:19" ht="14.1" customHeight="1">
      <c r="S150" s="252"/>
    </row>
    <row r="151" spans="19:19" ht="14.1" customHeight="1">
      <c r="S151" s="252"/>
    </row>
    <row r="152" spans="19:19" ht="14.1" customHeight="1">
      <c r="S152" s="252"/>
    </row>
  </sheetData>
  <mergeCells count="14">
    <mergeCell ref="C4:D4"/>
    <mergeCell ref="A1:S1"/>
    <mergeCell ref="A3:B3"/>
    <mergeCell ref="A52:S52"/>
    <mergeCell ref="A2:S2"/>
    <mergeCell ref="S4:S5"/>
    <mergeCell ref="A4:B4"/>
    <mergeCell ref="G4:H4"/>
    <mergeCell ref="K4:L4"/>
    <mergeCell ref="M4:N4"/>
    <mergeCell ref="E4:F4"/>
    <mergeCell ref="O4:P4"/>
    <mergeCell ref="Q4:R4"/>
    <mergeCell ref="I4:J4"/>
  </mergeCells>
  <phoneticPr fontId="0" type="noConversion"/>
  <printOptions horizontalCentered="1" verticalCentered="1"/>
  <pageMargins left="0.55118110236220474" right="0.35433070866141736" top="1.0629921259842521" bottom="0.98425196850393704" header="0.55118110236220474" footer="0.51181102362204722"/>
  <pageSetup paperSize="9" scale="46" orientation="landscape" horizontalDpi="180" verticalDpi="18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2"/>
  <sheetViews>
    <sheetView zoomScale="80" zoomScaleNormal="80" zoomScaleSheetLayoutView="80" workbookViewId="0">
      <selection activeCell="S4" sqref="S4:S5"/>
    </sheetView>
  </sheetViews>
  <sheetFormatPr defaultColWidth="13.88671875" defaultRowHeight="14.1" customHeight="1"/>
  <cols>
    <col min="1" max="4" width="20.6640625" customWidth="1"/>
    <col min="5" max="8" width="0" hidden="1" customWidth="1"/>
    <col min="9" max="10" width="20.6640625" customWidth="1"/>
    <col min="11" max="18" width="0" hidden="1" customWidth="1"/>
    <col min="19" max="19" width="20.6640625" customWidth="1"/>
  </cols>
  <sheetData>
    <row r="1" spans="1:29" ht="21.75" customHeight="1">
      <c r="A1" s="549" t="s">
        <v>39</v>
      </c>
      <c r="B1" s="549"/>
      <c r="C1" s="549"/>
      <c r="D1" s="549"/>
      <c r="E1" s="549"/>
      <c r="F1" s="549"/>
      <c r="G1" s="549"/>
      <c r="H1" s="549"/>
      <c r="I1" s="549"/>
      <c r="J1" s="549"/>
      <c r="K1" s="549"/>
      <c r="L1" s="549"/>
      <c r="M1" s="549"/>
      <c r="N1" s="549"/>
      <c r="O1" s="549"/>
      <c r="P1" s="549"/>
      <c r="Q1" s="549"/>
      <c r="R1" s="549"/>
      <c r="S1" s="549"/>
    </row>
    <row r="2" spans="1:29" ht="21.75" customHeight="1">
      <c r="A2" s="549" t="s">
        <v>60</v>
      </c>
      <c r="B2" s="549"/>
      <c r="C2" s="549"/>
      <c r="D2" s="549"/>
      <c r="E2" s="549"/>
      <c r="F2" s="549"/>
      <c r="G2" s="549"/>
      <c r="H2" s="549"/>
      <c r="I2" s="549"/>
      <c r="J2" s="549"/>
      <c r="K2" s="549"/>
      <c r="L2" s="549"/>
      <c r="M2" s="549"/>
      <c r="N2" s="549"/>
      <c r="O2" s="549"/>
      <c r="P2" s="549"/>
      <c r="Q2" s="549"/>
      <c r="R2" s="549"/>
      <c r="S2" s="549"/>
      <c r="Y2" s="2"/>
      <c r="Z2" s="2"/>
      <c r="AA2" s="2"/>
      <c r="AB2" s="2"/>
      <c r="AC2" s="2"/>
    </row>
    <row r="3" spans="1:29" ht="14.1" customHeight="1" thickBot="1">
      <c r="A3" s="550" t="s">
        <v>56</v>
      </c>
      <c r="B3" s="550"/>
      <c r="C3" s="86"/>
      <c r="D3" s="86"/>
      <c r="E3" s="86"/>
      <c r="F3" s="86"/>
      <c r="G3" s="1"/>
      <c r="H3" s="1"/>
      <c r="I3" s="1"/>
      <c r="J3" s="1"/>
      <c r="K3" s="1"/>
      <c r="L3" s="1"/>
      <c r="M3" s="1"/>
      <c r="N3" s="1"/>
      <c r="O3" s="1"/>
      <c r="P3" s="1"/>
      <c r="Q3" s="1"/>
      <c r="R3" s="1"/>
      <c r="S3" s="1"/>
      <c r="Y3" s="2"/>
      <c r="Z3" s="2"/>
      <c r="AA3" s="2"/>
      <c r="AB3" s="2"/>
      <c r="AC3" s="2"/>
    </row>
    <row r="4" spans="1:29" ht="21" customHeight="1">
      <c r="A4" s="559" t="s">
        <v>7</v>
      </c>
      <c r="B4" s="560"/>
      <c r="C4" s="559" t="s">
        <v>33</v>
      </c>
      <c r="D4" s="560"/>
      <c r="E4" s="559" t="s">
        <v>22</v>
      </c>
      <c r="F4" s="560"/>
      <c r="G4" s="559" t="s">
        <v>6</v>
      </c>
      <c r="H4" s="560"/>
      <c r="I4" s="559" t="s">
        <v>21</v>
      </c>
      <c r="J4" s="560"/>
      <c r="K4" s="559" t="s">
        <v>5</v>
      </c>
      <c r="L4" s="560"/>
      <c r="M4" s="561" t="s">
        <v>4</v>
      </c>
      <c r="N4" s="562"/>
      <c r="O4" s="559" t="s">
        <v>3</v>
      </c>
      <c r="P4" s="560"/>
      <c r="Q4" s="559" t="s">
        <v>2</v>
      </c>
      <c r="R4" s="560"/>
      <c r="S4" s="557" t="s">
        <v>8</v>
      </c>
    </row>
    <row r="5" spans="1:29" ht="21" customHeight="1" thickBot="1">
      <c r="A5" s="185" t="s">
        <v>25</v>
      </c>
      <c r="B5" s="186" t="s">
        <v>34</v>
      </c>
      <c r="C5" s="185" t="s">
        <v>25</v>
      </c>
      <c r="D5" s="186" t="s">
        <v>34</v>
      </c>
      <c r="E5" s="185" t="s">
        <v>1</v>
      </c>
      <c r="F5" s="186" t="s">
        <v>0</v>
      </c>
      <c r="G5" s="185" t="s">
        <v>1</v>
      </c>
      <c r="H5" s="186" t="s">
        <v>0</v>
      </c>
      <c r="I5" s="240" t="s">
        <v>25</v>
      </c>
      <c r="J5" s="186" t="s">
        <v>34</v>
      </c>
      <c r="K5" s="161" t="s">
        <v>1</v>
      </c>
      <c r="L5" s="162" t="s">
        <v>0</v>
      </c>
      <c r="M5" s="163" t="s">
        <v>1</v>
      </c>
      <c r="N5" s="164" t="s">
        <v>0</v>
      </c>
      <c r="O5" s="161" t="s">
        <v>1</v>
      </c>
      <c r="P5" s="162" t="s">
        <v>0</v>
      </c>
      <c r="Q5" s="161" t="s">
        <v>1</v>
      </c>
      <c r="R5" s="162" t="s">
        <v>0</v>
      </c>
      <c r="S5" s="558"/>
    </row>
    <row r="6" spans="1:29" ht="21" hidden="1" customHeight="1">
      <c r="A6" s="71">
        <f>SUM(G6,K6,M6,O6,Q6)</f>
        <v>0</v>
      </c>
      <c r="B6" s="316">
        <f>SUM(H6,L6,N6,P6,R6)</f>
        <v>0</v>
      </c>
      <c r="C6" s="71">
        <f t="shared" ref="C6:D6" si="0">K6+I6+G6+E6</f>
        <v>0</v>
      </c>
      <c r="D6" s="316">
        <f t="shared" si="0"/>
        <v>0</v>
      </c>
      <c r="E6" s="71"/>
      <c r="F6" s="316"/>
      <c r="G6" s="71"/>
      <c r="H6" s="316"/>
      <c r="I6" s="317">
        <f t="shared" ref="I6:I20" si="1">Q6+O6+M6+K6</f>
        <v>0</v>
      </c>
      <c r="J6" s="318">
        <f>R6+P6+N6+L6</f>
        <v>0</v>
      </c>
      <c r="K6" s="36"/>
      <c r="L6" s="31"/>
      <c r="M6" s="34"/>
      <c r="N6" s="35"/>
      <c r="O6" s="36"/>
      <c r="P6" s="31"/>
      <c r="Q6" s="36"/>
      <c r="R6" s="31"/>
      <c r="S6" s="169">
        <v>1354</v>
      </c>
    </row>
    <row r="7" spans="1:29" ht="21" hidden="1" customHeight="1">
      <c r="A7" s="45">
        <v>0</v>
      </c>
      <c r="B7" s="58">
        <v>0</v>
      </c>
      <c r="C7" s="45">
        <f t="shared" ref="C7:C20" si="2">K7+I7+G7+E7</f>
        <v>0</v>
      </c>
      <c r="D7" s="58">
        <f t="shared" ref="D7:D20" si="3">L7+J7+H7+F7</f>
        <v>0</v>
      </c>
      <c r="E7" s="45">
        <f t="shared" ref="E7:E20" si="4">M7+K7+I7+G7</f>
        <v>0</v>
      </c>
      <c r="F7" s="58">
        <f t="shared" ref="F7:F20" si="5">N7+L7+J7+H7</f>
        <v>0</v>
      </c>
      <c r="G7" s="45">
        <f t="shared" ref="G7:G20" si="6">O7+M7+K7+I7</f>
        <v>0</v>
      </c>
      <c r="H7" s="58">
        <f t="shared" ref="H7:H20" si="7">P7+N7+L7+J7</f>
        <v>0</v>
      </c>
      <c r="I7" s="73">
        <f t="shared" si="1"/>
        <v>0</v>
      </c>
      <c r="J7" s="57">
        <f t="shared" ref="J7:J20" si="8">R7+P7+N7+L7</f>
        <v>0</v>
      </c>
      <c r="K7" s="25"/>
      <c r="L7" s="26"/>
      <c r="M7" s="27"/>
      <c r="N7" s="28"/>
      <c r="O7" s="25"/>
      <c r="P7" s="26"/>
      <c r="Q7" s="25"/>
      <c r="R7" s="26"/>
      <c r="S7" s="170">
        <v>1355</v>
      </c>
    </row>
    <row r="8" spans="1:29" ht="21" hidden="1" customHeight="1">
      <c r="A8" s="45">
        <f t="shared" ref="A8:A20" si="9">SUM(G8,K8,M8,O8,Q8)</f>
        <v>0</v>
      </c>
      <c r="B8" s="58">
        <f t="shared" ref="B8:B20" si="10">SUM(H8,L8,N8,P8,R8)</f>
        <v>0</v>
      </c>
      <c r="C8" s="45">
        <f t="shared" si="2"/>
        <v>0</v>
      </c>
      <c r="D8" s="58">
        <f t="shared" si="3"/>
        <v>0</v>
      </c>
      <c r="E8" s="45">
        <f t="shared" si="4"/>
        <v>0</v>
      </c>
      <c r="F8" s="58">
        <f t="shared" si="5"/>
        <v>0</v>
      </c>
      <c r="G8" s="45">
        <f t="shared" si="6"/>
        <v>0</v>
      </c>
      <c r="H8" s="58">
        <f t="shared" si="7"/>
        <v>0</v>
      </c>
      <c r="I8" s="73">
        <f t="shared" si="1"/>
        <v>0</v>
      </c>
      <c r="J8" s="57">
        <f t="shared" si="8"/>
        <v>0</v>
      </c>
      <c r="K8" s="25"/>
      <c r="L8" s="26"/>
      <c r="M8" s="27"/>
      <c r="N8" s="28"/>
      <c r="O8" s="25"/>
      <c r="P8" s="26"/>
      <c r="Q8" s="25"/>
      <c r="R8" s="26"/>
      <c r="S8" s="170">
        <v>1356</v>
      </c>
    </row>
    <row r="9" spans="1:29" ht="21" hidden="1" customHeight="1">
      <c r="A9" s="45">
        <f t="shared" si="9"/>
        <v>0</v>
      </c>
      <c r="B9" s="58">
        <f t="shared" si="10"/>
        <v>0</v>
      </c>
      <c r="C9" s="45">
        <f t="shared" si="2"/>
        <v>0</v>
      </c>
      <c r="D9" s="58">
        <f t="shared" si="3"/>
        <v>0</v>
      </c>
      <c r="E9" s="45">
        <f t="shared" si="4"/>
        <v>0</v>
      </c>
      <c r="F9" s="58">
        <f t="shared" si="5"/>
        <v>0</v>
      </c>
      <c r="G9" s="45">
        <f t="shared" si="6"/>
        <v>0</v>
      </c>
      <c r="H9" s="58">
        <f t="shared" si="7"/>
        <v>0</v>
      </c>
      <c r="I9" s="73">
        <f t="shared" si="1"/>
        <v>0</v>
      </c>
      <c r="J9" s="57">
        <f t="shared" si="8"/>
        <v>0</v>
      </c>
      <c r="K9" s="25"/>
      <c r="L9" s="26"/>
      <c r="M9" s="27"/>
      <c r="N9" s="28"/>
      <c r="O9" s="25"/>
      <c r="P9" s="26"/>
      <c r="Q9" s="25"/>
      <c r="R9" s="26"/>
      <c r="S9" s="170">
        <v>1357</v>
      </c>
    </row>
    <row r="10" spans="1:29" ht="21" hidden="1" customHeight="1">
      <c r="A10" s="319">
        <f t="shared" si="9"/>
        <v>0</v>
      </c>
      <c r="B10" s="320">
        <f t="shared" si="10"/>
        <v>0</v>
      </c>
      <c r="C10" s="45">
        <f t="shared" si="2"/>
        <v>0</v>
      </c>
      <c r="D10" s="58">
        <f t="shared" si="3"/>
        <v>0</v>
      </c>
      <c r="E10" s="45">
        <f t="shared" si="4"/>
        <v>0</v>
      </c>
      <c r="F10" s="58">
        <f t="shared" si="5"/>
        <v>0</v>
      </c>
      <c r="G10" s="45">
        <f t="shared" si="6"/>
        <v>0</v>
      </c>
      <c r="H10" s="58">
        <f t="shared" si="7"/>
        <v>0</v>
      </c>
      <c r="I10" s="73">
        <f t="shared" si="1"/>
        <v>0</v>
      </c>
      <c r="J10" s="57">
        <f t="shared" si="8"/>
        <v>0</v>
      </c>
      <c r="K10" s="25"/>
      <c r="L10" s="26"/>
      <c r="M10" s="27"/>
      <c r="N10" s="28"/>
      <c r="O10" s="25"/>
      <c r="P10" s="26"/>
      <c r="Q10" s="25"/>
      <c r="R10" s="26"/>
      <c r="S10" s="170">
        <v>1358</v>
      </c>
    </row>
    <row r="11" spans="1:29" ht="21" hidden="1" customHeight="1">
      <c r="A11" s="45">
        <f t="shared" si="9"/>
        <v>0</v>
      </c>
      <c r="B11" s="58">
        <f t="shared" si="10"/>
        <v>0</v>
      </c>
      <c r="C11" s="45">
        <f t="shared" si="2"/>
        <v>0</v>
      </c>
      <c r="D11" s="58">
        <f t="shared" si="3"/>
        <v>0</v>
      </c>
      <c r="E11" s="45">
        <f t="shared" si="4"/>
        <v>0</v>
      </c>
      <c r="F11" s="58">
        <f t="shared" si="5"/>
        <v>0</v>
      </c>
      <c r="G11" s="45">
        <f t="shared" si="6"/>
        <v>0</v>
      </c>
      <c r="H11" s="58">
        <f t="shared" si="7"/>
        <v>0</v>
      </c>
      <c r="I11" s="321">
        <f t="shared" si="1"/>
        <v>0</v>
      </c>
      <c r="J11" s="58">
        <f t="shared" si="8"/>
        <v>0</v>
      </c>
      <c r="K11" s="25"/>
      <c r="L11" s="26"/>
      <c r="M11" s="27"/>
      <c r="N11" s="28"/>
      <c r="O11" s="25"/>
      <c r="P11" s="26"/>
      <c r="Q11" s="25"/>
      <c r="R11" s="26"/>
      <c r="S11" s="170">
        <v>1359</v>
      </c>
    </row>
    <row r="12" spans="1:29" ht="21" hidden="1" customHeight="1">
      <c r="A12" s="45">
        <f t="shared" si="9"/>
        <v>0</v>
      </c>
      <c r="B12" s="58">
        <f t="shared" si="10"/>
        <v>0</v>
      </c>
      <c r="C12" s="45">
        <f t="shared" si="2"/>
        <v>0</v>
      </c>
      <c r="D12" s="58">
        <f t="shared" si="3"/>
        <v>0</v>
      </c>
      <c r="E12" s="45">
        <f t="shared" si="4"/>
        <v>0</v>
      </c>
      <c r="F12" s="58">
        <f t="shared" si="5"/>
        <v>0</v>
      </c>
      <c r="G12" s="45">
        <f t="shared" si="6"/>
        <v>0</v>
      </c>
      <c r="H12" s="58">
        <f t="shared" si="7"/>
        <v>0</v>
      </c>
      <c r="I12" s="321">
        <f t="shared" si="1"/>
        <v>0</v>
      </c>
      <c r="J12" s="58">
        <f t="shared" si="8"/>
        <v>0</v>
      </c>
      <c r="K12" s="25"/>
      <c r="L12" s="26"/>
      <c r="M12" s="27"/>
      <c r="N12" s="28"/>
      <c r="O12" s="25"/>
      <c r="P12" s="26"/>
      <c r="Q12" s="25"/>
      <c r="R12" s="26"/>
      <c r="S12" s="170">
        <v>1360</v>
      </c>
    </row>
    <row r="13" spans="1:29" ht="21" hidden="1" customHeight="1">
      <c r="A13" s="45">
        <f t="shared" si="9"/>
        <v>0</v>
      </c>
      <c r="B13" s="58">
        <f t="shared" si="10"/>
        <v>0</v>
      </c>
      <c r="C13" s="45">
        <f t="shared" si="2"/>
        <v>0</v>
      </c>
      <c r="D13" s="58">
        <f t="shared" si="3"/>
        <v>0</v>
      </c>
      <c r="E13" s="45">
        <f t="shared" si="4"/>
        <v>0</v>
      </c>
      <c r="F13" s="58">
        <f t="shared" si="5"/>
        <v>0</v>
      </c>
      <c r="G13" s="45">
        <f t="shared" si="6"/>
        <v>0</v>
      </c>
      <c r="H13" s="58">
        <f t="shared" si="7"/>
        <v>0</v>
      </c>
      <c r="I13" s="321">
        <f t="shared" si="1"/>
        <v>0</v>
      </c>
      <c r="J13" s="58">
        <f t="shared" si="8"/>
        <v>0</v>
      </c>
      <c r="K13" s="25"/>
      <c r="L13" s="26"/>
      <c r="M13" s="27"/>
      <c r="N13" s="28"/>
      <c r="O13" s="25"/>
      <c r="P13" s="26"/>
      <c r="Q13" s="25"/>
      <c r="R13" s="26"/>
      <c r="S13" s="170">
        <v>1361</v>
      </c>
    </row>
    <row r="14" spans="1:29" ht="21" hidden="1" customHeight="1">
      <c r="A14" s="45">
        <f t="shared" si="9"/>
        <v>0</v>
      </c>
      <c r="B14" s="58">
        <f t="shared" si="10"/>
        <v>0</v>
      </c>
      <c r="C14" s="45">
        <f t="shared" si="2"/>
        <v>0</v>
      </c>
      <c r="D14" s="58">
        <f t="shared" si="3"/>
        <v>0</v>
      </c>
      <c r="E14" s="45">
        <f t="shared" si="4"/>
        <v>0</v>
      </c>
      <c r="F14" s="58">
        <f t="shared" si="5"/>
        <v>0</v>
      </c>
      <c r="G14" s="45">
        <f t="shared" si="6"/>
        <v>0</v>
      </c>
      <c r="H14" s="58">
        <f t="shared" si="7"/>
        <v>0</v>
      </c>
      <c r="I14" s="321">
        <f t="shared" si="1"/>
        <v>0</v>
      </c>
      <c r="J14" s="58">
        <f t="shared" si="8"/>
        <v>0</v>
      </c>
      <c r="K14" s="25"/>
      <c r="L14" s="26"/>
      <c r="M14" s="27"/>
      <c r="N14" s="28"/>
      <c r="O14" s="25"/>
      <c r="P14" s="26"/>
      <c r="Q14" s="25"/>
      <c r="R14" s="26"/>
      <c r="S14" s="170">
        <v>1362</v>
      </c>
    </row>
    <row r="15" spans="1:29" ht="21" hidden="1" customHeight="1">
      <c r="A15" s="45">
        <f t="shared" si="9"/>
        <v>0</v>
      </c>
      <c r="B15" s="58">
        <f t="shared" si="10"/>
        <v>0</v>
      </c>
      <c r="C15" s="45">
        <f t="shared" si="2"/>
        <v>0</v>
      </c>
      <c r="D15" s="58">
        <f t="shared" si="3"/>
        <v>0</v>
      </c>
      <c r="E15" s="45">
        <f t="shared" si="4"/>
        <v>0</v>
      </c>
      <c r="F15" s="58">
        <f t="shared" si="5"/>
        <v>0</v>
      </c>
      <c r="G15" s="45">
        <f t="shared" si="6"/>
        <v>0</v>
      </c>
      <c r="H15" s="58">
        <f t="shared" si="7"/>
        <v>0</v>
      </c>
      <c r="I15" s="321">
        <f t="shared" si="1"/>
        <v>0</v>
      </c>
      <c r="J15" s="58">
        <f t="shared" si="8"/>
        <v>0</v>
      </c>
      <c r="K15" s="25"/>
      <c r="L15" s="26"/>
      <c r="M15" s="27"/>
      <c r="N15" s="28"/>
      <c r="O15" s="25"/>
      <c r="P15" s="26"/>
      <c r="Q15" s="25"/>
      <c r="R15" s="26"/>
      <c r="S15" s="170">
        <v>1363</v>
      </c>
    </row>
    <row r="16" spans="1:29" ht="21" hidden="1" customHeight="1">
      <c r="A16" s="45">
        <f t="shared" si="9"/>
        <v>0</v>
      </c>
      <c r="B16" s="58">
        <f t="shared" si="10"/>
        <v>0</v>
      </c>
      <c r="C16" s="45">
        <f t="shared" si="2"/>
        <v>0</v>
      </c>
      <c r="D16" s="58">
        <f t="shared" si="3"/>
        <v>0</v>
      </c>
      <c r="E16" s="45">
        <f t="shared" si="4"/>
        <v>0</v>
      </c>
      <c r="F16" s="58">
        <f t="shared" si="5"/>
        <v>0</v>
      </c>
      <c r="G16" s="45">
        <f t="shared" si="6"/>
        <v>0</v>
      </c>
      <c r="H16" s="58">
        <f t="shared" si="7"/>
        <v>0</v>
      </c>
      <c r="I16" s="321">
        <f t="shared" si="1"/>
        <v>0</v>
      </c>
      <c r="J16" s="58">
        <f t="shared" si="8"/>
        <v>0</v>
      </c>
      <c r="K16" s="25"/>
      <c r="L16" s="26"/>
      <c r="M16" s="27"/>
      <c r="N16" s="28"/>
      <c r="O16" s="25"/>
      <c r="P16" s="26"/>
      <c r="Q16" s="25"/>
      <c r="R16" s="26"/>
      <c r="S16" s="170">
        <v>1364</v>
      </c>
    </row>
    <row r="17" spans="1:19" ht="21" hidden="1" customHeight="1">
      <c r="A17" s="45">
        <f t="shared" si="9"/>
        <v>0</v>
      </c>
      <c r="B17" s="58">
        <f t="shared" si="10"/>
        <v>0</v>
      </c>
      <c r="C17" s="45">
        <f t="shared" si="2"/>
        <v>0</v>
      </c>
      <c r="D17" s="58">
        <f t="shared" si="3"/>
        <v>0</v>
      </c>
      <c r="E17" s="45">
        <f t="shared" si="4"/>
        <v>0</v>
      </c>
      <c r="F17" s="58">
        <f t="shared" si="5"/>
        <v>0</v>
      </c>
      <c r="G17" s="45">
        <f t="shared" si="6"/>
        <v>0</v>
      </c>
      <c r="H17" s="58">
        <f t="shared" si="7"/>
        <v>0</v>
      </c>
      <c r="I17" s="321">
        <f t="shared" si="1"/>
        <v>0</v>
      </c>
      <c r="J17" s="58">
        <f t="shared" si="8"/>
        <v>0</v>
      </c>
      <c r="K17" s="25"/>
      <c r="L17" s="26"/>
      <c r="M17" s="27"/>
      <c r="N17" s="28"/>
      <c r="O17" s="25"/>
      <c r="P17" s="26"/>
      <c r="Q17" s="25"/>
      <c r="R17" s="26"/>
      <c r="S17" s="170">
        <v>1365</v>
      </c>
    </row>
    <row r="18" spans="1:19" ht="21" hidden="1" customHeight="1">
      <c r="A18" s="45">
        <f t="shared" si="9"/>
        <v>0</v>
      </c>
      <c r="B18" s="58">
        <f t="shared" si="10"/>
        <v>0</v>
      </c>
      <c r="C18" s="45">
        <f t="shared" si="2"/>
        <v>0</v>
      </c>
      <c r="D18" s="58">
        <f t="shared" si="3"/>
        <v>0</v>
      </c>
      <c r="E18" s="45">
        <f t="shared" si="4"/>
        <v>0</v>
      </c>
      <c r="F18" s="58">
        <f t="shared" si="5"/>
        <v>0</v>
      </c>
      <c r="G18" s="45">
        <f t="shared" si="6"/>
        <v>0</v>
      </c>
      <c r="H18" s="58">
        <f t="shared" si="7"/>
        <v>0</v>
      </c>
      <c r="I18" s="321">
        <f t="shared" si="1"/>
        <v>0</v>
      </c>
      <c r="J18" s="58">
        <f t="shared" si="8"/>
        <v>0</v>
      </c>
      <c r="K18" s="25"/>
      <c r="L18" s="26"/>
      <c r="M18" s="27"/>
      <c r="N18" s="28"/>
      <c r="O18" s="25"/>
      <c r="P18" s="26"/>
      <c r="Q18" s="25"/>
      <c r="R18" s="26"/>
      <c r="S18" s="170">
        <v>1366</v>
      </c>
    </row>
    <row r="19" spans="1:19" ht="21" hidden="1" customHeight="1">
      <c r="A19" s="45">
        <f t="shared" si="9"/>
        <v>0</v>
      </c>
      <c r="B19" s="58">
        <f t="shared" si="10"/>
        <v>0</v>
      </c>
      <c r="C19" s="45">
        <f t="shared" si="2"/>
        <v>0</v>
      </c>
      <c r="D19" s="58">
        <f t="shared" si="3"/>
        <v>0</v>
      </c>
      <c r="E19" s="45">
        <f t="shared" si="4"/>
        <v>0</v>
      </c>
      <c r="F19" s="58">
        <f t="shared" si="5"/>
        <v>0</v>
      </c>
      <c r="G19" s="45">
        <f t="shared" si="6"/>
        <v>0</v>
      </c>
      <c r="H19" s="58">
        <f t="shared" si="7"/>
        <v>0</v>
      </c>
      <c r="I19" s="321">
        <f t="shared" si="1"/>
        <v>0</v>
      </c>
      <c r="J19" s="58">
        <f t="shared" si="8"/>
        <v>0</v>
      </c>
      <c r="K19" s="25"/>
      <c r="L19" s="26"/>
      <c r="M19" s="27"/>
      <c r="N19" s="28"/>
      <c r="O19" s="25"/>
      <c r="P19" s="26"/>
      <c r="Q19" s="25"/>
      <c r="R19" s="26"/>
      <c r="S19" s="170">
        <v>1367</v>
      </c>
    </row>
    <row r="20" spans="1:19" ht="21" hidden="1" customHeight="1">
      <c r="A20" s="45">
        <f t="shared" si="9"/>
        <v>0</v>
      </c>
      <c r="B20" s="58">
        <f t="shared" si="10"/>
        <v>0</v>
      </c>
      <c r="C20" s="45">
        <f t="shared" si="2"/>
        <v>0</v>
      </c>
      <c r="D20" s="58">
        <f t="shared" si="3"/>
        <v>0</v>
      </c>
      <c r="E20" s="45">
        <f t="shared" si="4"/>
        <v>0</v>
      </c>
      <c r="F20" s="58">
        <f t="shared" si="5"/>
        <v>0</v>
      </c>
      <c r="G20" s="45">
        <f t="shared" si="6"/>
        <v>0</v>
      </c>
      <c r="H20" s="58">
        <f t="shared" si="7"/>
        <v>0</v>
      </c>
      <c r="I20" s="45">
        <f t="shared" si="1"/>
        <v>0</v>
      </c>
      <c r="J20" s="58">
        <f t="shared" si="8"/>
        <v>0</v>
      </c>
      <c r="K20" s="25"/>
      <c r="L20" s="26"/>
      <c r="M20" s="27"/>
      <c r="N20" s="28"/>
      <c r="O20" s="25"/>
      <c r="P20" s="26"/>
      <c r="Q20" s="25"/>
      <c r="R20" s="26"/>
      <c r="S20" s="170">
        <v>1368</v>
      </c>
    </row>
    <row r="21" spans="1:19" ht="21" customHeight="1">
      <c r="A21" s="302">
        <f>0.5604</f>
        <v>0.56040000000000001</v>
      </c>
      <c r="B21" s="305">
        <v>0.41720000000000002</v>
      </c>
      <c r="C21" s="302">
        <f>A21-I21</f>
        <v>0</v>
      </c>
      <c r="D21" s="305">
        <f>B21-J21</f>
        <v>0</v>
      </c>
      <c r="E21" s="302">
        <v>0</v>
      </c>
      <c r="F21" s="305">
        <v>0</v>
      </c>
      <c r="G21" s="302">
        <v>0</v>
      </c>
      <c r="H21" s="305">
        <v>0</v>
      </c>
      <c r="I21" s="322">
        <f>0.5604</f>
        <v>0.56040000000000001</v>
      </c>
      <c r="J21" s="260">
        <f>0.4172</f>
        <v>0.41720000000000002</v>
      </c>
      <c r="K21" s="25">
        <f>4*(1.48)</f>
        <v>5.92</v>
      </c>
      <c r="L21" s="26">
        <f>4*(0.49)</f>
        <v>1.96</v>
      </c>
      <c r="M21" s="27">
        <f>4*(20.48)</f>
        <v>81.92</v>
      </c>
      <c r="N21" s="28">
        <f>4*(13.62)</f>
        <v>54.48</v>
      </c>
      <c r="O21" s="25">
        <f>4*(40.01)</f>
        <v>160.04</v>
      </c>
      <c r="P21" s="26">
        <f>4*(17.61)</f>
        <v>70.44</v>
      </c>
      <c r="Q21" s="25">
        <f>4*(78.13)</f>
        <v>312.52</v>
      </c>
      <c r="R21" s="26">
        <f>4*(72.58)</f>
        <v>290.32</v>
      </c>
      <c r="S21" s="170">
        <v>1369</v>
      </c>
    </row>
    <row r="22" spans="1:19" ht="21" customHeight="1">
      <c r="A22" s="302">
        <f>0.873</f>
        <v>0.873</v>
      </c>
      <c r="B22" s="305">
        <v>1.0840000000000001</v>
      </c>
      <c r="C22" s="302">
        <f t="shared" ref="C22:C41" si="11">A22-I22</f>
        <v>0</v>
      </c>
      <c r="D22" s="305">
        <f t="shared" ref="D22:D41" si="12">B22-J22</f>
        <v>0</v>
      </c>
      <c r="E22" s="302">
        <v>0</v>
      </c>
      <c r="F22" s="305">
        <v>0</v>
      </c>
      <c r="G22" s="302">
        <v>0</v>
      </c>
      <c r="H22" s="305">
        <v>0</v>
      </c>
      <c r="I22" s="304">
        <f>0.873</f>
        <v>0.873</v>
      </c>
      <c r="J22" s="305">
        <v>1.0840000000000001</v>
      </c>
      <c r="K22" s="25">
        <v>10</v>
      </c>
      <c r="L22" s="26">
        <v>362</v>
      </c>
      <c r="M22" s="27">
        <v>128</v>
      </c>
      <c r="N22" s="28">
        <v>88</v>
      </c>
      <c r="O22" s="25">
        <v>245</v>
      </c>
      <c r="P22" s="26">
        <v>201</v>
      </c>
      <c r="Q22" s="25">
        <v>490</v>
      </c>
      <c r="R22" s="26">
        <v>433</v>
      </c>
      <c r="S22" s="170">
        <v>1370</v>
      </c>
    </row>
    <row r="23" spans="1:19" ht="21" customHeight="1">
      <c r="A23" s="302">
        <v>1.6854800000000001</v>
      </c>
      <c r="B23" s="305">
        <v>1.93188</v>
      </c>
      <c r="C23" s="302">
        <f t="shared" si="11"/>
        <v>0</v>
      </c>
      <c r="D23" s="305">
        <f t="shared" si="12"/>
        <v>0</v>
      </c>
      <c r="E23" s="302">
        <v>0</v>
      </c>
      <c r="F23" s="305">
        <v>0</v>
      </c>
      <c r="G23" s="302">
        <v>0</v>
      </c>
      <c r="H23" s="305">
        <v>0</v>
      </c>
      <c r="I23" s="302">
        <v>1.6854800000000001</v>
      </c>
      <c r="J23" s="308">
        <v>1.93188</v>
      </c>
      <c r="K23" s="25">
        <f>4*(72.43)</f>
        <v>289.72000000000003</v>
      </c>
      <c r="L23" s="26">
        <f>4*(224.9)</f>
        <v>899.6</v>
      </c>
      <c r="M23" s="27">
        <f>4*(61.67)</f>
        <v>246.68</v>
      </c>
      <c r="N23" s="28">
        <f>4*(30.25)</f>
        <v>121</v>
      </c>
      <c r="O23" s="25">
        <f>4*(104.43)</f>
        <v>417.72</v>
      </c>
      <c r="P23" s="26">
        <f>4*(87.45)</f>
        <v>349.8</v>
      </c>
      <c r="Q23" s="25">
        <f>4*(182.84)</f>
        <v>731.36</v>
      </c>
      <c r="R23" s="26">
        <f>4*(140.37)</f>
        <v>561.48</v>
      </c>
      <c r="S23" s="170">
        <v>1371</v>
      </c>
    </row>
    <row r="24" spans="1:19" ht="21" customHeight="1">
      <c r="A24" s="302">
        <v>3.5211999999999999</v>
      </c>
      <c r="B24" s="305">
        <v>5.9329000000000001</v>
      </c>
      <c r="C24" s="302">
        <f t="shared" si="11"/>
        <v>0</v>
      </c>
      <c r="D24" s="305">
        <f t="shared" si="12"/>
        <v>0</v>
      </c>
      <c r="E24" s="302">
        <v>0</v>
      </c>
      <c r="F24" s="305">
        <v>0</v>
      </c>
      <c r="G24" s="302">
        <v>0</v>
      </c>
      <c r="H24" s="305">
        <v>0</v>
      </c>
      <c r="I24" s="302">
        <v>3.5211999999999999</v>
      </c>
      <c r="J24" s="308">
        <v>5.9329000000000001</v>
      </c>
      <c r="K24" s="25">
        <v>898</v>
      </c>
      <c r="L24" s="26">
        <v>3219</v>
      </c>
      <c r="M24" s="27">
        <f>327</f>
        <v>327</v>
      </c>
      <c r="N24" s="28">
        <f>216.9</f>
        <v>216.9</v>
      </c>
      <c r="O24" s="25">
        <f>831.5</f>
        <v>831.5</v>
      </c>
      <c r="P24" s="26">
        <f>633.1</f>
        <v>633.1</v>
      </c>
      <c r="Q24" s="25">
        <f>1464.7</f>
        <v>1464.7</v>
      </c>
      <c r="R24" s="26">
        <f>1863.9</f>
        <v>1863.9</v>
      </c>
      <c r="S24" s="170">
        <v>1372</v>
      </c>
    </row>
    <row r="25" spans="1:19" ht="21" customHeight="1">
      <c r="A25" s="259">
        <v>10.776999999999999</v>
      </c>
      <c r="B25" s="260">
        <v>21.282</v>
      </c>
      <c r="C25" s="259">
        <f t="shared" si="11"/>
        <v>0</v>
      </c>
      <c r="D25" s="260">
        <f t="shared" si="12"/>
        <v>0</v>
      </c>
      <c r="E25" s="259">
        <v>0</v>
      </c>
      <c r="F25" s="260">
        <v>0</v>
      </c>
      <c r="G25" s="259">
        <v>0</v>
      </c>
      <c r="H25" s="260">
        <v>0</v>
      </c>
      <c r="I25" s="259">
        <v>10.776999999999999</v>
      </c>
      <c r="J25" s="315">
        <v>21.282</v>
      </c>
      <c r="K25" s="83">
        <v>4989</v>
      </c>
      <c r="L25" s="5">
        <v>13598</v>
      </c>
      <c r="M25" s="84">
        <v>909</v>
      </c>
      <c r="N25" s="65">
        <v>612</v>
      </c>
      <c r="O25" s="83">
        <v>1581</v>
      </c>
      <c r="P25" s="5">
        <v>2543</v>
      </c>
      <c r="Q25" s="83">
        <v>3298</v>
      </c>
      <c r="R25" s="5">
        <v>4529</v>
      </c>
      <c r="S25" s="193">
        <v>1373</v>
      </c>
    </row>
    <row r="26" spans="1:19" ht="21" customHeight="1">
      <c r="A26" s="255">
        <v>47.951000000000001</v>
      </c>
      <c r="B26" s="256">
        <v>83.658000000000001</v>
      </c>
      <c r="C26" s="255">
        <f t="shared" si="11"/>
        <v>0</v>
      </c>
      <c r="D26" s="256">
        <f t="shared" si="12"/>
        <v>0</v>
      </c>
      <c r="E26" s="255">
        <v>0</v>
      </c>
      <c r="F26" s="256">
        <v>0</v>
      </c>
      <c r="G26" s="255">
        <v>0</v>
      </c>
      <c r="H26" s="256">
        <v>0</v>
      </c>
      <c r="I26" s="255">
        <v>47.951000000000001</v>
      </c>
      <c r="J26" s="298">
        <v>83.658000000000001</v>
      </c>
      <c r="K26" s="6">
        <v>38492</v>
      </c>
      <c r="L26" s="7">
        <v>71241</v>
      </c>
      <c r="M26" s="37">
        <v>2140</v>
      </c>
      <c r="N26" s="38">
        <v>1400</v>
      </c>
      <c r="O26" s="6">
        <v>3309</v>
      </c>
      <c r="P26" s="7">
        <v>3856</v>
      </c>
      <c r="Q26" s="6">
        <v>4010</v>
      </c>
      <c r="R26" s="7">
        <v>7161</v>
      </c>
      <c r="S26" s="170">
        <v>1374</v>
      </c>
    </row>
    <row r="27" spans="1:19" ht="21" customHeight="1">
      <c r="A27" s="255">
        <v>92.879000000000005</v>
      </c>
      <c r="B27" s="256">
        <v>120.93</v>
      </c>
      <c r="C27" s="255">
        <f t="shared" si="11"/>
        <v>0</v>
      </c>
      <c r="D27" s="256">
        <f t="shared" si="12"/>
        <v>0</v>
      </c>
      <c r="E27" s="255">
        <v>0</v>
      </c>
      <c r="F27" s="256">
        <v>0</v>
      </c>
      <c r="G27" s="255">
        <v>0</v>
      </c>
      <c r="H27" s="256">
        <v>0</v>
      </c>
      <c r="I27" s="255">
        <v>92.879000000000005</v>
      </c>
      <c r="J27" s="298">
        <v>120.93</v>
      </c>
      <c r="K27" s="6">
        <v>59989</v>
      </c>
      <c r="L27" s="7">
        <v>85197</v>
      </c>
      <c r="M27" s="37">
        <v>4312</v>
      </c>
      <c r="N27" s="38">
        <v>2507</v>
      </c>
      <c r="O27" s="6">
        <v>7039</v>
      </c>
      <c r="P27" s="7">
        <v>9199</v>
      </c>
      <c r="Q27" s="6">
        <v>21539</v>
      </c>
      <c r="R27" s="7">
        <v>24027</v>
      </c>
      <c r="S27" s="170">
        <v>1375</v>
      </c>
    </row>
    <row r="28" spans="1:19" ht="21" customHeight="1">
      <c r="A28" s="255">
        <v>108.949</v>
      </c>
      <c r="B28" s="256">
        <v>112.82299999999999</v>
      </c>
      <c r="C28" s="255">
        <f t="shared" si="11"/>
        <v>0</v>
      </c>
      <c r="D28" s="256">
        <f t="shared" si="12"/>
        <v>0</v>
      </c>
      <c r="E28" s="255">
        <v>0</v>
      </c>
      <c r="F28" s="256">
        <v>0</v>
      </c>
      <c r="G28" s="255">
        <v>0</v>
      </c>
      <c r="H28" s="256">
        <v>0</v>
      </c>
      <c r="I28" s="255">
        <v>108.949</v>
      </c>
      <c r="J28" s="298">
        <v>112.82299999999999</v>
      </c>
      <c r="K28" s="6">
        <v>66919</v>
      </c>
      <c r="L28" s="7">
        <v>68805</v>
      </c>
      <c r="M28" s="37">
        <v>5420</v>
      </c>
      <c r="N28" s="38">
        <v>4401</v>
      </c>
      <c r="O28" s="6">
        <v>12275</v>
      </c>
      <c r="P28" s="7">
        <v>14892</v>
      </c>
      <c r="Q28" s="6">
        <v>24335</v>
      </c>
      <c r="R28" s="7">
        <v>24725</v>
      </c>
      <c r="S28" s="170">
        <v>1376</v>
      </c>
    </row>
    <row r="29" spans="1:19" ht="21" customHeight="1">
      <c r="A29" s="255">
        <v>133.583</v>
      </c>
      <c r="B29" s="256">
        <v>183.506</v>
      </c>
      <c r="C29" s="255">
        <f t="shared" si="11"/>
        <v>0</v>
      </c>
      <c r="D29" s="256">
        <f t="shared" si="12"/>
        <v>0</v>
      </c>
      <c r="E29" s="255">
        <v>0</v>
      </c>
      <c r="F29" s="256">
        <v>0</v>
      </c>
      <c r="G29" s="255">
        <v>0</v>
      </c>
      <c r="H29" s="256">
        <v>0</v>
      </c>
      <c r="I29" s="255">
        <v>133.583</v>
      </c>
      <c r="J29" s="298">
        <v>183.506</v>
      </c>
      <c r="K29" s="6">
        <v>91572</v>
      </c>
      <c r="L29" s="7">
        <v>110438</v>
      </c>
      <c r="M29" s="37">
        <v>8193</v>
      </c>
      <c r="N29" s="38">
        <v>6795</v>
      </c>
      <c r="O29" s="6">
        <v>19649</v>
      </c>
      <c r="P29" s="7">
        <v>23138</v>
      </c>
      <c r="Q29" s="6">
        <v>14169</v>
      </c>
      <c r="R29" s="7">
        <v>43135</v>
      </c>
      <c r="S29" s="170">
        <v>1377</v>
      </c>
    </row>
    <row r="30" spans="1:19" ht="21" customHeight="1">
      <c r="A30" s="255">
        <v>309.9599</v>
      </c>
      <c r="B30" s="256">
        <v>413.36342999999999</v>
      </c>
      <c r="C30" s="255">
        <f t="shared" si="11"/>
        <v>0</v>
      </c>
      <c r="D30" s="256">
        <f t="shared" si="12"/>
        <v>0</v>
      </c>
      <c r="E30" s="255">
        <v>0</v>
      </c>
      <c r="F30" s="256">
        <v>0</v>
      </c>
      <c r="G30" s="255">
        <v>0</v>
      </c>
      <c r="H30" s="256">
        <v>0</v>
      </c>
      <c r="I30" s="255">
        <v>309.9599</v>
      </c>
      <c r="J30" s="298">
        <v>413.36342999999999</v>
      </c>
      <c r="K30" s="6">
        <v>203204.6</v>
      </c>
      <c r="L30" s="7">
        <v>298544.7</v>
      </c>
      <c r="M30" s="37">
        <v>10439.5</v>
      </c>
      <c r="N30" s="38">
        <f>10453.65</f>
        <v>10453.65</v>
      </c>
      <c r="O30" s="6">
        <v>30798</v>
      </c>
      <c r="P30" s="7">
        <v>41545.480000000003</v>
      </c>
      <c r="Q30" s="6">
        <f>64569.1+948.7</f>
        <v>65517.799999999996</v>
      </c>
      <c r="R30" s="7">
        <f>58583.7+4235.9</f>
        <v>62819.6</v>
      </c>
      <c r="S30" s="170">
        <v>1378</v>
      </c>
    </row>
    <row r="31" spans="1:19" ht="21" customHeight="1">
      <c r="A31" s="255">
        <v>450.57279999999997</v>
      </c>
      <c r="B31" s="256">
        <v>497.23169999999999</v>
      </c>
      <c r="C31" s="255">
        <f t="shared" si="11"/>
        <v>0</v>
      </c>
      <c r="D31" s="256">
        <f t="shared" si="12"/>
        <v>0</v>
      </c>
      <c r="E31" s="255">
        <v>0</v>
      </c>
      <c r="F31" s="256">
        <v>0</v>
      </c>
      <c r="G31" s="255">
        <v>0</v>
      </c>
      <c r="H31" s="256">
        <v>0</v>
      </c>
      <c r="I31" s="255">
        <v>450.57279999999997</v>
      </c>
      <c r="J31" s="298">
        <v>497.23169999999999</v>
      </c>
      <c r="K31" s="6">
        <v>223458.7</v>
      </c>
      <c r="L31" s="7">
        <v>205563.7</v>
      </c>
      <c r="M31" s="37">
        <v>18001.5</v>
      </c>
      <c r="N31" s="38">
        <v>17383.5</v>
      </c>
      <c r="O31" s="6">
        <v>43153.8</v>
      </c>
      <c r="P31" s="7">
        <v>42440.4</v>
      </c>
      <c r="Q31" s="6">
        <v>165958.79999999999</v>
      </c>
      <c r="R31" s="7">
        <v>231844.1</v>
      </c>
      <c r="S31" s="170">
        <v>1379</v>
      </c>
    </row>
    <row r="32" spans="1:19" ht="21" customHeight="1">
      <c r="A32" s="296">
        <v>641.05589999999995</v>
      </c>
      <c r="B32" s="297">
        <v>733.81309999999996</v>
      </c>
      <c r="C32" s="296">
        <f t="shared" si="11"/>
        <v>0</v>
      </c>
      <c r="D32" s="297">
        <f t="shared" si="12"/>
        <v>0</v>
      </c>
      <c r="E32" s="296">
        <v>0</v>
      </c>
      <c r="F32" s="297">
        <v>0</v>
      </c>
      <c r="G32" s="296">
        <v>0</v>
      </c>
      <c r="H32" s="297">
        <v>0</v>
      </c>
      <c r="I32" s="296">
        <v>641.05589999999995</v>
      </c>
      <c r="J32" s="323">
        <v>733.81309999999996</v>
      </c>
      <c r="K32" s="17">
        <f>218480.3+0</f>
        <v>218480.3</v>
      </c>
      <c r="L32" s="15">
        <f>281456.8+4211.2</f>
        <v>285668</v>
      </c>
      <c r="M32" s="22">
        <v>20503.5</v>
      </c>
      <c r="N32" s="23">
        <v>23959.3</v>
      </c>
      <c r="O32" s="17">
        <v>58458.400000000001</v>
      </c>
      <c r="P32" s="15">
        <v>62686.5</v>
      </c>
      <c r="Q32" s="17">
        <v>343613.7</v>
      </c>
      <c r="R32" s="15">
        <v>361499.3</v>
      </c>
      <c r="S32" s="226">
        <v>1380</v>
      </c>
    </row>
    <row r="33" spans="1:19" ht="21" customHeight="1">
      <c r="A33" s="301">
        <v>786.31346438599996</v>
      </c>
      <c r="B33" s="256">
        <v>959.08999630799997</v>
      </c>
      <c r="C33" s="301">
        <f t="shared" si="11"/>
        <v>0</v>
      </c>
      <c r="D33" s="256">
        <f t="shared" si="12"/>
        <v>0</v>
      </c>
      <c r="E33" s="301">
        <v>0</v>
      </c>
      <c r="F33" s="256">
        <v>0</v>
      </c>
      <c r="G33" s="301">
        <v>0</v>
      </c>
      <c r="H33" s="256">
        <v>0</v>
      </c>
      <c r="I33" s="255">
        <v>786.31346438599996</v>
      </c>
      <c r="J33" s="298">
        <v>959.08999630799997</v>
      </c>
      <c r="K33" s="90">
        <f>'[1]بيمه دانا'!$I$31/1000000</f>
        <v>286217.86696999997</v>
      </c>
      <c r="L33" s="26">
        <f>'[1]بيمه دانا'!$Q$31/1000000</f>
        <v>422488.03170799999</v>
      </c>
      <c r="M33" s="100">
        <f>'[1]بيمه البرز'!$I$31/1000000</f>
        <v>30290.470256000001</v>
      </c>
      <c r="N33" s="28">
        <f>'[1]بيمه البرز'!$Q$31/1000000</f>
        <v>44877.141248</v>
      </c>
      <c r="O33" s="90">
        <f>'[1]بيمه آسيا'!$I$31/1000000</f>
        <v>37140.772607999999</v>
      </c>
      <c r="P33" s="26">
        <f>'[1]بيمه آسيا'!$Q$31/1000000</f>
        <v>56866.309328000003</v>
      </c>
      <c r="Q33" s="90">
        <f>'[1]بيمه ايران'!$I$31/1000000</f>
        <v>432664.354552</v>
      </c>
      <c r="R33" s="26">
        <f>'[1]بيمه ايران'!$Q$31/1000000</f>
        <v>434858.51402399997</v>
      </c>
      <c r="S33" s="170">
        <v>1381</v>
      </c>
    </row>
    <row r="34" spans="1:19" ht="21" customHeight="1">
      <c r="A34" s="301">
        <v>1074.489389548</v>
      </c>
      <c r="B34" s="256">
        <v>1311.4540366179999</v>
      </c>
      <c r="C34" s="301">
        <f t="shared" si="11"/>
        <v>3.8886738720000267</v>
      </c>
      <c r="D34" s="256">
        <f t="shared" si="12"/>
        <v>23.983997477999992</v>
      </c>
      <c r="E34" s="301">
        <v>3888.6738719999998</v>
      </c>
      <c r="F34" s="256">
        <v>23983.997478000001</v>
      </c>
      <c r="G34" s="301">
        <v>0</v>
      </c>
      <c r="H34" s="256">
        <v>0</v>
      </c>
      <c r="I34" s="255">
        <v>1070.6007156759999</v>
      </c>
      <c r="J34" s="298">
        <v>1287.4700391399999</v>
      </c>
      <c r="K34" s="90">
        <f>'[2]بيمه دانا'!$I$31/1000000</f>
        <v>473685.00453999999</v>
      </c>
      <c r="L34" s="26">
        <f>'[2]بيمه دانا'!$Q$31/1000000</f>
        <v>566167.98820400005</v>
      </c>
      <c r="M34" s="100">
        <f>'[2]بيمه البرز'!$I$31/1000000</f>
        <v>45313.747128000003</v>
      </c>
      <c r="N34" s="28">
        <f>'[2]بيمه البرز'!$Q$31/1000000</f>
        <v>82346.573556000003</v>
      </c>
      <c r="O34" s="90">
        <f>'[2]بيمه آسيا'!$I$31/1000000</f>
        <v>53755.215887999999</v>
      </c>
      <c r="P34" s="26">
        <f>'[2]بيمه آسيا'!$Q$31/1000000</f>
        <v>58670.988447999996</v>
      </c>
      <c r="Q34" s="90">
        <f>'[2]بيمه ايران'!$I$31/1000000</f>
        <v>497846.74812</v>
      </c>
      <c r="R34" s="26">
        <f>'[2]بيمه ايران'!$Q$31/1000000</f>
        <v>580284.48893200001</v>
      </c>
      <c r="S34" s="170">
        <v>1382</v>
      </c>
    </row>
    <row r="35" spans="1:19" ht="21" customHeight="1">
      <c r="A35" s="313">
        <v>1128.133590404</v>
      </c>
      <c r="B35" s="297">
        <v>1272.8976043360001</v>
      </c>
      <c r="C35" s="312">
        <f t="shared" si="11"/>
        <v>37.631967044000021</v>
      </c>
      <c r="D35" s="300">
        <f t="shared" si="12"/>
        <v>95.538568604000147</v>
      </c>
      <c r="E35" s="312">
        <v>37620.031919999994</v>
      </c>
      <c r="F35" s="300">
        <v>95501.463264000005</v>
      </c>
      <c r="G35" s="312">
        <v>11.935124</v>
      </c>
      <c r="H35" s="300">
        <v>37.105339999999998</v>
      </c>
      <c r="I35" s="324">
        <v>1090.5016233599999</v>
      </c>
      <c r="J35" s="299">
        <v>1177.3590357319999</v>
      </c>
      <c r="K35" s="137">
        <f>'[2]بيمه دانا'!$H$31/1000000</f>
        <v>583773.00544800004</v>
      </c>
      <c r="L35" s="134">
        <f>'[2]بيمه دانا'!$P$31/1000000</f>
        <v>450312.74744800001</v>
      </c>
      <c r="M35" s="145">
        <f>'[2]بيمه البرز'!$H$31/1000000</f>
        <v>57359.986671999999</v>
      </c>
      <c r="N35" s="136">
        <f>'[2]بيمه البرز'!$P$31/1000000</f>
        <v>101242.025584</v>
      </c>
      <c r="O35" s="137">
        <f>'[2]بيمه آسيا'!$H$31/1000000</f>
        <v>42705.685279999998</v>
      </c>
      <c r="P35" s="134">
        <f>'[2]بيمه آسيا'!$P$31/1000000</f>
        <v>70050.002712000001</v>
      </c>
      <c r="Q35" s="137">
        <f>'[2]بيمه ايران'!$H$31/1000000</f>
        <v>406662.94595999998</v>
      </c>
      <c r="R35" s="141">
        <f>'[2]بيمه ايران'!$P$31/1000000</f>
        <v>555754.25998800003</v>
      </c>
      <c r="S35" s="226">
        <v>1383</v>
      </c>
    </row>
    <row r="36" spans="1:19" s="1" customFormat="1" ht="21" customHeight="1">
      <c r="A36" s="301">
        <v>1759.55212142</v>
      </c>
      <c r="B36" s="256">
        <v>1764.415869148</v>
      </c>
      <c r="C36" s="298">
        <f t="shared" si="11"/>
        <v>89.069604647999995</v>
      </c>
      <c r="D36" s="256">
        <f t="shared" si="12"/>
        <v>174.34385070400003</v>
      </c>
      <c r="E36" s="298">
        <v>88702.862395999997</v>
      </c>
      <c r="F36" s="256">
        <v>173180.015992</v>
      </c>
      <c r="G36" s="298">
        <v>341.45494000000002</v>
      </c>
      <c r="H36" s="256">
        <v>485.25637999999998</v>
      </c>
      <c r="I36" s="255">
        <v>1670.4825167720001</v>
      </c>
      <c r="J36" s="298">
        <v>1590.0720184439999</v>
      </c>
      <c r="K36" s="88">
        <f>'[3]بيمه دانا'!$H$31/1000000</f>
        <v>434057.92825200001</v>
      </c>
      <c r="L36" s="26">
        <f>'[3]بيمه دانا'!$P$31/1000000</f>
        <v>562172.58268800005</v>
      </c>
      <c r="M36" s="102">
        <f>'[3]بيمه البرز'!$H$31/1000000</f>
        <v>97070.576440000004</v>
      </c>
      <c r="N36" s="28">
        <f>'[3]بيمه البرز'!$P$31/1000000</f>
        <v>128955.19220400001</v>
      </c>
      <c r="O36" s="88">
        <f>'[3]بيمه آسيا'!$H$31/1000000</f>
        <v>49679.469539999998</v>
      </c>
      <c r="P36" s="26">
        <f>'[3]بيمه آسيا'!$P$31/1000000</f>
        <v>89764.948067999998</v>
      </c>
      <c r="Q36" s="88">
        <f>'[3]بيمه ايران'!$H$31/1000000</f>
        <v>1089674.5425400001</v>
      </c>
      <c r="R36" s="98">
        <f>'[3]بيمه ايران'!$P$31/1000000</f>
        <v>809179.295484</v>
      </c>
      <c r="S36" s="170">
        <v>1384</v>
      </c>
    </row>
    <row r="37" spans="1:19" s="1" customFormat="1" ht="21" customHeight="1">
      <c r="A37" s="322">
        <v>1406.3328373039999</v>
      </c>
      <c r="B37" s="260">
        <v>2331.3779601679998</v>
      </c>
      <c r="C37" s="259">
        <f t="shared" si="11"/>
        <v>201.56701175599983</v>
      </c>
      <c r="D37" s="315">
        <f t="shared" si="12"/>
        <v>306.6474485719998</v>
      </c>
      <c r="E37" s="315"/>
      <c r="F37" s="315"/>
      <c r="G37" s="315"/>
      <c r="H37" s="315"/>
      <c r="I37" s="259">
        <v>1204.7658255480001</v>
      </c>
      <c r="J37" s="315">
        <v>2024.730511596</v>
      </c>
      <c r="K37" s="235"/>
      <c r="L37" s="235"/>
      <c r="M37" s="236"/>
      <c r="N37" s="236"/>
      <c r="O37" s="235"/>
      <c r="P37" s="235"/>
      <c r="Q37" s="235"/>
      <c r="R37" s="235"/>
      <c r="S37" s="193">
        <v>1385</v>
      </c>
    </row>
    <row r="38" spans="1:19" s="1" customFormat="1" ht="21" customHeight="1">
      <c r="A38" s="301">
        <v>1916.1056720920001</v>
      </c>
      <c r="B38" s="256">
        <v>2833.534544264</v>
      </c>
      <c r="C38" s="255">
        <f t="shared" si="11"/>
        <v>409.61308905200008</v>
      </c>
      <c r="D38" s="298">
        <f t="shared" si="12"/>
        <v>611.8442449879999</v>
      </c>
      <c r="E38" s="298"/>
      <c r="F38" s="298"/>
      <c r="G38" s="298"/>
      <c r="H38" s="298"/>
      <c r="I38" s="255">
        <v>1506.49258304</v>
      </c>
      <c r="J38" s="298">
        <v>2221.6902992760001</v>
      </c>
      <c r="K38" s="88"/>
      <c r="L38" s="88"/>
      <c r="M38" s="102"/>
      <c r="N38" s="102"/>
      <c r="O38" s="88"/>
      <c r="P38" s="88"/>
      <c r="Q38" s="88"/>
      <c r="R38" s="88"/>
      <c r="S38" s="170">
        <v>1386</v>
      </c>
    </row>
    <row r="39" spans="1:19" s="1" customFormat="1" ht="21" customHeight="1">
      <c r="A39" s="301">
        <v>2901.293582148</v>
      </c>
      <c r="B39" s="256">
        <v>3647.089817996</v>
      </c>
      <c r="C39" s="255">
        <f t="shared" si="11"/>
        <v>641.84469778399989</v>
      </c>
      <c r="D39" s="298">
        <f t="shared" si="12"/>
        <v>875.51748501200018</v>
      </c>
      <c r="E39" s="298"/>
      <c r="F39" s="298"/>
      <c r="G39" s="298"/>
      <c r="H39" s="298"/>
      <c r="I39" s="255">
        <v>2259.4488843640002</v>
      </c>
      <c r="J39" s="298">
        <v>2771.5723329839998</v>
      </c>
      <c r="K39" s="88"/>
      <c r="L39" s="88"/>
      <c r="M39" s="102"/>
      <c r="N39" s="102"/>
      <c r="O39" s="88"/>
      <c r="P39" s="88"/>
      <c r="Q39" s="88"/>
      <c r="R39" s="88"/>
      <c r="S39" s="170">
        <v>1387</v>
      </c>
    </row>
    <row r="40" spans="1:19" s="1" customFormat="1" ht="21" customHeight="1">
      <c r="A40" s="301">
        <v>4962.3028511519997</v>
      </c>
      <c r="B40" s="256">
        <v>5393.2733962920001</v>
      </c>
      <c r="C40" s="255">
        <f t="shared" si="11"/>
        <v>1554.9012978519995</v>
      </c>
      <c r="D40" s="298">
        <f t="shared" si="12"/>
        <v>2223.7724082120003</v>
      </c>
      <c r="E40" s="298"/>
      <c r="F40" s="298"/>
      <c r="G40" s="298"/>
      <c r="H40" s="298"/>
      <c r="I40" s="255">
        <v>3407.4015533000002</v>
      </c>
      <c r="J40" s="298">
        <v>3169.5009880799998</v>
      </c>
      <c r="K40" s="88"/>
      <c r="L40" s="88"/>
      <c r="M40" s="102"/>
      <c r="N40" s="102"/>
      <c r="O40" s="88"/>
      <c r="P40" s="88"/>
      <c r="Q40" s="88"/>
      <c r="R40" s="88"/>
      <c r="S40" s="170">
        <v>1388</v>
      </c>
    </row>
    <row r="41" spans="1:19" ht="21" customHeight="1">
      <c r="A41" s="301">
        <v>9782.1644733880003</v>
      </c>
      <c r="B41" s="256">
        <v>11171.67327666</v>
      </c>
      <c r="C41" s="255">
        <f t="shared" si="11"/>
        <v>4957.4007778040004</v>
      </c>
      <c r="D41" s="298">
        <f t="shared" si="12"/>
        <v>5615.1430695520003</v>
      </c>
      <c r="E41" s="298"/>
      <c r="F41" s="298"/>
      <c r="G41" s="298"/>
      <c r="H41" s="298"/>
      <c r="I41" s="255">
        <v>4824.7636955839998</v>
      </c>
      <c r="J41" s="298">
        <v>5556.5302071079996</v>
      </c>
      <c r="K41" s="192"/>
      <c r="L41" s="192"/>
      <c r="M41" s="192"/>
      <c r="N41" s="192"/>
      <c r="O41" s="192"/>
      <c r="P41" s="192"/>
      <c r="Q41" s="192"/>
      <c r="R41" s="192"/>
      <c r="S41" s="194">
        <v>1389</v>
      </c>
    </row>
    <row r="42" spans="1:19" ht="21" customHeight="1">
      <c r="A42" s="424">
        <f>14936.4</f>
        <v>14936.4</v>
      </c>
      <c r="B42" s="423">
        <f>15179.5</f>
        <v>15179.5</v>
      </c>
      <c r="C42" s="422">
        <f t="shared" ref="C42:D51" si="13">A42-I42</f>
        <v>6227.9</v>
      </c>
      <c r="D42" s="425">
        <f t="shared" si="13"/>
        <v>7181.6</v>
      </c>
      <c r="E42" s="425"/>
      <c r="F42" s="425"/>
      <c r="G42" s="425"/>
      <c r="H42" s="425"/>
      <c r="I42" s="422">
        <f>8708.5</f>
        <v>8708.5</v>
      </c>
      <c r="J42" s="425">
        <f>7997.9</f>
        <v>7997.9</v>
      </c>
      <c r="K42" s="483"/>
      <c r="L42" s="483"/>
      <c r="M42" s="483"/>
      <c r="N42" s="483"/>
      <c r="O42" s="483"/>
      <c r="P42" s="483"/>
      <c r="Q42" s="483"/>
      <c r="R42" s="483"/>
      <c r="S42" s="194">
        <v>1390</v>
      </c>
    </row>
    <row r="43" spans="1:19" ht="21" customHeight="1">
      <c r="A43" s="428">
        <v>22820.1</v>
      </c>
      <c r="B43" s="431">
        <v>26523.9</v>
      </c>
      <c r="C43" s="484">
        <f t="shared" si="13"/>
        <v>10271.699999999999</v>
      </c>
      <c r="D43" s="423">
        <f t="shared" si="13"/>
        <v>12225.000000000002</v>
      </c>
      <c r="E43" s="430"/>
      <c r="F43" s="431"/>
      <c r="G43" s="431"/>
      <c r="H43" s="431"/>
      <c r="I43" s="431">
        <v>12548.4</v>
      </c>
      <c r="J43" s="423">
        <v>14298.9</v>
      </c>
      <c r="K43" s="485"/>
      <c r="L43" s="486"/>
      <c r="M43" s="486"/>
      <c r="N43" s="486"/>
      <c r="O43" s="486"/>
      <c r="P43" s="486"/>
      <c r="Q43" s="486"/>
      <c r="R43" s="486"/>
      <c r="S43" s="475">
        <v>1391</v>
      </c>
    </row>
    <row r="44" spans="1:19" ht="21" customHeight="1">
      <c r="A44" s="422">
        <v>32608.5</v>
      </c>
      <c r="B44" s="435">
        <v>30563.4</v>
      </c>
      <c r="C44" s="422">
        <f t="shared" si="13"/>
        <v>14830.099999999999</v>
      </c>
      <c r="D44" s="423">
        <f t="shared" si="13"/>
        <v>14860.800000000001</v>
      </c>
      <c r="E44" s="434"/>
      <c r="F44" s="435"/>
      <c r="G44" s="435"/>
      <c r="H44" s="435"/>
      <c r="I44" s="435">
        <v>17778.400000000001</v>
      </c>
      <c r="J44" s="423">
        <v>15702.6</v>
      </c>
      <c r="K44" s="487"/>
      <c r="L44" s="488"/>
      <c r="M44" s="488"/>
      <c r="N44" s="488"/>
      <c r="O44" s="488"/>
      <c r="P44" s="488"/>
      <c r="Q44" s="488"/>
      <c r="R44" s="488"/>
      <c r="S44" s="478">
        <v>1392</v>
      </c>
    </row>
    <row r="45" spans="1:19" ht="21" customHeight="1">
      <c r="A45" s="422">
        <v>33542.400000000001</v>
      </c>
      <c r="B45" s="435">
        <v>40951.1</v>
      </c>
      <c r="C45" s="422">
        <f t="shared" si="13"/>
        <v>15553.800000000003</v>
      </c>
      <c r="D45" s="423">
        <f t="shared" si="13"/>
        <v>21105</v>
      </c>
      <c r="E45" s="434"/>
      <c r="F45" s="435"/>
      <c r="G45" s="435"/>
      <c r="H45" s="435"/>
      <c r="I45" s="435">
        <v>17988.599999999999</v>
      </c>
      <c r="J45" s="423">
        <v>19846.099999999999</v>
      </c>
      <c r="K45" s="487"/>
      <c r="L45" s="488"/>
      <c r="M45" s="488"/>
      <c r="N45" s="488"/>
      <c r="O45" s="488"/>
      <c r="P45" s="488"/>
      <c r="Q45" s="488"/>
      <c r="R45" s="488"/>
      <c r="S45" s="478">
        <v>1393</v>
      </c>
    </row>
    <row r="46" spans="1:19" ht="21" customHeight="1">
      <c r="A46" s="422">
        <v>45234.9</v>
      </c>
      <c r="B46" s="435">
        <v>54690.2</v>
      </c>
      <c r="C46" s="422">
        <f t="shared" si="13"/>
        <v>22514.800000000003</v>
      </c>
      <c r="D46" s="423">
        <f t="shared" si="13"/>
        <v>28134.399999999998</v>
      </c>
      <c r="E46" s="434"/>
      <c r="F46" s="435"/>
      <c r="G46" s="435"/>
      <c r="H46" s="435"/>
      <c r="I46" s="435">
        <v>22720.1</v>
      </c>
      <c r="J46" s="423">
        <v>26555.8</v>
      </c>
      <c r="K46" s="487"/>
      <c r="L46" s="488"/>
      <c r="M46" s="488"/>
      <c r="N46" s="488"/>
      <c r="O46" s="488"/>
      <c r="P46" s="488"/>
      <c r="Q46" s="488"/>
      <c r="R46" s="488"/>
      <c r="S46" s="478">
        <v>1394</v>
      </c>
    </row>
    <row r="47" spans="1:19" ht="21" customHeight="1">
      <c r="A47" s="422">
        <v>55864.4</v>
      </c>
      <c r="B47" s="435">
        <v>65307.1</v>
      </c>
      <c r="C47" s="422">
        <f t="shared" si="13"/>
        <v>29557.600000000002</v>
      </c>
      <c r="D47" s="423">
        <f t="shared" si="13"/>
        <v>38371.899999999994</v>
      </c>
      <c r="E47" s="434"/>
      <c r="F47" s="435"/>
      <c r="G47" s="435"/>
      <c r="H47" s="435"/>
      <c r="I47" s="435">
        <v>26306.799999999999</v>
      </c>
      <c r="J47" s="423">
        <v>26935.200000000001</v>
      </c>
      <c r="K47" s="487"/>
      <c r="L47" s="488"/>
      <c r="M47" s="488"/>
      <c r="N47" s="488"/>
      <c r="O47" s="488"/>
      <c r="P47" s="488"/>
      <c r="Q47" s="488"/>
      <c r="R47" s="488"/>
      <c r="S47" s="478">
        <v>1395</v>
      </c>
    </row>
    <row r="48" spans="1:19" ht="21" customHeight="1">
      <c r="A48" s="422">
        <v>72473.2</v>
      </c>
      <c r="B48" s="435">
        <v>83065.3</v>
      </c>
      <c r="C48" s="422">
        <f t="shared" si="13"/>
        <v>42599.1</v>
      </c>
      <c r="D48" s="423">
        <f t="shared" si="13"/>
        <v>67053.600000000006</v>
      </c>
      <c r="E48" s="434"/>
      <c r="F48" s="435"/>
      <c r="G48" s="435"/>
      <c r="H48" s="435"/>
      <c r="I48" s="435">
        <v>29874.1</v>
      </c>
      <c r="J48" s="423">
        <v>16011.7</v>
      </c>
      <c r="K48" s="487"/>
      <c r="L48" s="488"/>
      <c r="M48" s="488"/>
      <c r="N48" s="488"/>
      <c r="O48" s="488"/>
      <c r="P48" s="488"/>
      <c r="Q48" s="488"/>
      <c r="R48" s="488"/>
      <c r="S48" s="478">
        <v>1396</v>
      </c>
    </row>
    <row r="49" spans="1:19" ht="21" customHeight="1">
      <c r="A49" s="422">
        <v>95950.1</v>
      </c>
      <c r="B49" s="435">
        <v>119642.3</v>
      </c>
      <c r="C49" s="422">
        <f>A49-I49</f>
        <v>75598.5</v>
      </c>
      <c r="D49" s="423">
        <f>B49-J49</f>
        <v>95131.1</v>
      </c>
      <c r="E49" s="434"/>
      <c r="F49" s="435"/>
      <c r="G49" s="435"/>
      <c r="H49" s="435"/>
      <c r="I49" s="435">
        <f>[6]ایران!$J$12</f>
        <v>20351.599999999999</v>
      </c>
      <c r="J49" s="423">
        <f>[6]ایران!$B$12</f>
        <v>24511.200000000001</v>
      </c>
      <c r="K49" s="487"/>
      <c r="L49" s="488"/>
      <c r="M49" s="488"/>
      <c r="N49" s="488"/>
      <c r="O49" s="488"/>
      <c r="P49" s="488"/>
      <c r="Q49" s="488"/>
      <c r="R49" s="488"/>
      <c r="S49" s="478">
        <v>1397</v>
      </c>
    </row>
    <row r="50" spans="1:19" ht="21" customHeight="1">
      <c r="A50" s="422">
        <v>100119.4</v>
      </c>
      <c r="B50" s="435">
        <v>136831.20000000001</v>
      </c>
      <c r="C50" s="422">
        <f>A50-J51</f>
        <v>84067.5</v>
      </c>
      <c r="D50" s="423">
        <f t="shared" si="13"/>
        <v>123375.90000000001</v>
      </c>
      <c r="E50" s="434"/>
      <c r="F50" s="435"/>
      <c r="G50" s="435"/>
      <c r="H50" s="435"/>
      <c r="I50" s="489">
        <v>11043.8</v>
      </c>
      <c r="J50" s="423">
        <v>13455.3</v>
      </c>
      <c r="K50" s="487"/>
      <c r="L50" s="488"/>
      <c r="M50" s="488"/>
      <c r="N50" s="488"/>
      <c r="O50" s="488"/>
      <c r="P50" s="488"/>
      <c r="Q50" s="488"/>
      <c r="R50" s="488"/>
      <c r="S50" s="478">
        <v>1398</v>
      </c>
    </row>
    <row r="51" spans="1:19" ht="21" customHeight="1" thickBot="1">
      <c r="A51" s="469">
        <v>118857.7</v>
      </c>
      <c r="B51" s="470">
        <v>158329.1</v>
      </c>
      <c r="C51" s="469">
        <f t="shared" si="13"/>
        <v>106764.9</v>
      </c>
      <c r="D51" s="470">
        <f t="shared" si="13"/>
        <v>142277.20000000001</v>
      </c>
      <c r="E51" s="490"/>
      <c r="F51" s="491"/>
      <c r="G51" s="491"/>
      <c r="H51" s="491"/>
      <c r="I51" s="491">
        <v>12092.8</v>
      </c>
      <c r="J51" s="470">
        <v>16051.9</v>
      </c>
      <c r="K51" s="492"/>
      <c r="L51" s="493"/>
      <c r="M51" s="493"/>
      <c r="N51" s="493"/>
      <c r="O51" s="493"/>
      <c r="P51" s="493"/>
      <c r="Q51" s="493"/>
      <c r="R51" s="493"/>
      <c r="S51" s="494">
        <v>1399</v>
      </c>
    </row>
    <row r="52" spans="1:19" ht="23.25" customHeight="1">
      <c r="A52" s="566" t="s">
        <v>32</v>
      </c>
      <c r="B52" s="567"/>
      <c r="C52" s="567"/>
      <c r="D52" s="567"/>
      <c r="E52" s="567"/>
      <c r="F52" s="567"/>
      <c r="G52" s="567"/>
      <c r="H52" s="567"/>
      <c r="I52" s="567"/>
      <c r="J52" s="567"/>
      <c r="K52" s="567"/>
      <c r="L52" s="567"/>
      <c r="M52" s="567"/>
      <c r="N52" s="567"/>
      <c r="O52" s="567"/>
      <c r="P52" s="567"/>
      <c r="Q52" s="567"/>
      <c r="R52" s="567"/>
      <c r="S52" s="568"/>
    </row>
  </sheetData>
  <mergeCells count="14">
    <mergeCell ref="A52:S52"/>
    <mergeCell ref="I4:J4"/>
    <mergeCell ref="E4:F4"/>
    <mergeCell ref="A2:S2"/>
    <mergeCell ref="A1:S1"/>
    <mergeCell ref="A3:B3"/>
    <mergeCell ref="A4:B4"/>
    <mergeCell ref="G4:H4"/>
    <mergeCell ref="K4:L4"/>
    <mergeCell ref="M4:N4"/>
    <mergeCell ref="O4:P4"/>
    <mergeCell ref="C4:D4"/>
    <mergeCell ref="Q4:R4"/>
    <mergeCell ref="S4:S5"/>
  </mergeCells>
  <phoneticPr fontId="0" type="noConversion"/>
  <printOptions horizontalCentered="1" verticalCentered="1"/>
  <pageMargins left="7.874015748031496E-2" right="3.937007874015748E-2" top="1.2598425196850394" bottom="0.98425196850393704" header="0.51181102362204722" footer="0.51181102362204722"/>
  <pageSetup paperSize="9" scale="50" orientation="landscape" horizontalDpi="180" verticalDpi="18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zoomScale="80" zoomScaleNormal="80" zoomScaleSheetLayoutView="80" workbookViewId="0">
      <selection activeCell="Q4" sqref="Q4:Q5"/>
    </sheetView>
  </sheetViews>
  <sheetFormatPr defaultColWidth="13.88671875" defaultRowHeight="14.1" customHeight="1"/>
  <cols>
    <col min="1" max="4" width="20.6640625" customWidth="1"/>
    <col min="5" max="6" width="13.88671875" hidden="1" customWidth="1"/>
    <col min="7" max="8" width="20.6640625" customWidth="1"/>
    <col min="9" max="16" width="0" hidden="1" customWidth="1"/>
    <col min="17" max="17" width="20.6640625" customWidth="1"/>
  </cols>
  <sheetData>
    <row r="1" spans="1:27" ht="21" customHeight="1">
      <c r="A1" s="549" t="s">
        <v>40</v>
      </c>
      <c r="B1" s="549"/>
      <c r="C1" s="549"/>
      <c r="D1" s="549"/>
      <c r="E1" s="549"/>
      <c r="F1" s="549"/>
      <c r="G1" s="549"/>
      <c r="H1" s="549"/>
      <c r="I1" s="549"/>
      <c r="J1" s="549"/>
      <c r="K1" s="549"/>
      <c r="L1" s="549"/>
      <c r="M1" s="549"/>
      <c r="N1" s="549"/>
      <c r="O1" s="549"/>
      <c r="P1" s="549"/>
      <c r="Q1" s="549"/>
    </row>
    <row r="2" spans="1:27" ht="21" customHeight="1">
      <c r="A2" s="549" t="s">
        <v>58</v>
      </c>
      <c r="B2" s="549"/>
      <c r="C2" s="549"/>
      <c r="D2" s="549"/>
      <c r="E2" s="549"/>
      <c r="F2" s="549"/>
      <c r="G2" s="549"/>
      <c r="H2" s="549"/>
      <c r="I2" s="549"/>
      <c r="J2" s="549"/>
      <c r="K2" s="549"/>
      <c r="L2" s="549"/>
      <c r="M2" s="549"/>
      <c r="N2" s="549"/>
      <c r="O2" s="549"/>
      <c r="P2" s="549"/>
      <c r="Q2" s="549"/>
      <c r="W2" s="2"/>
      <c r="X2" s="2"/>
      <c r="Y2" s="2"/>
      <c r="Z2" s="2"/>
      <c r="AA2" s="2"/>
    </row>
    <row r="3" spans="1:27" ht="14.1" customHeight="1" thickBot="1">
      <c r="A3" s="550" t="s">
        <v>56</v>
      </c>
      <c r="B3" s="550"/>
      <c r="C3" s="86"/>
      <c r="D3" s="86"/>
      <c r="E3" s="1"/>
      <c r="F3" s="1"/>
      <c r="G3" s="1"/>
      <c r="H3" s="1"/>
      <c r="I3" s="1"/>
      <c r="J3" s="1"/>
      <c r="K3" s="1"/>
      <c r="L3" s="1"/>
      <c r="M3" s="1"/>
      <c r="N3" s="1"/>
      <c r="O3" s="1"/>
      <c r="P3" s="1"/>
      <c r="Q3" s="1"/>
      <c r="W3" s="2"/>
      <c r="X3" s="2"/>
      <c r="Y3" s="2"/>
      <c r="Z3" s="2"/>
      <c r="AA3" s="2"/>
    </row>
    <row r="4" spans="1:27" ht="21" customHeight="1">
      <c r="A4" s="569" t="s">
        <v>7</v>
      </c>
      <c r="B4" s="570"/>
      <c r="C4" s="569" t="s">
        <v>33</v>
      </c>
      <c r="D4" s="570"/>
      <c r="E4" s="569" t="s">
        <v>6</v>
      </c>
      <c r="F4" s="570"/>
      <c r="G4" s="569" t="s">
        <v>21</v>
      </c>
      <c r="H4" s="570"/>
      <c r="I4" s="569" t="s">
        <v>5</v>
      </c>
      <c r="J4" s="570"/>
      <c r="K4" s="571" t="s">
        <v>4</v>
      </c>
      <c r="L4" s="572"/>
      <c r="M4" s="569" t="s">
        <v>3</v>
      </c>
      <c r="N4" s="570"/>
      <c r="O4" s="569" t="s">
        <v>2</v>
      </c>
      <c r="P4" s="570"/>
      <c r="Q4" s="557" t="s">
        <v>8</v>
      </c>
    </row>
    <row r="5" spans="1:27" ht="21" customHeight="1" thickBot="1">
      <c r="A5" s="185" t="s">
        <v>25</v>
      </c>
      <c r="B5" s="186" t="s">
        <v>34</v>
      </c>
      <c r="C5" s="185" t="s">
        <v>25</v>
      </c>
      <c r="D5" s="186" t="s">
        <v>34</v>
      </c>
      <c r="E5" s="185" t="s">
        <v>1</v>
      </c>
      <c r="F5" s="186" t="s">
        <v>0</v>
      </c>
      <c r="G5" s="185" t="s">
        <v>25</v>
      </c>
      <c r="H5" s="258" t="s">
        <v>34</v>
      </c>
      <c r="I5" s="185" t="s">
        <v>25</v>
      </c>
      <c r="J5" s="186" t="s">
        <v>24</v>
      </c>
      <c r="K5" s="163" t="s">
        <v>1</v>
      </c>
      <c r="L5" s="164" t="s">
        <v>0</v>
      </c>
      <c r="M5" s="161" t="s">
        <v>1</v>
      </c>
      <c r="N5" s="162" t="s">
        <v>0</v>
      </c>
      <c r="O5" s="161" t="s">
        <v>1</v>
      </c>
      <c r="P5" s="162" t="s">
        <v>0</v>
      </c>
      <c r="Q5" s="558"/>
    </row>
    <row r="6" spans="1:27" ht="21" customHeight="1">
      <c r="A6" s="325">
        <f>0.285</f>
        <v>0.28499999999999998</v>
      </c>
      <c r="B6" s="254">
        <f>0.419</f>
        <v>0.41899999999999998</v>
      </c>
      <c r="C6" s="253">
        <f>A6-G6</f>
        <v>0</v>
      </c>
      <c r="D6" s="254">
        <f>B6-H6</f>
        <v>0</v>
      </c>
      <c r="E6" s="253">
        <v>0</v>
      </c>
      <c r="F6" s="254">
        <v>0</v>
      </c>
      <c r="G6" s="253">
        <f>0.285</f>
        <v>0.28499999999999998</v>
      </c>
      <c r="H6" s="254">
        <f>0.419</f>
        <v>0.41899999999999998</v>
      </c>
      <c r="I6" s="60">
        <v>82</v>
      </c>
      <c r="J6" s="61">
        <v>73</v>
      </c>
      <c r="K6" s="43">
        <v>0</v>
      </c>
      <c r="L6" s="44">
        <v>0</v>
      </c>
      <c r="M6" s="62">
        <v>0</v>
      </c>
      <c r="N6" s="63">
        <v>0</v>
      </c>
      <c r="O6" s="60">
        <v>203</v>
      </c>
      <c r="P6" s="63">
        <v>346</v>
      </c>
      <c r="Q6" s="169">
        <v>1354</v>
      </c>
    </row>
    <row r="7" spans="1:27" ht="21" customHeight="1">
      <c r="A7" s="322">
        <f>0.054</f>
        <v>5.3999999999999999E-2</v>
      </c>
      <c r="B7" s="260">
        <f>0.312</f>
        <v>0.312</v>
      </c>
      <c r="C7" s="255">
        <f t="shared" ref="C7:C41" si="0">A7-G7</f>
        <v>0</v>
      </c>
      <c r="D7" s="256">
        <f t="shared" ref="D7:D41" si="1">B7-H7</f>
        <v>0</v>
      </c>
      <c r="E7" s="255">
        <v>0</v>
      </c>
      <c r="F7" s="256">
        <v>0</v>
      </c>
      <c r="G7" s="255">
        <f>0.054</f>
        <v>5.3999999999999999E-2</v>
      </c>
      <c r="H7" s="256">
        <f>0.312</f>
        <v>0.312</v>
      </c>
      <c r="I7" s="6">
        <v>31</v>
      </c>
      <c r="J7" s="7">
        <v>89</v>
      </c>
      <c r="K7" s="37">
        <v>0</v>
      </c>
      <c r="L7" s="38">
        <v>0</v>
      </c>
      <c r="M7" s="64">
        <v>0</v>
      </c>
      <c r="N7" s="8">
        <v>10</v>
      </c>
      <c r="O7" s="6">
        <v>23</v>
      </c>
      <c r="P7" s="8">
        <v>213</v>
      </c>
      <c r="Q7" s="170">
        <v>1355</v>
      </c>
    </row>
    <row r="8" spans="1:27" ht="21" customHeight="1">
      <c r="A8" s="322">
        <f>0.063</f>
        <v>6.3E-2</v>
      </c>
      <c r="B8" s="260">
        <f>0.315</f>
        <v>0.315</v>
      </c>
      <c r="C8" s="255">
        <f t="shared" si="0"/>
        <v>0</v>
      </c>
      <c r="D8" s="256">
        <f t="shared" si="1"/>
        <v>0</v>
      </c>
      <c r="E8" s="255">
        <v>0</v>
      </c>
      <c r="F8" s="256">
        <v>0</v>
      </c>
      <c r="G8" s="255">
        <f>0.063</f>
        <v>6.3E-2</v>
      </c>
      <c r="H8" s="256">
        <f>0.315</f>
        <v>0.315</v>
      </c>
      <c r="I8" s="6">
        <v>14</v>
      </c>
      <c r="J8" s="7">
        <v>50</v>
      </c>
      <c r="K8" s="37">
        <v>0</v>
      </c>
      <c r="L8" s="38">
        <v>0</v>
      </c>
      <c r="M8" s="64">
        <v>2</v>
      </c>
      <c r="N8" s="8">
        <v>33</v>
      </c>
      <c r="O8" s="6">
        <v>47</v>
      </c>
      <c r="P8" s="8">
        <v>232</v>
      </c>
      <c r="Q8" s="170">
        <v>1356</v>
      </c>
    </row>
    <row r="9" spans="1:27" ht="21" customHeight="1">
      <c r="A9" s="322">
        <f>0.063</f>
        <v>6.3E-2</v>
      </c>
      <c r="B9" s="260">
        <f>0.235</f>
        <v>0.23499999999999999</v>
      </c>
      <c r="C9" s="255">
        <f t="shared" si="0"/>
        <v>0</v>
      </c>
      <c r="D9" s="256">
        <f t="shared" si="1"/>
        <v>0</v>
      </c>
      <c r="E9" s="255">
        <v>0</v>
      </c>
      <c r="F9" s="256">
        <v>0</v>
      </c>
      <c r="G9" s="255">
        <f>0.063</f>
        <v>6.3E-2</v>
      </c>
      <c r="H9" s="256">
        <f>0.235</f>
        <v>0.23499999999999999</v>
      </c>
      <c r="I9" s="6">
        <v>3</v>
      </c>
      <c r="J9" s="7">
        <v>68</v>
      </c>
      <c r="K9" s="37">
        <v>0</v>
      </c>
      <c r="L9" s="38">
        <v>0</v>
      </c>
      <c r="M9" s="64">
        <v>0</v>
      </c>
      <c r="N9" s="8">
        <v>28</v>
      </c>
      <c r="O9" s="6">
        <v>60</v>
      </c>
      <c r="P9" s="8">
        <v>139</v>
      </c>
      <c r="Q9" s="170">
        <v>1357</v>
      </c>
    </row>
    <row r="10" spans="1:27" ht="21" customHeight="1">
      <c r="A10" s="322">
        <f>0.207</f>
        <v>0.20699999999999999</v>
      </c>
      <c r="B10" s="260">
        <f>0.4032</f>
        <v>0.4032</v>
      </c>
      <c r="C10" s="255">
        <f t="shared" si="0"/>
        <v>0</v>
      </c>
      <c r="D10" s="256">
        <f t="shared" si="1"/>
        <v>0</v>
      </c>
      <c r="E10" s="255">
        <v>0</v>
      </c>
      <c r="F10" s="256">
        <v>0</v>
      </c>
      <c r="G10" s="255">
        <f>0.207</f>
        <v>0.20699999999999999</v>
      </c>
      <c r="H10" s="256">
        <f>0.4032</f>
        <v>0.4032</v>
      </c>
      <c r="I10" s="6">
        <v>23</v>
      </c>
      <c r="J10" s="7">
        <v>60</v>
      </c>
      <c r="K10" s="37">
        <v>0</v>
      </c>
      <c r="L10" s="50">
        <v>0.2</v>
      </c>
      <c r="M10" s="64">
        <v>0</v>
      </c>
      <c r="N10" s="8">
        <v>24</v>
      </c>
      <c r="O10" s="6">
        <v>184</v>
      </c>
      <c r="P10" s="8">
        <v>319</v>
      </c>
      <c r="Q10" s="170">
        <v>1358</v>
      </c>
    </row>
    <row r="11" spans="1:27" ht="21" customHeight="1">
      <c r="A11" s="322">
        <f>0.209</f>
        <v>0.20899999999999999</v>
      </c>
      <c r="B11" s="326">
        <f>0.4393</f>
        <v>0.43930000000000002</v>
      </c>
      <c r="C11" s="255">
        <f t="shared" si="0"/>
        <v>0</v>
      </c>
      <c r="D11" s="256">
        <f t="shared" si="1"/>
        <v>0</v>
      </c>
      <c r="E11" s="255">
        <v>0</v>
      </c>
      <c r="F11" s="256">
        <v>0</v>
      </c>
      <c r="G11" s="255">
        <f>0.209</f>
        <v>0.20899999999999999</v>
      </c>
      <c r="H11" s="256">
        <f>0.4393</f>
        <v>0.43930000000000002</v>
      </c>
      <c r="I11" s="6">
        <v>19</v>
      </c>
      <c r="J11" s="7">
        <v>28</v>
      </c>
      <c r="K11" s="37">
        <v>0</v>
      </c>
      <c r="L11" s="50">
        <v>0.3</v>
      </c>
      <c r="M11" s="64">
        <v>3</v>
      </c>
      <c r="N11" s="8">
        <v>5</v>
      </c>
      <c r="O11" s="6">
        <v>187</v>
      </c>
      <c r="P11" s="8">
        <v>406</v>
      </c>
      <c r="Q11" s="170">
        <v>1359</v>
      </c>
    </row>
    <row r="12" spans="1:27" ht="21" customHeight="1">
      <c r="A12" s="322">
        <v>1.175</v>
      </c>
      <c r="B12" s="260">
        <f>0.53428</f>
        <v>0.53427999999999998</v>
      </c>
      <c r="C12" s="255">
        <f t="shared" si="0"/>
        <v>0</v>
      </c>
      <c r="D12" s="256">
        <f t="shared" si="1"/>
        <v>0</v>
      </c>
      <c r="E12" s="255">
        <v>0</v>
      </c>
      <c r="F12" s="256">
        <v>0</v>
      </c>
      <c r="G12" s="255">
        <v>1.175</v>
      </c>
      <c r="H12" s="256">
        <f>0.53428</f>
        <v>0.53427999999999998</v>
      </c>
      <c r="I12" s="6">
        <v>4</v>
      </c>
      <c r="J12" s="7">
        <v>-14</v>
      </c>
      <c r="K12" s="37">
        <v>0</v>
      </c>
      <c r="L12" s="38">
        <v>0</v>
      </c>
      <c r="M12" s="64">
        <v>0</v>
      </c>
      <c r="N12" s="66">
        <v>0.28000000000000003</v>
      </c>
      <c r="O12" s="6">
        <v>1171</v>
      </c>
      <c r="P12" s="8">
        <v>548</v>
      </c>
      <c r="Q12" s="170">
        <v>1360</v>
      </c>
    </row>
    <row r="13" spans="1:27" ht="21" customHeight="1">
      <c r="A13" s="322">
        <f>0.887</f>
        <v>0.88700000000000001</v>
      </c>
      <c r="B13" s="260">
        <f>0.69183</f>
        <v>0.69182999999999995</v>
      </c>
      <c r="C13" s="255">
        <f t="shared" si="0"/>
        <v>0</v>
      </c>
      <c r="D13" s="256">
        <f t="shared" si="1"/>
        <v>0</v>
      </c>
      <c r="E13" s="255">
        <v>0</v>
      </c>
      <c r="F13" s="256">
        <v>0</v>
      </c>
      <c r="G13" s="255">
        <f>0.887</f>
        <v>0.88700000000000001</v>
      </c>
      <c r="H13" s="256">
        <f>0.69183</f>
        <v>0.69182999999999995</v>
      </c>
      <c r="I13" s="6">
        <v>254</v>
      </c>
      <c r="J13" s="57">
        <v>-0.45</v>
      </c>
      <c r="K13" s="37">
        <v>0</v>
      </c>
      <c r="L13" s="38">
        <v>0</v>
      </c>
      <c r="M13" s="64">
        <v>0</v>
      </c>
      <c r="N13" s="66">
        <v>0.28000000000000003</v>
      </c>
      <c r="O13" s="6">
        <v>633</v>
      </c>
      <c r="P13" s="8">
        <v>692</v>
      </c>
      <c r="Q13" s="170">
        <v>1361</v>
      </c>
    </row>
    <row r="14" spans="1:27" ht="21" customHeight="1">
      <c r="A14" s="322">
        <f>0.353</f>
        <v>0.35299999999999998</v>
      </c>
      <c r="B14" s="260">
        <v>2.83</v>
      </c>
      <c r="C14" s="255">
        <f t="shared" si="0"/>
        <v>0</v>
      </c>
      <c r="D14" s="256">
        <f t="shared" si="1"/>
        <v>0</v>
      </c>
      <c r="E14" s="255">
        <v>0</v>
      </c>
      <c r="F14" s="256">
        <v>0</v>
      </c>
      <c r="G14" s="255">
        <f>0.353</f>
        <v>0.35299999999999998</v>
      </c>
      <c r="H14" s="256">
        <v>2.83</v>
      </c>
      <c r="I14" s="6">
        <v>0</v>
      </c>
      <c r="J14" s="7">
        <v>0</v>
      </c>
      <c r="K14" s="37">
        <v>0</v>
      </c>
      <c r="L14" s="38">
        <v>0</v>
      </c>
      <c r="M14" s="64">
        <v>0</v>
      </c>
      <c r="N14" s="8">
        <v>0</v>
      </c>
      <c r="O14" s="6">
        <v>353</v>
      </c>
      <c r="P14" s="8">
        <v>2830</v>
      </c>
      <c r="Q14" s="170">
        <v>1362</v>
      </c>
    </row>
    <row r="15" spans="1:27" ht="21" customHeight="1">
      <c r="A15" s="322">
        <v>1.605</v>
      </c>
      <c r="B15" s="260">
        <v>2.1760000000000002</v>
      </c>
      <c r="C15" s="255">
        <f t="shared" si="0"/>
        <v>0</v>
      </c>
      <c r="D15" s="256">
        <f t="shared" si="1"/>
        <v>0</v>
      </c>
      <c r="E15" s="255">
        <v>0</v>
      </c>
      <c r="F15" s="256">
        <v>0</v>
      </c>
      <c r="G15" s="255">
        <v>1.605</v>
      </c>
      <c r="H15" s="256">
        <v>2.1760000000000002</v>
      </c>
      <c r="I15" s="6">
        <v>5</v>
      </c>
      <c r="J15" s="7">
        <v>0</v>
      </c>
      <c r="K15" s="37">
        <v>0</v>
      </c>
      <c r="L15" s="38">
        <v>0</v>
      </c>
      <c r="M15" s="64">
        <v>0</v>
      </c>
      <c r="N15" s="8">
        <v>2</v>
      </c>
      <c r="O15" s="6">
        <v>1600</v>
      </c>
      <c r="P15" s="8">
        <v>2174</v>
      </c>
      <c r="Q15" s="170">
        <v>1363</v>
      </c>
    </row>
    <row r="16" spans="1:27" ht="21" customHeight="1">
      <c r="A16" s="322">
        <v>1.4630000000000001</v>
      </c>
      <c r="B16" s="260">
        <f>0.84209</f>
        <v>0.84209000000000001</v>
      </c>
      <c r="C16" s="255">
        <f t="shared" si="0"/>
        <v>0</v>
      </c>
      <c r="D16" s="256">
        <f t="shared" si="1"/>
        <v>0</v>
      </c>
      <c r="E16" s="255">
        <v>0</v>
      </c>
      <c r="F16" s="256">
        <v>0</v>
      </c>
      <c r="G16" s="255">
        <v>1.4630000000000001</v>
      </c>
      <c r="H16" s="256">
        <f>0.84209</f>
        <v>0.84209000000000001</v>
      </c>
      <c r="I16" s="6">
        <v>-3</v>
      </c>
      <c r="J16" s="57">
        <v>0.09</v>
      </c>
      <c r="K16" s="37">
        <v>0</v>
      </c>
      <c r="L16" s="38">
        <v>0</v>
      </c>
      <c r="M16" s="64">
        <v>0</v>
      </c>
      <c r="N16" s="8">
        <v>2</v>
      </c>
      <c r="O16" s="6">
        <v>1466</v>
      </c>
      <c r="P16" s="8">
        <v>840</v>
      </c>
      <c r="Q16" s="170">
        <v>1364</v>
      </c>
    </row>
    <row r="17" spans="1:17" ht="21" customHeight="1">
      <c r="A17" s="322">
        <f>0.88122844</f>
        <v>0.88122844</v>
      </c>
      <c r="B17" s="326">
        <v>2.2776799200000002</v>
      </c>
      <c r="C17" s="255">
        <f t="shared" si="0"/>
        <v>0</v>
      </c>
      <c r="D17" s="256">
        <f t="shared" si="1"/>
        <v>0</v>
      </c>
      <c r="E17" s="255">
        <v>0</v>
      </c>
      <c r="F17" s="256">
        <v>0</v>
      </c>
      <c r="G17" s="255">
        <f>0.88122844</f>
        <v>0.88122844</v>
      </c>
      <c r="H17" s="256">
        <v>2.2776799200000002</v>
      </c>
      <c r="I17" s="6">
        <v>0</v>
      </c>
      <c r="J17" s="57">
        <v>-0.08</v>
      </c>
      <c r="K17" s="37">
        <v>0</v>
      </c>
      <c r="L17" s="38">
        <v>0</v>
      </c>
      <c r="M17" s="67">
        <f>0.026*4</f>
        <v>0.104</v>
      </c>
      <c r="N17" s="8">
        <v>0</v>
      </c>
      <c r="O17" s="6">
        <f>881.12444</f>
        <v>881.12444000000005</v>
      </c>
      <c r="P17" s="8">
        <f>569.43998*4</f>
        <v>2277.75992</v>
      </c>
      <c r="Q17" s="170">
        <v>1365</v>
      </c>
    </row>
    <row r="18" spans="1:17" ht="21" customHeight="1">
      <c r="A18" s="322">
        <f>0.058</f>
        <v>5.8000000000000003E-2</v>
      </c>
      <c r="B18" s="260">
        <v>0.26173999999999997</v>
      </c>
      <c r="C18" s="255">
        <f t="shared" si="0"/>
        <v>0</v>
      </c>
      <c r="D18" s="256">
        <f t="shared" si="1"/>
        <v>0</v>
      </c>
      <c r="E18" s="255">
        <v>0</v>
      </c>
      <c r="F18" s="256">
        <v>0</v>
      </c>
      <c r="G18" s="255">
        <f>0.058</f>
        <v>5.8000000000000003E-2</v>
      </c>
      <c r="H18" s="256">
        <f>0.26174</f>
        <v>0.26173999999999997</v>
      </c>
      <c r="I18" s="6">
        <v>0</v>
      </c>
      <c r="J18" s="7">
        <v>-1</v>
      </c>
      <c r="K18" s="37">
        <v>0</v>
      </c>
      <c r="L18" s="38">
        <v>0</v>
      </c>
      <c r="M18" s="64">
        <v>0</v>
      </c>
      <c r="N18" s="66">
        <v>-0.26</v>
      </c>
      <c r="O18" s="6">
        <v>58</v>
      </c>
      <c r="P18" s="8">
        <v>263</v>
      </c>
      <c r="Q18" s="170">
        <v>1366</v>
      </c>
    </row>
    <row r="19" spans="1:17" ht="21" customHeight="1">
      <c r="A19" s="322">
        <f>0.03329</f>
        <v>3.329E-2</v>
      </c>
      <c r="B19" s="260">
        <f>0.119</f>
        <v>0.11899999999999999</v>
      </c>
      <c r="C19" s="255">
        <f t="shared" si="0"/>
        <v>0</v>
      </c>
      <c r="D19" s="256">
        <f t="shared" si="1"/>
        <v>0</v>
      </c>
      <c r="E19" s="255">
        <v>0</v>
      </c>
      <c r="F19" s="256">
        <v>0</v>
      </c>
      <c r="G19" s="314">
        <f>0.03329</f>
        <v>3.329E-2</v>
      </c>
      <c r="H19" s="256">
        <f>0.119</f>
        <v>0.11899999999999999</v>
      </c>
      <c r="I19" s="6">
        <v>0.7</v>
      </c>
      <c r="J19" s="7">
        <v>0</v>
      </c>
      <c r="K19" s="37">
        <v>0</v>
      </c>
      <c r="L19" s="38">
        <v>0</v>
      </c>
      <c r="M19" s="64">
        <v>0.59</v>
      </c>
      <c r="N19" s="8">
        <v>0</v>
      </c>
      <c r="O19" s="6">
        <v>32</v>
      </c>
      <c r="P19" s="8">
        <v>119</v>
      </c>
      <c r="Q19" s="170">
        <v>1367</v>
      </c>
    </row>
    <row r="20" spans="1:17" ht="21" customHeight="1">
      <c r="A20" s="322">
        <f>0.031</f>
        <v>3.1E-2</v>
      </c>
      <c r="B20" s="260">
        <f>0.128</f>
        <v>0.128</v>
      </c>
      <c r="C20" s="255">
        <f t="shared" si="0"/>
        <v>0</v>
      </c>
      <c r="D20" s="256">
        <f t="shared" si="1"/>
        <v>0</v>
      </c>
      <c r="E20" s="255">
        <v>0</v>
      </c>
      <c r="F20" s="256">
        <v>0</v>
      </c>
      <c r="G20" s="314">
        <f>0.031</f>
        <v>3.1E-2</v>
      </c>
      <c r="H20" s="256">
        <f>0.128</f>
        <v>0.128</v>
      </c>
      <c r="I20" s="6">
        <v>0</v>
      </c>
      <c r="J20" s="7">
        <v>0</v>
      </c>
      <c r="K20" s="37">
        <v>0</v>
      </c>
      <c r="L20" s="38">
        <v>0</v>
      </c>
      <c r="M20" s="64">
        <v>0</v>
      </c>
      <c r="N20" s="8">
        <v>0</v>
      </c>
      <c r="O20" s="6">
        <v>31</v>
      </c>
      <c r="P20" s="8">
        <v>128</v>
      </c>
      <c r="Q20" s="170">
        <v>1368</v>
      </c>
    </row>
    <row r="21" spans="1:17" ht="21" customHeight="1">
      <c r="A21" s="322">
        <f>0.178</f>
        <v>0.17799999999999999</v>
      </c>
      <c r="B21" s="260">
        <f>0.224</f>
        <v>0.224</v>
      </c>
      <c r="C21" s="255">
        <f t="shared" si="0"/>
        <v>0</v>
      </c>
      <c r="D21" s="256">
        <f t="shared" si="1"/>
        <v>0</v>
      </c>
      <c r="E21" s="255">
        <v>0</v>
      </c>
      <c r="F21" s="256">
        <v>0</v>
      </c>
      <c r="G21" s="255">
        <f>0.178</f>
        <v>0.17799999999999999</v>
      </c>
      <c r="H21" s="256">
        <f>0.224</f>
        <v>0.224</v>
      </c>
      <c r="I21" s="6">
        <v>0</v>
      </c>
      <c r="J21" s="7">
        <v>0</v>
      </c>
      <c r="K21" s="37">
        <v>0</v>
      </c>
      <c r="L21" s="38">
        <v>0</v>
      </c>
      <c r="M21" s="64">
        <v>0</v>
      </c>
      <c r="N21" s="8">
        <v>0</v>
      </c>
      <c r="O21" s="6">
        <v>178</v>
      </c>
      <c r="P21" s="8">
        <v>224</v>
      </c>
      <c r="Q21" s="170">
        <v>1369</v>
      </c>
    </row>
    <row r="22" spans="1:17" ht="21" customHeight="1">
      <c r="A22" s="322">
        <f>0.147</f>
        <v>0.14699999999999999</v>
      </c>
      <c r="B22" s="260">
        <f>0.433</f>
        <v>0.433</v>
      </c>
      <c r="C22" s="255">
        <f t="shared" si="0"/>
        <v>0</v>
      </c>
      <c r="D22" s="256">
        <f t="shared" si="1"/>
        <v>0</v>
      </c>
      <c r="E22" s="255">
        <v>0</v>
      </c>
      <c r="F22" s="256">
        <v>0</v>
      </c>
      <c r="G22" s="255">
        <f>0.147</f>
        <v>0.14699999999999999</v>
      </c>
      <c r="H22" s="256">
        <f>0.433</f>
        <v>0.433</v>
      </c>
      <c r="I22" s="6">
        <v>0</v>
      </c>
      <c r="J22" s="7">
        <v>0</v>
      </c>
      <c r="K22" s="37">
        <v>0</v>
      </c>
      <c r="L22" s="38">
        <v>0</v>
      </c>
      <c r="M22" s="64">
        <v>0</v>
      </c>
      <c r="N22" s="8">
        <v>42</v>
      </c>
      <c r="O22" s="6">
        <v>147</v>
      </c>
      <c r="P22" s="8">
        <v>391</v>
      </c>
      <c r="Q22" s="170">
        <v>1370</v>
      </c>
    </row>
    <row r="23" spans="1:17" ht="21" customHeight="1">
      <c r="A23" s="322">
        <f>0.1077</f>
        <v>0.1077</v>
      </c>
      <c r="B23" s="260">
        <f>0.601</f>
        <v>0.60099999999999998</v>
      </c>
      <c r="C23" s="255">
        <f t="shared" si="0"/>
        <v>0</v>
      </c>
      <c r="D23" s="256">
        <f t="shared" si="1"/>
        <v>0</v>
      </c>
      <c r="E23" s="255">
        <v>0</v>
      </c>
      <c r="F23" s="256">
        <v>0</v>
      </c>
      <c r="G23" s="255">
        <f>0.1077</f>
        <v>0.1077</v>
      </c>
      <c r="H23" s="256">
        <f>0.601</f>
        <v>0.60099999999999998</v>
      </c>
      <c r="I23" s="6">
        <v>0</v>
      </c>
      <c r="J23" s="7">
        <v>0</v>
      </c>
      <c r="K23" s="37">
        <v>0</v>
      </c>
      <c r="L23" s="38">
        <v>8.1</v>
      </c>
      <c r="M23" s="64">
        <v>4.7</v>
      </c>
      <c r="N23" s="8">
        <v>122.4</v>
      </c>
      <c r="O23" s="6">
        <v>103</v>
      </c>
      <c r="P23" s="8">
        <v>470.5</v>
      </c>
      <c r="Q23" s="170">
        <v>1371</v>
      </c>
    </row>
    <row r="24" spans="1:17" ht="21" customHeight="1">
      <c r="A24" s="322">
        <v>1.9259999999999999</v>
      </c>
      <c r="B24" s="260">
        <v>2.3450000000000002</v>
      </c>
      <c r="C24" s="255">
        <f t="shared" si="0"/>
        <v>0</v>
      </c>
      <c r="D24" s="256">
        <f t="shared" si="1"/>
        <v>0</v>
      </c>
      <c r="E24" s="255">
        <v>0</v>
      </c>
      <c r="F24" s="256">
        <v>0</v>
      </c>
      <c r="G24" s="255">
        <v>1.9259999999999999</v>
      </c>
      <c r="H24" s="256">
        <v>2.3450000000000002</v>
      </c>
      <c r="I24" s="6">
        <v>0</v>
      </c>
      <c r="J24" s="7">
        <v>0</v>
      </c>
      <c r="K24" s="37">
        <v>0</v>
      </c>
      <c r="L24" s="38">
        <v>-2</v>
      </c>
      <c r="M24" s="64">
        <v>41</v>
      </c>
      <c r="N24" s="8">
        <v>119</v>
      </c>
      <c r="O24" s="6">
        <v>1885</v>
      </c>
      <c r="P24" s="8">
        <v>2228</v>
      </c>
      <c r="Q24" s="170">
        <v>1372</v>
      </c>
    </row>
    <row r="25" spans="1:17" ht="21" customHeight="1">
      <c r="A25" s="322">
        <f>0.853</f>
        <v>0.85299999999999998</v>
      </c>
      <c r="B25" s="260">
        <v>2.1179999999999999</v>
      </c>
      <c r="C25" s="255">
        <f t="shared" si="0"/>
        <v>0</v>
      </c>
      <c r="D25" s="256">
        <f t="shared" si="1"/>
        <v>0</v>
      </c>
      <c r="E25" s="255">
        <v>0</v>
      </c>
      <c r="F25" s="256">
        <v>0</v>
      </c>
      <c r="G25" s="255">
        <f>0.853</f>
        <v>0.85299999999999998</v>
      </c>
      <c r="H25" s="256">
        <v>2.1179999999999999</v>
      </c>
      <c r="I25" s="6">
        <v>0</v>
      </c>
      <c r="J25" s="7">
        <v>0</v>
      </c>
      <c r="K25" s="37">
        <v>0</v>
      </c>
      <c r="L25" s="38">
        <v>16</v>
      </c>
      <c r="M25" s="64">
        <v>250</v>
      </c>
      <c r="N25" s="8">
        <v>210</v>
      </c>
      <c r="O25" s="6">
        <v>603</v>
      </c>
      <c r="P25" s="8">
        <v>1892</v>
      </c>
      <c r="Q25" s="170">
        <v>1373</v>
      </c>
    </row>
    <row r="26" spans="1:17" ht="21" customHeight="1">
      <c r="A26" s="322">
        <v>1.5620000000000001</v>
      </c>
      <c r="B26" s="260">
        <v>7.6989999999999998</v>
      </c>
      <c r="C26" s="255">
        <f t="shared" si="0"/>
        <v>0</v>
      </c>
      <c r="D26" s="256">
        <f t="shared" si="1"/>
        <v>0</v>
      </c>
      <c r="E26" s="255">
        <v>0</v>
      </c>
      <c r="F26" s="256">
        <v>0</v>
      </c>
      <c r="G26" s="255">
        <v>1.5620000000000001</v>
      </c>
      <c r="H26" s="256">
        <v>7.6989999999999998</v>
      </c>
      <c r="I26" s="6">
        <v>0</v>
      </c>
      <c r="J26" s="7">
        <v>0</v>
      </c>
      <c r="K26" s="37">
        <v>176</v>
      </c>
      <c r="L26" s="38">
        <v>4751</v>
      </c>
      <c r="M26" s="64">
        <v>5</v>
      </c>
      <c r="N26" s="8">
        <v>110</v>
      </c>
      <c r="O26" s="6">
        <v>1381</v>
      </c>
      <c r="P26" s="8">
        <v>2838</v>
      </c>
      <c r="Q26" s="170">
        <v>1374</v>
      </c>
    </row>
    <row r="27" spans="1:17" ht="21" customHeight="1">
      <c r="A27" s="322">
        <v>3.9319999999999999</v>
      </c>
      <c r="B27" s="260">
        <v>9.6</v>
      </c>
      <c r="C27" s="255">
        <f t="shared" si="0"/>
        <v>0</v>
      </c>
      <c r="D27" s="256">
        <f t="shared" si="1"/>
        <v>0</v>
      </c>
      <c r="E27" s="255">
        <v>0</v>
      </c>
      <c r="F27" s="256">
        <v>0</v>
      </c>
      <c r="G27" s="255">
        <v>3.9319999999999999</v>
      </c>
      <c r="H27" s="256">
        <v>9.6</v>
      </c>
      <c r="I27" s="6">
        <v>0</v>
      </c>
      <c r="J27" s="7">
        <v>0</v>
      </c>
      <c r="K27" s="37">
        <v>2749</v>
      </c>
      <c r="L27" s="38">
        <v>4366</v>
      </c>
      <c r="M27" s="64">
        <v>179</v>
      </c>
      <c r="N27" s="8">
        <v>231</v>
      </c>
      <c r="O27" s="6">
        <v>1004</v>
      </c>
      <c r="P27" s="8">
        <v>5003</v>
      </c>
      <c r="Q27" s="170">
        <v>1375</v>
      </c>
    </row>
    <row r="28" spans="1:17" ht="21" customHeight="1">
      <c r="A28" s="322">
        <v>1.6830000000000001</v>
      </c>
      <c r="B28" s="260">
        <v>9.4640000000000004</v>
      </c>
      <c r="C28" s="255">
        <f t="shared" si="0"/>
        <v>0</v>
      </c>
      <c r="D28" s="256">
        <f t="shared" si="1"/>
        <v>0</v>
      </c>
      <c r="E28" s="255">
        <v>0</v>
      </c>
      <c r="F28" s="256">
        <v>0</v>
      </c>
      <c r="G28" s="255">
        <v>1.6830000000000001</v>
      </c>
      <c r="H28" s="256">
        <v>9.4640000000000004</v>
      </c>
      <c r="I28" s="6">
        <v>0</v>
      </c>
      <c r="J28" s="7">
        <v>0</v>
      </c>
      <c r="K28" s="37">
        <v>-1039</v>
      </c>
      <c r="L28" s="38">
        <v>5001</v>
      </c>
      <c r="M28" s="64">
        <v>5</v>
      </c>
      <c r="N28" s="8">
        <v>497</v>
      </c>
      <c r="O28" s="6">
        <v>2717</v>
      </c>
      <c r="P28" s="8">
        <v>3966</v>
      </c>
      <c r="Q28" s="170">
        <v>1376</v>
      </c>
    </row>
    <row r="29" spans="1:17" ht="21" customHeight="1">
      <c r="A29" s="322">
        <v>3.718</v>
      </c>
      <c r="B29" s="260">
        <v>11.048</v>
      </c>
      <c r="C29" s="255">
        <f t="shared" si="0"/>
        <v>0</v>
      </c>
      <c r="D29" s="256">
        <f t="shared" si="1"/>
        <v>0</v>
      </c>
      <c r="E29" s="255">
        <v>0</v>
      </c>
      <c r="F29" s="256">
        <v>0</v>
      </c>
      <c r="G29" s="255">
        <v>3.718</v>
      </c>
      <c r="H29" s="256">
        <v>11.048</v>
      </c>
      <c r="I29" s="6">
        <v>0</v>
      </c>
      <c r="J29" s="7">
        <v>16</v>
      </c>
      <c r="K29" s="37">
        <v>730</v>
      </c>
      <c r="L29" s="38">
        <v>5222</v>
      </c>
      <c r="M29" s="64">
        <v>194</v>
      </c>
      <c r="N29" s="8">
        <v>553</v>
      </c>
      <c r="O29" s="6">
        <v>2794</v>
      </c>
      <c r="P29" s="8">
        <v>5257</v>
      </c>
      <c r="Q29" s="170">
        <v>1377</v>
      </c>
    </row>
    <row r="30" spans="1:17" ht="21" customHeight="1">
      <c r="A30" s="322">
        <v>9.5525000000000002</v>
      </c>
      <c r="B30" s="260">
        <v>12.914099999999999</v>
      </c>
      <c r="C30" s="324">
        <f t="shared" si="0"/>
        <v>0</v>
      </c>
      <c r="D30" s="300">
        <f t="shared" si="1"/>
        <v>0</v>
      </c>
      <c r="E30" s="324">
        <v>0</v>
      </c>
      <c r="F30" s="300">
        <v>0</v>
      </c>
      <c r="G30" s="324">
        <v>9.5525000000000002</v>
      </c>
      <c r="H30" s="300">
        <v>12.914099999999999</v>
      </c>
      <c r="I30" s="13">
        <v>0</v>
      </c>
      <c r="J30" s="11">
        <v>77.5</v>
      </c>
      <c r="K30" s="20">
        <f>3342.9+441.9</f>
        <v>3784.8</v>
      </c>
      <c r="L30" s="21">
        <f>3853.5+531.5</f>
        <v>4385</v>
      </c>
      <c r="M30" s="10">
        <v>74.900000000000006</v>
      </c>
      <c r="N30" s="12">
        <v>1043.5</v>
      </c>
      <c r="O30" s="13">
        <v>5692.8</v>
      </c>
      <c r="P30" s="12">
        <v>7408.1</v>
      </c>
      <c r="Q30" s="187">
        <v>1378</v>
      </c>
    </row>
    <row r="31" spans="1:17" ht="21" customHeight="1">
      <c r="A31" s="322">
        <v>9.1954999999999991</v>
      </c>
      <c r="B31" s="260">
        <v>16.772099999999998</v>
      </c>
      <c r="C31" s="296">
        <f t="shared" si="0"/>
        <v>0</v>
      </c>
      <c r="D31" s="297">
        <f t="shared" si="1"/>
        <v>0</v>
      </c>
      <c r="E31" s="296">
        <v>0</v>
      </c>
      <c r="F31" s="297">
        <v>0</v>
      </c>
      <c r="G31" s="296">
        <v>9.1954999999999991</v>
      </c>
      <c r="H31" s="297">
        <v>16.772099999999998</v>
      </c>
      <c r="I31" s="17">
        <v>34.5</v>
      </c>
      <c r="J31" s="15">
        <v>1752</v>
      </c>
      <c r="K31" s="22">
        <v>1905.7</v>
      </c>
      <c r="L31" s="23">
        <v>4778.8999999999996</v>
      </c>
      <c r="M31" s="14">
        <v>1159.7</v>
      </c>
      <c r="N31" s="16">
        <v>1333.3</v>
      </c>
      <c r="O31" s="17">
        <v>6095.6</v>
      </c>
      <c r="P31" s="16">
        <v>8907.9</v>
      </c>
      <c r="Q31" s="226">
        <v>1379</v>
      </c>
    </row>
    <row r="32" spans="1:17" ht="21" customHeight="1">
      <c r="A32" s="312">
        <v>16.3689</v>
      </c>
      <c r="B32" s="300">
        <v>23.988600000000002</v>
      </c>
      <c r="C32" s="296">
        <f t="shared" si="0"/>
        <v>0</v>
      </c>
      <c r="D32" s="297">
        <f t="shared" si="1"/>
        <v>0</v>
      </c>
      <c r="E32" s="296">
        <v>0</v>
      </c>
      <c r="F32" s="297">
        <v>0</v>
      </c>
      <c r="G32" s="296">
        <v>16.3689</v>
      </c>
      <c r="H32" s="297">
        <v>23.988600000000002</v>
      </c>
      <c r="I32" s="17">
        <v>0</v>
      </c>
      <c r="J32" s="15">
        <v>2231.5</v>
      </c>
      <c r="K32" s="22">
        <v>2115.9</v>
      </c>
      <c r="L32" s="23">
        <v>7660.4</v>
      </c>
      <c r="M32" s="14">
        <v>5564.2</v>
      </c>
      <c r="N32" s="16">
        <v>1832.4</v>
      </c>
      <c r="O32" s="17">
        <v>8688.7999999999993</v>
      </c>
      <c r="P32" s="16">
        <v>12264.3</v>
      </c>
      <c r="Q32" s="226">
        <v>1380</v>
      </c>
    </row>
    <row r="33" spans="1:17" ht="21" customHeight="1">
      <c r="A33" s="304">
        <v>28.521529846</v>
      </c>
      <c r="B33" s="305">
        <v>49.521740369</v>
      </c>
      <c r="C33" s="302">
        <f t="shared" si="0"/>
        <v>0</v>
      </c>
      <c r="D33" s="305">
        <f t="shared" si="1"/>
        <v>0</v>
      </c>
      <c r="E33" s="302">
        <v>0</v>
      </c>
      <c r="F33" s="305">
        <v>0</v>
      </c>
      <c r="G33" s="302">
        <v>28.521529846</v>
      </c>
      <c r="H33" s="305">
        <v>49.521740369</v>
      </c>
      <c r="I33" s="25">
        <f>'[1]بيمه دانا'!$I$34/1000000</f>
        <v>753.90004799999997</v>
      </c>
      <c r="J33" s="26">
        <f>'[1]بيمه دانا'!$Q$34/1000000</f>
        <v>5442.5935799999997</v>
      </c>
      <c r="K33" s="27">
        <f>'[1]بيمه البرز'!$I$34/1000000</f>
        <v>15241.883693</v>
      </c>
      <c r="L33" s="28">
        <f>'[1]بيمه البرز'!$Q$34/1000000</f>
        <v>25257.205741000002</v>
      </c>
      <c r="M33" s="97">
        <f>'[1]بيمه آسيا'!$I$34/1000000</f>
        <v>5345.2350550000001</v>
      </c>
      <c r="N33" s="98">
        <f>'[1]بيمه آسيا'!$Q$34/1000000</f>
        <v>3470.2389710000002</v>
      </c>
      <c r="O33" s="25">
        <f>'[1]بيمه ايران'!$I$34/1000000</f>
        <v>7180.5110500000001</v>
      </c>
      <c r="P33" s="98">
        <f>'[1]بيمه ايران'!$Q$34/1000000</f>
        <v>15351.702077</v>
      </c>
      <c r="Q33" s="166">
        <v>1381</v>
      </c>
    </row>
    <row r="34" spans="1:17" ht="21" customHeight="1">
      <c r="A34" s="304">
        <v>27.90415102</v>
      </c>
      <c r="B34" s="305">
        <v>46.554979244000002</v>
      </c>
      <c r="C34" s="302">
        <f t="shared" si="0"/>
        <v>0</v>
      </c>
      <c r="D34" s="308">
        <f t="shared" si="1"/>
        <v>4.3750000000002842E-2</v>
      </c>
      <c r="E34" s="302">
        <v>0</v>
      </c>
      <c r="F34" s="308">
        <v>0</v>
      </c>
      <c r="G34" s="302">
        <v>27.90415102</v>
      </c>
      <c r="H34" s="308">
        <v>46.511229243999999</v>
      </c>
      <c r="I34" s="25">
        <f>'[2]بيمه دانا'!$I$34/1000000</f>
        <v>2783.2750000000001</v>
      </c>
      <c r="J34" s="88">
        <f>'[2]بيمه دانا'!$Q$34/1000000</f>
        <v>4550.6087440000001</v>
      </c>
      <c r="K34" s="27">
        <f>'[2]بيمه البرز'!$I$34/1000000</f>
        <v>11713.590348</v>
      </c>
      <c r="L34" s="102">
        <f>'[2]بيمه البرز'!$Q$34/1000000</f>
        <v>5716.2985760000001</v>
      </c>
      <c r="M34" s="25">
        <f>'[2]بيمه آسيا'!$I$34/1000000</f>
        <v>5045.686584</v>
      </c>
      <c r="N34" s="88">
        <f>'[2]بيمه آسيا'!$Q$34/1000000</f>
        <v>2830.8984399999999</v>
      </c>
      <c r="O34" s="25">
        <f>'[2]بيمه ايران'!$I$34/1000000</f>
        <v>8361.5990880000008</v>
      </c>
      <c r="P34" s="88">
        <f>'[2]بيمه ايران'!$Q$34/1000000</f>
        <v>33413.423483999999</v>
      </c>
      <c r="Q34" s="166">
        <v>1382</v>
      </c>
    </row>
    <row r="35" spans="1:17" ht="21" customHeight="1">
      <c r="A35" s="306">
        <v>16.814588787999998</v>
      </c>
      <c r="B35" s="307">
        <v>65.500639043999996</v>
      </c>
      <c r="C35" s="327">
        <f t="shared" si="0"/>
        <v>2.2792671999997793E-2</v>
      </c>
      <c r="D35" s="328">
        <f t="shared" si="1"/>
        <v>6.5222744159999948</v>
      </c>
      <c r="E35" s="327">
        <v>0</v>
      </c>
      <c r="F35" s="328">
        <v>0</v>
      </c>
      <c r="G35" s="327">
        <v>16.791796116</v>
      </c>
      <c r="H35" s="328">
        <v>58.978364628000001</v>
      </c>
      <c r="I35" s="29">
        <f>'[2]بيمه دانا'!$H$34/1000000</f>
        <v>1112.4079999999999</v>
      </c>
      <c r="J35" s="140">
        <f>'[2]بيمه دانا'!$P$34/1000000</f>
        <v>5000.6675800000003</v>
      </c>
      <c r="K35" s="32">
        <f>'[2]بيمه البرز'!$H$34/1000000</f>
        <v>6731.2857519999998</v>
      </c>
      <c r="L35" s="146">
        <f>'[2]بيمه البرز'!$P$34/1000000</f>
        <v>15646.833128</v>
      </c>
      <c r="M35" s="29">
        <f>'[2]بيمه آسيا'!$H$34/1000000</f>
        <v>2814.8547960000001</v>
      </c>
      <c r="N35" s="140">
        <f>'[2]بيمه آسيا'!$P$34/1000000</f>
        <v>3881.5471080000002</v>
      </c>
      <c r="O35" s="29">
        <f>'[2]بيمه ايران'!$H$34/1000000</f>
        <v>6133.2475679999998</v>
      </c>
      <c r="P35" s="140">
        <f>'[2]بيمه ايران'!$P$34/1000000</f>
        <v>34449.316811999997</v>
      </c>
      <c r="Q35" s="184">
        <v>1383</v>
      </c>
    </row>
    <row r="36" spans="1:17" s="1" customFormat="1" ht="21" customHeight="1">
      <c r="A36" s="304">
        <v>25.866473872</v>
      </c>
      <c r="B36" s="305">
        <v>88.041152647999994</v>
      </c>
      <c r="C36" s="308">
        <f t="shared" si="0"/>
        <v>1.7224683439999993</v>
      </c>
      <c r="D36" s="305">
        <f t="shared" si="1"/>
        <v>19.665382179999995</v>
      </c>
      <c r="E36" s="308"/>
      <c r="F36" s="308"/>
      <c r="G36" s="308">
        <v>24.144005528000001</v>
      </c>
      <c r="H36" s="305">
        <v>68.375770467999999</v>
      </c>
      <c r="I36" s="88">
        <f>'[3]بيمه دانا'!$H$34/1000000</f>
        <v>6304.095276</v>
      </c>
      <c r="J36" s="26">
        <f>'[3]بيمه دانا'!$P$34/1000000</f>
        <v>8834.8061519999992</v>
      </c>
      <c r="K36" s="102">
        <f>'[3]بيمه البرز'!$H$34/1000000</f>
        <v>9871.753772</v>
      </c>
      <c r="L36" s="28">
        <f>'[3]بيمه البرز'!$P$34/1000000</f>
        <v>11659.29586</v>
      </c>
      <c r="M36" s="88">
        <f>'[3]بيمه آسيا'!$H$34/1000000</f>
        <v>773.40732400000002</v>
      </c>
      <c r="N36" s="26">
        <f>'[3]بيمه آسيا'!$P$34/1000000</f>
        <v>2453.9475480000001</v>
      </c>
      <c r="O36" s="88">
        <f>'[3]بيمه ايران'!$H$34/1000000</f>
        <v>7194.7491559999999</v>
      </c>
      <c r="P36" s="26">
        <f>'[3]بيمه ايران'!$P$34/1000000</f>
        <v>45427.720908000003</v>
      </c>
      <c r="Q36" s="199">
        <v>1384</v>
      </c>
    </row>
    <row r="37" spans="1:17" s="1" customFormat="1" ht="21" customHeight="1">
      <c r="A37" s="329">
        <v>177.91970309999999</v>
      </c>
      <c r="B37" s="330">
        <v>69.533708047999994</v>
      </c>
      <c r="C37" s="331">
        <f t="shared" si="0"/>
        <v>4.8985213400000021</v>
      </c>
      <c r="D37" s="330">
        <f t="shared" si="1"/>
        <v>20.362392319999991</v>
      </c>
      <c r="E37" s="331"/>
      <c r="F37" s="331"/>
      <c r="G37" s="331">
        <v>173.02118175999999</v>
      </c>
      <c r="H37" s="330">
        <v>49.171315728000003</v>
      </c>
      <c r="I37" s="235"/>
      <c r="J37" s="235"/>
      <c r="K37" s="236"/>
      <c r="L37" s="236"/>
      <c r="M37" s="235"/>
      <c r="N37" s="235"/>
      <c r="O37" s="235"/>
      <c r="P37" s="235"/>
      <c r="Q37" s="237">
        <v>1385</v>
      </c>
    </row>
    <row r="38" spans="1:17" s="1" customFormat="1" ht="21" customHeight="1">
      <c r="A38" s="304">
        <v>65.988283847999995</v>
      </c>
      <c r="B38" s="305">
        <v>146.82321537999999</v>
      </c>
      <c r="C38" s="308">
        <f t="shared" si="0"/>
        <v>3.6664901199999917</v>
      </c>
      <c r="D38" s="305">
        <f t="shared" si="1"/>
        <v>48.951165639999999</v>
      </c>
      <c r="E38" s="308"/>
      <c r="F38" s="308"/>
      <c r="G38" s="308">
        <v>62.321793728000003</v>
      </c>
      <c r="H38" s="305">
        <v>97.872049739999994</v>
      </c>
      <c r="I38" s="88"/>
      <c r="J38" s="88"/>
      <c r="K38" s="102"/>
      <c r="L38" s="102"/>
      <c r="M38" s="88"/>
      <c r="N38" s="88"/>
      <c r="O38" s="88"/>
      <c r="P38" s="88"/>
      <c r="Q38" s="199">
        <v>1386</v>
      </c>
    </row>
    <row r="39" spans="1:17" s="1" customFormat="1" ht="21" customHeight="1">
      <c r="A39" s="304">
        <v>86.846801732000003</v>
      </c>
      <c r="B39" s="305">
        <v>140.110096304</v>
      </c>
      <c r="C39" s="308">
        <f t="shared" si="0"/>
        <v>61.702484304000002</v>
      </c>
      <c r="D39" s="305">
        <f t="shared" si="1"/>
        <v>60.747041127999992</v>
      </c>
      <c r="E39" s="308"/>
      <c r="F39" s="308"/>
      <c r="G39" s="308">
        <v>25.144317428000001</v>
      </c>
      <c r="H39" s="305">
        <v>79.363055176000003</v>
      </c>
      <c r="I39" s="88"/>
      <c r="J39" s="88"/>
      <c r="K39" s="102"/>
      <c r="L39" s="102"/>
      <c r="M39" s="88"/>
      <c r="N39" s="88"/>
      <c r="O39" s="88"/>
      <c r="P39" s="88"/>
      <c r="Q39" s="199">
        <v>1387</v>
      </c>
    </row>
    <row r="40" spans="1:17" s="1" customFormat="1" ht="21" customHeight="1">
      <c r="A40" s="304">
        <v>56.804619916</v>
      </c>
      <c r="B40" s="305">
        <v>135.12850010599999</v>
      </c>
      <c r="C40" s="308">
        <f t="shared" si="0"/>
        <v>47.800294043999997</v>
      </c>
      <c r="D40" s="305">
        <f t="shared" si="1"/>
        <v>89.347781015999999</v>
      </c>
      <c r="E40" s="308"/>
      <c r="F40" s="308"/>
      <c r="G40" s="308">
        <v>9.0043258720000008</v>
      </c>
      <c r="H40" s="305">
        <v>45.780719089999998</v>
      </c>
      <c r="I40" s="88"/>
      <c r="J40" s="88"/>
      <c r="K40" s="102"/>
      <c r="L40" s="102"/>
      <c r="M40" s="88"/>
      <c r="N40" s="88"/>
      <c r="O40" s="88"/>
      <c r="P40" s="88"/>
      <c r="Q40" s="199">
        <v>1388</v>
      </c>
    </row>
    <row r="41" spans="1:17" s="1" customFormat="1" ht="21" customHeight="1">
      <c r="A41" s="304">
        <v>101.357173604</v>
      </c>
      <c r="B41" s="305">
        <v>396.95244223200001</v>
      </c>
      <c r="C41" s="308">
        <f t="shared" si="0"/>
        <v>68.705679828000001</v>
      </c>
      <c r="D41" s="305">
        <f t="shared" si="1"/>
        <v>358.57205543600003</v>
      </c>
      <c r="E41" s="308"/>
      <c r="F41" s="308"/>
      <c r="G41" s="308">
        <v>32.651493776000002</v>
      </c>
      <c r="H41" s="305">
        <v>38.380386796000003</v>
      </c>
      <c r="I41" s="88"/>
      <c r="J41" s="88"/>
      <c r="K41" s="102"/>
      <c r="L41" s="102"/>
      <c r="M41" s="88"/>
      <c r="N41" s="88"/>
      <c r="O41" s="88"/>
      <c r="P41" s="88"/>
      <c r="Q41" s="199">
        <v>1389</v>
      </c>
    </row>
    <row r="42" spans="1:17" s="1" customFormat="1" ht="21" customHeight="1">
      <c r="A42" s="448">
        <f>229.1</f>
        <v>229.1</v>
      </c>
      <c r="B42" s="447">
        <f>751.3</f>
        <v>751.3</v>
      </c>
      <c r="C42" s="448">
        <f t="shared" ref="C42:D51" si="2">A42-G42</f>
        <v>199.9</v>
      </c>
      <c r="D42" s="447">
        <f t="shared" si="2"/>
        <v>711.59999999999991</v>
      </c>
      <c r="E42" s="449"/>
      <c r="F42" s="449"/>
      <c r="G42" s="449">
        <f>29.2</f>
        <v>29.2</v>
      </c>
      <c r="H42" s="447">
        <f>39.7</f>
        <v>39.700000000000003</v>
      </c>
      <c r="I42" s="405"/>
      <c r="J42" s="405"/>
      <c r="K42" s="405"/>
      <c r="L42" s="405"/>
      <c r="M42" s="405"/>
      <c r="N42" s="405"/>
      <c r="O42" s="405"/>
      <c r="P42" s="405"/>
      <c r="Q42" s="409">
        <v>1390</v>
      </c>
    </row>
    <row r="43" spans="1:17" s="1" customFormat="1" ht="21" customHeight="1">
      <c r="A43" s="446">
        <f>284.3</f>
        <v>284.3</v>
      </c>
      <c r="B43" s="457">
        <f>1647.7</f>
        <v>1647.7</v>
      </c>
      <c r="C43" s="448">
        <f t="shared" si="2"/>
        <v>270.7</v>
      </c>
      <c r="D43" s="447">
        <f t="shared" si="2"/>
        <v>1587.7</v>
      </c>
      <c r="E43" s="495"/>
      <c r="F43" s="495"/>
      <c r="G43" s="450">
        <v>13.6</v>
      </c>
      <c r="H43" s="451">
        <v>60</v>
      </c>
      <c r="I43" s="496"/>
      <c r="J43" s="496"/>
      <c r="K43" s="496"/>
      <c r="L43" s="496"/>
      <c r="M43" s="496"/>
      <c r="N43" s="496"/>
      <c r="O43" s="496"/>
      <c r="P43" s="496"/>
      <c r="Q43" s="497">
        <v>1391</v>
      </c>
    </row>
    <row r="44" spans="1:17" s="1" customFormat="1" ht="21" customHeight="1">
      <c r="A44" s="446">
        <v>1011.1</v>
      </c>
      <c r="B44" s="457">
        <v>1685.2</v>
      </c>
      <c r="C44" s="448">
        <f t="shared" si="2"/>
        <v>917.4</v>
      </c>
      <c r="D44" s="447">
        <f t="shared" si="2"/>
        <v>1647.8</v>
      </c>
      <c r="E44" s="449"/>
      <c r="F44" s="449"/>
      <c r="G44" s="446">
        <v>93.7</v>
      </c>
      <c r="H44" s="447">
        <v>37.4</v>
      </c>
      <c r="I44" s="405"/>
      <c r="J44" s="405"/>
      <c r="K44" s="405"/>
      <c r="L44" s="405"/>
      <c r="M44" s="405"/>
      <c r="N44" s="405"/>
      <c r="O44" s="405"/>
      <c r="P44" s="405"/>
      <c r="Q44" s="409">
        <v>1392</v>
      </c>
    </row>
    <row r="45" spans="1:17" s="1" customFormat="1" ht="21" customHeight="1">
      <c r="A45" s="446">
        <v>351.6</v>
      </c>
      <c r="B45" s="457">
        <v>1077.7</v>
      </c>
      <c r="C45" s="448">
        <f t="shared" si="2"/>
        <v>308.90000000000003</v>
      </c>
      <c r="D45" s="447">
        <f t="shared" si="2"/>
        <v>962.6</v>
      </c>
      <c r="E45" s="449"/>
      <c r="F45" s="449"/>
      <c r="G45" s="446">
        <v>42.7</v>
      </c>
      <c r="H45" s="447">
        <v>115.1</v>
      </c>
      <c r="I45" s="405"/>
      <c r="J45" s="405"/>
      <c r="K45" s="405"/>
      <c r="L45" s="405"/>
      <c r="M45" s="405"/>
      <c r="N45" s="405"/>
      <c r="O45" s="405"/>
      <c r="P45" s="405"/>
      <c r="Q45" s="409">
        <v>1393</v>
      </c>
    </row>
    <row r="46" spans="1:17" s="1" customFormat="1" ht="21" customHeight="1">
      <c r="A46" s="446">
        <v>561</v>
      </c>
      <c r="B46" s="457">
        <v>1494.3</v>
      </c>
      <c r="C46" s="448">
        <f t="shared" si="2"/>
        <v>522.20000000000005</v>
      </c>
      <c r="D46" s="447">
        <f t="shared" si="2"/>
        <v>1384.7</v>
      </c>
      <c r="E46" s="449"/>
      <c r="F46" s="449"/>
      <c r="G46" s="446">
        <v>38.799999999999997</v>
      </c>
      <c r="H46" s="447">
        <v>109.6</v>
      </c>
      <c r="I46" s="405"/>
      <c r="J46" s="405"/>
      <c r="K46" s="405"/>
      <c r="L46" s="405"/>
      <c r="M46" s="405"/>
      <c r="N46" s="405"/>
      <c r="O46" s="405"/>
      <c r="P46" s="405"/>
      <c r="Q46" s="409">
        <v>1394</v>
      </c>
    </row>
    <row r="47" spans="1:17" s="1" customFormat="1" ht="21" customHeight="1">
      <c r="A47" s="446">
        <v>685</v>
      </c>
      <c r="B47" s="457">
        <v>1347.7</v>
      </c>
      <c r="C47" s="448">
        <f t="shared" si="2"/>
        <v>583.20000000000005</v>
      </c>
      <c r="D47" s="447">
        <f t="shared" si="2"/>
        <v>1218.2</v>
      </c>
      <c r="E47" s="449"/>
      <c r="F47" s="449"/>
      <c r="G47" s="446">
        <v>101.8</v>
      </c>
      <c r="H47" s="447">
        <v>129.5</v>
      </c>
      <c r="I47" s="405"/>
      <c r="J47" s="405"/>
      <c r="K47" s="405"/>
      <c r="L47" s="405"/>
      <c r="M47" s="405"/>
      <c r="N47" s="405"/>
      <c r="O47" s="405"/>
      <c r="P47" s="405"/>
      <c r="Q47" s="409">
        <v>1395</v>
      </c>
    </row>
    <row r="48" spans="1:17" s="1" customFormat="1" ht="21" customHeight="1">
      <c r="A48" s="446">
        <v>596.1</v>
      </c>
      <c r="B48" s="457">
        <v>1429.6</v>
      </c>
      <c r="C48" s="448">
        <f t="shared" si="2"/>
        <v>530.70000000000005</v>
      </c>
      <c r="D48" s="447">
        <f t="shared" si="2"/>
        <v>1248.5</v>
      </c>
      <c r="E48" s="449"/>
      <c r="F48" s="449"/>
      <c r="G48" s="446">
        <v>65.400000000000006</v>
      </c>
      <c r="H48" s="447">
        <v>181.1</v>
      </c>
      <c r="I48" s="405"/>
      <c r="J48" s="405"/>
      <c r="K48" s="405"/>
      <c r="L48" s="405"/>
      <c r="M48" s="405"/>
      <c r="N48" s="405"/>
      <c r="O48" s="405"/>
      <c r="P48" s="405"/>
      <c r="Q48" s="409">
        <v>1396</v>
      </c>
    </row>
    <row r="49" spans="1:19" s="1" customFormat="1" ht="21" customHeight="1">
      <c r="A49" s="446">
        <v>1592.4</v>
      </c>
      <c r="B49" s="457">
        <v>3617.3</v>
      </c>
      <c r="C49" s="448">
        <f>A49-G49</f>
        <v>1464.7</v>
      </c>
      <c r="D49" s="447">
        <f>B49-H49</f>
        <v>3389</v>
      </c>
      <c r="E49" s="449"/>
      <c r="F49" s="449"/>
      <c r="G49" s="446">
        <f>[6]ایران!$J$13</f>
        <v>127.7</v>
      </c>
      <c r="H49" s="447">
        <f>[6]ایران!$B$13</f>
        <v>228.3</v>
      </c>
      <c r="I49" s="405"/>
      <c r="J49" s="405"/>
      <c r="K49" s="405"/>
      <c r="L49" s="405"/>
      <c r="M49" s="405"/>
      <c r="N49" s="405"/>
      <c r="O49" s="405"/>
      <c r="P49" s="405"/>
      <c r="Q49" s="409">
        <v>1397</v>
      </c>
    </row>
    <row r="50" spans="1:19" s="1" customFormat="1" ht="21" customHeight="1">
      <c r="A50" s="446">
        <v>1728.3</v>
      </c>
      <c r="B50" s="457">
        <v>5355.3</v>
      </c>
      <c r="C50" s="448">
        <f t="shared" si="2"/>
        <v>1593.2</v>
      </c>
      <c r="D50" s="447">
        <f t="shared" si="2"/>
        <v>5168.2</v>
      </c>
      <c r="E50" s="449"/>
      <c r="F50" s="449"/>
      <c r="G50" s="446">
        <v>135.1</v>
      </c>
      <c r="H50" s="447">
        <v>187.1</v>
      </c>
      <c r="I50" s="405"/>
      <c r="J50" s="405"/>
      <c r="K50" s="405"/>
      <c r="L50" s="405"/>
      <c r="M50" s="405"/>
      <c r="N50" s="405"/>
      <c r="O50" s="405"/>
      <c r="P50" s="405"/>
      <c r="Q50" s="409">
        <v>1398</v>
      </c>
    </row>
    <row r="51" spans="1:19" s="1" customFormat="1" ht="21" customHeight="1" thickBot="1">
      <c r="A51" s="446">
        <v>4877.8</v>
      </c>
      <c r="B51" s="457">
        <v>11759.2</v>
      </c>
      <c r="C51" s="448">
        <f t="shared" si="2"/>
        <v>4839</v>
      </c>
      <c r="D51" s="447">
        <f t="shared" si="2"/>
        <v>11479.1</v>
      </c>
      <c r="E51" s="449"/>
      <c r="F51" s="449"/>
      <c r="G51" s="446">
        <v>38.799999999999997</v>
      </c>
      <c r="H51" s="447">
        <v>280.10000000000002</v>
      </c>
      <c r="I51" s="405"/>
      <c r="J51" s="405"/>
      <c r="K51" s="405"/>
      <c r="L51" s="405"/>
      <c r="M51" s="405"/>
      <c r="N51" s="405"/>
      <c r="O51" s="405"/>
      <c r="P51" s="405"/>
      <c r="Q51" s="409">
        <v>1399</v>
      </c>
    </row>
    <row r="52" spans="1:19" ht="21" customHeight="1">
      <c r="A52" s="566" t="s">
        <v>32</v>
      </c>
      <c r="B52" s="567"/>
      <c r="C52" s="567"/>
      <c r="D52" s="567"/>
      <c r="E52" s="567"/>
      <c r="F52" s="567"/>
      <c r="G52" s="567"/>
      <c r="H52" s="567"/>
      <c r="I52" s="567"/>
      <c r="J52" s="567"/>
      <c r="K52" s="567"/>
      <c r="L52" s="567"/>
      <c r="M52" s="567"/>
      <c r="N52" s="567"/>
      <c r="O52" s="567"/>
      <c r="P52" s="567"/>
      <c r="Q52" s="567"/>
      <c r="R52" s="239"/>
      <c r="S52" s="239"/>
    </row>
  </sheetData>
  <mergeCells count="13">
    <mergeCell ref="A52:Q52"/>
    <mergeCell ref="A3:B3"/>
    <mergeCell ref="A1:Q1"/>
    <mergeCell ref="A2:Q2"/>
    <mergeCell ref="A4:B4"/>
    <mergeCell ref="E4:F4"/>
    <mergeCell ref="I4:J4"/>
    <mergeCell ref="K4:L4"/>
    <mergeCell ref="M4:N4"/>
    <mergeCell ref="O4:P4"/>
    <mergeCell ref="G4:H4"/>
    <mergeCell ref="Q4:Q5"/>
    <mergeCell ref="C4:D4"/>
  </mergeCells>
  <phoneticPr fontId="0" type="noConversion"/>
  <printOptions horizontalCentered="1" verticalCentered="1"/>
  <pageMargins left="0.74803149606299213" right="0.35433070866141736" top="0.98425196850393704" bottom="0.98425196850393704" header="0.47244094488188981" footer="0.51181102362204722"/>
  <pageSetup paperSize="9" scale="46" orientation="landscape" horizontalDpi="180" verticalDpi="18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zoomScale="80" zoomScaleNormal="80" zoomScaleSheetLayoutView="80" workbookViewId="0">
      <selection activeCell="Q4" sqref="Q4:Q5"/>
    </sheetView>
  </sheetViews>
  <sheetFormatPr defaultColWidth="13.88671875" defaultRowHeight="14.1" customHeight="1"/>
  <cols>
    <col min="1" max="4" width="20.6640625" customWidth="1"/>
    <col min="5" max="6" width="13.88671875" hidden="1" customWidth="1"/>
    <col min="7" max="8" width="20.6640625" customWidth="1"/>
    <col min="9" max="16" width="0" hidden="1" customWidth="1"/>
    <col min="17" max="17" width="20.6640625" customWidth="1"/>
  </cols>
  <sheetData>
    <row r="1" spans="1:27" ht="21" customHeight="1">
      <c r="A1" s="549" t="s">
        <v>41</v>
      </c>
      <c r="B1" s="549"/>
      <c r="C1" s="549"/>
      <c r="D1" s="549"/>
      <c r="E1" s="549"/>
      <c r="F1" s="549"/>
      <c r="G1" s="549"/>
      <c r="H1" s="549"/>
      <c r="I1" s="549"/>
      <c r="J1" s="549"/>
      <c r="K1" s="549"/>
      <c r="L1" s="549"/>
      <c r="M1" s="549"/>
      <c r="N1" s="549"/>
      <c r="O1" s="549"/>
      <c r="P1" s="549"/>
      <c r="Q1" s="549"/>
    </row>
    <row r="2" spans="1:27" ht="21" customHeight="1">
      <c r="A2" s="549" t="s">
        <v>58</v>
      </c>
      <c r="B2" s="549"/>
      <c r="C2" s="549"/>
      <c r="D2" s="549"/>
      <c r="E2" s="549"/>
      <c r="F2" s="549"/>
      <c r="G2" s="549"/>
      <c r="H2" s="549"/>
      <c r="I2" s="549"/>
      <c r="J2" s="549"/>
      <c r="K2" s="549"/>
      <c r="L2" s="549"/>
      <c r="M2" s="549"/>
      <c r="N2" s="549"/>
      <c r="O2" s="549"/>
      <c r="P2" s="549"/>
      <c r="Q2" s="549"/>
      <c r="W2" s="2"/>
      <c r="X2" s="2"/>
      <c r="Y2" s="2"/>
      <c r="Z2" s="2"/>
      <c r="AA2" s="2"/>
    </row>
    <row r="3" spans="1:27" ht="14.1" customHeight="1" thickBot="1">
      <c r="A3" s="550" t="s">
        <v>56</v>
      </c>
      <c r="B3" s="550"/>
      <c r="C3" s="86"/>
      <c r="D3" s="86"/>
      <c r="E3" s="1"/>
      <c r="F3" s="1"/>
      <c r="G3" s="1"/>
      <c r="H3" s="1"/>
      <c r="I3" s="1"/>
      <c r="J3" s="1"/>
      <c r="K3" s="1"/>
      <c r="L3" s="1"/>
      <c r="M3" s="1"/>
      <c r="N3" s="1"/>
      <c r="O3" s="1"/>
      <c r="P3" s="1"/>
      <c r="Q3" s="1"/>
      <c r="W3" s="2"/>
      <c r="X3" s="2"/>
      <c r="Y3" s="2"/>
      <c r="Z3" s="2"/>
      <c r="AA3" s="2"/>
    </row>
    <row r="4" spans="1:27" ht="21" customHeight="1">
      <c r="A4" s="569" t="s">
        <v>7</v>
      </c>
      <c r="B4" s="570"/>
      <c r="C4" s="569" t="s">
        <v>33</v>
      </c>
      <c r="D4" s="570"/>
      <c r="E4" s="569" t="s">
        <v>6</v>
      </c>
      <c r="F4" s="570"/>
      <c r="G4" s="569" t="s">
        <v>21</v>
      </c>
      <c r="H4" s="570"/>
      <c r="I4" s="569" t="s">
        <v>5</v>
      </c>
      <c r="J4" s="570"/>
      <c r="K4" s="571" t="s">
        <v>4</v>
      </c>
      <c r="L4" s="572"/>
      <c r="M4" s="569" t="s">
        <v>3</v>
      </c>
      <c r="N4" s="570"/>
      <c r="O4" s="569" t="s">
        <v>2</v>
      </c>
      <c r="P4" s="570"/>
      <c r="Q4" s="557" t="s">
        <v>8</v>
      </c>
    </row>
    <row r="5" spans="1:27" ht="21" customHeight="1" thickBot="1">
      <c r="A5" s="185" t="s">
        <v>25</v>
      </c>
      <c r="B5" s="186" t="s">
        <v>34</v>
      </c>
      <c r="C5" s="185" t="s">
        <v>25</v>
      </c>
      <c r="D5" s="186" t="s">
        <v>34</v>
      </c>
      <c r="E5" s="185" t="s">
        <v>1</v>
      </c>
      <c r="F5" s="186" t="s">
        <v>0</v>
      </c>
      <c r="G5" s="185" t="s">
        <v>25</v>
      </c>
      <c r="H5" s="186" t="s">
        <v>34</v>
      </c>
      <c r="I5" s="185" t="s">
        <v>25</v>
      </c>
      <c r="J5" s="186" t="s">
        <v>24</v>
      </c>
      <c r="K5" s="163" t="s">
        <v>1</v>
      </c>
      <c r="L5" s="164" t="s">
        <v>0</v>
      </c>
      <c r="M5" s="161" t="s">
        <v>1</v>
      </c>
      <c r="N5" s="162" t="s">
        <v>0</v>
      </c>
      <c r="O5" s="161" t="s">
        <v>1</v>
      </c>
      <c r="P5" s="162" t="s">
        <v>0</v>
      </c>
      <c r="Q5" s="558"/>
    </row>
    <row r="6" spans="1:27" ht="21" customHeight="1">
      <c r="A6" s="253">
        <f>0.092</f>
        <v>9.1999999999999998E-2</v>
      </c>
      <c r="B6" s="254">
        <f>0.32403</f>
        <v>0.32402999999999998</v>
      </c>
      <c r="C6" s="253">
        <f>A6-G6</f>
        <v>0</v>
      </c>
      <c r="D6" s="254">
        <f>B6-H6</f>
        <v>0</v>
      </c>
      <c r="E6" s="253">
        <v>0</v>
      </c>
      <c r="F6" s="254">
        <v>0</v>
      </c>
      <c r="G6" s="253">
        <f>0.092</f>
        <v>9.1999999999999998E-2</v>
      </c>
      <c r="H6" s="254">
        <f>0.32403</f>
        <v>0.32402999999999998</v>
      </c>
      <c r="I6" s="18">
        <v>80</v>
      </c>
      <c r="J6" s="19">
        <v>264</v>
      </c>
      <c r="K6" s="43">
        <v>0</v>
      </c>
      <c r="L6" s="44">
        <v>0</v>
      </c>
      <c r="M6" s="18">
        <v>0</v>
      </c>
      <c r="N6" s="68">
        <v>0.03</v>
      </c>
      <c r="O6" s="18">
        <v>12</v>
      </c>
      <c r="P6" s="19">
        <v>60</v>
      </c>
      <c r="Q6" s="169">
        <v>1354</v>
      </c>
    </row>
    <row r="7" spans="1:27" ht="21" customHeight="1">
      <c r="A7" s="255">
        <f>0.077</f>
        <v>7.6999999999999999E-2</v>
      </c>
      <c r="B7" s="256">
        <f>0.344</f>
        <v>0.34399999999999997</v>
      </c>
      <c r="C7" s="255">
        <f t="shared" ref="C7:C41" si="0">A7-G7</f>
        <v>0</v>
      </c>
      <c r="D7" s="256">
        <f t="shared" ref="D7:D41" si="1">B7-H7</f>
        <v>0</v>
      </c>
      <c r="E7" s="255">
        <v>0</v>
      </c>
      <c r="F7" s="256">
        <v>0</v>
      </c>
      <c r="G7" s="255">
        <f>0.077</f>
        <v>7.6999999999999999E-2</v>
      </c>
      <c r="H7" s="256">
        <f>0.344</f>
        <v>0.34399999999999997</v>
      </c>
      <c r="I7" s="6">
        <v>73</v>
      </c>
      <c r="J7" s="7">
        <v>283</v>
      </c>
      <c r="K7" s="37">
        <v>0</v>
      </c>
      <c r="L7" s="38">
        <v>0</v>
      </c>
      <c r="M7" s="6">
        <v>0</v>
      </c>
      <c r="N7" s="7">
        <v>0</v>
      </c>
      <c r="O7" s="6">
        <v>4</v>
      </c>
      <c r="P7" s="7">
        <v>61</v>
      </c>
      <c r="Q7" s="170">
        <v>1355</v>
      </c>
    </row>
    <row r="8" spans="1:27" ht="21" customHeight="1">
      <c r="A8" s="255">
        <f>0.104</f>
        <v>0.104</v>
      </c>
      <c r="B8" s="256">
        <f>0.394</f>
        <v>0.39400000000000002</v>
      </c>
      <c r="C8" s="255">
        <f t="shared" si="0"/>
        <v>0</v>
      </c>
      <c r="D8" s="256">
        <f t="shared" si="1"/>
        <v>0</v>
      </c>
      <c r="E8" s="255">
        <v>0</v>
      </c>
      <c r="F8" s="256">
        <v>0</v>
      </c>
      <c r="G8" s="255">
        <f>0.104</f>
        <v>0.104</v>
      </c>
      <c r="H8" s="256">
        <f>0.394</f>
        <v>0.39400000000000002</v>
      </c>
      <c r="I8" s="6">
        <v>103</v>
      </c>
      <c r="J8" s="7">
        <v>313</v>
      </c>
      <c r="K8" s="37">
        <v>0</v>
      </c>
      <c r="L8" s="38">
        <v>0</v>
      </c>
      <c r="M8" s="6">
        <v>0</v>
      </c>
      <c r="N8" s="7">
        <v>0</v>
      </c>
      <c r="O8" s="6">
        <v>1</v>
      </c>
      <c r="P8" s="7">
        <v>81</v>
      </c>
      <c r="Q8" s="170">
        <v>1356</v>
      </c>
    </row>
    <row r="9" spans="1:27" ht="21" customHeight="1">
      <c r="A9" s="255">
        <f>0.124</f>
        <v>0.124</v>
      </c>
      <c r="B9" s="256">
        <f>0.569</f>
        <v>0.56899999999999995</v>
      </c>
      <c r="C9" s="255">
        <f t="shared" si="0"/>
        <v>0</v>
      </c>
      <c r="D9" s="256">
        <f t="shared" si="1"/>
        <v>0</v>
      </c>
      <c r="E9" s="255">
        <v>0</v>
      </c>
      <c r="F9" s="256">
        <v>0</v>
      </c>
      <c r="G9" s="255">
        <f>0.124</f>
        <v>0.124</v>
      </c>
      <c r="H9" s="256">
        <f>0.569</f>
        <v>0.56899999999999995</v>
      </c>
      <c r="I9" s="6">
        <v>123</v>
      </c>
      <c r="J9" s="7">
        <v>486</v>
      </c>
      <c r="K9" s="37">
        <v>0</v>
      </c>
      <c r="L9" s="38">
        <v>0</v>
      </c>
      <c r="M9" s="6">
        <v>0</v>
      </c>
      <c r="N9" s="7">
        <v>0</v>
      </c>
      <c r="O9" s="6">
        <v>1</v>
      </c>
      <c r="P9" s="7">
        <v>83</v>
      </c>
      <c r="Q9" s="170">
        <v>1357</v>
      </c>
    </row>
    <row r="10" spans="1:27" ht="21" customHeight="1">
      <c r="A10" s="255">
        <f>0.546</f>
        <v>0.54600000000000004</v>
      </c>
      <c r="B10" s="256">
        <f>0.591</f>
        <v>0.59099999999999997</v>
      </c>
      <c r="C10" s="255">
        <f t="shared" si="0"/>
        <v>0</v>
      </c>
      <c r="D10" s="256">
        <f t="shared" si="1"/>
        <v>0</v>
      </c>
      <c r="E10" s="255">
        <v>0</v>
      </c>
      <c r="F10" s="256">
        <v>0</v>
      </c>
      <c r="G10" s="255">
        <f>0.546</f>
        <v>0.54600000000000004</v>
      </c>
      <c r="H10" s="256">
        <f>0.591</f>
        <v>0.59099999999999997</v>
      </c>
      <c r="I10" s="6">
        <v>170</v>
      </c>
      <c r="J10" s="7">
        <v>213</v>
      </c>
      <c r="K10" s="37">
        <v>0</v>
      </c>
      <c r="L10" s="38">
        <v>0</v>
      </c>
      <c r="M10" s="6">
        <v>0</v>
      </c>
      <c r="N10" s="7">
        <v>0</v>
      </c>
      <c r="O10" s="6">
        <v>376</v>
      </c>
      <c r="P10" s="7">
        <v>378</v>
      </c>
      <c r="Q10" s="170">
        <v>1358</v>
      </c>
    </row>
    <row r="11" spans="1:27" ht="21" customHeight="1">
      <c r="A11" s="332">
        <f>0.315</f>
        <v>0.315</v>
      </c>
      <c r="B11" s="333">
        <f>0.858</f>
        <v>0.85799999999999998</v>
      </c>
      <c r="C11" s="255">
        <f t="shared" si="0"/>
        <v>0</v>
      </c>
      <c r="D11" s="256">
        <f t="shared" si="1"/>
        <v>0</v>
      </c>
      <c r="E11" s="255">
        <v>0</v>
      </c>
      <c r="F11" s="256">
        <v>0</v>
      </c>
      <c r="G11" s="255">
        <f>0.315</f>
        <v>0.315</v>
      </c>
      <c r="H11" s="256">
        <f>0.858</f>
        <v>0.85799999999999998</v>
      </c>
      <c r="I11" s="6">
        <v>96</v>
      </c>
      <c r="J11" s="7">
        <v>102</v>
      </c>
      <c r="K11" s="37">
        <v>0</v>
      </c>
      <c r="L11" s="38">
        <v>0</v>
      </c>
      <c r="M11" s="6">
        <v>0</v>
      </c>
      <c r="N11" s="7">
        <v>0</v>
      </c>
      <c r="O11" s="6">
        <v>219</v>
      </c>
      <c r="P11" s="7">
        <v>756</v>
      </c>
      <c r="Q11" s="170">
        <v>1359</v>
      </c>
    </row>
    <row r="12" spans="1:27" ht="21" customHeight="1">
      <c r="A12" s="255">
        <f>0.287</f>
        <v>0.28699999999999998</v>
      </c>
      <c r="B12" s="256">
        <f>0.875</f>
        <v>0.875</v>
      </c>
      <c r="C12" s="255">
        <f t="shared" si="0"/>
        <v>0</v>
      </c>
      <c r="D12" s="256">
        <f t="shared" si="1"/>
        <v>0</v>
      </c>
      <c r="E12" s="255">
        <v>0</v>
      </c>
      <c r="F12" s="256">
        <v>0</v>
      </c>
      <c r="G12" s="255">
        <f>0.287</f>
        <v>0.28699999999999998</v>
      </c>
      <c r="H12" s="256">
        <f>0.875</f>
        <v>0.875</v>
      </c>
      <c r="I12" s="6">
        <v>8</v>
      </c>
      <c r="J12" s="7">
        <v>94</v>
      </c>
      <c r="K12" s="37">
        <v>0</v>
      </c>
      <c r="L12" s="38">
        <v>0</v>
      </c>
      <c r="M12" s="6">
        <v>0</v>
      </c>
      <c r="N12" s="7">
        <v>0</v>
      </c>
      <c r="O12" s="6">
        <v>279</v>
      </c>
      <c r="P12" s="7">
        <v>781</v>
      </c>
      <c r="Q12" s="170">
        <v>1360</v>
      </c>
    </row>
    <row r="13" spans="1:27" ht="21" customHeight="1">
      <c r="A13" s="255">
        <f>0.465</f>
        <v>0.46500000000000002</v>
      </c>
      <c r="B13" s="256">
        <f>0.85</f>
        <v>0.85</v>
      </c>
      <c r="C13" s="255">
        <f t="shared" si="0"/>
        <v>0</v>
      </c>
      <c r="D13" s="256">
        <f t="shared" si="1"/>
        <v>0</v>
      </c>
      <c r="E13" s="255">
        <v>0</v>
      </c>
      <c r="F13" s="256">
        <v>0</v>
      </c>
      <c r="G13" s="255">
        <f>0.465</f>
        <v>0.46500000000000002</v>
      </c>
      <c r="H13" s="256">
        <f>0.85</f>
        <v>0.85</v>
      </c>
      <c r="I13" s="6">
        <v>34</v>
      </c>
      <c r="J13" s="7">
        <v>-14</v>
      </c>
      <c r="K13" s="37">
        <v>0</v>
      </c>
      <c r="L13" s="38">
        <v>0</v>
      </c>
      <c r="M13" s="6">
        <v>0</v>
      </c>
      <c r="N13" s="7">
        <v>0</v>
      </c>
      <c r="O13" s="6">
        <v>431</v>
      </c>
      <c r="P13" s="7">
        <v>864</v>
      </c>
      <c r="Q13" s="170">
        <v>1361</v>
      </c>
    </row>
    <row r="14" spans="1:27" ht="21" customHeight="1">
      <c r="A14" s="255">
        <f>0.347</f>
        <v>0.34699999999999998</v>
      </c>
      <c r="B14" s="256">
        <f>0.909</f>
        <v>0.90900000000000003</v>
      </c>
      <c r="C14" s="255">
        <f t="shared" si="0"/>
        <v>0</v>
      </c>
      <c r="D14" s="256">
        <f t="shared" si="1"/>
        <v>0</v>
      </c>
      <c r="E14" s="255">
        <v>0</v>
      </c>
      <c r="F14" s="256">
        <v>0</v>
      </c>
      <c r="G14" s="255">
        <f>0.347</f>
        <v>0.34699999999999998</v>
      </c>
      <c r="H14" s="256">
        <f>0.909</f>
        <v>0.90900000000000003</v>
      </c>
      <c r="I14" s="6">
        <v>0</v>
      </c>
      <c r="J14" s="7">
        <v>0</v>
      </c>
      <c r="K14" s="37">
        <v>0</v>
      </c>
      <c r="L14" s="38">
        <v>0</v>
      </c>
      <c r="M14" s="6">
        <v>0</v>
      </c>
      <c r="N14" s="7">
        <v>0</v>
      </c>
      <c r="O14" s="6">
        <v>347</v>
      </c>
      <c r="P14" s="7">
        <v>909</v>
      </c>
      <c r="Q14" s="170">
        <v>1362</v>
      </c>
    </row>
    <row r="15" spans="1:27" ht="21" customHeight="1">
      <c r="A15" s="255">
        <f>0.3733</f>
        <v>0.37330000000000002</v>
      </c>
      <c r="B15" s="256">
        <v>1.4590000000000001</v>
      </c>
      <c r="C15" s="255">
        <f t="shared" si="0"/>
        <v>0</v>
      </c>
      <c r="D15" s="256">
        <f t="shared" si="1"/>
        <v>0</v>
      </c>
      <c r="E15" s="255">
        <v>0</v>
      </c>
      <c r="F15" s="256">
        <v>0</v>
      </c>
      <c r="G15" s="255">
        <f>0.3733</f>
        <v>0.37330000000000002</v>
      </c>
      <c r="H15" s="256">
        <v>1.4590000000000001</v>
      </c>
      <c r="I15" s="6">
        <v>0.3</v>
      </c>
      <c r="J15" s="7">
        <v>0</v>
      </c>
      <c r="K15" s="37">
        <v>0</v>
      </c>
      <c r="L15" s="38">
        <v>0</v>
      </c>
      <c r="M15" s="6">
        <v>0</v>
      </c>
      <c r="N15" s="7">
        <v>0</v>
      </c>
      <c r="O15" s="6">
        <v>373</v>
      </c>
      <c r="P15" s="7">
        <v>1459</v>
      </c>
      <c r="Q15" s="170">
        <v>1363</v>
      </c>
    </row>
    <row r="16" spans="1:27" ht="21" customHeight="1">
      <c r="A16" s="255">
        <v>2.7440000000000002</v>
      </c>
      <c r="B16" s="256">
        <v>1.5742</v>
      </c>
      <c r="C16" s="255">
        <f t="shared" si="0"/>
        <v>0</v>
      </c>
      <c r="D16" s="256">
        <f t="shared" si="1"/>
        <v>0</v>
      </c>
      <c r="E16" s="255">
        <v>0</v>
      </c>
      <c r="F16" s="256">
        <v>0</v>
      </c>
      <c r="G16" s="255">
        <v>2.7440000000000002</v>
      </c>
      <c r="H16" s="256">
        <v>1.5742</v>
      </c>
      <c r="I16" s="6">
        <v>4</v>
      </c>
      <c r="J16" s="57">
        <v>0.2</v>
      </c>
      <c r="K16" s="37">
        <v>0</v>
      </c>
      <c r="L16" s="38">
        <v>0</v>
      </c>
      <c r="M16" s="6">
        <v>0</v>
      </c>
      <c r="N16" s="7">
        <v>0</v>
      </c>
      <c r="O16" s="6">
        <v>2740</v>
      </c>
      <c r="P16" s="7">
        <v>1574</v>
      </c>
      <c r="Q16" s="170">
        <v>1364</v>
      </c>
    </row>
    <row r="17" spans="1:17" ht="21" customHeight="1">
      <c r="A17" s="255">
        <f>0.802</f>
        <v>0.80200000000000005</v>
      </c>
      <c r="B17" s="256">
        <v>1.5229999999999999</v>
      </c>
      <c r="C17" s="255">
        <f t="shared" si="0"/>
        <v>0</v>
      </c>
      <c r="D17" s="256">
        <f t="shared" si="1"/>
        <v>0</v>
      </c>
      <c r="E17" s="255">
        <v>0</v>
      </c>
      <c r="F17" s="256">
        <v>0</v>
      </c>
      <c r="G17" s="255">
        <f>0.802</f>
        <v>0.80200000000000005</v>
      </c>
      <c r="H17" s="256">
        <v>1.5229999999999999</v>
      </c>
      <c r="I17" s="6">
        <v>0</v>
      </c>
      <c r="J17" s="7">
        <v>0</v>
      </c>
      <c r="K17" s="37">
        <v>0</v>
      </c>
      <c r="L17" s="38">
        <v>0</v>
      </c>
      <c r="M17" s="6">
        <v>0</v>
      </c>
      <c r="N17" s="7">
        <v>0</v>
      </c>
      <c r="O17" s="6">
        <v>802</v>
      </c>
      <c r="P17" s="7">
        <v>1523</v>
      </c>
      <c r="Q17" s="170">
        <v>1365</v>
      </c>
    </row>
    <row r="18" spans="1:17" ht="21" customHeight="1">
      <c r="A18" s="255">
        <f>0.141</f>
        <v>0.14099999999999999</v>
      </c>
      <c r="B18" s="256">
        <v>1.355</v>
      </c>
      <c r="C18" s="255">
        <f t="shared" si="0"/>
        <v>0</v>
      </c>
      <c r="D18" s="256">
        <f t="shared" si="1"/>
        <v>0</v>
      </c>
      <c r="E18" s="255">
        <v>0</v>
      </c>
      <c r="F18" s="256">
        <v>0</v>
      </c>
      <c r="G18" s="255">
        <f>0.141</f>
        <v>0.14099999999999999</v>
      </c>
      <c r="H18" s="256">
        <v>1.355</v>
      </c>
      <c r="I18" s="6">
        <v>0</v>
      </c>
      <c r="J18" s="7">
        <v>0</v>
      </c>
      <c r="K18" s="37">
        <v>0</v>
      </c>
      <c r="L18" s="38">
        <v>0</v>
      </c>
      <c r="M18" s="6">
        <v>0</v>
      </c>
      <c r="N18" s="7">
        <v>0</v>
      </c>
      <c r="O18" s="6">
        <v>141</v>
      </c>
      <c r="P18" s="7">
        <v>1355</v>
      </c>
      <c r="Q18" s="170">
        <v>1366</v>
      </c>
    </row>
    <row r="19" spans="1:17" ht="21" customHeight="1">
      <c r="A19" s="255">
        <f>0.105</f>
        <v>0.105</v>
      </c>
      <c r="B19" s="256">
        <v>1.046</v>
      </c>
      <c r="C19" s="255">
        <f t="shared" si="0"/>
        <v>0</v>
      </c>
      <c r="D19" s="256">
        <f t="shared" si="1"/>
        <v>0</v>
      </c>
      <c r="E19" s="255">
        <v>0</v>
      </c>
      <c r="F19" s="256">
        <v>0</v>
      </c>
      <c r="G19" s="255">
        <f>0.105</f>
        <v>0.105</v>
      </c>
      <c r="H19" s="256">
        <v>1.046</v>
      </c>
      <c r="I19" s="6">
        <v>0</v>
      </c>
      <c r="J19" s="7">
        <v>0</v>
      </c>
      <c r="K19" s="37">
        <v>0</v>
      </c>
      <c r="L19" s="38">
        <v>0</v>
      </c>
      <c r="M19" s="6">
        <v>0</v>
      </c>
      <c r="N19" s="7">
        <v>0</v>
      </c>
      <c r="O19" s="6">
        <v>105</v>
      </c>
      <c r="P19" s="7">
        <v>1046</v>
      </c>
      <c r="Q19" s="170">
        <v>1367</v>
      </c>
    </row>
    <row r="20" spans="1:17" ht="21" customHeight="1">
      <c r="A20" s="255">
        <f>0.218</f>
        <v>0.218</v>
      </c>
      <c r="B20" s="256">
        <f>0.736</f>
        <v>0.73599999999999999</v>
      </c>
      <c r="C20" s="255">
        <f t="shared" si="0"/>
        <v>0</v>
      </c>
      <c r="D20" s="256">
        <f t="shared" si="1"/>
        <v>0</v>
      </c>
      <c r="E20" s="255">
        <v>0</v>
      </c>
      <c r="F20" s="256">
        <v>0</v>
      </c>
      <c r="G20" s="255">
        <f>0.218</f>
        <v>0.218</v>
      </c>
      <c r="H20" s="256">
        <f>0.736</f>
        <v>0.73599999999999999</v>
      </c>
      <c r="I20" s="6">
        <v>0</v>
      </c>
      <c r="J20" s="7">
        <v>0</v>
      </c>
      <c r="K20" s="37">
        <v>0</v>
      </c>
      <c r="L20" s="38">
        <v>0</v>
      </c>
      <c r="M20" s="6">
        <v>0</v>
      </c>
      <c r="N20" s="7">
        <v>0</v>
      </c>
      <c r="O20" s="6">
        <v>218</v>
      </c>
      <c r="P20" s="7">
        <v>736</v>
      </c>
      <c r="Q20" s="170">
        <v>1368</v>
      </c>
    </row>
    <row r="21" spans="1:17" ht="21" customHeight="1">
      <c r="A21" s="255">
        <f>0.319</f>
        <v>0.31900000000000001</v>
      </c>
      <c r="B21" s="256">
        <f>0.944</f>
        <v>0.94399999999999995</v>
      </c>
      <c r="C21" s="255">
        <f t="shared" si="0"/>
        <v>0</v>
      </c>
      <c r="D21" s="256">
        <f t="shared" si="1"/>
        <v>0</v>
      </c>
      <c r="E21" s="255">
        <v>0</v>
      </c>
      <c r="F21" s="256">
        <v>0</v>
      </c>
      <c r="G21" s="255">
        <f>0.319</f>
        <v>0.31900000000000001</v>
      </c>
      <c r="H21" s="256">
        <f>0.944</f>
        <v>0.94399999999999995</v>
      </c>
      <c r="I21" s="6">
        <v>0</v>
      </c>
      <c r="J21" s="7">
        <v>0</v>
      </c>
      <c r="K21" s="37">
        <v>0</v>
      </c>
      <c r="L21" s="38">
        <v>0</v>
      </c>
      <c r="M21" s="6">
        <v>0</v>
      </c>
      <c r="N21" s="7">
        <v>0</v>
      </c>
      <c r="O21" s="6">
        <v>319</v>
      </c>
      <c r="P21" s="7">
        <v>944</v>
      </c>
      <c r="Q21" s="170">
        <v>1369</v>
      </c>
    </row>
    <row r="22" spans="1:17" ht="21" customHeight="1">
      <c r="A22" s="255">
        <f>0.512</f>
        <v>0.51200000000000001</v>
      </c>
      <c r="B22" s="256">
        <f>0.658</f>
        <v>0.65800000000000003</v>
      </c>
      <c r="C22" s="255">
        <f t="shared" si="0"/>
        <v>0</v>
      </c>
      <c r="D22" s="256">
        <f t="shared" si="1"/>
        <v>0</v>
      </c>
      <c r="E22" s="255">
        <v>0</v>
      </c>
      <c r="F22" s="256">
        <v>0</v>
      </c>
      <c r="G22" s="255">
        <f>0.512</f>
        <v>0.51200000000000001</v>
      </c>
      <c r="H22" s="256">
        <f>0.658</f>
        <v>0.65800000000000003</v>
      </c>
      <c r="I22" s="6">
        <v>0</v>
      </c>
      <c r="J22" s="7">
        <v>0</v>
      </c>
      <c r="K22" s="37">
        <v>0</v>
      </c>
      <c r="L22" s="38">
        <v>0</v>
      </c>
      <c r="M22" s="6">
        <v>0</v>
      </c>
      <c r="N22" s="7">
        <v>0</v>
      </c>
      <c r="O22" s="6">
        <v>512</v>
      </c>
      <c r="P22" s="7">
        <v>658</v>
      </c>
      <c r="Q22" s="170">
        <v>1370</v>
      </c>
    </row>
    <row r="23" spans="1:17" ht="21" customHeight="1">
      <c r="A23" s="255">
        <f>0.272</f>
        <v>0.27200000000000002</v>
      </c>
      <c r="B23" s="256">
        <v>1.323</v>
      </c>
      <c r="C23" s="255">
        <f t="shared" si="0"/>
        <v>0</v>
      </c>
      <c r="D23" s="256">
        <f t="shared" si="1"/>
        <v>0</v>
      </c>
      <c r="E23" s="255">
        <v>0</v>
      </c>
      <c r="F23" s="256">
        <v>0</v>
      </c>
      <c r="G23" s="255">
        <f>0.272</f>
        <v>0.27200000000000002</v>
      </c>
      <c r="H23" s="256">
        <v>1.323</v>
      </c>
      <c r="I23" s="6">
        <v>0</v>
      </c>
      <c r="J23" s="7">
        <v>0</v>
      </c>
      <c r="K23" s="37">
        <v>0</v>
      </c>
      <c r="L23" s="38">
        <v>0</v>
      </c>
      <c r="M23" s="6">
        <v>0</v>
      </c>
      <c r="N23" s="7">
        <v>0</v>
      </c>
      <c r="O23" s="6">
        <v>272</v>
      </c>
      <c r="P23" s="7">
        <v>1323</v>
      </c>
      <c r="Q23" s="170">
        <v>1371</v>
      </c>
    </row>
    <row r="24" spans="1:17" ht="21" customHeight="1">
      <c r="A24" s="255">
        <v>12.11</v>
      </c>
      <c r="B24" s="256">
        <v>23.125</v>
      </c>
      <c r="C24" s="255">
        <f t="shared" si="0"/>
        <v>0</v>
      </c>
      <c r="D24" s="256">
        <f t="shared" si="1"/>
        <v>0</v>
      </c>
      <c r="E24" s="255">
        <v>0</v>
      </c>
      <c r="F24" s="256">
        <v>0</v>
      </c>
      <c r="G24" s="255">
        <v>12.11</v>
      </c>
      <c r="H24" s="256">
        <v>23.125</v>
      </c>
      <c r="I24" s="6">
        <v>0</v>
      </c>
      <c r="J24" s="7">
        <v>0</v>
      </c>
      <c r="K24" s="37">
        <v>0</v>
      </c>
      <c r="L24" s="38">
        <v>0</v>
      </c>
      <c r="M24" s="6">
        <v>0</v>
      </c>
      <c r="N24" s="7">
        <v>892</v>
      </c>
      <c r="O24" s="6">
        <v>12110</v>
      </c>
      <c r="P24" s="7">
        <v>22233</v>
      </c>
      <c r="Q24" s="170">
        <v>1372</v>
      </c>
    </row>
    <row r="25" spans="1:17" ht="21" customHeight="1">
      <c r="A25" s="255">
        <v>8.3209999999999997</v>
      </c>
      <c r="B25" s="256">
        <v>27.449000000000002</v>
      </c>
      <c r="C25" s="255">
        <f t="shared" si="0"/>
        <v>0</v>
      </c>
      <c r="D25" s="256">
        <f t="shared" si="1"/>
        <v>0</v>
      </c>
      <c r="E25" s="255">
        <v>0</v>
      </c>
      <c r="F25" s="256">
        <v>0</v>
      </c>
      <c r="G25" s="255">
        <v>8.3209999999999997</v>
      </c>
      <c r="H25" s="256">
        <v>27.449000000000002</v>
      </c>
      <c r="I25" s="6">
        <v>0</v>
      </c>
      <c r="J25" s="7">
        <v>0</v>
      </c>
      <c r="K25" s="37">
        <v>0</v>
      </c>
      <c r="L25" s="38">
        <v>0</v>
      </c>
      <c r="M25" s="6">
        <v>1</v>
      </c>
      <c r="N25" s="7">
        <v>720</v>
      </c>
      <c r="O25" s="6">
        <v>8320</v>
      </c>
      <c r="P25" s="7">
        <v>26729</v>
      </c>
      <c r="Q25" s="170">
        <v>1373</v>
      </c>
    </row>
    <row r="26" spans="1:17" ht="21" customHeight="1">
      <c r="A26" s="255">
        <v>4.2919999999999998</v>
      </c>
      <c r="B26" s="256">
        <v>29.588999999999999</v>
      </c>
      <c r="C26" s="255">
        <f t="shared" si="0"/>
        <v>0</v>
      </c>
      <c r="D26" s="256">
        <f t="shared" si="1"/>
        <v>0</v>
      </c>
      <c r="E26" s="255">
        <v>0</v>
      </c>
      <c r="F26" s="256">
        <v>0</v>
      </c>
      <c r="G26" s="255">
        <v>4.2919999999999998</v>
      </c>
      <c r="H26" s="256">
        <v>29.588999999999999</v>
      </c>
      <c r="I26" s="6">
        <v>0</v>
      </c>
      <c r="J26" s="7">
        <v>0</v>
      </c>
      <c r="K26" s="37">
        <v>0</v>
      </c>
      <c r="L26" s="38">
        <v>0</v>
      </c>
      <c r="M26" s="6">
        <v>0</v>
      </c>
      <c r="N26" s="7">
        <v>146</v>
      </c>
      <c r="O26" s="6">
        <v>4292</v>
      </c>
      <c r="P26" s="7">
        <v>29443</v>
      </c>
      <c r="Q26" s="170">
        <v>1374</v>
      </c>
    </row>
    <row r="27" spans="1:17" ht="21" customHeight="1">
      <c r="A27" s="255">
        <v>17.536000000000001</v>
      </c>
      <c r="B27" s="256">
        <v>28.457999999999998</v>
      </c>
      <c r="C27" s="255">
        <f t="shared" si="0"/>
        <v>0</v>
      </c>
      <c r="D27" s="256">
        <f t="shared" si="1"/>
        <v>0</v>
      </c>
      <c r="E27" s="255">
        <v>0</v>
      </c>
      <c r="F27" s="256">
        <v>0</v>
      </c>
      <c r="G27" s="255">
        <v>17.536000000000001</v>
      </c>
      <c r="H27" s="256">
        <v>28.457999999999998</v>
      </c>
      <c r="I27" s="6">
        <v>0</v>
      </c>
      <c r="J27" s="7">
        <v>0</v>
      </c>
      <c r="K27" s="37">
        <v>0</v>
      </c>
      <c r="L27" s="38">
        <v>390</v>
      </c>
      <c r="M27" s="6">
        <v>1</v>
      </c>
      <c r="N27" s="7">
        <v>434</v>
      </c>
      <c r="O27" s="6">
        <v>17535</v>
      </c>
      <c r="P27" s="7">
        <v>27634</v>
      </c>
      <c r="Q27" s="170">
        <v>1375</v>
      </c>
    </row>
    <row r="28" spans="1:17" ht="21" customHeight="1">
      <c r="A28" s="255">
        <v>1.3779999999999999</v>
      </c>
      <c r="B28" s="256">
        <v>26.463999999999999</v>
      </c>
      <c r="C28" s="255">
        <f t="shared" si="0"/>
        <v>0</v>
      </c>
      <c r="D28" s="256">
        <f t="shared" si="1"/>
        <v>0</v>
      </c>
      <c r="E28" s="255">
        <v>0</v>
      </c>
      <c r="F28" s="256">
        <v>0</v>
      </c>
      <c r="G28" s="255">
        <v>1.3779999999999999</v>
      </c>
      <c r="H28" s="256">
        <v>26.463999999999999</v>
      </c>
      <c r="I28" s="6">
        <v>0</v>
      </c>
      <c r="J28" s="7">
        <v>40</v>
      </c>
      <c r="K28" s="37">
        <v>0</v>
      </c>
      <c r="L28" s="38">
        <v>360</v>
      </c>
      <c r="M28" s="6">
        <v>8</v>
      </c>
      <c r="N28" s="7">
        <v>969</v>
      </c>
      <c r="O28" s="6">
        <v>1370</v>
      </c>
      <c r="P28" s="7">
        <v>25095</v>
      </c>
      <c r="Q28" s="170">
        <v>1376</v>
      </c>
    </row>
    <row r="29" spans="1:17" ht="21" customHeight="1">
      <c r="A29" s="255">
        <v>36.945</v>
      </c>
      <c r="B29" s="256">
        <v>23.331</v>
      </c>
      <c r="C29" s="255">
        <f t="shared" si="0"/>
        <v>0</v>
      </c>
      <c r="D29" s="256">
        <f t="shared" si="1"/>
        <v>0</v>
      </c>
      <c r="E29" s="255">
        <v>0</v>
      </c>
      <c r="F29" s="256">
        <v>0</v>
      </c>
      <c r="G29" s="255">
        <v>36.945</v>
      </c>
      <c r="H29" s="256">
        <v>23.331</v>
      </c>
      <c r="I29" s="6">
        <v>0</v>
      </c>
      <c r="J29" s="7">
        <v>84</v>
      </c>
      <c r="K29" s="37">
        <v>0</v>
      </c>
      <c r="L29" s="38">
        <v>1288</v>
      </c>
      <c r="M29" s="6">
        <v>0</v>
      </c>
      <c r="N29" s="7">
        <v>464</v>
      </c>
      <c r="O29" s="6">
        <v>36945</v>
      </c>
      <c r="P29" s="7">
        <v>21495</v>
      </c>
      <c r="Q29" s="170">
        <v>1377</v>
      </c>
    </row>
    <row r="30" spans="1:17" ht="21" customHeight="1">
      <c r="A30" s="255">
        <v>9.1194000000000006</v>
      </c>
      <c r="B30" s="256">
        <v>25.004999999999999</v>
      </c>
      <c r="C30" s="255">
        <f t="shared" si="0"/>
        <v>0</v>
      </c>
      <c r="D30" s="256">
        <f t="shared" si="1"/>
        <v>0</v>
      </c>
      <c r="E30" s="255">
        <v>0</v>
      </c>
      <c r="F30" s="256">
        <v>0</v>
      </c>
      <c r="G30" s="324">
        <v>9.1194000000000006</v>
      </c>
      <c r="H30" s="300">
        <v>25.004999999999999</v>
      </c>
      <c r="I30" s="6">
        <v>0.7</v>
      </c>
      <c r="J30" s="7">
        <v>202.3</v>
      </c>
      <c r="K30" s="37">
        <v>0</v>
      </c>
      <c r="L30" s="38">
        <v>947.4</v>
      </c>
      <c r="M30" s="6">
        <v>56.8</v>
      </c>
      <c r="N30" s="7">
        <v>979.2</v>
      </c>
      <c r="O30" s="6">
        <v>9061.9</v>
      </c>
      <c r="P30" s="7">
        <v>22876.1</v>
      </c>
      <c r="Q30" s="187">
        <v>1378</v>
      </c>
    </row>
    <row r="31" spans="1:17" ht="21" customHeight="1">
      <c r="A31" s="255">
        <v>35.136099999999999</v>
      </c>
      <c r="B31" s="256">
        <v>38.158200000000001</v>
      </c>
      <c r="C31" s="255">
        <f t="shared" si="0"/>
        <v>0</v>
      </c>
      <c r="D31" s="256">
        <f t="shared" si="1"/>
        <v>0</v>
      </c>
      <c r="E31" s="255">
        <v>0</v>
      </c>
      <c r="F31" s="256">
        <v>0</v>
      </c>
      <c r="G31" s="296">
        <v>35.136099999999999</v>
      </c>
      <c r="H31" s="297">
        <v>38.158200000000001</v>
      </c>
      <c r="I31" s="6">
        <v>0</v>
      </c>
      <c r="J31" s="7">
        <v>122.1</v>
      </c>
      <c r="K31" s="37">
        <v>753.8</v>
      </c>
      <c r="L31" s="38">
        <v>647</v>
      </c>
      <c r="M31" s="6">
        <v>99.7</v>
      </c>
      <c r="N31" s="7">
        <v>2890.9</v>
      </c>
      <c r="O31" s="6">
        <v>34282.6</v>
      </c>
      <c r="P31" s="7">
        <v>34498.199999999997</v>
      </c>
      <c r="Q31" s="226">
        <v>1379</v>
      </c>
    </row>
    <row r="32" spans="1:17" ht="21" customHeight="1">
      <c r="A32" s="296">
        <v>13.8628</v>
      </c>
      <c r="B32" s="297">
        <v>62.949300000000001</v>
      </c>
      <c r="C32" s="296">
        <f t="shared" si="0"/>
        <v>0</v>
      </c>
      <c r="D32" s="297">
        <f t="shared" si="1"/>
        <v>0</v>
      </c>
      <c r="E32" s="296">
        <v>0</v>
      </c>
      <c r="F32" s="297">
        <v>0</v>
      </c>
      <c r="G32" s="296">
        <v>13.8628</v>
      </c>
      <c r="H32" s="297">
        <v>62.949300000000001</v>
      </c>
      <c r="I32" s="17">
        <v>0</v>
      </c>
      <c r="J32" s="15">
        <v>556.1</v>
      </c>
      <c r="K32" s="22">
        <v>1.9</v>
      </c>
      <c r="L32" s="23">
        <v>901.5</v>
      </c>
      <c r="M32" s="17">
        <v>203.2</v>
      </c>
      <c r="N32" s="15">
        <v>3249.3</v>
      </c>
      <c r="O32" s="17">
        <v>13657.7</v>
      </c>
      <c r="P32" s="15">
        <v>58242.400000000001</v>
      </c>
      <c r="Q32" s="226">
        <v>1380</v>
      </c>
    </row>
    <row r="33" spans="1:17" ht="21" customHeight="1">
      <c r="A33" s="302">
        <v>40.483808426000003</v>
      </c>
      <c r="B33" s="305">
        <v>352.04386670700001</v>
      </c>
      <c r="C33" s="302">
        <f t="shared" si="0"/>
        <v>0</v>
      </c>
      <c r="D33" s="305">
        <f t="shared" si="1"/>
        <v>0</v>
      </c>
      <c r="E33" s="302">
        <v>0</v>
      </c>
      <c r="F33" s="305">
        <v>0</v>
      </c>
      <c r="G33" s="302">
        <v>40.483808426000003</v>
      </c>
      <c r="H33" s="305">
        <v>352.04386670700001</v>
      </c>
      <c r="I33" s="25">
        <f>'[1]بيمه دانا'!$I$35/1000000</f>
        <v>29.737231999999999</v>
      </c>
      <c r="J33" s="26">
        <f>'[1]بيمه دانا'!$Q$35/1000000</f>
        <v>1538.2670559999999</v>
      </c>
      <c r="K33" s="27">
        <f>'[1]بيمه البرز'!$I$35/1000000</f>
        <v>6.76</v>
      </c>
      <c r="L33" s="28">
        <f>'[1]بيمه البرز'!$Q$35/1000000</f>
        <v>2025.4438359999999</v>
      </c>
      <c r="M33" s="25">
        <f>'[1]بيمه آسيا'!$I$35</f>
        <v>0</v>
      </c>
      <c r="N33" s="26">
        <f>'[1]بيمه آسيا'!$Q$35/1000000</f>
        <v>22601.622501000002</v>
      </c>
      <c r="O33" s="25">
        <f>'[1]بيمه ايران'!$I$35/1000000</f>
        <v>40447.311194000002</v>
      </c>
      <c r="P33" s="26">
        <f>'[1]بيمه ايران'!$Q$35/1000000</f>
        <v>325878.533314</v>
      </c>
      <c r="Q33" s="190">
        <v>1381</v>
      </c>
    </row>
    <row r="34" spans="1:17" ht="21" customHeight="1">
      <c r="A34" s="302">
        <v>35.471258200000001</v>
      </c>
      <c r="B34" s="305">
        <v>293.24719945999999</v>
      </c>
      <c r="C34" s="302">
        <f t="shared" si="0"/>
        <v>0</v>
      </c>
      <c r="D34" s="308">
        <f t="shared" si="1"/>
        <v>0</v>
      </c>
      <c r="E34" s="302">
        <v>0</v>
      </c>
      <c r="F34" s="308">
        <v>0</v>
      </c>
      <c r="G34" s="302">
        <v>35.471258200000001</v>
      </c>
      <c r="H34" s="308">
        <v>293.24719945999999</v>
      </c>
      <c r="I34" s="25">
        <f>'[2]بيمه دانا'!$I$35/1000000</f>
        <v>2471.8341999999998</v>
      </c>
      <c r="J34" s="88">
        <f>'[2]بيمه دانا'!$Q$35/1000000</f>
        <v>4912.2040999999999</v>
      </c>
      <c r="K34" s="27">
        <f>'[2]بيمه البرز'!$I$35/1000000</f>
        <v>1003.98</v>
      </c>
      <c r="L34" s="102">
        <f>'[2]بيمه البرز'!$Q$35/1000000</f>
        <v>1980.145</v>
      </c>
      <c r="M34" s="25">
        <f>'[2]بيمه آسيا'!$I$35/1000000</f>
        <v>300</v>
      </c>
      <c r="N34" s="88">
        <f>'[2]بيمه آسيا'!$Q$35/1000000</f>
        <v>31109.046880000002</v>
      </c>
      <c r="O34" s="25">
        <f>'[2]بيمه ايران'!$I$35/1000000</f>
        <v>31695.444</v>
      </c>
      <c r="P34" s="88">
        <f>'[2]بيمه ايران'!$Q$35/1000000</f>
        <v>255245.80348</v>
      </c>
      <c r="Q34" s="170">
        <v>1382</v>
      </c>
    </row>
    <row r="35" spans="1:17" ht="21" customHeight="1">
      <c r="A35" s="327">
        <v>103.286060644</v>
      </c>
      <c r="B35" s="307">
        <v>285.02737375599997</v>
      </c>
      <c r="C35" s="327">
        <f t="shared" si="0"/>
        <v>4.5177772520000019</v>
      </c>
      <c r="D35" s="328">
        <f t="shared" si="1"/>
        <v>39.349379279999965</v>
      </c>
      <c r="E35" s="327">
        <v>0</v>
      </c>
      <c r="F35" s="328">
        <v>0</v>
      </c>
      <c r="G35" s="327">
        <v>98.768283392000001</v>
      </c>
      <c r="H35" s="328">
        <v>245.67799447600001</v>
      </c>
      <c r="I35" s="29">
        <f>'[2]بيمه دانا'!$H$35/1000000</f>
        <v>127.970068</v>
      </c>
      <c r="J35" s="140">
        <f>'[2]بيمه دانا'!$P$35/1000000</f>
        <v>689.06595600000003</v>
      </c>
      <c r="K35" s="32">
        <f>'[2]بيمه البرز'!$H$35/1000000</f>
        <v>3.3453200000000001</v>
      </c>
      <c r="L35" s="146">
        <f>'[2]بيمه البرز'!$P$35/1000000</f>
        <v>2540.39318</v>
      </c>
      <c r="M35" s="29">
        <f>'[2]بيمه آسيا'!$H$35/1000000</f>
        <v>853.97857199999999</v>
      </c>
      <c r="N35" s="140">
        <f>'[2]بيمه آسيا'!$P$35/1000000</f>
        <v>28366.741271999999</v>
      </c>
      <c r="O35" s="29">
        <f>'[2]بيمه ايران'!$H$35/1000000</f>
        <v>97782.989432000002</v>
      </c>
      <c r="P35" s="140">
        <f>'[2]بيمه ايران'!$P$35/1000000</f>
        <v>214081.79406799999</v>
      </c>
      <c r="Q35" s="226">
        <v>1383</v>
      </c>
    </row>
    <row r="36" spans="1:17" s="1" customFormat="1" ht="21" customHeight="1">
      <c r="A36" s="302">
        <v>214.63713564400001</v>
      </c>
      <c r="B36" s="305">
        <v>301.37230662799999</v>
      </c>
      <c r="C36" s="308">
        <f t="shared" si="0"/>
        <v>0</v>
      </c>
      <c r="D36" s="305">
        <f t="shared" si="1"/>
        <v>33.825780108000004</v>
      </c>
      <c r="E36" s="308"/>
      <c r="F36" s="308"/>
      <c r="G36" s="308">
        <v>214.63713564400001</v>
      </c>
      <c r="H36" s="305">
        <v>267.54652651999999</v>
      </c>
      <c r="I36" s="88">
        <f>'[3]بيمه دانا'!$H$35</f>
        <v>0</v>
      </c>
      <c r="J36" s="26">
        <f>'[3]بيمه دانا'!$P$35/1000000</f>
        <v>1986.0699199999999</v>
      </c>
      <c r="K36" s="102">
        <f>'[3]بيمه البرز'!$H$35/1000000</f>
        <v>25207.222000000002</v>
      </c>
      <c r="L36" s="28">
        <f>'[3]بيمه البرز'!$P$35/1000000</f>
        <v>6235.0108479999999</v>
      </c>
      <c r="M36" s="88">
        <f>'[3]بيمه آسيا'!$H$35/1000000</f>
        <v>142673.15356400001</v>
      </c>
      <c r="N36" s="26">
        <f>'[3]بيمه آسيا'!$P$35/1000000</f>
        <v>55639.112928000002</v>
      </c>
      <c r="O36" s="88">
        <f>'[3]بيمه ايران'!$H$35/1000000</f>
        <v>46756.76008</v>
      </c>
      <c r="P36" s="26">
        <f>'[3]بيمه ايران'!$P$35/1000000</f>
        <v>203686.33282400001</v>
      </c>
      <c r="Q36" s="190">
        <v>1384</v>
      </c>
    </row>
    <row r="37" spans="1:17" s="1" customFormat="1" ht="21" customHeight="1">
      <c r="A37" s="334">
        <v>67.575704684000002</v>
      </c>
      <c r="B37" s="330">
        <v>337.95269605200002</v>
      </c>
      <c r="C37" s="331">
        <f t="shared" si="0"/>
        <v>0.90523884799999621</v>
      </c>
      <c r="D37" s="330">
        <f t="shared" si="1"/>
        <v>94.305070224000019</v>
      </c>
      <c r="E37" s="331"/>
      <c r="F37" s="331"/>
      <c r="G37" s="331">
        <v>66.670465836000005</v>
      </c>
      <c r="H37" s="330">
        <v>243.647625828</v>
      </c>
      <c r="I37" s="235"/>
      <c r="J37" s="235"/>
      <c r="K37" s="236"/>
      <c r="L37" s="236"/>
      <c r="M37" s="235"/>
      <c r="N37" s="235"/>
      <c r="O37" s="235"/>
      <c r="P37" s="235"/>
      <c r="Q37" s="230">
        <v>1385</v>
      </c>
    </row>
    <row r="38" spans="1:17" s="1" customFormat="1" ht="21" customHeight="1">
      <c r="A38" s="302">
        <v>131.54737359999999</v>
      </c>
      <c r="B38" s="305">
        <v>319.98079116000002</v>
      </c>
      <c r="C38" s="308">
        <f t="shared" si="0"/>
        <v>3.2097178799999995</v>
      </c>
      <c r="D38" s="305">
        <f t="shared" si="1"/>
        <v>128.25975663600002</v>
      </c>
      <c r="E38" s="308"/>
      <c r="F38" s="308"/>
      <c r="G38" s="308">
        <v>128.33765571999999</v>
      </c>
      <c r="H38" s="305">
        <v>191.721034524</v>
      </c>
      <c r="I38" s="88"/>
      <c r="J38" s="88"/>
      <c r="K38" s="102"/>
      <c r="L38" s="102"/>
      <c r="M38" s="88"/>
      <c r="N38" s="88"/>
      <c r="O38" s="88"/>
      <c r="P38" s="88"/>
      <c r="Q38" s="190">
        <v>1386</v>
      </c>
    </row>
    <row r="39" spans="1:17" s="1" customFormat="1" ht="21" customHeight="1">
      <c r="A39" s="302">
        <v>162.647363208</v>
      </c>
      <c r="B39" s="305">
        <v>445.84473796399999</v>
      </c>
      <c r="C39" s="308">
        <f t="shared" si="0"/>
        <v>5.9565643520000151</v>
      </c>
      <c r="D39" s="305">
        <f t="shared" si="1"/>
        <v>155.29005585199997</v>
      </c>
      <c r="E39" s="308"/>
      <c r="F39" s="308"/>
      <c r="G39" s="308">
        <v>156.69079885599999</v>
      </c>
      <c r="H39" s="305">
        <v>290.55468211200002</v>
      </c>
      <c r="I39" s="88"/>
      <c r="J39" s="88"/>
      <c r="K39" s="102"/>
      <c r="L39" s="102"/>
      <c r="M39" s="88"/>
      <c r="N39" s="88"/>
      <c r="O39" s="88"/>
      <c r="P39" s="88"/>
      <c r="Q39" s="190">
        <v>1387</v>
      </c>
    </row>
    <row r="40" spans="1:17" s="1" customFormat="1" ht="21" customHeight="1">
      <c r="A40" s="302">
        <v>336.03472537200003</v>
      </c>
      <c r="B40" s="305">
        <v>541.64967472000001</v>
      </c>
      <c r="C40" s="308">
        <f t="shared" si="0"/>
        <v>4.1410628800000495</v>
      </c>
      <c r="D40" s="305">
        <f t="shared" si="1"/>
        <v>239.27132567199999</v>
      </c>
      <c r="E40" s="308"/>
      <c r="F40" s="308"/>
      <c r="G40" s="308">
        <v>331.89366249199998</v>
      </c>
      <c r="H40" s="305">
        <v>302.37834904800002</v>
      </c>
      <c r="I40" s="88"/>
      <c r="J40" s="88"/>
      <c r="K40" s="102"/>
      <c r="L40" s="102"/>
      <c r="M40" s="88"/>
      <c r="N40" s="88"/>
      <c r="O40" s="88"/>
      <c r="P40" s="88"/>
      <c r="Q40" s="190">
        <v>1388</v>
      </c>
    </row>
    <row r="41" spans="1:17" s="1" customFormat="1" ht="21" customHeight="1">
      <c r="A41" s="302">
        <v>148.86697031599999</v>
      </c>
      <c r="B41" s="305">
        <v>543.89082305199997</v>
      </c>
      <c r="C41" s="308">
        <f t="shared" si="0"/>
        <v>59.028596667999992</v>
      </c>
      <c r="D41" s="305">
        <f t="shared" si="1"/>
        <v>258.95643594399996</v>
      </c>
      <c r="E41" s="308"/>
      <c r="F41" s="308"/>
      <c r="G41" s="308">
        <v>89.838373648000001</v>
      </c>
      <c r="H41" s="305">
        <v>284.93438710800001</v>
      </c>
      <c r="I41" s="88"/>
      <c r="J41" s="88"/>
      <c r="K41" s="102"/>
      <c r="L41" s="102"/>
      <c r="M41" s="88"/>
      <c r="N41" s="88"/>
      <c r="O41" s="88"/>
      <c r="P41" s="88"/>
      <c r="Q41" s="190">
        <v>1389</v>
      </c>
    </row>
    <row r="42" spans="1:17" s="1" customFormat="1" ht="21" customHeight="1">
      <c r="A42" s="446">
        <f>183.9</f>
        <v>183.9</v>
      </c>
      <c r="B42" s="447">
        <f>619.6</f>
        <v>619.6</v>
      </c>
      <c r="C42" s="448">
        <f t="shared" ref="C42:D51" si="2">A42-G42</f>
        <v>102.60000000000001</v>
      </c>
      <c r="D42" s="447">
        <f t="shared" si="2"/>
        <v>280</v>
      </c>
      <c r="E42" s="449"/>
      <c r="F42" s="449"/>
      <c r="G42" s="449">
        <f>81.3</f>
        <v>81.3</v>
      </c>
      <c r="H42" s="447">
        <f>339.6</f>
        <v>339.6</v>
      </c>
      <c r="I42" s="405"/>
      <c r="J42" s="405"/>
      <c r="K42" s="405"/>
      <c r="L42" s="405"/>
      <c r="M42" s="405"/>
      <c r="N42" s="405"/>
      <c r="O42" s="405"/>
      <c r="P42" s="405"/>
      <c r="Q42" s="427">
        <v>1390</v>
      </c>
    </row>
    <row r="43" spans="1:17" s="1" customFormat="1" ht="21" customHeight="1">
      <c r="A43" s="450">
        <v>135.69999999999999</v>
      </c>
      <c r="B43" s="453">
        <v>899</v>
      </c>
      <c r="C43" s="448">
        <f t="shared" si="2"/>
        <v>37.699999999999989</v>
      </c>
      <c r="D43" s="447">
        <f t="shared" si="2"/>
        <v>509.3</v>
      </c>
      <c r="E43" s="452"/>
      <c r="F43" s="453"/>
      <c r="G43" s="450">
        <v>98</v>
      </c>
      <c r="H43" s="451">
        <v>389.7</v>
      </c>
      <c r="I43" s="410"/>
      <c r="J43" s="411"/>
      <c r="K43" s="411"/>
      <c r="L43" s="411"/>
      <c r="M43" s="411"/>
      <c r="N43" s="411"/>
      <c r="O43" s="411"/>
      <c r="P43" s="411"/>
      <c r="Q43" s="475">
        <v>1391</v>
      </c>
    </row>
    <row r="44" spans="1:17" s="1" customFormat="1" ht="21" customHeight="1">
      <c r="A44" s="446">
        <v>124.6</v>
      </c>
      <c r="B44" s="457">
        <v>1599.5</v>
      </c>
      <c r="C44" s="450">
        <f t="shared" si="2"/>
        <v>8.2999999999999972</v>
      </c>
      <c r="D44" s="451">
        <f t="shared" si="2"/>
        <v>704.7</v>
      </c>
      <c r="E44" s="456"/>
      <c r="F44" s="457"/>
      <c r="G44" s="446">
        <v>116.3</v>
      </c>
      <c r="H44" s="447">
        <v>894.8</v>
      </c>
      <c r="I44" s="374"/>
      <c r="J44" s="375"/>
      <c r="K44" s="375"/>
      <c r="L44" s="375"/>
      <c r="M44" s="375"/>
      <c r="N44" s="375"/>
      <c r="O44" s="375"/>
      <c r="P44" s="375"/>
      <c r="Q44" s="478">
        <v>1392</v>
      </c>
    </row>
    <row r="45" spans="1:17" s="1" customFormat="1" ht="21" customHeight="1">
      <c r="A45" s="446">
        <v>447.8</v>
      </c>
      <c r="B45" s="457">
        <v>1555.1</v>
      </c>
      <c r="C45" s="446">
        <f t="shared" si="2"/>
        <v>239.10000000000002</v>
      </c>
      <c r="D45" s="447">
        <f t="shared" si="2"/>
        <v>737.99999999999989</v>
      </c>
      <c r="E45" s="456"/>
      <c r="F45" s="457"/>
      <c r="G45" s="446">
        <v>208.7</v>
      </c>
      <c r="H45" s="447">
        <v>817.1</v>
      </c>
      <c r="I45" s="374"/>
      <c r="J45" s="375"/>
      <c r="K45" s="375"/>
      <c r="L45" s="375"/>
      <c r="M45" s="375"/>
      <c r="N45" s="375"/>
      <c r="O45" s="375"/>
      <c r="P45" s="375"/>
      <c r="Q45" s="478">
        <v>1393</v>
      </c>
    </row>
    <row r="46" spans="1:17" s="1" customFormat="1" ht="21" customHeight="1">
      <c r="A46" s="446">
        <v>334.7</v>
      </c>
      <c r="B46" s="457">
        <v>1853.7</v>
      </c>
      <c r="C46" s="446">
        <f t="shared" si="2"/>
        <v>156.79999999999998</v>
      </c>
      <c r="D46" s="447">
        <f t="shared" si="2"/>
        <v>957.90000000000009</v>
      </c>
      <c r="E46" s="456"/>
      <c r="F46" s="457"/>
      <c r="G46" s="446">
        <v>177.9</v>
      </c>
      <c r="H46" s="447">
        <v>895.8</v>
      </c>
      <c r="I46" s="374"/>
      <c r="J46" s="375"/>
      <c r="K46" s="375"/>
      <c r="L46" s="375"/>
      <c r="M46" s="375"/>
      <c r="N46" s="375"/>
      <c r="O46" s="375"/>
      <c r="P46" s="375"/>
      <c r="Q46" s="478">
        <v>1394</v>
      </c>
    </row>
    <row r="47" spans="1:17" s="1" customFormat="1" ht="21" customHeight="1">
      <c r="A47" s="446">
        <v>848.4</v>
      </c>
      <c r="B47" s="457">
        <v>2104.8000000000002</v>
      </c>
      <c r="C47" s="446">
        <f t="shared" si="2"/>
        <v>566.5</v>
      </c>
      <c r="D47" s="447">
        <f t="shared" si="2"/>
        <v>1180.7000000000003</v>
      </c>
      <c r="E47" s="456"/>
      <c r="F47" s="457"/>
      <c r="G47" s="446">
        <v>281.89999999999998</v>
      </c>
      <c r="H47" s="447">
        <v>924.1</v>
      </c>
      <c r="I47" s="374"/>
      <c r="J47" s="375"/>
      <c r="K47" s="375"/>
      <c r="L47" s="375"/>
      <c r="M47" s="375"/>
      <c r="N47" s="375"/>
      <c r="O47" s="375"/>
      <c r="P47" s="375"/>
      <c r="Q47" s="478">
        <v>1395</v>
      </c>
    </row>
    <row r="48" spans="1:17" s="1" customFormat="1" ht="21" customHeight="1">
      <c r="A48" s="446">
        <v>475</v>
      </c>
      <c r="B48" s="457">
        <v>1878.9</v>
      </c>
      <c r="C48" s="446">
        <f t="shared" si="2"/>
        <v>339.3</v>
      </c>
      <c r="D48" s="447">
        <f t="shared" si="2"/>
        <v>730</v>
      </c>
      <c r="E48" s="456"/>
      <c r="F48" s="457"/>
      <c r="G48" s="446">
        <v>135.69999999999999</v>
      </c>
      <c r="H48" s="447">
        <v>1148.9000000000001</v>
      </c>
      <c r="I48" s="374"/>
      <c r="J48" s="375"/>
      <c r="K48" s="375"/>
      <c r="L48" s="375"/>
      <c r="M48" s="375"/>
      <c r="N48" s="375"/>
      <c r="O48" s="375"/>
      <c r="P48" s="375"/>
      <c r="Q48" s="478">
        <v>1396</v>
      </c>
    </row>
    <row r="49" spans="1:19" s="1" customFormat="1" ht="21" customHeight="1">
      <c r="A49" s="446">
        <v>747.2</v>
      </c>
      <c r="B49" s="457">
        <v>2754.2</v>
      </c>
      <c r="C49" s="446">
        <f>A49-G49</f>
        <v>270.00000000000006</v>
      </c>
      <c r="D49" s="447">
        <f>B49-H49</f>
        <v>1384.7999999999997</v>
      </c>
      <c r="E49" s="456"/>
      <c r="F49" s="457"/>
      <c r="G49" s="446">
        <f>[6]ایران!$J$14</f>
        <v>477.2</v>
      </c>
      <c r="H49" s="447">
        <f>[6]ایران!$B$14</f>
        <v>1369.4</v>
      </c>
      <c r="I49" s="374"/>
      <c r="J49" s="375"/>
      <c r="K49" s="375"/>
      <c r="L49" s="375"/>
      <c r="M49" s="375"/>
      <c r="N49" s="375"/>
      <c r="O49" s="375"/>
      <c r="P49" s="375"/>
      <c r="Q49" s="478">
        <v>1397</v>
      </c>
    </row>
    <row r="50" spans="1:19" s="1" customFormat="1" ht="21" customHeight="1">
      <c r="A50" s="446">
        <v>302.89999999999998</v>
      </c>
      <c r="B50" s="457">
        <v>4386.2</v>
      </c>
      <c r="C50" s="446">
        <f t="shared" si="2"/>
        <v>9.2999999999999545</v>
      </c>
      <c r="D50" s="447">
        <f t="shared" si="2"/>
        <v>1957.8999999999996</v>
      </c>
      <c r="E50" s="456"/>
      <c r="F50" s="457"/>
      <c r="G50" s="446">
        <v>293.60000000000002</v>
      </c>
      <c r="H50" s="447">
        <v>2428.3000000000002</v>
      </c>
      <c r="I50" s="374"/>
      <c r="J50" s="375"/>
      <c r="K50" s="375"/>
      <c r="L50" s="375"/>
      <c r="M50" s="375"/>
      <c r="N50" s="375"/>
      <c r="O50" s="375"/>
      <c r="P50" s="375"/>
      <c r="Q50" s="478">
        <v>1398</v>
      </c>
    </row>
    <row r="51" spans="1:19" s="1" customFormat="1" ht="21" customHeight="1" thickBot="1">
      <c r="A51" s="498">
        <v>1003.5</v>
      </c>
      <c r="B51" s="499">
        <v>6938.4</v>
      </c>
      <c r="C51" s="459">
        <f t="shared" si="2"/>
        <v>399.5</v>
      </c>
      <c r="D51" s="460">
        <f t="shared" si="2"/>
        <v>4162.7999999999993</v>
      </c>
      <c r="E51" s="500"/>
      <c r="F51" s="499"/>
      <c r="G51" s="498">
        <v>604</v>
      </c>
      <c r="H51" s="501">
        <v>2775.6</v>
      </c>
      <c r="I51" s="383"/>
      <c r="J51" s="384"/>
      <c r="K51" s="384"/>
      <c r="L51" s="384"/>
      <c r="M51" s="384"/>
      <c r="N51" s="384"/>
      <c r="O51" s="384"/>
      <c r="P51" s="384"/>
      <c r="Q51" s="494">
        <v>1399</v>
      </c>
    </row>
    <row r="52" spans="1:19" ht="19.5" customHeight="1">
      <c r="A52" s="566" t="s">
        <v>32</v>
      </c>
      <c r="B52" s="567"/>
      <c r="C52" s="567"/>
      <c r="D52" s="567"/>
      <c r="E52" s="567"/>
      <c r="F52" s="567"/>
      <c r="G52" s="567"/>
      <c r="H52" s="567"/>
      <c r="I52" s="567"/>
      <c r="J52" s="567"/>
      <c r="K52" s="567"/>
      <c r="L52" s="567"/>
      <c r="M52" s="567"/>
      <c r="N52" s="567"/>
      <c r="O52" s="567"/>
      <c r="P52" s="567"/>
      <c r="Q52" s="567"/>
      <c r="R52" s="239"/>
      <c r="S52" s="239"/>
    </row>
  </sheetData>
  <mergeCells count="13">
    <mergeCell ref="A52:Q52"/>
    <mergeCell ref="A4:B4"/>
    <mergeCell ref="E4:F4"/>
    <mergeCell ref="I4:J4"/>
    <mergeCell ref="K4:L4"/>
    <mergeCell ref="A1:Q1"/>
    <mergeCell ref="A3:B3"/>
    <mergeCell ref="C4:D4"/>
    <mergeCell ref="G4:H4"/>
    <mergeCell ref="M4:N4"/>
    <mergeCell ref="O4:P4"/>
    <mergeCell ref="Q4:Q5"/>
    <mergeCell ref="A2:Q2"/>
  </mergeCells>
  <phoneticPr fontId="0" type="noConversion"/>
  <printOptions horizontalCentered="1" verticalCentered="1"/>
  <pageMargins left="0.35433070866141736" right="0.27559055118110237" top="0.98425196850393704" bottom="0.98425196850393704" header="0.51181102362204722" footer="0.51181102362204722"/>
  <pageSetup paperSize="9" scale="46"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آتش سوزى</vt:lpstr>
      <vt:lpstr>باربرى</vt:lpstr>
      <vt:lpstr>حوادث</vt:lpstr>
      <vt:lpstr>حوادث راننده</vt:lpstr>
      <vt:lpstr>بدنه اتومبيل</vt:lpstr>
      <vt:lpstr>شخص ثالث و مازاد</vt:lpstr>
      <vt:lpstr>درمان</vt:lpstr>
      <vt:lpstr>كشتى</vt:lpstr>
      <vt:lpstr>هواپيما</vt:lpstr>
      <vt:lpstr>مهندسى</vt:lpstr>
      <vt:lpstr>پول</vt:lpstr>
      <vt:lpstr>مسئوليت</vt:lpstr>
      <vt:lpstr>اعتبار</vt:lpstr>
      <vt:lpstr>نفت و انرژی</vt:lpstr>
      <vt:lpstr>ساير انواع</vt:lpstr>
      <vt:lpstr>جمع غير زندگى</vt:lpstr>
      <vt:lpstr>زندگى(عمر)</vt:lpstr>
      <vt:lpstr>صنعت بيمه كشور</vt:lpstr>
      <vt:lpstr>'آتش سوزى'!Print_Area</vt:lpstr>
      <vt:lpstr>اعتبار!Print_Area</vt:lpstr>
      <vt:lpstr>باربرى!Print_Area</vt:lpstr>
      <vt:lpstr>'بدنه اتومبيل'!Print_Area</vt:lpstr>
      <vt:lpstr>پول!Print_Area</vt:lpstr>
      <vt:lpstr>'جمع غير زندگى'!Print_Area</vt:lpstr>
      <vt:lpstr>حوادث!Print_Area</vt:lpstr>
      <vt:lpstr>'حوادث راننده'!Print_Area</vt:lpstr>
      <vt:lpstr>درمان!Print_Area</vt:lpstr>
      <vt:lpstr>'زندگى(عمر)'!Print_Area</vt:lpstr>
      <vt:lpstr>'ساير انواع'!Print_Area</vt:lpstr>
      <vt:lpstr>'شخص ثالث و مازاد'!Print_Area</vt:lpstr>
      <vt:lpstr>'صنعت بيمه كشور'!Print_Area</vt:lpstr>
      <vt:lpstr>كشتى!Print_Area</vt:lpstr>
      <vt:lpstr>مسئوليت!Print_Area</vt:lpstr>
      <vt:lpstr>مهندسى!Print_Area</vt:lpstr>
      <vt:lpstr>'نفت و انرژی'!Print_Area</vt:lpstr>
      <vt:lpstr>هواپيما!Print_Area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 shoar</dc:creator>
  <cp:lastModifiedBy>Mohammad Ebrahim Alaei</cp:lastModifiedBy>
  <cp:lastPrinted>2012-12-10T08:43:38Z</cp:lastPrinted>
  <dcterms:created xsi:type="dcterms:W3CDTF">1999-05-16T02:25:45Z</dcterms:created>
  <dcterms:modified xsi:type="dcterms:W3CDTF">2022-04-17T08:54:48Z</dcterms:modified>
</cp:coreProperties>
</file>