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zk093f\Documents\New Hire Information\Planes\"/>
    </mc:Choice>
  </mc:AlternateContent>
  <xr:revisionPtr revIDLastSave="0" documentId="13_ncr:1_{55E48EDB-7098-4437-9325-9970A9100C61}" xr6:coauthVersionLast="47" xr6:coauthVersionMax="47" xr10:uidLastSave="{00000000-0000-0000-0000-000000000000}"/>
  <bookViews>
    <workbookView xWindow="-28920" yWindow="-120" windowWidth="29040" windowHeight="15840" tabRatio="524" xr2:uid="{12587048-0E33-4F82-B4DE-3820B5D11A53}"/>
  </bookViews>
  <sheets>
    <sheet name="Fleet Analysis" sheetId="7" r:id="rId1"/>
    <sheet name="General" sheetId="6" r:id="rId2"/>
    <sheet name="American" sheetId="1" r:id="rId3"/>
    <sheet name="Europe" sheetId="2" r:id="rId4"/>
    <sheet name="Asia" sheetId="3" r:id="rId5"/>
    <sheet name="Middle East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70" i="7" l="1"/>
  <c r="W63" i="7"/>
  <c r="V63" i="7"/>
  <c r="U63" i="7"/>
  <c r="T63" i="7"/>
  <c r="S63" i="7"/>
  <c r="S10" i="7" s="1"/>
  <c r="R63" i="7"/>
  <c r="R10" i="7" s="1"/>
  <c r="Q63" i="7"/>
  <c r="Q10" i="7" s="1"/>
  <c r="P63" i="7"/>
  <c r="P10" i="7" s="1"/>
  <c r="O63" i="7"/>
  <c r="N63" i="7"/>
  <c r="M63" i="7"/>
  <c r="L63" i="7"/>
  <c r="K63" i="7"/>
  <c r="K10" i="7" s="1"/>
  <c r="J63" i="7"/>
  <c r="J10" i="7" s="1"/>
  <c r="I63" i="7"/>
  <c r="H63" i="7"/>
  <c r="G63" i="7"/>
  <c r="G10" i="7" s="1"/>
  <c r="F63" i="7"/>
  <c r="F10" i="7" s="1"/>
  <c r="E63" i="7"/>
  <c r="D63" i="7"/>
  <c r="C63" i="7"/>
  <c r="G56" i="7"/>
  <c r="W54" i="7"/>
  <c r="U54" i="7"/>
  <c r="R54" i="7"/>
  <c r="R50" i="7" s="1"/>
  <c r="R8" i="7" s="1"/>
  <c r="Q54" i="7"/>
  <c r="Q50" i="7" s="1"/>
  <c r="Q8" i="7" s="1"/>
  <c r="P54" i="7"/>
  <c r="P50" i="7" s="1"/>
  <c r="P8" i="7" s="1"/>
  <c r="M54" i="7"/>
  <c r="K54" i="7"/>
  <c r="E54" i="7"/>
  <c r="D54" i="7"/>
  <c r="W53" i="7"/>
  <c r="V53" i="7"/>
  <c r="U53" i="7"/>
  <c r="P53" i="7"/>
  <c r="M53" i="7"/>
  <c r="M50" i="7" s="1"/>
  <c r="M8" i="7" s="1"/>
  <c r="L53" i="7"/>
  <c r="L50" i="7" s="1"/>
  <c r="L8" i="7" s="1"/>
  <c r="K53" i="7"/>
  <c r="K50" i="7" s="1"/>
  <c r="K8" i="7" s="1"/>
  <c r="E53" i="7"/>
  <c r="E50" i="7" s="1"/>
  <c r="E8" i="7" s="1"/>
  <c r="D53" i="7"/>
  <c r="D50" i="7" s="1"/>
  <c r="D8" i="7" s="1"/>
  <c r="D52" i="7"/>
  <c r="C52" i="7"/>
  <c r="P51" i="7"/>
  <c r="J51" i="7"/>
  <c r="W50" i="7"/>
  <c r="W8" i="7" s="1"/>
  <c r="V50" i="7"/>
  <c r="V8" i="7" s="1"/>
  <c r="U50" i="7"/>
  <c r="U8" i="7" s="1"/>
  <c r="T50" i="7"/>
  <c r="S50" i="7"/>
  <c r="O50" i="7"/>
  <c r="N50" i="7"/>
  <c r="J50" i="7"/>
  <c r="I50" i="7"/>
  <c r="I8" i="7" s="1"/>
  <c r="H50" i="7"/>
  <c r="G50" i="7"/>
  <c r="F50" i="7"/>
  <c r="C50" i="7"/>
  <c r="D49" i="7"/>
  <c r="C49" i="7"/>
  <c r="C43" i="7" s="1"/>
  <c r="C7" i="7" s="1"/>
  <c r="S48" i="7"/>
  <c r="S43" i="7" s="1"/>
  <c r="S7" i="7" s="1"/>
  <c r="P48" i="7"/>
  <c r="G48" i="7"/>
  <c r="F48" i="7"/>
  <c r="D48" i="7"/>
  <c r="S47" i="7"/>
  <c r="R47" i="7"/>
  <c r="P47" i="7"/>
  <c r="I47" i="7"/>
  <c r="I43" i="7" s="1"/>
  <c r="I7" i="7" s="1"/>
  <c r="G47" i="7"/>
  <c r="G43" i="7" s="1"/>
  <c r="G7" i="7" s="1"/>
  <c r="F47" i="7"/>
  <c r="F43" i="7" s="1"/>
  <c r="F7" i="7" s="1"/>
  <c r="D47" i="7"/>
  <c r="W43" i="7"/>
  <c r="V43" i="7"/>
  <c r="U43" i="7"/>
  <c r="T43" i="7"/>
  <c r="R43" i="7"/>
  <c r="R7" i="7" s="1"/>
  <c r="Q43" i="7"/>
  <c r="Q7" i="7" s="1"/>
  <c r="P43" i="7"/>
  <c r="P7" i="7" s="1"/>
  <c r="O43" i="7"/>
  <c r="O7" i="7" s="1"/>
  <c r="N43" i="7"/>
  <c r="M43" i="7"/>
  <c r="L43" i="7"/>
  <c r="K43" i="7"/>
  <c r="J43" i="7"/>
  <c r="H43" i="7"/>
  <c r="E43" i="7"/>
  <c r="E7" i="7" s="1"/>
  <c r="D43" i="7"/>
  <c r="D7" i="7" s="1"/>
  <c r="W41" i="7"/>
  <c r="U41" i="7"/>
  <c r="W40" i="7"/>
  <c r="U40" i="7"/>
  <c r="S40" i="7"/>
  <c r="S35" i="7" s="1"/>
  <c r="S6" i="7" s="1"/>
  <c r="Q40" i="7"/>
  <c r="Q35" i="7" s="1"/>
  <c r="Q6" i="7" s="1"/>
  <c r="O40" i="7"/>
  <c r="O35" i="7" s="1"/>
  <c r="O6" i="7" s="1"/>
  <c r="M40" i="7"/>
  <c r="M35" i="7" s="1"/>
  <c r="M6" i="7" s="1"/>
  <c r="J39" i="7"/>
  <c r="U38" i="7"/>
  <c r="S38" i="7"/>
  <c r="R38" i="7"/>
  <c r="R35" i="7" s="1"/>
  <c r="R6" i="7" s="1"/>
  <c r="P38" i="7"/>
  <c r="P35" i="7" s="1"/>
  <c r="P6" i="7" s="1"/>
  <c r="M38" i="7"/>
  <c r="C38" i="7"/>
  <c r="W35" i="7"/>
  <c r="V35" i="7"/>
  <c r="U35" i="7"/>
  <c r="T35" i="7"/>
  <c r="N35" i="7"/>
  <c r="L35" i="7"/>
  <c r="L6" i="7" s="1"/>
  <c r="K35" i="7"/>
  <c r="K6" i="7" s="1"/>
  <c r="J35" i="7"/>
  <c r="I35" i="7"/>
  <c r="H35" i="7"/>
  <c r="G35" i="7"/>
  <c r="F35" i="7"/>
  <c r="E35" i="7"/>
  <c r="D35" i="7"/>
  <c r="D6" i="7" s="1"/>
  <c r="C35" i="7"/>
  <c r="C6" i="7" s="1"/>
  <c r="W34" i="7"/>
  <c r="W32" i="7" s="1"/>
  <c r="W5" i="7" s="1"/>
  <c r="U34" i="7"/>
  <c r="U32" i="7" s="1"/>
  <c r="U5" i="7" s="1"/>
  <c r="S34" i="7"/>
  <c r="S32" i="7" s="1"/>
  <c r="S5" i="7" s="1"/>
  <c r="R34" i="7"/>
  <c r="R32" i="7" s="1"/>
  <c r="R5" i="7" s="1"/>
  <c r="P34" i="7"/>
  <c r="M34" i="7"/>
  <c r="L34" i="7"/>
  <c r="L32" i="7" s="1"/>
  <c r="L5" i="7" s="1"/>
  <c r="K34" i="7"/>
  <c r="K32" i="7" s="1"/>
  <c r="K5" i="7" s="1"/>
  <c r="J34" i="7"/>
  <c r="J32" i="7" s="1"/>
  <c r="J5" i="7" s="1"/>
  <c r="E34" i="7"/>
  <c r="D34" i="7"/>
  <c r="D32" i="7" s="1"/>
  <c r="D5" i="7" s="1"/>
  <c r="C34" i="7"/>
  <c r="C32" i="7" s="1"/>
  <c r="C5" i="7" s="1"/>
  <c r="C33" i="7"/>
  <c r="V32" i="7"/>
  <c r="T32" i="7"/>
  <c r="Q32" i="7"/>
  <c r="P32" i="7"/>
  <c r="P5" i="7" s="1"/>
  <c r="O32" i="7"/>
  <c r="O5" i="7" s="1"/>
  <c r="N32" i="7"/>
  <c r="M32" i="7"/>
  <c r="M5" i="7" s="1"/>
  <c r="I32" i="7"/>
  <c r="I5" i="7" s="1"/>
  <c r="H32" i="7"/>
  <c r="G32" i="7"/>
  <c r="G5" i="7" s="1"/>
  <c r="F32" i="7"/>
  <c r="F5" i="7" s="1"/>
  <c r="E32" i="7"/>
  <c r="E5" i="7" s="1"/>
  <c r="W10" i="7"/>
  <c r="V10" i="7"/>
  <c r="U10" i="7"/>
  <c r="O10" i="7"/>
  <c r="M10" i="7"/>
  <c r="L10" i="7"/>
  <c r="I10" i="7"/>
  <c r="E10" i="7"/>
  <c r="D10" i="7"/>
  <c r="C10" i="7"/>
  <c r="S8" i="7"/>
  <c r="O8" i="7"/>
  <c r="J8" i="7"/>
  <c r="G8" i="7"/>
  <c r="F8" i="7"/>
  <c r="C8" i="7"/>
  <c r="W7" i="7"/>
  <c r="V7" i="7"/>
  <c r="U7" i="7"/>
  <c r="M7" i="7"/>
  <c r="L7" i="7"/>
  <c r="K7" i="7"/>
  <c r="J7" i="7"/>
  <c r="W6" i="7"/>
  <c r="V6" i="7"/>
  <c r="U6" i="7"/>
  <c r="J6" i="7"/>
  <c r="I6" i="7"/>
  <c r="G6" i="7"/>
  <c r="F6" i="7"/>
  <c r="E6" i="7"/>
  <c r="V5" i="7"/>
  <c r="Q5" i="7"/>
  <c r="D46" i="1"/>
  <c r="E46" i="1"/>
  <c r="F46" i="1"/>
  <c r="G46" i="1"/>
  <c r="H46" i="1"/>
  <c r="E45" i="1"/>
  <c r="E43" i="1"/>
  <c r="F29" i="1"/>
  <c r="F28" i="1"/>
  <c r="F27" i="1"/>
  <c r="F13" i="1"/>
  <c r="F12" i="1"/>
  <c r="F11" i="1"/>
  <c r="E44" i="1" s="1"/>
  <c r="F6" i="1"/>
  <c r="E42" i="1" s="1"/>
  <c r="G42" i="1"/>
  <c r="H42" i="1"/>
  <c r="F44" i="1"/>
  <c r="F43" i="1"/>
  <c r="G43" i="1"/>
  <c r="H43" i="1"/>
  <c r="G45" i="1"/>
  <c r="H45" i="1"/>
  <c r="D42" i="1"/>
  <c r="L32" i="1"/>
  <c r="L12" i="1"/>
  <c r="L11" i="1"/>
  <c r="H44" i="1" s="1"/>
  <c r="J12" i="1"/>
  <c r="J11" i="1"/>
  <c r="G44" i="1" s="1"/>
  <c r="H29" i="1"/>
  <c r="H28" i="1"/>
  <c r="F45" i="1" s="1"/>
  <c r="H6" i="1"/>
  <c r="F42" i="1" s="1"/>
  <c r="D27" i="1"/>
  <c r="D45" i="1" s="1"/>
  <c r="D13" i="1"/>
  <c r="D44" i="1" s="1"/>
  <c r="D20" i="1"/>
  <c r="D43" i="1" s="1"/>
  <c r="D6" i="1"/>
  <c r="D5" i="1"/>
</calcChain>
</file>

<file path=xl/sharedStrings.xml><?xml version="1.0" encoding="utf-8"?>
<sst xmlns="http://schemas.openxmlformats.org/spreadsheetml/2006/main" count="232" uniqueCount="83">
  <si>
    <t>Airbus</t>
  </si>
  <si>
    <t>A220</t>
  </si>
  <si>
    <t>A320</t>
  </si>
  <si>
    <t>Narrowbody</t>
  </si>
  <si>
    <t>Boeing</t>
  </si>
  <si>
    <t>737 NG</t>
  </si>
  <si>
    <t>737 MAX</t>
  </si>
  <si>
    <t>Widebody</t>
  </si>
  <si>
    <t>A300</t>
  </si>
  <si>
    <t>A310</t>
  </si>
  <si>
    <t>A330</t>
  </si>
  <si>
    <t>A340</t>
  </si>
  <si>
    <t>A350</t>
  </si>
  <si>
    <t>A380</t>
  </si>
  <si>
    <t>Delta</t>
  </si>
  <si>
    <t>Updated: 3/28/25</t>
  </si>
  <si>
    <t>In Service</t>
  </si>
  <si>
    <t>American</t>
  </si>
  <si>
    <t>Southwest</t>
  </si>
  <si>
    <t>Alaska</t>
  </si>
  <si>
    <t>Embraer</t>
  </si>
  <si>
    <t>E175</t>
  </si>
  <si>
    <t>Airbus (Narrow)</t>
  </si>
  <si>
    <t>Boeing (Narrow)</t>
  </si>
  <si>
    <t>Airbus (Wide)</t>
  </si>
  <si>
    <t>Boeing (Wide)</t>
  </si>
  <si>
    <t>Other</t>
  </si>
  <si>
    <t>United</t>
  </si>
  <si>
    <t>https://en.wikipedia.org/wiki/Delta_Air_Lines_fleet</t>
  </si>
  <si>
    <t>https://en.wikipedia.org/wiki/American_Airlines_fleet</t>
  </si>
  <si>
    <t>https://en.wikipedia.org/wiki/Southwest_Airlines_fleet</t>
  </si>
  <si>
    <t>https://en.wikipedia.org/wiki/Alaska_Airlines_fleet</t>
  </si>
  <si>
    <t>https://en.wikipedia.org/wiki/United_Airlines_fleet</t>
  </si>
  <si>
    <t>Emirates</t>
  </si>
  <si>
    <t>RyanAir</t>
  </si>
  <si>
    <t>Lufthansa</t>
  </si>
  <si>
    <t>Qatar</t>
  </si>
  <si>
    <t>Air France</t>
  </si>
  <si>
    <t>Freighters</t>
  </si>
  <si>
    <t>FedEx</t>
  </si>
  <si>
    <t>Qatar Cargo</t>
  </si>
  <si>
    <t>UPS</t>
  </si>
  <si>
    <t>Emirates SkyCargo</t>
  </si>
  <si>
    <t>Atlas Air</t>
  </si>
  <si>
    <t>Korean Air Cargo</t>
  </si>
  <si>
    <t>Turkish Cargo</t>
  </si>
  <si>
    <t>Europe</t>
  </si>
  <si>
    <t>Asia</t>
  </si>
  <si>
    <t>Middle East</t>
  </si>
  <si>
    <t>Lufthansa Group</t>
  </si>
  <si>
    <t>China Southern Airlines</t>
  </si>
  <si>
    <t>China Eastern Airlines</t>
  </si>
  <si>
    <t>Air France-KLM</t>
  </si>
  <si>
    <t>Turkish Airlines</t>
  </si>
  <si>
    <t>Qatar Airways</t>
  </si>
  <si>
    <t>IndiGo</t>
  </si>
  <si>
    <t>British Airways</t>
  </si>
  <si>
    <t>Air Canada</t>
  </si>
  <si>
    <t>International Airlines Group</t>
  </si>
  <si>
    <t>https://www.worldairlineawards.com/best-airlines-2024-by-region/</t>
  </si>
  <si>
    <t>American Airlines</t>
  </si>
  <si>
    <t>IAG</t>
  </si>
  <si>
    <t>Singapore</t>
  </si>
  <si>
    <t>Korean Air</t>
  </si>
  <si>
    <t>Japan Airlines</t>
  </si>
  <si>
    <t>China Southern</t>
  </si>
  <si>
    <t>China Eastern</t>
  </si>
  <si>
    <t>Etihad Airways</t>
  </si>
  <si>
    <t>Comac</t>
  </si>
  <si>
    <t>Source</t>
  </si>
  <si>
    <t>Bombardier</t>
  </si>
  <si>
    <t>Challenger 3500</t>
  </si>
  <si>
    <t>Learjet 45</t>
  </si>
  <si>
    <t>C919</t>
  </si>
  <si>
    <t>C909</t>
  </si>
  <si>
    <t>Cargo Fleet</t>
  </si>
  <si>
    <t>777F</t>
  </si>
  <si>
    <t>A350F</t>
  </si>
  <si>
    <t>747F</t>
  </si>
  <si>
    <t>767BCF</t>
  </si>
  <si>
    <t>E170</t>
  </si>
  <si>
    <t>E190</t>
  </si>
  <si>
    <t>E195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</si>
</sst>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3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1" applyAlignment="1"/>
    <xf numFmtId="0" fontId="0" fillId="0" borderId="0" xfId="0" applyAlignment="1"/>
    <xf numFmtId="0" fontId="0" fillId="2" borderId="2" xfId="0" applyFill="1" applyBorder="1"/>
    <xf numFmtId="0" fontId="0" fillId="2" borderId="4" xfId="0" applyFill="1" applyBorder="1"/>
    <xf numFmtId="0" fontId="0" fillId="2" borderId="0" xfId="0" applyFill="1" applyBorder="1"/>
    <xf numFmtId="0" fontId="0" fillId="2" borderId="7" xfId="0" applyFill="1" applyBorder="1"/>
    <xf numFmtId="0" fontId="0" fillId="2" borderId="0" xfId="0" applyFill="1"/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1"/>
    <xf numFmtId="0" fontId="0" fillId="0" borderId="0" xfId="0" applyBorder="1" applyAlignment="1">
      <alignment horizontal="left"/>
    </xf>
    <xf numFmtId="0" fontId="0" fillId="0" borderId="0" xfId="0" applyAlignment="1">
      <alignment textRotation="90"/>
    </xf>
    <xf numFmtId="0" fontId="0" fillId="0" borderId="9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7" borderId="0" xfId="0" applyFill="1"/>
    <xf numFmtId="0" fontId="0" fillId="7" borderId="0" xfId="0" applyFill="1" applyBorder="1"/>
    <xf numFmtId="0" fontId="0" fillId="4" borderId="0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8" borderId="0" xfId="0" applyFill="1" applyBorder="1"/>
    <xf numFmtId="0" fontId="0" fillId="0" borderId="0" xfId="0" applyBorder="1" applyAlignment="1">
      <alignment horizontal="center" vertical="center" textRotation="90"/>
    </xf>
    <xf numFmtId="0" fontId="0" fillId="7" borderId="0" xfId="0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0" fillId="0" borderId="16" xfId="0" applyBorder="1" applyAlignment="1">
      <alignment horizontal="left" vertical="center"/>
    </xf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  <xf numFmtId="0" fontId="0" fillId="9" borderId="0" xfId="0" applyFill="1"/>
    <xf numFmtId="0" fontId="0" fillId="4" borderId="0" xfId="0" applyFill="1"/>
    <xf numFmtId="0" fontId="0" fillId="10" borderId="0" xfId="0" applyFill="1" applyAlignment="1">
      <alignment horizontal="left"/>
    </xf>
    <xf numFmtId="0" fontId="0" fillId="5" borderId="0" xfId="0" applyFill="1" applyAlignment="1">
      <alignment horizontal="left"/>
    </xf>
    <xf numFmtId="0" fontId="0" fillId="11" borderId="0" xfId="0" applyFill="1"/>
    <xf numFmtId="0" fontId="0" fillId="11" borderId="0" xfId="0" applyFill="1" applyAlignment="1">
      <alignment horizontal="left"/>
    </xf>
    <xf numFmtId="0" fontId="1" fillId="0" borderId="0" xfId="1" applyAlignment="1">
      <alignment horizontal="center" vertical="center"/>
    </xf>
    <xf numFmtId="0" fontId="1" fillId="0" borderId="0" xfId="1" applyAlignment="1">
      <alignment horizontal="center"/>
    </xf>
    <xf numFmtId="0" fontId="0" fillId="4" borderId="8" xfId="0" applyFill="1" applyBorder="1"/>
    <xf numFmtId="0" fontId="0" fillId="0" borderId="9" xfId="0" applyBorder="1"/>
    <xf numFmtId="0" fontId="0" fillId="0" borderId="9" xfId="0" applyBorder="1" applyAlignment="1">
      <alignment horizontal="center"/>
    </xf>
    <xf numFmtId="0" fontId="0" fillId="0" borderId="10" xfId="0" applyBorder="1"/>
    <xf numFmtId="0" fontId="0" fillId="9" borderId="11" xfId="0" applyFill="1" applyBorder="1"/>
    <xf numFmtId="0" fontId="2" fillId="0" borderId="0" xfId="0" applyFont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0" fillId="0" borderId="12" xfId="0" applyBorder="1"/>
    <xf numFmtId="0" fontId="0" fillId="4" borderId="11" xfId="0" applyFill="1" applyBorder="1"/>
    <xf numFmtId="0" fontId="0" fillId="4" borderId="13" xfId="0" applyFill="1" applyBorder="1"/>
    <xf numFmtId="0" fontId="0" fillId="0" borderId="14" xfId="0" applyBorder="1"/>
    <xf numFmtId="0" fontId="0" fillId="0" borderId="14" xfId="0" applyBorder="1" applyAlignment="1">
      <alignment horizontal="center"/>
    </xf>
    <xf numFmtId="0" fontId="0" fillId="0" borderId="15" xfId="0" applyBorder="1"/>
    <xf numFmtId="0" fontId="0" fillId="12" borderId="8" xfId="0" applyFill="1" applyBorder="1" applyAlignment="1">
      <alignment horizontal="left"/>
    </xf>
    <xf numFmtId="0" fontId="0" fillId="10" borderId="11" xfId="0" applyFill="1" applyBorder="1"/>
    <xf numFmtId="0" fontId="0" fillId="10" borderId="11" xfId="0" applyFill="1" applyBorder="1" applyAlignment="1">
      <alignment horizontal="left"/>
    </xf>
    <xf numFmtId="0" fontId="0" fillId="5" borderId="11" xfId="0" applyFill="1" applyBorder="1"/>
    <xf numFmtId="0" fontId="0" fillId="5" borderId="11" xfId="0" applyFill="1" applyBorder="1" applyAlignment="1">
      <alignment horizontal="left"/>
    </xf>
    <xf numFmtId="0" fontId="0" fillId="5" borderId="13" xfId="0" applyFill="1" applyBorder="1" applyAlignment="1">
      <alignment horizontal="left"/>
    </xf>
    <xf numFmtId="0" fontId="0" fillId="7" borderId="8" xfId="0" applyFill="1" applyBorder="1"/>
    <xf numFmtId="0" fontId="0" fillId="7" borderId="13" xfId="0" applyFill="1" applyBorder="1"/>
    <xf numFmtId="0" fontId="0" fillId="0" borderId="0" xfId="0" applyAlignment="1">
      <alignment horizontal="left"/>
    </xf>
    <xf numFmtId="0" fontId="0" fillId="13" borderId="0" xfId="0" applyFill="1" applyAlignment="1">
      <alignment horizontal="center"/>
    </xf>
    <xf numFmtId="0" fontId="0" fillId="13" borderId="0" xfId="0" applyFill="1"/>
    <xf numFmtId="0" fontId="0" fillId="13" borderId="0" xfId="0" applyFill="1" applyAlignment="1">
      <alignment horizontal="center" vertical="center"/>
    </xf>
    <xf numFmtId="0" fontId="0" fillId="0" borderId="0" xfId="0" applyFill="1" applyBorder="1"/>
    <xf numFmtId="0" fontId="0" fillId="14" borderId="0" xfId="0" applyFill="1"/>
    <xf numFmtId="0" fontId="0" fillId="0" borderId="0" xfId="0" applyBorder="1" applyAlignment="1">
      <alignment horizontal="center" vertical="center" textRotation="90"/>
    </xf>
    <xf numFmtId="0" fontId="0" fillId="0" borderId="0" xfId="0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American Airlines Fleets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'Fleet Analysis'!$A$5:$B$5</c:f>
              <c:strCache>
                <c:ptCount val="2"/>
                <c:pt idx="0">
                  <c:v>Airbus (Narrow)</c:v>
                </c:pt>
              </c:strCache>
            </c:strRef>
          </c:tx>
          <c:spPr>
            <a:solidFill>
              <a:srgbClr val="F3B495"/>
            </a:solidFill>
            <a:ln>
              <a:noFill/>
            </a:ln>
            <a:effectLst/>
          </c:spPr>
          <c:invertIfNegative val="0"/>
          <c:cat>
            <c:strRef>
              <c:f>'Fleet Analysis'!$C$4:$G$4</c:f>
              <c:strCache>
                <c:ptCount val="5"/>
                <c:pt idx="0">
                  <c:v>Delta</c:v>
                </c:pt>
                <c:pt idx="1">
                  <c:v>United</c:v>
                </c:pt>
                <c:pt idx="2">
                  <c:v>American</c:v>
                </c:pt>
                <c:pt idx="3">
                  <c:v>Southwest</c:v>
                </c:pt>
                <c:pt idx="4">
                  <c:v>Alaska</c:v>
                </c:pt>
              </c:strCache>
            </c:strRef>
          </c:cat>
          <c:val>
            <c:numRef>
              <c:f>'Fleet Analysis'!$C$5:$G$5</c:f>
              <c:numCache>
                <c:formatCode>General</c:formatCode>
                <c:ptCount val="5"/>
                <c:pt idx="0">
                  <c:v>385</c:v>
                </c:pt>
                <c:pt idx="1">
                  <c:v>192</c:v>
                </c:pt>
                <c:pt idx="2">
                  <c:v>483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A6-477F-9170-86D3156F1F30}"/>
            </c:ext>
          </c:extLst>
        </c:ser>
        <c:ser>
          <c:idx val="1"/>
          <c:order val="1"/>
          <c:tx>
            <c:strRef>
              <c:f>'Fleet Analysis'!$A$6:$B$6</c:f>
              <c:strCache>
                <c:ptCount val="2"/>
                <c:pt idx="0">
                  <c:v>Airbus (Wide)</c:v>
                </c:pt>
              </c:strCache>
            </c:strRef>
          </c:tx>
          <c:spPr>
            <a:solidFill>
              <a:srgbClr val="EC844A"/>
            </a:solidFill>
            <a:ln>
              <a:noFill/>
            </a:ln>
            <a:effectLst/>
          </c:spPr>
          <c:invertIfNegative val="0"/>
          <c:cat>
            <c:strRef>
              <c:f>'Fleet Analysis'!$C$4:$G$4</c:f>
              <c:strCache>
                <c:ptCount val="5"/>
                <c:pt idx="0">
                  <c:v>Delta</c:v>
                </c:pt>
                <c:pt idx="1">
                  <c:v>United</c:v>
                </c:pt>
                <c:pt idx="2">
                  <c:v>American</c:v>
                </c:pt>
                <c:pt idx="3">
                  <c:v>Southwest</c:v>
                </c:pt>
                <c:pt idx="4">
                  <c:v>Alaska</c:v>
                </c:pt>
              </c:strCache>
            </c:strRef>
          </c:cat>
          <c:val>
            <c:numRef>
              <c:f>'Fleet Analysis'!$C$6:$G$6</c:f>
              <c:numCache>
                <c:formatCode>General</c:formatCode>
                <c:ptCount val="5"/>
                <c:pt idx="0">
                  <c:v>110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A6-477F-9170-86D3156F1F30}"/>
            </c:ext>
          </c:extLst>
        </c:ser>
        <c:ser>
          <c:idx val="2"/>
          <c:order val="2"/>
          <c:tx>
            <c:strRef>
              <c:f>'Fleet Analysis'!$A$7:$B$7</c:f>
              <c:strCache>
                <c:ptCount val="2"/>
                <c:pt idx="0">
                  <c:v>Boeing (Narrow)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'Fleet Analysis'!$C$4:$G$4</c:f>
              <c:strCache>
                <c:ptCount val="5"/>
                <c:pt idx="0">
                  <c:v>Delta</c:v>
                </c:pt>
                <c:pt idx="1">
                  <c:v>United</c:v>
                </c:pt>
                <c:pt idx="2">
                  <c:v>American</c:v>
                </c:pt>
                <c:pt idx="3">
                  <c:v>Southwest</c:v>
                </c:pt>
                <c:pt idx="4">
                  <c:v>Alaska</c:v>
                </c:pt>
              </c:strCache>
            </c:strRef>
          </c:cat>
          <c:val>
            <c:numRef>
              <c:f>'Fleet Analysis'!$C$7:$G$7</c:f>
              <c:numCache>
                <c:formatCode>General</c:formatCode>
                <c:ptCount val="5"/>
                <c:pt idx="0">
                  <c:v>347</c:v>
                </c:pt>
                <c:pt idx="1">
                  <c:v>598</c:v>
                </c:pt>
                <c:pt idx="2">
                  <c:v>375</c:v>
                </c:pt>
                <c:pt idx="3">
                  <c:v>800</c:v>
                </c:pt>
                <c:pt idx="4">
                  <c:v>234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A6-477F-9170-86D3156F1F30}"/>
            </c:ext>
          </c:extLst>
        </c:ser>
        <c:ser>
          <c:idx val="3"/>
          <c:order val="3"/>
          <c:tx>
            <c:strRef>
              <c:f>'Fleet Analysis'!$A$8:$B$8</c:f>
              <c:strCache>
                <c:ptCount val="2"/>
                <c:pt idx="0">
                  <c:v>Boeing (Wide)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'Fleet Analysis'!$C$4:$G$4</c:f>
              <c:strCache>
                <c:ptCount val="5"/>
                <c:pt idx="0">
                  <c:v>Delta</c:v>
                </c:pt>
                <c:pt idx="1">
                  <c:v>United</c:v>
                </c:pt>
                <c:pt idx="2">
                  <c:v>American</c:v>
                </c:pt>
                <c:pt idx="3">
                  <c:v>Southwest</c:v>
                </c:pt>
                <c:pt idx="4">
                  <c:v>Alaska</c:v>
                </c:pt>
              </c:strCache>
            </c:strRef>
          </c:cat>
          <c:val>
            <c:numRef>
              <c:f>'Fleet Analysis'!$C$8:$G$8</c:f>
              <c:numCache>
                <c:formatCode>General</c:formatCode>
                <c:ptCount val="5"/>
                <c:pt idx="0">
                  <c:v>60</c:v>
                </c:pt>
                <c:pt idx="1">
                  <c:v>225</c:v>
                </c:pt>
                <c:pt idx="2">
                  <c:v>126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3A6-477F-9170-86D3156F1F30}"/>
            </c:ext>
          </c:extLst>
        </c:ser>
        <c:ser>
          <c:idx val="4"/>
          <c:order val="4"/>
          <c:tx>
            <c:strRef>
              <c:f>'Fleet Analysis'!$A$9:$B$9</c:f>
              <c:strCache>
                <c:ptCount val="2"/>
                <c:pt idx="0">
                  <c:v>Embraer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'Fleet Analysis'!$C$4:$G$4</c:f>
              <c:strCache>
                <c:ptCount val="5"/>
                <c:pt idx="0">
                  <c:v>Delta</c:v>
                </c:pt>
                <c:pt idx="1">
                  <c:v>United</c:v>
                </c:pt>
                <c:pt idx="2">
                  <c:v>American</c:v>
                </c:pt>
                <c:pt idx="3">
                  <c:v>Southwest</c:v>
                </c:pt>
                <c:pt idx="4">
                  <c:v>Alaska</c:v>
                </c:pt>
              </c:strCache>
            </c:strRef>
          </c:cat>
          <c:val>
            <c:numRef>
              <c:f>'Fleet Analysis'!$C$9:$G$9</c:f>
              <c:numCache>
                <c:formatCode>General</c:formatCode>
                <c:ptCount val="5"/>
                <c:pt idx="4">
                  <c:v>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3A6-477F-9170-86D3156F1F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9881632"/>
        <c:axId val="699868672"/>
      </c:barChart>
      <c:catAx>
        <c:axId val="699881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868672"/>
        <c:crosses val="autoZero"/>
        <c:auto val="1"/>
        <c:lblAlgn val="ctr"/>
        <c:lblOffset val="100"/>
        <c:noMultiLvlLbl val="0"/>
      </c:catAx>
      <c:valAx>
        <c:axId val="69986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881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Global Fleet</a:t>
            </a:r>
            <a:r>
              <a:rPr lang="en-US" baseline="0"/>
              <a:t> Sizes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'Fleet Analysis'!$A$5:$B$5</c:f>
              <c:strCache>
                <c:ptCount val="2"/>
                <c:pt idx="0">
                  <c:v>Airbus (Narrow)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'Fleet Analysis'!$C$4:$W$4</c:f>
              <c:strCache>
                <c:ptCount val="21"/>
                <c:pt idx="0">
                  <c:v>Delta</c:v>
                </c:pt>
                <c:pt idx="1">
                  <c:v>United</c:v>
                </c:pt>
                <c:pt idx="2">
                  <c:v>American</c:v>
                </c:pt>
                <c:pt idx="3">
                  <c:v>Southwest</c:v>
                </c:pt>
                <c:pt idx="4">
                  <c:v>Alaska</c:v>
                </c:pt>
                <c:pt idx="6">
                  <c:v>RyanAir</c:v>
                </c:pt>
                <c:pt idx="7">
                  <c:v>Lufthansa</c:v>
                </c:pt>
                <c:pt idx="8">
                  <c:v>British Airways</c:v>
                </c:pt>
                <c:pt idx="9">
                  <c:v>Air France</c:v>
                </c:pt>
                <c:pt idx="10">
                  <c:v>IAG</c:v>
                </c:pt>
                <c:pt idx="12">
                  <c:v>Singapore</c:v>
                </c:pt>
                <c:pt idx="13">
                  <c:v>Korean Air</c:v>
                </c:pt>
                <c:pt idx="14">
                  <c:v>Japan Airlines</c:v>
                </c:pt>
                <c:pt idx="15">
                  <c:v>China Southern</c:v>
                </c:pt>
                <c:pt idx="16">
                  <c:v>China Eastern</c:v>
                </c:pt>
                <c:pt idx="18">
                  <c:v>Qatar Airways</c:v>
                </c:pt>
                <c:pt idx="19">
                  <c:v>Emirates</c:v>
                </c:pt>
                <c:pt idx="20">
                  <c:v>Etihad Airways</c:v>
                </c:pt>
              </c:strCache>
            </c:strRef>
          </c:cat>
          <c:val>
            <c:numRef>
              <c:f>'Fleet Analysis'!$C$5:$W$5</c:f>
              <c:numCache>
                <c:formatCode>General</c:formatCode>
                <c:ptCount val="21"/>
                <c:pt idx="0">
                  <c:v>385</c:v>
                </c:pt>
                <c:pt idx="1">
                  <c:v>192</c:v>
                </c:pt>
                <c:pt idx="2">
                  <c:v>483</c:v>
                </c:pt>
                <c:pt idx="3">
                  <c:v>0</c:v>
                </c:pt>
                <c:pt idx="4">
                  <c:v>0</c:v>
                </c:pt>
                <c:pt idx="6">
                  <c:v>26</c:v>
                </c:pt>
                <c:pt idx="7">
                  <c:v>190</c:v>
                </c:pt>
                <c:pt idx="8">
                  <c:v>144</c:v>
                </c:pt>
                <c:pt idx="9">
                  <c:v>106</c:v>
                </c:pt>
                <c:pt idx="10">
                  <c:v>452</c:v>
                </c:pt>
                <c:pt idx="12">
                  <c:v>0</c:v>
                </c:pt>
                <c:pt idx="13">
                  <c:v>25</c:v>
                </c:pt>
                <c:pt idx="14">
                  <c:v>0</c:v>
                </c:pt>
                <c:pt idx="15">
                  <c:v>329</c:v>
                </c:pt>
                <c:pt idx="16">
                  <c:v>386</c:v>
                </c:pt>
                <c:pt idx="18">
                  <c:v>28</c:v>
                </c:pt>
                <c:pt idx="19">
                  <c:v>0</c:v>
                </c:pt>
                <c:pt idx="2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1C-4A9A-A06B-767A4A8EBED9}"/>
            </c:ext>
          </c:extLst>
        </c:ser>
        <c:ser>
          <c:idx val="1"/>
          <c:order val="1"/>
          <c:tx>
            <c:strRef>
              <c:f>'Fleet Analysis'!$A$6:$B$6</c:f>
              <c:strCache>
                <c:ptCount val="2"/>
                <c:pt idx="0">
                  <c:v>Airbus (Wide)</c:v>
                </c:pt>
              </c:strCache>
            </c:strRef>
          </c:tx>
          <c:spPr>
            <a:solidFill>
              <a:srgbClr val="EC844A"/>
            </a:solidFill>
            <a:ln>
              <a:noFill/>
            </a:ln>
            <a:effectLst/>
          </c:spPr>
          <c:invertIfNegative val="0"/>
          <c:cat>
            <c:strRef>
              <c:f>'Fleet Analysis'!$C$4:$W$4</c:f>
              <c:strCache>
                <c:ptCount val="21"/>
                <c:pt idx="0">
                  <c:v>Delta</c:v>
                </c:pt>
                <c:pt idx="1">
                  <c:v>United</c:v>
                </c:pt>
                <c:pt idx="2">
                  <c:v>American</c:v>
                </c:pt>
                <c:pt idx="3">
                  <c:v>Southwest</c:v>
                </c:pt>
                <c:pt idx="4">
                  <c:v>Alaska</c:v>
                </c:pt>
                <c:pt idx="6">
                  <c:v>RyanAir</c:v>
                </c:pt>
                <c:pt idx="7">
                  <c:v>Lufthansa</c:v>
                </c:pt>
                <c:pt idx="8">
                  <c:v>British Airways</c:v>
                </c:pt>
                <c:pt idx="9">
                  <c:v>Air France</c:v>
                </c:pt>
                <c:pt idx="10">
                  <c:v>IAG</c:v>
                </c:pt>
                <c:pt idx="12">
                  <c:v>Singapore</c:v>
                </c:pt>
                <c:pt idx="13">
                  <c:v>Korean Air</c:v>
                </c:pt>
                <c:pt idx="14">
                  <c:v>Japan Airlines</c:v>
                </c:pt>
                <c:pt idx="15">
                  <c:v>China Southern</c:v>
                </c:pt>
                <c:pt idx="16">
                  <c:v>China Eastern</c:v>
                </c:pt>
                <c:pt idx="18">
                  <c:v>Qatar Airways</c:v>
                </c:pt>
                <c:pt idx="19">
                  <c:v>Emirates</c:v>
                </c:pt>
                <c:pt idx="20">
                  <c:v>Etihad Airways</c:v>
                </c:pt>
              </c:strCache>
            </c:strRef>
          </c:cat>
          <c:val>
            <c:numRef>
              <c:f>'Fleet Analysis'!$C$6:$W$6</c:f>
              <c:numCache>
                <c:formatCode>General</c:formatCode>
                <c:ptCount val="21"/>
                <c:pt idx="0">
                  <c:v>110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63</c:v>
                </c:pt>
                <c:pt idx="8">
                  <c:v>30</c:v>
                </c:pt>
                <c:pt idx="9">
                  <c:v>42</c:v>
                </c:pt>
                <c:pt idx="10">
                  <c:v>59</c:v>
                </c:pt>
                <c:pt idx="12">
                  <c:v>77</c:v>
                </c:pt>
                <c:pt idx="13">
                  <c:v>29</c:v>
                </c:pt>
                <c:pt idx="14">
                  <c:v>24</c:v>
                </c:pt>
                <c:pt idx="15">
                  <c:v>45</c:v>
                </c:pt>
                <c:pt idx="16">
                  <c:v>76</c:v>
                </c:pt>
                <c:pt idx="18">
                  <c:v>76</c:v>
                </c:pt>
                <c:pt idx="19">
                  <c:v>120</c:v>
                </c:pt>
                <c:pt idx="20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1C-4A9A-A06B-767A4A8EBED9}"/>
            </c:ext>
          </c:extLst>
        </c:ser>
        <c:ser>
          <c:idx val="2"/>
          <c:order val="2"/>
          <c:tx>
            <c:strRef>
              <c:f>'Fleet Analysis'!$A$7:$B$7</c:f>
              <c:strCache>
                <c:ptCount val="2"/>
                <c:pt idx="0">
                  <c:v>Boeing (Narrow)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'Fleet Analysis'!$C$4:$W$4</c:f>
              <c:strCache>
                <c:ptCount val="21"/>
                <c:pt idx="0">
                  <c:v>Delta</c:v>
                </c:pt>
                <c:pt idx="1">
                  <c:v>United</c:v>
                </c:pt>
                <c:pt idx="2">
                  <c:v>American</c:v>
                </c:pt>
                <c:pt idx="3">
                  <c:v>Southwest</c:v>
                </c:pt>
                <c:pt idx="4">
                  <c:v>Alaska</c:v>
                </c:pt>
                <c:pt idx="6">
                  <c:v>RyanAir</c:v>
                </c:pt>
                <c:pt idx="7">
                  <c:v>Lufthansa</c:v>
                </c:pt>
                <c:pt idx="8">
                  <c:v>British Airways</c:v>
                </c:pt>
                <c:pt idx="9">
                  <c:v>Air France</c:v>
                </c:pt>
                <c:pt idx="10">
                  <c:v>IAG</c:v>
                </c:pt>
                <c:pt idx="12">
                  <c:v>Singapore</c:v>
                </c:pt>
                <c:pt idx="13">
                  <c:v>Korean Air</c:v>
                </c:pt>
                <c:pt idx="14">
                  <c:v>Japan Airlines</c:v>
                </c:pt>
                <c:pt idx="15">
                  <c:v>China Southern</c:v>
                </c:pt>
                <c:pt idx="16">
                  <c:v>China Eastern</c:v>
                </c:pt>
                <c:pt idx="18">
                  <c:v>Qatar Airways</c:v>
                </c:pt>
                <c:pt idx="19">
                  <c:v>Emirates</c:v>
                </c:pt>
                <c:pt idx="20">
                  <c:v>Etihad Airways</c:v>
                </c:pt>
              </c:strCache>
            </c:strRef>
          </c:cat>
          <c:val>
            <c:numRef>
              <c:f>'Fleet Analysis'!$C$7:$W$7</c:f>
              <c:numCache>
                <c:formatCode>General</c:formatCode>
                <c:ptCount val="21"/>
                <c:pt idx="0">
                  <c:v>347</c:v>
                </c:pt>
                <c:pt idx="1">
                  <c:v>598</c:v>
                </c:pt>
                <c:pt idx="2">
                  <c:v>375</c:v>
                </c:pt>
                <c:pt idx="3">
                  <c:v>800</c:v>
                </c:pt>
                <c:pt idx="4">
                  <c:v>234</c:v>
                </c:pt>
                <c:pt idx="6">
                  <c:v>588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20</c:v>
                </c:pt>
                <c:pt idx="13">
                  <c:v>23</c:v>
                </c:pt>
                <c:pt idx="14">
                  <c:v>42</c:v>
                </c:pt>
                <c:pt idx="15">
                  <c:v>201</c:v>
                </c:pt>
                <c:pt idx="16">
                  <c:v>141</c:v>
                </c:pt>
                <c:pt idx="18">
                  <c:v>2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1C-4A9A-A06B-767A4A8EBED9}"/>
            </c:ext>
          </c:extLst>
        </c:ser>
        <c:ser>
          <c:idx val="3"/>
          <c:order val="3"/>
          <c:tx>
            <c:strRef>
              <c:f>'Fleet Analysis'!$A$8:$B$8</c:f>
              <c:strCache>
                <c:ptCount val="2"/>
                <c:pt idx="0">
                  <c:v>Boeing (Wide)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'Fleet Analysis'!$C$4:$W$4</c:f>
              <c:strCache>
                <c:ptCount val="21"/>
                <c:pt idx="0">
                  <c:v>Delta</c:v>
                </c:pt>
                <c:pt idx="1">
                  <c:v>United</c:v>
                </c:pt>
                <c:pt idx="2">
                  <c:v>American</c:v>
                </c:pt>
                <c:pt idx="3">
                  <c:v>Southwest</c:v>
                </c:pt>
                <c:pt idx="4">
                  <c:v>Alaska</c:v>
                </c:pt>
                <c:pt idx="6">
                  <c:v>RyanAir</c:v>
                </c:pt>
                <c:pt idx="7">
                  <c:v>Lufthansa</c:v>
                </c:pt>
                <c:pt idx="8">
                  <c:v>British Airways</c:v>
                </c:pt>
                <c:pt idx="9">
                  <c:v>Air France</c:v>
                </c:pt>
                <c:pt idx="10">
                  <c:v>IAG</c:v>
                </c:pt>
                <c:pt idx="12">
                  <c:v>Singapore</c:v>
                </c:pt>
                <c:pt idx="13">
                  <c:v>Korean Air</c:v>
                </c:pt>
                <c:pt idx="14">
                  <c:v>Japan Airlines</c:v>
                </c:pt>
                <c:pt idx="15">
                  <c:v>China Southern</c:v>
                </c:pt>
                <c:pt idx="16">
                  <c:v>China Eastern</c:v>
                </c:pt>
                <c:pt idx="18">
                  <c:v>Qatar Airways</c:v>
                </c:pt>
                <c:pt idx="19">
                  <c:v>Emirates</c:v>
                </c:pt>
                <c:pt idx="20">
                  <c:v>Etihad Airways</c:v>
                </c:pt>
              </c:strCache>
            </c:strRef>
          </c:cat>
          <c:val>
            <c:numRef>
              <c:f>'Fleet Analysis'!$C$8:$W$8</c:f>
              <c:numCache>
                <c:formatCode>General</c:formatCode>
                <c:ptCount val="21"/>
                <c:pt idx="0">
                  <c:v>60</c:v>
                </c:pt>
                <c:pt idx="1">
                  <c:v>225</c:v>
                </c:pt>
                <c:pt idx="2">
                  <c:v>126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32</c:v>
                </c:pt>
                <c:pt idx="8">
                  <c:v>100</c:v>
                </c:pt>
                <c:pt idx="9">
                  <c:v>71</c:v>
                </c:pt>
                <c:pt idx="10">
                  <c:v>91</c:v>
                </c:pt>
                <c:pt idx="12">
                  <c:v>48</c:v>
                </c:pt>
                <c:pt idx="13">
                  <c:v>60</c:v>
                </c:pt>
                <c:pt idx="14">
                  <c:v>84</c:v>
                </c:pt>
                <c:pt idx="15">
                  <c:v>44</c:v>
                </c:pt>
                <c:pt idx="16">
                  <c:v>24</c:v>
                </c:pt>
                <c:pt idx="18">
                  <c:v>115</c:v>
                </c:pt>
                <c:pt idx="19">
                  <c:v>133</c:v>
                </c:pt>
                <c:pt idx="20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81C-4A9A-A06B-767A4A8EBED9}"/>
            </c:ext>
          </c:extLst>
        </c:ser>
        <c:ser>
          <c:idx val="4"/>
          <c:order val="4"/>
          <c:tx>
            <c:strRef>
              <c:f>'Fleet Analysis'!$A$9:$B$9</c:f>
              <c:strCache>
                <c:ptCount val="2"/>
                <c:pt idx="0">
                  <c:v>Embraer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'Fleet Analysis'!$C$4:$W$4</c:f>
              <c:strCache>
                <c:ptCount val="21"/>
                <c:pt idx="0">
                  <c:v>Delta</c:v>
                </c:pt>
                <c:pt idx="1">
                  <c:v>United</c:v>
                </c:pt>
                <c:pt idx="2">
                  <c:v>American</c:v>
                </c:pt>
                <c:pt idx="3">
                  <c:v>Southwest</c:v>
                </c:pt>
                <c:pt idx="4">
                  <c:v>Alaska</c:v>
                </c:pt>
                <c:pt idx="6">
                  <c:v>RyanAir</c:v>
                </c:pt>
                <c:pt idx="7">
                  <c:v>Lufthansa</c:v>
                </c:pt>
                <c:pt idx="8">
                  <c:v>British Airways</c:v>
                </c:pt>
                <c:pt idx="9">
                  <c:v>Air France</c:v>
                </c:pt>
                <c:pt idx="10">
                  <c:v>IAG</c:v>
                </c:pt>
                <c:pt idx="12">
                  <c:v>Singapore</c:v>
                </c:pt>
                <c:pt idx="13">
                  <c:v>Korean Air</c:v>
                </c:pt>
                <c:pt idx="14">
                  <c:v>Japan Airlines</c:v>
                </c:pt>
                <c:pt idx="15">
                  <c:v>China Southern</c:v>
                </c:pt>
                <c:pt idx="16">
                  <c:v>China Eastern</c:v>
                </c:pt>
                <c:pt idx="18">
                  <c:v>Qatar Airways</c:v>
                </c:pt>
                <c:pt idx="19">
                  <c:v>Emirates</c:v>
                </c:pt>
                <c:pt idx="20">
                  <c:v>Etihad Airways</c:v>
                </c:pt>
              </c:strCache>
            </c:strRef>
          </c:cat>
          <c:val>
            <c:numRef>
              <c:f>'Fleet Analysis'!$C$9:$W$9</c:f>
              <c:numCache>
                <c:formatCode>General</c:formatCode>
                <c:ptCount val="21"/>
                <c:pt idx="4">
                  <c:v>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81C-4A9A-A06B-767A4A8EBED9}"/>
            </c:ext>
          </c:extLst>
        </c:ser>
        <c:ser>
          <c:idx val="5"/>
          <c:order val="5"/>
          <c:tx>
            <c:strRef>
              <c:f>'Fleet Analysis'!$A$10:$B$10</c:f>
              <c:strCache>
                <c:ptCount val="2"/>
                <c:pt idx="0">
                  <c:v>Comac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'Fleet Analysis'!$C$4:$W$4</c:f>
              <c:strCache>
                <c:ptCount val="21"/>
                <c:pt idx="0">
                  <c:v>Delta</c:v>
                </c:pt>
                <c:pt idx="1">
                  <c:v>United</c:v>
                </c:pt>
                <c:pt idx="2">
                  <c:v>American</c:v>
                </c:pt>
                <c:pt idx="3">
                  <c:v>Southwest</c:v>
                </c:pt>
                <c:pt idx="4">
                  <c:v>Alaska</c:v>
                </c:pt>
                <c:pt idx="6">
                  <c:v>RyanAir</c:v>
                </c:pt>
                <c:pt idx="7">
                  <c:v>Lufthansa</c:v>
                </c:pt>
                <c:pt idx="8">
                  <c:v>British Airways</c:v>
                </c:pt>
                <c:pt idx="9">
                  <c:v>Air France</c:v>
                </c:pt>
                <c:pt idx="10">
                  <c:v>IAG</c:v>
                </c:pt>
                <c:pt idx="12">
                  <c:v>Singapore</c:v>
                </c:pt>
                <c:pt idx="13">
                  <c:v>Korean Air</c:v>
                </c:pt>
                <c:pt idx="14">
                  <c:v>Japan Airlines</c:v>
                </c:pt>
                <c:pt idx="15">
                  <c:v>China Southern</c:v>
                </c:pt>
                <c:pt idx="16">
                  <c:v>China Eastern</c:v>
                </c:pt>
                <c:pt idx="18">
                  <c:v>Qatar Airways</c:v>
                </c:pt>
                <c:pt idx="19">
                  <c:v>Emirates</c:v>
                </c:pt>
                <c:pt idx="20">
                  <c:v>Etihad Airways</c:v>
                </c:pt>
              </c:strCache>
            </c:strRef>
          </c:cat>
          <c:val>
            <c:numRef>
              <c:f>'Fleet Analysis'!$C$10:$W$10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37</c:v>
                </c:pt>
                <c:pt idx="16">
                  <c:v>36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81C-4A9A-A06B-767A4A8EBE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48104288"/>
        <c:axId val="848109088"/>
      </c:barChart>
      <c:catAx>
        <c:axId val="848104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109088"/>
        <c:crosses val="autoZero"/>
        <c:auto val="1"/>
        <c:lblAlgn val="ctr"/>
        <c:lblOffset val="100"/>
        <c:noMultiLvlLbl val="0"/>
      </c:catAx>
      <c:valAx>
        <c:axId val="84810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104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American Airline</a:t>
            </a:r>
            <a:r>
              <a:rPr lang="en-US" baseline="0"/>
              <a:t> Fleets</a:t>
            </a:r>
            <a:endParaRPr lang="en-US"/>
          </a:p>
        </c:rich>
      </c:tx>
      <c:layout>
        <c:manualLayout>
          <c:xMode val="edge"/>
          <c:yMode val="edge"/>
          <c:x val="0.36019539224263636"/>
          <c:y val="4.081632653061224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American!$B$42</c:f>
              <c:strCache>
                <c:ptCount val="1"/>
                <c:pt idx="0">
                  <c:v>Airbus (Narrow)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American!$D$41:$H$41</c:f>
              <c:strCache>
                <c:ptCount val="5"/>
                <c:pt idx="0">
                  <c:v>Delta</c:v>
                </c:pt>
                <c:pt idx="1">
                  <c:v>United</c:v>
                </c:pt>
                <c:pt idx="2">
                  <c:v>American</c:v>
                </c:pt>
                <c:pt idx="3">
                  <c:v>Southwest</c:v>
                </c:pt>
                <c:pt idx="4">
                  <c:v>Alaska</c:v>
                </c:pt>
              </c:strCache>
            </c:strRef>
          </c:cat>
          <c:val>
            <c:numRef>
              <c:f>American!$D$42:$H$42</c:f>
              <c:numCache>
                <c:formatCode>General</c:formatCode>
                <c:ptCount val="5"/>
                <c:pt idx="0">
                  <c:v>385</c:v>
                </c:pt>
                <c:pt idx="1">
                  <c:v>192</c:v>
                </c:pt>
                <c:pt idx="2">
                  <c:v>483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DB-447C-B8DB-0884C34EE4B4}"/>
            </c:ext>
          </c:extLst>
        </c:ser>
        <c:ser>
          <c:idx val="1"/>
          <c:order val="1"/>
          <c:tx>
            <c:strRef>
              <c:f>American!$B$43</c:f>
              <c:strCache>
                <c:ptCount val="1"/>
                <c:pt idx="0">
                  <c:v>Airbus (Wide)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American!$D$41:$H$41</c:f>
              <c:strCache>
                <c:ptCount val="5"/>
                <c:pt idx="0">
                  <c:v>Delta</c:v>
                </c:pt>
                <c:pt idx="1">
                  <c:v>United</c:v>
                </c:pt>
                <c:pt idx="2">
                  <c:v>American</c:v>
                </c:pt>
                <c:pt idx="3">
                  <c:v>Southwest</c:v>
                </c:pt>
                <c:pt idx="4">
                  <c:v>Alaska</c:v>
                </c:pt>
              </c:strCache>
            </c:strRef>
          </c:cat>
          <c:val>
            <c:numRef>
              <c:f>American!$D$43:$H$43</c:f>
              <c:numCache>
                <c:formatCode>General</c:formatCode>
                <c:ptCount val="5"/>
                <c:pt idx="0">
                  <c:v>110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DB-447C-B8DB-0884C34EE4B4}"/>
            </c:ext>
          </c:extLst>
        </c:ser>
        <c:ser>
          <c:idx val="2"/>
          <c:order val="2"/>
          <c:tx>
            <c:strRef>
              <c:f>American!$B$44</c:f>
              <c:strCache>
                <c:ptCount val="1"/>
                <c:pt idx="0">
                  <c:v>Boeing (Narrow)</c:v>
                </c:pt>
              </c:strCache>
            </c:strRef>
          </c:tx>
          <c:spPr>
            <a:solidFill>
              <a:schemeClr val="accent4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American!$D$41:$H$41</c:f>
              <c:strCache>
                <c:ptCount val="5"/>
                <c:pt idx="0">
                  <c:v>Delta</c:v>
                </c:pt>
                <c:pt idx="1">
                  <c:v>United</c:v>
                </c:pt>
                <c:pt idx="2">
                  <c:v>American</c:v>
                </c:pt>
                <c:pt idx="3">
                  <c:v>Southwest</c:v>
                </c:pt>
                <c:pt idx="4">
                  <c:v>Alaska</c:v>
                </c:pt>
              </c:strCache>
            </c:strRef>
          </c:cat>
          <c:val>
            <c:numRef>
              <c:f>American!$D$44:$H$44</c:f>
              <c:numCache>
                <c:formatCode>General</c:formatCode>
                <c:ptCount val="5"/>
                <c:pt idx="0">
                  <c:v>347</c:v>
                </c:pt>
                <c:pt idx="1">
                  <c:v>598</c:v>
                </c:pt>
                <c:pt idx="2">
                  <c:v>375</c:v>
                </c:pt>
                <c:pt idx="3">
                  <c:v>800</c:v>
                </c:pt>
                <c:pt idx="4">
                  <c:v>234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DDB-447C-B8DB-0884C34EE4B4}"/>
            </c:ext>
          </c:extLst>
        </c:ser>
        <c:ser>
          <c:idx val="3"/>
          <c:order val="3"/>
          <c:tx>
            <c:strRef>
              <c:f>American!$B$45</c:f>
              <c:strCache>
                <c:ptCount val="1"/>
                <c:pt idx="0">
                  <c:v>Boeing (Wide)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American!$D$41:$H$41</c:f>
              <c:strCache>
                <c:ptCount val="5"/>
                <c:pt idx="0">
                  <c:v>Delta</c:v>
                </c:pt>
                <c:pt idx="1">
                  <c:v>United</c:v>
                </c:pt>
                <c:pt idx="2">
                  <c:v>American</c:v>
                </c:pt>
                <c:pt idx="3">
                  <c:v>Southwest</c:v>
                </c:pt>
                <c:pt idx="4">
                  <c:v>Alaska</c:v>
                </c:pt>
              </c:strCache>
            </c:strRef>
          </c:cat>
          <c:val>
            <c:numRef>
              <c:f>American!$D$45:$H$45</c:f>
              <c:numCache>
                <c:formatCode>General</c:formatCode>
                <c:ptCount val="5"/>
                <c:pt idx="0">
                  <c:v>60</c:v>
                </c:pt>
                <c:pt idx="1">
                  <c:v>225</c:v>
                </c:pt>
                <c:pt idx="2">
                  <c:v>126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DDB-447C-B8DB-0884C34EE4B4}"/>
            </c:ext>
          </c:extLst>
        </c:ser>
        <c:ser>
          <c:idx val="4"/>
          <c:order val="4"/>
          <c:tx>
            <c:strRef>
              <c:f>American!$B$46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American!$D$41:$H$41</c:f>
              <c:strCache>
                <c:ptCount val="5"/>
                <c:pt idx="0">
                  <c:v>Delta</c:v>
                </c:pt>
                <c:pt idx="1">
                  <c:v>United</c:v>
                </c:pt>
                <c:pt idx="2">
                  <c:v>American</c:v>
                </c:pt>
                <c:pt idx="3">
                  <c:v>Southwest</c:v>
                </c:pt>
                <c:pt idx="4">
                  <c:v>Alaska</c:v>
                </c:pt>
              </c:strCache>
            </c:strRef>
          </c:cat>
          <c:val>
            <c:numRef>
              <c:f>American!$D$46:$H$46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DDB-447C-B8DB-0884C34EE4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1736383"/>
        <c:axId val="161749343"/>
      </c:barChart>
      <c:catAx>
        <c:axId val="161736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49343"/>
        <c:crosses val="autoZero"/>
        <c:auto val="1"/>
        <c:lblAlgn val="ctr"/>
        <c:lblOffset val="100"/>
        <c:noMultiLvlLbl val="0"/>
      </c:catAx>
      <c:valAx>
        <c:axId val="161749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Airplanes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36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61911</xdr:rowOff>
    </xdr:from>
    <xdr:to>
      <xdr:col>7</xdr:col>
      <xdr:colOff>600075</xdr:colOff>
      <xdr:row>25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9EBA5B-ACB7-4698-BA54-AD10AF9D17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</xdr:colOff>
      <xdr:row>10</xdr:row>
      <xdr:rowOff>47627</xdr:rowOff>
    </xdr:from>
    <xdr:to>
      <xdr:col>23</xdr:col>
      <xdr:colOff>590550</xdr:colOff>
      <xdr:row>26</xdr:row>
      <xdr:rowOff>9524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0D36198-474F-4829-B242-C8FC7C835B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476251</xdr:colOff>
      <xdr:row>37</xdr:row>
      <xdr:rowOff>19050</xdr:rowOff>
    </xdr:from>
    <xdr:to>
      <xdr:col>19</xdr:col>
      <xdr:colOff>514350</xdr:colOff>
      <xdr:row>56</xdr:row>
      <xdr:rowOff>133350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DFB0228-14C3-0399-2579-25F2EAD09D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British_Airways_fleet" TargetMode="External"/><Relationship Id="rId13" Type="http://schemas.openxmlformats.org/officeDocument/2006/relationships/hyperlink" Target="https://en.wikipedia.org/wiki/Japan_Airlines_fleet" TargetMode="External"/><Relationship Id="rId18" Type="http://schemas.openxmlformats.org/officeDocument/2006/relationships/hyperlink" Target="https://en.wikipedia.org/wiki/Etihad_Airways_fleet" TargetMode="External"/><Relationship Id="rId3" Type="http://schemas.openxmlformats.org/officeDocument/2006/relationships/hyperlink" Target="https://en.wikipedia.org/wiki/American_Airlines_fleet" TargetMode="External"/><Relationship Id="rId7" Type="http://schemas.openxmlformats.org/officeDocument/2006/relationships/hyperlink" Target="https://en.wikipedia.org/wiki/Lufthansa_fleet" TargetMode="External"/><Relationship Id="rId12" Type="http://schemas.openxmlformats.org/officeDocument/2006/relationships/hyperlink" Target="https://en.wikipedia.org/wiki/Korean_Air" TargetMode="External"/><Relationship Id="rId17" Type="http://schemas.openxmlformats.org/officeDocument/2006/relationships/hyperlink" Target="https://en.wikipedia.org/wiki/Emirates_fleet" TargetMode="External"/><Relationship Id="rId2" Type="http://schemas.openxmlformats.org/officeDocument/2006/relationships/hyperlink" Target="https://en.wikipedia.org/wiki/United_Airlines_fleet" TargetMode="External"/><Relationship Id="rId16" Type="http://schemas.openxmlformats.org/officeDocument/2006/relationships/hyperlink" Target="https://en.wikipedia.org/wiki/Qatar_Airways_fleet" TargetMode="External"/><Relationship Id="rId20" Type="http://schemas.openxmlformats.org/officeDocument/2006/relationships/drawing" Target="../drawings/drawing1.xml"/><Relationship Id="rId1" Type="http://schemas.openxmlformats.org/officeDocument/2006/relationships/hyperlink" Target="https://en.wikipedia.org/wiki/Delta_Air_Lines_fleet" TargetMode="External"/><Relationship Id="rId6" Type="http://schemas.openxmlformats.org/officeDocument/2006/relationships/hyperlink" Target="https://en.wikipedia.org/wiki/Ryanair" TargetMode="External"/><Relationship Id="rId11" Type="http://schemas.openxmlformats.org/officeDocument/2006/relationships/hyperlink" Target="https://en.wikipedia.org/wiki/Singapore_Airlines_fleet" TargetMode="External"/><Relationship Id="rId5" Type="http://schemas.openxmlformats.org/officeDocument/2006/relationships/hyperlink" Target="https://en.wikipedia.org/wiki/Alaska_Airlines_fleet" TargetMode="External"/><Relationship Id="rId15" Type="http://schemas.openxmlformats.org/officeDocument/2006/relationships/hyperlink" Target="https://en.wikipedia.org/wiki/China_Eastern_Airlines" TargetMode="External"/><Relationship Id="rId10" Type="http://schemas.openxmlformats.org/officeDocument/2006/relationships/hyperlink" Target="https://en.wikipedia.org/wiki/Air_France_fleet" TargetMode="External"/><Relationship Id="rId19" Type="http://schemas.openxmlformats.org/officeDocument/2006/relationships/hyperlink" Target="https://www.worldairlineawards.com/best-airlines-2024-by-region/" TargetMode="External"/><Relationship Id="rId4" Type="http://schemas.openxmlformats.org/officeDocument/2006/relationships/hyperlink" Target="https://en.wikipedia.org/wiki/Southwest_Airlines_fleet" TargetMode="External"/><Relationship Id="rId9" Type="http://schemas.openxmlformats.org/officeDocument/2006/relationships/hyperlink" Target="https://www.iagcargo.com/en/fleet/" TargetMode="External"/><Relationship Id="rId14" Type="http://schemas.openxmlformats.org/officeDocument/2006/relationships/hyperlink" Target="https://en.wikipedia.org/wiki/China_Southern_Airlines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worldairlineawards.com/best-airlines-2024-by-region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en.wikipedia.org/wiki/Southwest_Airlines_fleet" TargetMode="External"/><Relationship Id="rId2" Type="http://schemas.openxmlformats.org/officeDocument/2006/relationships/hyperlink" Target="https://en.wikipedia.org/wiki/American_Airlines_fleet" TargetMode="External"/><Relationship Id="rId1" Type="http://schemas.openxmlformats.org/officeDocument/2006/relationships/hyperlink" Target="https://en.wikipedia.org/wiki/Delta_Air_Lines_fleet" TargetMode="External"/><Relationship Id="rId6" Type="http://schemas.openxmlformats.org/officeDocument/2006/relationships/drawing" Target="../drawings/drawing2.xml"/><Relationship Id="rId5" Type="http://schemas.openxmlformats.org/officeDocument/2006/relationships/hyperlink" Target="https://en.wikipedia.org/wiki/United_Airlines_fleet" TargetMode="External"/><Relationship Id="rId4" Type="http://schemas.openxmlformats.org/officeDocument/2006/relationships/hyperlink" Target="https://en.wikipedia.org/wiki/Alaska_Airlines_flee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F511E-33CF-487A-985D-82938617C0B2}">
  <dimension ref="A3:X89"/>
  <sheetViews>
    <sheetView tabSelected="1" workbookViewId="0">
      <selection activeCell="G94" sqref="G94"/>
    </sheetView>
  </sheetViews>
  <sheetFormatPr defaultRowHeight="15" x14ac:dyDescent="0.25"/>
  <cols>
    <col min="1" max="1" width="11.5703125" customWidth="1"/>
    <col min="6" max="6" width="9.7109375" customWidth="1"/>
    <col min="9" max="9" width="12.28515625" customWidth="1"/>
    <col min="10" max="10" width="10.5703125" customWidth="1"/>
    <col min="11" max="15" width="10.28515625" style="25" customWidth="1"/>
    <col min="17" max="21" width="11.7109375" customWidth="1"/>
    <col min="23" max="23" width="10.140625" customWidth="1"/>
  </cols>
  <sheetData>
    <row r="3" spans="1:23" x14ac:dyDescent="0.25">
      <c r="C3" s="43" t="s">
        <v>60</v>
      </c>
      <c r="D3" s="31"/>
      <c r="E3" s="31"/>
      <c r="F3" s="31"/>
      <c r="G3" s="32"/>
      <c r="I3" s="44" t="s">
        <v>46</v>
      </c>
      <c r="J3" s="45"/>
      <c r="K3" s="45"/>
      <c r="L3" s="45"/>
      <c r="M3" s="46"/>
      <c r="O3" s="44" t="s">
        <v>47</v>
      </c>
      <c r="P3" s="45"/>
      <c r="Q3" s="45"/>
      <c r="R3" s="45"/>
      <c r="S3" s="46"/>
      <c r="U3" s="44" t="s">
        <v>48</v>
      </c>
      <c r="V3" s="45"/>
      <c r="W3" s="46"/>
    </row>
    <row r="4" spans="1:23" s="47" customFormat="1" ht="37.5" customHeight="1" x14ac:dyDescent="0.25">
      <c r="C4" s="48" t="s">
        <v>14</v>
      </c>
      <c r="D4" s="47" t="s">
        <v>27</v>
      </c>
      <c r="E4" s="48" t="s">
        <v>17</v>
      </c>
      <c r="F4" s="48" t="s">
        <v>18</v>
      </c>
      <c r="G4" s="48" t="s">
        <v>19</v>
      </c>
      <c r="I4" s="49" t="s">
        <v>34</v>
      </c>
      <c r="J4" s="49" t="s">
        <v>35</v>
      </c>
      <c r="K4" s="49" t="s">
        <v>56</v>
      </c>
      <c r="L4" s="49" t="s">
        <v>37</v>
      </c>
      <c r="M4" s="49" t="s">
        <v>61</v>
      </c>
      <c r="O4" s="49" t="s">
        <v>62</v>
      </c>
      <c r="P4" s="49" t="s">
        <v>63</v>
      </c>
      <c r="Q4" s="49" t="s">
        <v>64</v>
      </c>
      <c r="R4" s="49" t="s">
        <v>65</v>
      </c>
      <c r="S4" s="49" t="s">
        <v>66</v>
      </c>
      <c r="U4" s="49" t="s">
        <v>54</v>
      </c>
      <c r="V4" s="49" t="s">
        <v>33</v>
      </c>
      <c r="W4" s="49" t="s">
        <v>67</v>
      </c>
    </row>
    <row r="5" spans="1:23" x14ac:dyDescent="0.25">
      <c r="A5" s="50" t="s">
        <v>22</v>
      </c>
      <c r="B5" s="50"/>
      <c r="C5">
        <f>C32</f>
        <v>385</v>
      </c>
      <c r="D5">
        <f>D32</f>
        <v>192</v>
      </c>
      <c r="E5">
        <f>E32</f>
        <v>483</v>
      </c>
      <c r="F5">
        <f>F32</f>
        <v>0</v>
      </c>
      <c r="G5">
        <f>G32</f>
        <v>0</v>
      </c>
      <c r="I5">
        <f>I32</f>
        <v>26</v>
      </c>
      <c r="J5">
        <f>J32</f>
        <v>190</v>
      </c>
      <c r="K5">
        <f>K32</f>
        <v>144</v>
      </c>
      <c r="L5">
        <f>L32</f>
        <v>106</v>
      </c>
      <c r="M5">
        <f>M32</f>
        <v>452</v>
      </c>
      <c r="N5"/>
      <c r="O5">
        <f>O32</f>
        <v>0</v>
      </c>
      <c r="P5">
        <f>P32</f>
        <v>25</v>
      </c>
      <c r="Q5">
        <f>Q32</f>
        <v>0</v>
      </c>
      <c r="R5">
        <f>R32</f>
        <v>329</v>
      </c>
      <c r="S5">
        <f>S32</f>
        <v>386</v>
      </c>
      <c r="U5">
        <f>U32</f>
        <v>28</v>
      </c>
      <c r="V5">
        <f>V32</f>
        <v>0</v>
      </c>
      <c r="W5">
        <f>W32</f>
        <v>30</v>
      </c>
    </row>
    <row r="6" spans="1:23" x14ac:dyDescent="0.25">
      <c r="A6" s="51" t="s">
        <v>24</v>
      </c>
      <c r="B6" s="51"/>
      <c r="C6">
        <f>C35</f>
        <v>110</v>
      </c>
      <c r="D6">
        <f>D35</f>
        <v>0</v>
      </c>
      <c r="E6">
        <f>E35</f>
        <v>0</v>
      </c>
      <c r="F6">
        <f>F35</f>
        <v>0</v>
      </c>
      <c r="G6">
        <f>G35</f>
        <v>0</v>
      </c>
      <c r="I6">
        <f>I35</f>
        <v>0</v>
      </c>
      <c r="J6">
        <f>J35</f>
        <v>63</v>
      </c>
      <c r="K6">
        <f>K35</f>
        <v>30</v>
      </c>
      <c r="L6">
        <f>L35</f>
        <v>42</v>
      </c>
      <c r="M6">
        <f>M35</f>
        <v>59</v>
      </c>
      <c r="N6"/>
      <c r="O6">
        <f>O35</f>
        <v>77</v>
      </c>
      <c r="P6">
        <f>P35</f>
        <v>29</v>
      </c>
      <c r="Q6">
        <f>Q35</f>
        <v>24</v>
      </c>
      <c r="R6">
        <f>R35</f>
        <v>45</v>
      </c>
      <c r="S6">
        <f>S35</f>
        <v>76</v>
      </c>
      <c r="U6">
        <f>U35</f>
        <v>76</v>
      </c>
      <c r="V6">
        <f>V35</f>
        <v>120</v>
      </c>
      <c r="W6">
        <f>W35</f>
        <v>11</v>
      </c>
    </row>
    <row r="7" spans="1:23" x14ac:dyDescent="0.25">
      <c r="A7" s="52" t="s">
        <v>23</v>
      </c>
      <c r="B7" s="52"/>
      <c r="C7">
        <f>C43</f>
        <v>347</v>
      </c>
      <c r="D7">
        <f>D43</f>
        <v>598</v>
      </c>
      <c r="E7">
        <f>E43</f>
        <v>375</v>
      </c>
      <c r="F7">
        <f>F43</f>
        <v>800</v>
      </c>
      <c r="G7">
        <f>G43</f>
        <v>234</v>
      </c>
      <c r="I7">
        <f>I43</f>
        <v>588</v>
      </c>
      <c r="J7">
        <f>J43</f>
        <v>0</v>
      </c>
      <c r="K7">
        <f>K43</f>
        <v>0</v>
      </c>
      <c r="L7">
        <f>L43</f>
        <v>0</v>
      </c>
      <c r="M7">
        <f>M43</f>
        <v>0</v>
      </c>
      <c r="N7"/>
      <c r="O7">
        <f>O43</f>
        <v>20</v>
      </c>
      <c r="P7">
        <f>P43</f>
        <v>23</v>
      </c>
      <c r="Q7">
        <f>Q43</f>
        <v>42</v>
      </c>
      <c r="R7">
        <f>R43</f>
        <v>201</v>
      </c>
      <c r="S7">
        <f>S43</f>
        <v>141</v>
      </c>
      <c r="U7">
        <f>U43</f>
        <v>2</v>
      </c>
      <c r="V7">
        <f>V43</f>
        <v>0</v>
      </c>
      <c r="W7">
        <f>W43</f>
        <v>0</v>
      </c>
    </row>
    <row r="8" spans="1:23" x14ac:dyDescent="0.25">
      <c r="A8" s="53" t="s">
        <v>25</v>
      </c>
      <c r="B8" s="53"/>
      <c r="C8">
        <f>C50</f>
        <v>60</v>
      </c>
      <c r="D8">
        <f>D50</f>
        <v>225</v>
      </c>
      <c r="E8">
        <f>E50</f>
        <v>126</v>
      </c>
      <c r="F8">
        <f>F50</f>
        <v>0</v>
      </c>
      <c r="G8">
        <f>G50</f>
        <v>0</v>
      </c>
      <c r="I8">
        <f>I50</f>
        <v>0</v>
      </c>
      <c r="J8">
        <f>J50</f>
        <v>32</v>
      </c>
      <c r="K8">
        <f>K50</f>
        <v>100</v>
      </c>
      <c r="L8">
        <f>L50</f>
        <v>71</v>
      </c>
      <c r="M8">
        <f>M50</f>
        <v>91</v>
      </c>
      <c r="N8"/>
      <c r="O8">
        <f>O50</f>
        <v>48</v>
      </c>
      <c r="P8">
        <f>P50</f>
        <v>60</v>
      </c>
      <c r="Q8">
        <f>Q50</f>
        <v>84</v>
      </c>
      <c r="R8">
        <f>R50</f>
        <v>44</v>
      </c>
      <c r="S8">
        <f>S50</f>
        <v>24</v>
      </c>
      <c r="U8">
        <f>U50</f>
        <v>115</v>
      </c>
      <c r="V8">
        <f>V50</f>
        <v>133</v>
      </c>
      <c r="W8">
        <f>W50</f>
        <v>52</v>
      </c>
    </row>
    <row r="9" spans="1:23" x14ac:dyDescent="0.25">
      <c r="A9" s="35" t="s">
        <v>20</v>
      </c>
      <c r="B9" s="35"/>
      <c r="G9">
        <v>86</v>
      </c>
      <c r="K9"/>
      <c r="L9"/>
      <c r="M9"/>
      <c r="N9"/>
      <c r="O9"/>
    </row>
    <row r="10" spans="1:23" x14ac:dyDescent="0.25">
      <c r="A10" s="54" t="s">
        <v>68</v>
      </c>
      <c r="B10" s="55"/>
      <c r="C10">
        <f>C63</f>
        <v>0</v>
      </c>
      <c r="D10">
        <f t="shared" ref="D10:W10" si="0">D63</f>
        <v>0</v>
      </c>
      <c r="E10">
        <f t="shared" si="0"/>
        <v>0</v>
      </c>
      <c r="F10">
        <f t="shared" si="0"/>
        <v>0</v>
      </c>
      <c r="G10">
        <f t="shared" si="0"/>
        <v>0</v>
      </c>
      <c r="I10">
        <f t="shared" si="0"/>
        <v>0</v>
      </c>
      <c r="J10">
        <f t="shared" si="0"/>
        <v>0</v>
      </c>
      <c r="K10">
        <f t="shared" si="0"/>
        <v>0</v>
      </c>
      <c r="L10">
        <f t="shared" si="0"/>
        <v>0</v>
      </c>
      <c r="M10">
        <f t="shared" si="0"/>
        <v>0</v>
      </c>
      <c r="N10"/>
      <c r="O10">
        <f t="shared" si="0"/>
        <v>0</v>
      </c>
      <c r="P10">
        <f t="shared" si="0"/>
        <v>0</v>
      </c>
      <c r="Q10">
        <f t="shared" si="0"/>
        <v>0</v>
      </c>
      <c r="R10">
        <f t="shared" si="0"/>
        <v>37</v>
      </c>
      <c r="S10">
        <f t="shared" si="0"/>
        <v>36</v>
      </c>
      <c r="U10">
        <f t="shared" si="0"/>
        <v>0</v>
      </c>
      <c r="V10">
        <f t="shared" si="0"/>
        <v>0</v>
      </c>
      <c r="W10">
        <f t="shared" si="0"/>
        <v>0</v>
      </c>
    </row>
    <row r="27" spans="1:24" x14ac:dyDescent="0.25">
      <c r="C27" s="25"/>
      <c r="D27" s="25"/>
      <c r="E27" s="25"/>
      <c r="F27" s="25"/>
      <c r="G27" s="25"/>
      <c r="K27"/>
      <c r="L27"/>
      <c r="M27"/>
      <c r="N27"/>
      <c r="O27"/>
    </row>
    <row r="28" spans="1:24" x14ac:dyDescent="0.25">
      <c r="C28" s="43" t="s">
        <v>60</v>
      </c>
      <c r="D28" s="31"/>
      <c r="E28" s="31"/>
      <c r="F28" s="31"/>
      <c r="G28" s="32"/>
      <c r="I28" s="44" t="s">
        <v>46</v>
      </c>
      <c r="J28" s="45"/>
      <c r="K28" s="45"/>
      <c r="L28" s="45"/>
      <c r="M28" s="46"/>
      <c r="N28"/>
      <c r="O28" s="44" t="s">
        <v>47</v>
      </c>
      <c r="P28" s="45"/>
      <c r="Q28" s="45"/>
      <c r="R28" s="45"/>
      <c r="S28" s="46"/>
      <c r="U28" s="44" t="s">
        <v>48</v>
      </c>
      <c r="V28" s="45"/>
      <c r="W28" s="46"/>
    </row>
    <row r="29" spans="1:24" x14ac:dyDescent="0.25">
      <c r="C29" s="56" t="s">
        <v>69</v>
      </c>
      <c r="D29" s="56" t="s">
        <v>69</v>
      </c>
      <c r="E29" s="56" t="s">
        <v>69</v>
      </c>
      <c r="F29" s="56" t="s">
        <v>69</v>
      </c>
      <c r="G29" s="56" t="s">
        <v>69</v>
      </c>
      <c r="I29" s="56" t="s">
        <v>69</v>
      </c>
      <c r="J29" s="56" t="s">
        <v>69</v>
      </c>
      <c r="K29" s="56" t="s">
        <v>69</v>
      </c>
      <c r="L29" s="56" t="s">
        <v>69</v>
      </c>
      <c r="M29" s="56" t="s">
        <v>69</v>
      </c>
      <c r="N29"/>
      <c r="O29" s="57" t="s">
        <v>69</v>
      </c>
      <c r="P29" s="57" t="s">
        <v>69</v>
      </c>
      <c r="Q29" s="57" t="s">
        <v>69</v>
      </c>
      <c r="R29" s="57" t="s">
        <v>69</v>
      </c>
      <c r="S29" s="57" t="s">
        <v>69</v>
      </c>
      <c r="T29" s="16"/>
      <c r="U29" s="57" t="s">
        <v>69</v>
      </c>
      <c r="V29" s="57" t="s">
        <v>69</v>
      </c>
      <c r="W29" s="57" t="s">
        <v>69</v>
      </c>
    </row>
    <row r="30" spans="1:24" ht="30" x14ac:dyDescent="0.25">
      <c r="A30" s="47"/>
      <c r="B30" s="47"/>
      <c r="C30" s="49" t="s">
        <v>14</v>
      </c>
      <c r="D30" s="49" t="s">
        <v>27</v>
      </c>
      <c r="E30" s="49" t="s">
        <v>17</v>
      </c>
      <c r="F30" s="49" t="s">
        <v>18</v>
      </c>
      <c r="G30" s="49" t="s">
        <v>19</v>
      </c>
      <c r="H30" s="47"/>
      <c r="I30" s="49" t="s">
        <v>34</v>
      </c>
      <c r="J30" s="49" t="s">
        <v>35</v>
      </c>
      <c r="K30" s="49" t="s">
        <v>56</v>
      </c>
      <c r="L30" s="49" t="s">
        <v>37</v>
      </c>
      <c r="M30" s="49" t="s">
        <v>61</v>
      </c>
      <c r="N30" s="47"/>
      <c r="O30" s="49" t="s">
        <v>62</v>
      </c>
      <c r="P30" s="49" t="s">
        <v>63</v>
      </c>
      <c r="Q30" s="49" t="s">
        <v>64</v>
      </c>
      <c r="R30" s="49" t="s">
        <v>65</v>
      </c>
      <c r="S30" s="49" t="s">
        <v>66</v>
      </c>
      <c r="T30" s="47"/>
      <c r="U30" s="49" t="s">
        <v>54</v>
      </c>
      <c r="V30" s="49" t="s">
        <v>33</v>
      </c>
      <c r="W30" s="49" t="s">
        <v>67</v>
      </c>
      <c r="X30" s="47"/>
    </row>
    <row r="31" spans="1:24" x14ac:dyDescent="0.25">
      <c r="A31" s="58" t="s">
        <v>0</v>
      </c>
      <c r="B31" s="59"/>
      <c r="C31" s="29"/>
      <c r="D31" s="29"/>
      <c r="E31" s="29"/>
      <c r="F31" s="29"/>
      <c r="G31" s="29"/>
      <c r="H31" s="59"/>
      <c r="I31" s="60"/>
      <c r="J31" s="60"/>
      <c r="K31" s="60"/>
      <c r="L31" s="60"/>
      <c r="M31" s="60"/>
      <c r="N31" s="59"/>
      <c r="O31" s="59"/>
      <c r="P31" s="59"/>
      <c r="Q31" s="59"/>
      <c r="R31" s="59"/>
      <c r="S31" s="59"/>
      <c r="T31" s="59"/>
      <c r="U31" s="59"/>
      <c r="V31" s="59"/>
      <c r="W31" s="61"/>
    </row>
    <row r="32" spans="1:24" x14ac:dyDescent="0.25">
      <c r="A32" s="62" t="s">
        <v>3</v>
      </c>
      <c r="C32" s="63">
        <f>SUM(C33:C34)</f>
        <v>385</v>
      </c>
      <c r="D32" s="63">
        <f t="shared" ref="D32:W32" si="1">SUM(D33:D34)</f>
        <v>192</v>
      </c>
      <c r="E32" s="63">
        <f t="shared" si="1"/>
        <v>483</v>
      </c>
      <c r="F32" s="63">
        <f t="shared" si="1"/>
        <v>0</v>
      </c>
      <c r="G32" s="63">
        <f t="shared" si="1"/>
        <v>0</v>
      </c>
      <c r="H32" s="63">
        <f t="shared" si="1"/>
        <v>0</v>
      </c>
      <c r="I32" s="63">
        <f t="shared" si="1"/>
        <v>26</v>
      </c>
      <c r="J32" s="63">
        <f t="shared" si="1"/>
        <v>190</v>
      </c>
      <c r="K32" s="63">
        <f t="shared" si="1"/>
        <v>144</v>
      </c>
      <c r="L32" s="63">
        <f t="shared" si="1"/>
        <v>106</v>
      </c>
      <c r="M32" s="63">
        <f t="shared" si="1"/>
        <v>452</v>
      </c>
      <c r="N32" s="63">
        <f t="shared" si="1"/>
        <v>0</v>
      </c>
      <c r="O32" s="63">
        <f t="shared" si="1"/>
        <v>0</v>
      </c>
      <c r="P32" s="63">
        <f t="shared" si="1"/>
        <v>25</v>
      </c>
      <c r="Q32" s="63">
        <f t="shared" si="1"/>
        <v>0</v>
      </c>
      <c r="R32" s="63">
        <f t="shared" si="1"/>
        <v>329</v>
      </c>
      <c r="S32" s="63">
        <f t="shared" si="1"/>
        <v>386</v>
      </c>
      <c r="T32" s="63">
        <f t="shared" si="1"/>
        <v>0</v>
      </c>
      <c r="U32" s="63">
        <f t="shared" si="1"/>
        <v>28</v>
      </c>
      <c r="V32" s="63">
        <f t="shared" si="1"/>
        <v>0</v>
      </c>
      <c r="W32" s="64">
        <f t="shared" si="1"/>
        <v>30</v>
      </c>
    </row>
    <row r="33" spans="1:23" x14ac:dyDescent="0.25">
      <c r="A33" s="62" t="s">
        <v>1</v>
      </c>
      <c r="C33" s="25">
        <f>45+31</f>
        <v>76</v>
      </c>
      <c r="D33" s="25"/>
      <c r="E33" s="25"/>
      <c r="F33" s="25"/>
      <c r="G33" s="25"/>
      <c r="I33" s="16"/>
      <c r="J33" s="16"/>
      <c r="K33" s="16"/>
      <c r="L33" s="16">
        <v>42</v>
      </c>
      <c r="M33" s="16"/>
      <c r="N33"/>
      <c r="O33"/>
      <c r="P33">
        <v>10</v>
      </c>
      <c r="W33" s="65"/>
    </row>
    <row r="34" spans="1:23" x14ac:dyDescent="0.25">
      <c r="A34" s="62" t="s">
        <v>2</v>
      </c>
      <c r="C34" s="25">
        <f>57+54+127+71</f>
        <v>309</v>
      </c>
      <c r="D34" s="25">
        <f>81+78+33</f>
        <v>192</v>
      </c>
      <c r="E34" s="25">
        <f>133+48+203+15+74+10</f>
        <v>483</v>
      </c>
      <c r="F34" s="25"/>
      <c r="G34" s="25"/>
      <c r="I34" s="16">
        <v>26</v>
      </c>
      <c r="J34" s="16">
        <f>35+49+35+17+37+17</f>
        <v>190</v>
      </c>
      <c r="K34" s="16">
        <f>27+63+28+11+15</f>
        <v>144</v>
      </c>
      <c r="L34" s="16">
        <f>6+8+36+4+10</f>
        <v>64</v>
      </c>
      <c r="M34" s="16">
        <f>55+336+61</f>
        <v>452</v>
      </c>
      <c r="N34"/>
      <c r="O34"/>
      <c r="P34">
        <f>15</f>
        <v>15</v>
      </c>
      <c r="R34">
        <f>8+96+58+89+78</f>
        <v>329</v>
      </c>
      <c r="S34">
        <f>32+149+117+75+13</f>
        <v>386</v>
      </c>
      <c r="U34">
        <f>28</f>
        <v>28</v>
      </c>
      <c r="W34" s="65">
        <f>14+1+9+6</f>
        <v>30</v>
      </c>
    </row>
    <row r="35" spans="1:23" x14ac:dyDescent="0.25">
      <c r="A35" s="66" t="s">
        <v>7</v>
      </c>
      <c r="C35" s="63">
        <f>SUM(C36:C41)</f>
        <v>110</v>
      </c>
      <c r="D35" s="63">
        <f t="shared" ref="D35:W35" si="2">SUM(D36:D41)</f>
        <v>0</v>
      </c>
      <c r="E35" s="63">
        <f t="shared" si="2"/>
        <v>0</v>
      </c>
      <c r="F35" s="63">
        <f t="shared" si="2"/>
        <v>0</v>
      </c>
      <c r="G35" s="63">
        <f t="shared" si="2"/>
        <v>0</v>
      </c>
      <c r="H35" s="63">
        <f t="shared" si="2"/>
        <v>0</v>
      </c>
      <c r="I35" s="63">
        <f t="shared" si="2"/>
        <v>0</v>
      </c>
      <c r="J35" s="63">
        <f t="shared" si="2"/>
        <v>63</v>
      </c>
      <c r="K35" s="63">
        <f t="shared" si="2"/>
        <v>30</v>
      </c>
      <c r="L35" s="63">
        <f t="shared" si="2"/>
        <v>42</v>
      </c>
      <c r="M35" s="63">
        <f t="shared" si="2"/>
        <v>59</v>
      </c>
      <c r="N35" s="63">
        <f t="shared" si="2"/>
        <v>0</v>
      </c>
      <c r="O35" s="63">
        <f t="shared" si="2"/>
        <v>77</v>
      </c>
      <c r="P35" s="63">
        <f t="shared" si="2"/>
        <v>29</v>
      </c>
      <c r="Q35" s="63">
        <f t="shared" si="2"/>
        <v>24</v>
      </c>
      <c r="R35" s="63">
        <f t="shared" si="2"/>
        <v>45</v>
      </c>
      <c r="S35" s="63">
        <f t="shared" si="2"/>
        <v>76</v>
      </c>
      <c r="T35" s="63">
        <f t="shared" si="2"/>
        <v>0</v>
      </c>
      <c r="U35" s="63">
        <f t="shared" si="2"/>
        <v>76</v>
      </c>
      <c r="V35" s="63">
        <f t="shared" si="2"/>
        <v>120</v>
      </c>
      <c r="W35" s="64">
        <f t="shared" si="2"/>
        <v>11</v>
      </c>
    </row>
    <row r="36" spans="1:23" x14ac:dyDescent="0.25">
      <c r="A36" s="66" t="s">
        <v>8</v>
      </c>
      <c r="C36" s="25"/>
      <c r="D36" s="25"/>
      <c r="E36" s="25"/>
      <c r="F36" s="25"/>
      <c r="G36" s="25"/>
      <c r="I36" s="16"/>
      <c r="J36" s="16"/>
      <c r="K36" s="16"/>
      <c r="L36" s="16"/>
      <c r="M36" s="16"/>
      <c r="N36"/>
      <c r="O36"/>
      <c r="W36" s="65"/>
    </row>
    <row r="37" spans="1:23" x14ac:dyDescent="0.25">
      <c r="A37" s="66" t="s">
        <v>9</v>
      </c>
      <c r="C37" s="25"/>
      <c r="D37" s="25"/>
      <c r="E37" s="25"/>
      <c r="F37" s="25"/>
      <c r="G37" s="25"/>
      <c r="I37" s="16"/>
      <c r="J37" s="16"/>
      <c r="K37" s="16"/>
      <c r="L37" s="16"/>
      <c r="M37" s="16"/>
      <c r="N37"/>
      <c r="O37"/>
      <c r="W37" s="65"/>
    </row>
    <row r="38" spans="1:23" x14ac:dyDescent="0.25">
      <c r="A38" s="66" t="s">
        <v>10</v>
      </c>
      <c r="C38" s="25">
        <f>11+31+33</f>
        <v>75</v>
      </c>
      <c r="D38" s="25"/>
      <c r="E38" s="25"/>
      <c r="F38" s="25"/>
      <c r="G38" s="25"/>
      <c r="I38" s="16"/>
      <c r="J38" s="16"/>
      <c r="K38" s="16"/>
      <c r="L38" s="16">
        <v>10</v>
      </c>
      <c r="M38" s="16">
        <f>16+22</f>
        <v>38</v>
      </c>
      <c r="N38"/>
      <c r="O38"/>
      <c r="P38">
        <f>1+19</f>
        <v>20</v>
      </c>
      <c r="R38">
        <f>25</f>
        <v>25</v>
      </c>
      <c r="S38">
        <f>30+26</f>
        <v>56</v>
      </c>
      <c r="U38">
        <f>3+7</f>
        <v>10</v>
      </c>
      <c r="W38" s="65"/>
    </row>
    <row r="39" spans="1:23" x14ac:dyDescent="0.25">
      <c r="A39" s="66" t="s">
        <v>11</v>
      </c>
      <c r="C39" s="25"/>
      <c r="D39" s="25"/>
      <c r="E39" s="25"/>
      <c r="F39" s="25"/>
      <c r="G39" s="25"/>
      <c r="I39" s="16"/>
      <c r="J39" s="16">
        <f>17+8</f>
        <v>25</v>
      </c>
      <c r="K39" s="16"/>
      <c r="L39" s="16">
        <v>32</v>
      </c>
      <c r="M39" s="16"/>
      <c r="N39"/>
      <c r="O39"/>
      <c r="W39" s="65"/>
    </row>
    <row r="40" spans="1:23" x14ac:dyDescent="0.25">
      <c r="A40" s="66" t="s">
        <v>12</v>
      </c>
      <c r="C40" s="25">
        <v>35</v>
      </c>
      <c r="D40" s="25"/>
      <c r="E40" s="25"/>
      <c r="F40" s="25"/>
      <c r="G40" s="25"/>
      <c r="I40" s="16"/>
      <c r="J40" s="16">
        <v>30</v>
      </c>
      <c r="K40" s="16">
        <v>18</v>
      </c>
      <c r="L40" s="16"/>
      <c r="M40" s="16">
        <f>7+2</f>
        <v>9</v>
      </c>
      <c r="N40"/>
      <c r="O40">
        <f>58+7</f>
        <v>65</v>
      </c>
      <c r="P40">
        <v>2</v>
      </c>
      <c r="Q40">
        <f>15+9</f>
        <v>24</v>
      </c>
      <c r="R40">
        <v>20</v>
      </c>
      <c r="S40">
        <f>20</f>
        <v>20</v>
      </c>
      <c r="U40">
        <f>34+24</f>
        <v>58</v>
      </c>
      <c r="V40">
        <v>4</v>
      </c>
      <c r="W40" s="65">
        <f>5</f>
        <v>5</v>
      </c>
    </row>
    <row r="41" spans="1:23" x14ac:dyDescent="0.25">
      <c r="A41" s="67" t="s">
        <v>13</v>
      </c>
      <c r="B41" s="68"/>
      <c r="C41" s="30"/>
      <c r="D41" s="30"/>
      <c r="E41" s="30"/>
      <c r="F41" s="30"/>
      <c r="G41" s="30"/>
      <c r="H41" s="68"/>
      <c r="I41" s="69"/>
      <c r="J41" s="69">
        <v>8</v>
      </c>
      <c r="K41" s="69">
        <v>12</v>
      </c>
      <c r="L41" s="69"/>
      <c r="M41" s="69">
        <v>12</v>
      </c>
      <c r="N41" s="68"/>
      <c r="O41" s="68">
        <v>12</v>
      </c>
      <c r="P41" s="68">
        <v>7</v>
      </c>
      <c r="Q41" s="68"/>
      <c r="R41" s="68"/>
      <c r="S41" s="68"/>
      <c r="T41" s="68"/>
      <c r="U41" s="68">
        <f>8</f>
        <v>8</v>
      </c>
      <c r="V41" s="68">
        <v>116</v>
      </c>
      <c r="W41" s="70">
        <f>6</f>
        <v>6</v>
      </c>
    </row>
    <row r="42" spans="1:23" x14ac:dyDescent="0.25">
      <c r="A42" s="71" t="s">
        <v>4</v>
      </c>
      <c r="B42" s="59"/>
      <c r="C42" s="29"/>
      <c r="D42" s="29"/>
      <c r="E42" s="29"/>
      <c r="F42" s="29"/>
      <c r="G42" s="29"/>
      <c r="H42" s="59"/>
      <c r="I42" s="60"/>
      <c r="J42" s="60"/>
      <c r="K42" s="60"/>
      <c r="L42" s="60"/>
      <c r="M42" s="60"/>
      <c r="N42" s="59"/>
      <c r="O42" s="59"/>
      <c r="P42" s="59"/>
      <c r="Q42" s="59"/>
      <c r="R42" s="59"/>
      <c r="S42" s="59"/>
      <c r="T42" s="59"/>
      <c r="U42" s="59"/>
      <c r="V42" s="59"/>
      <c r="W42" s="61"/>
    </row>
    <row r="43" spans="1:23" x14ac:dyDescent="0.25">
      <c r="A43" s="72" t="s">
        <v>3</v>
      </c>
      <c r="C43" s="63">
        <f>SUM(C44:C49)</f>
        <v>347</v>
      </c>
      <c r="D43" s="63">
        <f t="shared" ref="D43:W43" si="3">SUM(D44:D49)</f>
        <v>598</v>
      </c>
      <c r="E43" s="63">
        <f t="shared" si="3"/>
        <v>375</v>
      </c>
      <c r="F43" s="63">
        <f t="shared" si="3"/>
        <v>800</v>
      </c>
      <c r="G43" s="63">
        <f t="shared" si="3"/>
        <v>234</v>
      </c>
      <c r="H43" s="63">
        <f t="shared" si="3"/>
        <v>0</v>
      </c>
      <c r="I43" s="63">
        <f t="shared" si="3"/>
        <v>588</v>
      </c>
      <c r="J43" s="63">
        <f t="shared" si="3"/>
        <v>0</v>
      </c>
      <c r="K43" s="63">
        <f t="shared" si="3"/>
        <v>0</v>
      </c>
      <c r="L43" s="63">
        <f t="shared" si="3"/>
        <v>0</v>
      </c>
      <c r="M43" s="63">
        <f t="shared" si="3"/>
        <v>0</v>
      </c>
      <c r="N43" s="63">
        <f t="shared" si="3"/>
        <v>0</v>
      </c>
      <c r="O43" s="63">
        <f t="shared" si="3"/>
        <v>20</v>
      </c>
      <c r="P43" s="63">
        <f t="shared" si="3"/>
        <v>23</v>
      </c>
      <c r="Q43" s="63">
        <f t="shared" si="3"/>
        <v>42</v>
      </c>
      <c r="R43" s="63">
        <f t="shared" si="3"/>
        <v>201</v>
      </c>
      <c r="S43" s="63">
        <f t="shared" si="3"/>
        <v>141</v>
      </c>
      <c r="T43" s="63">
        <f t="shared" si="3"/>
        <v>0</v>
      </c>
      <c r="U43" s="63">
        <f t="shared" si="3"/>
        <v>2</v>
      </c>
      <c r="V43" s="63">
        <f t="shared" si="3"/>
        <v>0</v>
      </c>
      <c r="W43" s="64">
        <f t="shared" si="3"/>
        <v>0</v>
      </c>
    </row>
    <row r="44" spans="1:23" x14ac:dyDescent="0.25">
      <c r="A44" s="73">
        <v>707</v>
      </c>
      <c r="C44" s="25"/>
      <c r="D44" s="25"/>
      <c r="E44" s="25"/>
      <c r="F44" s="25"/>
      <c r="G44" s="25"/>
      <c r="I44" s="16"/>
      <c r="J44" s="16"/>
      <c r="K44" s="16"/>
      <c r="L44" s="16"/>
      <c r="M44" s="16"/>
      <c r="N44"/>
      <c r="O44"/>
      <c r="W44" s="65"/>
    </row>
    <row r="45" spans="1:23" x14ac:dyDescent="0.25">
      <c r="A45" s="73">
        <v>717</v>
      </c>
      <c r="C45" s="25">
        <v>80</v>
      </c>
      <c r="D45" s="25"/>
      <c r="E45" s="25"/>
      <c r="F45" s="25"/>
      <c r="G45" s="25"/>
      <c r="I45" s="16"/>
      <c r="J45" s="16"/>
      <c r="K45" s="16"/>
      <c r="L45" s="16"/>
      <c r="M45" s="16"/>
      <c r="N45"/>
      <c r="O45"/>
      <c r="W45" s="65"/>
    </row>
    <row r="46" spans="1:23" x14ac:dyDescent="0.25">
      <c r="A46" s="73">
        <v>727</v>
      </c>
      <c r="C46" s="25"/>
      <c r="D46" s="25"/>
      <c r="E46" s="25"/>
      <c r="F46" s="25"/>
      <c r="G46" s="25"/>
      <c r="I46" s="16"/>
      <c r="J46" s="16"/>
      <c r="K46" s="16"/>
      <c r="L46" s="16"/>
      <c r="M46" s="16"/>
      <c r="N46"/>
      <c r="O46"/>
      <c r="W46" s="65"/>
    </row>
    <row r="47" spans="1:23" x14ac:dyDescent="0.25">
      <c r="A47" s="73" t="s">
        <v>5</v>
      </c>
      <c r="C47" s="25">
        <v>163</v>
      </c>
      <c r="D47" s="25">
        <f>40+141+12+136</f>
        <v>329</v>
      </c>
      <c r="E47" s="25">
        <v>303</v>
      </c>
      <c r="F47" s="25">
        <f>342+203</f>
        <v>545</v>
      </c>
      <c r="G47" s="25">
        <f>11+56+3+6+79</f>
        <v>155</v>
      </c>
      <c r="I47" s="16">
        <f>1+410</f>
        <v>411</v>
      </c>
      <c r="J47" s="16"/>
      <c r="K47" s="16"/>
      <c r="L47" s="16"/>
      <c r="M47" s="16"/>
      <c r="N47"/>
      <c r="O47">
        <v>4</v>
      </c>
      <c r="P47">
        <f>2+9+6</f>
        <v>17</v>
      </c>
      <c r="Q47">
        <v>42</v>
      </c>
      <c r="R47">
        <f>13+155</f>
        <v>168</v>
      </c>
      <c r="S47">
        <f>36+101</f>
        <v>137</v>
      </c>
      <c r="W47" s="65"/>
    </row>
    <row r="48" spans="1:23" x14ac:dyDescent="0.25">
      <c r="A48" s="73" t="s">
        <v>6</v>
      </c>
      <c r="C48" s="25"/>
      <c r="D48" s="25">
        <f>116+92</f>
        <v>208</v>
      </c>
      <c r="E48" s="25">
        <v>72</v>
      </c>
      <c r="F48" s="25">
        <f>255</f>
        <v>255</v>
      </c>
      <c r="G48" s="25">
        <f>5+74</f>
        <v>79</v>
      </c>
      <c r="I48" s="16">
        <v>177</v>
      </c>
      <c r="J48" s="16"/>
      <c r="K48" s="16"/>
      <c r="L48" s="16"/>
      <c r="M48" s="16"/>
      <c r="N48"/>
      <c r="O48">
        <v>16</v>
      </c>
      <c r="P48">
        <f>5+1</f>
        <v>6</v>
      </c>
      <c r="R48">
        <v>33</v>
      </c>
      <c r="S48">
        <f>4</f>
        <v>4</v>
      </c>
      <c r="U48">
        <v>2</v>
      </c>
      <c r="W48" s="65"/>
    </row>
    <row r="49" spans="1:23" x14ac:dyDescent="0.25">
      <c r="A49" s="73">
        <v>757</v>
      </c>
      <c r="C49" s="25">
        <f>88+16</f>
        <v>104</v>
      </c>
      <c r="D49" s="25">
        <f>40+21</f>
        <v>61</v>
      </c>
      <c r="E49" s="25"/>
      <c r="F49" s="25"/>
      <c r="G49" s="25"/>
      <c r="I49" s="16"/>
      <c r="J49" s="16"/>
      <c r="K49" s="16"/>
      <c r="L49" s="16"/>
      <c r="M49" s="16"/>
      <c r="N49"/>
      <c r="O49"/>
      <c r="W49" s="65"/>
    </row>
    <row r="50" spans="1:23" x14ac:dyDescent="0.25">
      <c r="A50" s="74" t="s">
        <v>7</v>
      </c>
      <c r="C50" s="63">
        <f>SUM(C51:C54)</f>
        <v>60</v>
      </c>
      <c r="D50" s="63">
        <f t="shared" ref="D50:W50" si="4">SUM(D51:D54)</f>
        <v>225</v>
      </c>
      <c r="E50" s="63">
        <f t="shared" si="4"/>
        <v>126</v>
      </c>
      <c r="F50" s="63">
        <f t="shared" si="4"/>
        <v>0</v>
      </c>
      <c r="G50" s="63">
        <f t="shared" si="4"/>
        <v>0</v>
      </c>
      <c r="H50" s="63">
        <f t="shared" si="4"/>
        <v>0</v>
      </c>
      <c r="I50" s="63">
        <f t="shared" si="4"/>
        <v>0</v>
      </c>
      <c r="J50" s="63">
        <f t="shared" si="4"/>
        <v>32</v>
      </c>
      <c r="K50" s="63">
        <f t="shared" si="4"/>
        <v>100</v>
      </c>
      <c r="L50" s="63">
        <f t="shared" si="4"/>
        <v>71</v>
      </c>
      <c r="M50" s="63">
        <f t="shared" si="4"/>
        <v>91</v>
      </c>
      <c r="N50" s="63">
        <f t="shared" si="4"/>
        <v>0</v>
      </c>
      <c r="O50" s="63">
        <f t="shared" si="4"/>
        <v>48</v>
      </c>
      <c r="P50" s="63">
        <f t="shared" si="4"/>
        <v>60</v>
      </c>
      <c r="Q50" s="63">
        <f t="shared" si="4"/>
        <v>84</v>
      </c>
      <c r="R50" s="63">
        <f t="shared" si="4"/>
        <v>44</v>
      </c>
      <c r="S50" s="63">
        <f t="shared" si="4"/>
        <v>24</v>
      </c>
      <c r="T50" s="63">
        <f t="shared" si="4"/>
        <v>0</v>
      </c>
      <c r="U50" s="63">
        <f t="shared" si="4"/>
        <v>115</v>
      </c>
      <c r="V50" s="63">
        <f t="shared" si="4"/>
        <v>133</v>
      </c>
      <c r="W50" s="64">
        <f t="shared" si="4"/>
        <v>52</v>
      </c>
    </row>
    <row r="51" spans="1:23" x14ac:dyDescent="0.25">
      <c r="A51" s="75">
        <v>747</v>
      </c>
      <c r="C51" s="25"/>
      <c r="D51" s="25"/>
      <c r="E51" s="25"/>
      <c r="F51" s="25"/>
      <c r="G51" s="25"/>
      <c r="I51" s="16"/>
      <c r="J51" s="16">
        <f>8+19</f>
        <v>27</v>
      </c>
      <c r="K51" s="16"/>
      <c r="L51" s="16"/>
      <c r="M51" s="16"/>
      <c r="N51"/>
      <c r="O51"/>
      <c r="P51">
        <f>6+1</f>
        <v>7</v>
      </c>
      <c r="W51" s="65"/>
    </row>
    <row r="52" spans="1:23" x14ac:dyDescent="0.25">
      <c r="A52" s="75">
        <v>767</v>
      </c>
      <c r="C52" s="25">
        <f>39+21</f>
        <v>60</v>
      </c>
      <c r="D52" s="25">
        <f>13+24+16</f>
        <v>53</v>
      </c>
      <c r="E52" s="25"/>
      <c r="F52" s="25"/>
      <c r="G52" s="25"/>
      <c r="I52" s="16"/>
      <c r="J52" s="16"/>
      <c r="K52" s="16"/>
      <c r="L52" s="16"/>
      <c r="M52" s="16"/>
      <c r="N52"/>
      <c r="O52"/>
      <c r="Q52">
        <v>27</v>
      </c>
      <c r="W52" s="65"/>
    </row>
    <row r="53" spans="1:23" x14ac:dyDescent="0.25">
      <c r="A53" s="75">
        <v>777</v>
      </c>
      <c r="C53" s="25"/>
      <c r="D53" s="25">
        <f>19+51+4+22</f>
        <v>96</v>
      </c>
      <c r="E53" s="25">
        <f>47+20</f>
        <v>67</v>
      </c>
      <c r="F53" s="25"/>
      <c r="G53" s="25"/>
      <c r="I53" s="16"/>
      <c r="J53" s="16"/>
      <c r="K53" s="16">
        <f>43+16</f>
        <v>59</v>
      </c>
      <c r="L53" s="16">
        <f>18+43</f>
        <v>61</v>
      </c>
      <c r="M53" s="16">
        <f>13+46</f>
        <v>59</v>
      </c>
      <c r="N53"/>
      <c r="O53">
        <v>22</v>
      </c>
      <c r="P53">
        <f>7+25</f>
        <v>32</v>
      </c>
      <c r="Q53">
        <v>12</v>
      </c>
      <c r="R53">
        <v>15</v>
      </c>
      <c r="S53">
        <v>20</v>
      </c>
      <c r="U53">
        <f>7+57</f>
        <v>64</v>
      </c>
      <c r="V53">
        <f>10+123</f>
        <v>133</v>
      </c>
      <c r="W53" s="65">
        <f>9</f>
        <v>9</v>
      </c>
    </row>
    <row r="54" spans="1:23" x14ac:dyDescent="0.25">
      <c r="A54" s="76">
        <v>787</v>
      </c>
      <c r="B54" s="68"/>
      <c r="C54" s="30"/>
      <c r="D54" s="30">
        <f>12+43+21</f>
        <v>76</v>
      </c>
      <c r="E54" s="30">
        <f>37+22</f>
        <v>59</v>
      </c>
      <c r="F54" s="30"/>
      <c r="G54" s="30"/>
      <c r="H54" s="68"/>
      <c r="I54" s="69"/>
      <c r="J54" s="69">
        <v>5</v>
      </c>
      <c r="K54" s="69">
        <f>12+18+11</f>
        <v>41</v>
      </c>
      <c r="L54" s="69">
        <v>10</v>
      </c>
      <c r="M54" s="69">
        <f>2+18+12</f>
        <v>32</v>
      </c>
      <c r="N54" s="68"/>
      <c r="O54" s="68">
        <v>26</v>
      </c>
      <c r="P54" s="68">
        <f>14+7</f>
        <v>21</v>
      </c>
      <c r="Q54" s="68">
        <f>23+22</f>
        <v>45</v>
      </c>
      <c r="R54" s="68">
        <f>10+19</f>
        <v>29</v>
      </c>
      <c r="S54" s="68">
        <v>4</v>
      </c>
      <c r="T54" s="68"/>
      <c r="U54" s="68">
        <f>31+20</f>
        <v>51</v>
      </c>
      <c r="V54" s="68"/>
      <c r="W54" s="70">
        <f>33+10</f>
        <v>43</v>
      </c>
    </row>
    <row r="55" spans="1:23" x14ac:dyDescent="0.25">
      <c r="A55" s="77" t="s">
        <v>20</v>
      </c>
      <c r="B55" s="59"/>
      <c r="C55" s="29"/>
      <c r="D55" s="29"/>
      <c r="E55" s="29"/>
      <c r="F55" s="29"/>
      <c r="G55" s="29"/>
      <c r="H55" s="59"/>
      <c r="I55" s="60"/>
      <c r="J55" s="60"/>
      <c r="K55" s="60"/>
      <c r="L55" s="60"/>
      <c r="M55" s="60"/>
      <c r="N55" s="59"/>
      <c r="O55" s="59"/>
      <c r="P55" s="59"/>
      <c r="Q55" s="59"/>
      <c r="R55" s="59"/>
      <c r="S55" s="59"/>
      <c r="T55" s="59"/>
      <c r="U55" s="59"/>
      <c r="V55" s="59"/>
      <c r="W55" s="61"/>
    </row>
    <row r="56" spans="1:23" x14ac:dyDescent="0.25">
      <c r="A56" s="78" t="s">
        <v>21</v>
      </c>
      <c r="B56" s="68"/>
      <c r="C56" s="30"/>
      <c r="D56" s="30"/>
      <c r="E56" s="30"/>
      <c r="F56" s="30"/>
      <c r="G56" s="30">
        <f>44+42</f>
        <v>86</v>
      </c>
      <c r="H56" s="68"/>
      <c r="I56" s="69"/>
      <c r="J56" s="69"/>
      <c r="K56" s="69"/>
      <c r="L56" s="69"/>
      <c r="M56" s="69"/>
      <c r="N56" s="68"/>
      <c r="O56" s="68"/>
      <c r="P56" s="68"/>
      <c r="Q56" s="68"/>
      <c r="R56" s="68"/>
      <c r="S56" s="68"/>
      <c r="T56" s="68"/>
      <c r="U56" s="68"/>
      <c r="V56" s="68"/>
      <c r="W56" s="70"/>
    </row>
    <row r="57" spans="1:23" x14ac:dyDescent="0.25">
      <c r="A57" s="16"/>
      <c r="B57" s="16"/>
      <c r="C57" s="25"/>
      <c r="D57" s="25"/>
      <c r="E57" s="25"/>
      <c r="F57" s="25"/>
      <c r="G57" s="25"/>
      <c r="H57" s="16"/>
      <c r="I57" s="16"/>
      <c r="J57" s="16"/>
      <c r="K57" s="16"/>
      <c r="L57" s="16"/>
      <c r="M57" s="16"/>
      <c r="N57"/>
      <c r="O57"/>
    </row>
    <row r="58" spans="1:23" x14ac:dyDescent="0.25">
      <c r="A58" s="79" t="s">
        <v>70</v>
      </c>
      <c r="B58" s="16"/>
      <c r="C58" s="25"/>
      <c r="D58" s="25"/>
      <c r="E58" s="25"/>
      <c r="F58" s="25"/>
      <c r="G58" s="25"/>
      <c r="H58" s="16"/>
      <c r="I58" s="16"/>
      <c r="J58" s="16"/>
      <c r="K58" s="16"/>
      <c r="L58" s="16"/>
      <c r="M58" s="16"/>
      <c r="N58"/>
      <c r="O58"/>
    </row>
    <row r="59" spans="1:23" x14ac:dyDescent="0.25">
      <c r="A59" s="79" t="s">
        <v>71</v>
      </c>
      <c r="B59" s="16"/>
      <c r="C59" s="25"/>
      <c r="D59" s="25"/>
      <c r="E59" s="25"/>
      <c r="F59" s="25"/>
      <c r="G59" s="25"/>
      <c r="H59" s="16"/>
      <c r="I59" s="16">
        <v>1</v>
      </c>
      <c r="J59" s="16"/>
      <c r="K59" s="16"/>
      <c r="L59" s="16"/>
      <c r="M59" s="16"/>
      <c r="N59"/>
      <c r="O59"/>
    </row>
    <row r="60" spans="1:23" x14ac:dyDescent="0.25">
      <c r="A60" s="79"/>
      <c r="B60" s="16"/>
      <c r="C60" s="25"/>
      <c r="D60" s="25"/>
      <c r="E60" s="25"/>
      <c r="F60" s="25"/>
      <c r="G60" s="25"/>
      <c r="H60" s="16"/>
      <c r="I60" s="16"/>
      <c r="J60" s="16"/>
      <c r="K60" s="16"/>
      <c r="L60" s="16"/>
      <c r="M60" s="16"/>
      <c r="N60"/>
      <c r="O60"/>
    </row>
    <row r="61" spans="1:23" x14ac:dyDescent="0.25">
      <c r="A61" s="79" t="s">
        <v>72</v>
      </c>
      <c r="B61" s="16"/>
      <c r="C61" s="25"/>
      <c r="D61" s="25"/>
      <c r="E61" s="25"/>
      <c r="F61" s="25"/>
      <c r="G61" s="25"/>
      <c r="H61" s="16"/>
      <c r="I61" s="16">
        <v>4</v>
      </c>
      <c r="J61" s="16"/>
      <c r="K61" s="16"/>
      <c r="L61" s="16"/>
      <c r="M61" s="16"/>
      <c r="N61"/>
      <c r="O61"/>
    </row>
    <row r="62" spans="1:23" x14ac:dyDescent="0.25">
      <c r="A62" s="16"/>
      <c r="B62" s="16"/>
      <c r="C62" s="25"/>
      <c r="D62" s="25"/>
      <c r="E62" s="25"/>
      <c r="F62" s="25"/>
      <c r="G62" s="25"/>
      <c r="H62" s="16"/>
      <c r="I62" s="16"/>
      <c r="J62" s="16"/>
      <c r="K62" s="16"/>
      <c r="L62" s="16"/>
      <c r="M62" s="16"/>
      <c r="N62"/>
      <c r="O62"/>
    </row>
    <row r="63" spans="1:23" x14ac:dyDescent="0.25">
      <c r="A63" s="16" t="s">
        <v>68</v>
      </c>
      <c r="B63" s="16"/>
      <c r="C63" s="63">
        <f>SUM(C64:C65)</f>
        <v>0</v>
      </c>
      <c r="D63" s="63">
        <f t="shared" ref="D63:W63" si="5">SUM(D64:D65)</f>
        <v>0</v>
      </c>
      <c r="E63" s="63">
        <f t="shared" si="5"/>
        <v>0</v>
      </c>
      <c r="F63" s="63">
        <f t="shared" si="5"/>
        <v>0</v>
      </c>
      <c r="G63" s="63">
        <f t="shared" si="5"/>
        <v>0</v>
      </c>
      <c r="H63" s="63">
        <f t="shared" si="5"/>
        <v>0</v>
      </c>
      <c r="I63" s="63">
        <f t="shared" si="5"/>
        <v>0</v>
      </c>
      <c r="J63" s="63">
        <f t="shared" si="5"/>
        <v>0</v>
      </c>
      <c r="K63" s="63">
        <f t="shared" si="5"/>
        <v>0</v>
      </c>
      <c r="L63" s="63">
        <f t="shared" si="5"/>
        <v>0</v>
      </c>
      <c r="M63" s="63">
        <f t="shared" si="5"/>
        <v>0</v>
      </c>
      <c r="N63" s="63">
        <f t="shared" si="5"/>
        <v>0</v>
      </c>
      <c r="O63" s="63">
        <f t="shared" si="5"/>
        <v>0</v>
      </c>
      <c r="P63" s="63">
        <f t="shared" si="5"/>
        <v>0</v>
      </c>
      <c r="Q63" s="63">
        <f t="shared" si="5"/>
        <v>0</v>
      </c>
      <c r="R63" s="63">
        <f t="shared" si="5"/>
        <v>37</v>
      </c>
      <c r="S63" s="63">
        <f t="shared" si="5"/>
        <v>36</v>
      </c>
      <c r="T63" s="63">
        <f t="shared" si="5"/>
        <v>0</v>
      </c>
      <c r="U63" s="63">
        <f t="shared" si="5"/>
        <v>0</v>
      </c>
      <c r="V63" s="63">
        <f t="shared" si="5"/>
        <v>0</v>
      </c>
      <c r="W63" s="63">
        <f t="shared" si="5"/>
        <v>0</v>
      </c>
    </row>
    <row r="64" spans="1:23" x14ac:dyDescent="0.25">
      <c r="A64" s="16" t="s">
        <v>73</v>
      </c>
      <c r="B64" s="16"/>
      <c r="C64" s="25"/>
      <c r="D64" s="25"/>
      <c r="E64" s="25"/>
      <c r="F64" s="25"/>
      <c r="G64" s="25"/>
      <c r="H64" s="16"/>
      <c r="I64" s="16"/>
      <c r="J64" s="16"/>
      <c r="K64" s="16"/>
      <c r="L64" s="16"/>
      <c r="M64" s="16"/>
      <c r="N64"/>
      <c r="O64"/>
      <c r="R64">
        <v>3</v>
      </c>
      <c r="S64">
        <v>10</v>
      </c>
    </row>
    <row r="65" spans="1:23" x14ac:dyDescent="0.25">
      <c r="A65" s="16" t="s">
        <v>74</v>
      </c>
      <c r="C65" s="25"/>
      <c r="D65" s="25"/>
      <c r="E65" s="25"/>
      <c r="F65" s="25"/>
      <c r="G65" s="25"/>
      <c r="K65"/>
      <c r="L65"/>
      <c r="M65"/>
      <c r="N65"/>
      <c r="O65"/>
      <c r="R65">
        <v>34</v>
      </c>
      <c r="S65">
        <v>26</v>
      </c>
    </row>
    <row r="66" spans="1:23" x14ac:dyDescent="0.25">
      <c r="C66" s="25"/>
      <c r="D66" s="25"/>
      <c r="E66" s="25"/>
      <c r="F66" s="25"/>
      <c r="G66" s="25"/>
      <c r="K66"/>
      <c r="L66"/>
      <c r="M66"/>
      <c r="N66"/>
      <c r="O66"/>
    </row>
    <row r="67" spans="1:23" x14ac:dyDescent="0.25">
      <c r="A67" s="80" t="s">
        <v>75</v>
      </c>
      <c r="B67" s="81"/>
      <c r="C67" s="82"/>
      <c r="D67" s="82"/>
      <c r="E67" s="82"/>
      <c r="F67" s="82"/>
      <c r="G67" s="82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  <c r="S67" s="81"/>
      <c r="T67" s="81"/>
      <c r="U67" s="81"/>
      <c r="V67" s="81"/>
      <c r="W67" s="81"/>
    </row>
    <row r="68" spans="1:23" x14ac:dyDescent="0.25">
      <c r="A68" s="16" t="s">
        <v>76</v>
      </c>
      <c r="C68" s="25"/>
      <c r="D68" s="25"/>
      <c r="E68" s="25"/>
      <c r="F68" s="25"/>
      <c r="G68" s="25"/>
      <c r="K68"/>
      <c r="L68">
        <v>2</v>
      </c>
      <c r="M68"/>
      <c r="N68"/>
      <c r="O68">
        <v>5</v>
      </c>
      <c r="P68">
        <v>12</v>
      </c>
      <c r="R68">
        <v>19</v>
      </c>
      <c r="U68">
        <v>28</v>
      </c>
      <c r="W68">
        <v>5</v>
      </c>
    </row>
    <row r="69" spans="1:23" x14ac:dyDescent="0.25">
      <c r="A69" s="16" t="s">
        <v>77</v>
      </c>
      <c r="C69" s="25"/>
      <c r="D69" s="25"/>
      <c r="E69" s="25"/>
      <c r="F69" s="25"/>
      <c r="G69" s="25"/>
      <c r="K69"/>
      <c r="L69"/>
      <c r="M69"/>
      <c r="N69"/>
      <c r="O69"/>
    </row>
    <row r="70" spans="1:23" x14ac:dyDescent="0.25">
      <c r="A70" s="16" t="s">
        <v>78</v>
      </c>
      <c r="C70" s="25"/>
      <c r="D70" s="25"/>
      <c r="E70" s="25"/>
      <c r="F70" s="25"/>
      <c r="G70" s="25"/>
      <c r="K70"/>
      <c r="L70"/>
      <c r="M70"/>
      <c r="N70"/>
      <c r="O70">
        <v>7</v>
      </c>
      <c r="P70">
        <f>4+7</f>
        <v>11</v>
      </c>
    </row>
    <row r="71" spans="1:23" x14ac:dyDescent="0.25">
      <c r="A71" s="16" t="s">
        <v>79</v>
      </c>
      <c r="C71" s="25"/>
      <c r="D71" s="25"/>
      <c r="E71" s="25"/>
      <c r="F71" s="25"/>
      <c r="G71" s="25"/>
      <c r="K71"/>
      <c r="L71"/>
      <c r="M71"/>
      <c r="N71"/>
      <c r="O71"/>
      <c r="Q71">
        <v>3</v>
      </c>
    </row>
    <row r="72" spans="1:23" x14ac:dyDescent="0.25">
      <c r="C72" s="25"/>
      <c r="D72" s="25"/>
      <c r="E72" s="25"/>
      <c r="F72" s="25"/>
      <c r="G72" s="25"/>
      <c r="K72"/>
      <c r="L72"/>
      <c r="M72"/>
      <c r="N72"/>
      <c r="O72"/>
    </row>
    <row r="76" spans="1:23" x14ac:dyDescent="0.25">
      <c r="A76" s="6"/>
      <c r="B76" s="24" t="s">
        <v>0</v>
      </c>
      <c r="C76" s="24" t="s">
        <v>4</v>
      </c>
      <c r="D76" s="6" t="s">
        <v>20</v>
      </c>
      <c r="E76" s="83" t="s">
        <v>68</v>
      </c>
    </row>
    <row r="77" spans="1:23" x14ac:dyDescent="0.25">
      <c r="A77" s="85" t="s">
        <v>3</v>
      </c>
      <c r="B77" s="33" t="s">
        <v>1</v>
      </c>
      <c r="C77" s="34">
        <v>717</v>
      </c>
      <c r="D77" s="36" t="s">
        <v>80</v>
      </c>
      <c r="E77" s="84" t="s">
        <v>74</v>
      </c>
    </row>
    <row r="78" spans="1:23" x14ac:dyDescent="0.25">
      <c r="A78" s="85"/>
      <c r="B78" s="33" t="s">
        <v>2</v>
      </c>
      <c r="C78" s="34">
        <v>727</v>
      </c>
      <c r="D78" s="36" t="s">
        <v>21</v>
      </c>
      <c r="E78" s="84" t="s">
        <v>73</v>
      </c>
    </row>
    <row r="79" spans="1:23" x14ac:dyDescent="0.25">
      <c r="A79" s="85"/>
      <c r="B79" s="33"/>
      <c r="C79" s="34" t="s">
        <v>5</v>
      </c>
      <c r="D79" s="36" t="s">
        <v>81</v>
      </c>
      <c r="E79" s="84"/>
    </row>
    <row r="80" spans="1:23" x14ac:dyDescent="0.25">
      <c r="A80" s="85"/>
      <c r="B80" s="33"/>
      <c r="C80" s="34" t="s">
        <v>6</v>
      </c>
      <c r="D80" s="36" t="s">
        <v>82</v>
      </c>
      <c r="E80" s="84"/>
    </row>
    <row r="81" spans="1:5" x14ac:dyDescent="0.25">
      <c r="A81" s="85"/>
      <c r="B81" s="33"/>
      <c r="C81" s="34">
        <v>757</v>
      </c>
      <c r="D81" s="36"/>
      <c r="E81" s="84"/>
    </row>
    <row r="82" spans="1:5" x14ac:dyDescent="0.25">
      <c r="A82" s="85" t="s">
        <v>7</v>
      </c>
      <c r="B82" s="37" t="s">
        <v>8</v>
      </c>
      <c r="C82" s="38">
        <v>747</v>
      </c>
      <c r="D82" s="39"/>
      <c r="E82" s="54"/>
    </row>
    <row r="83" spans="1:5" x14ac:dyDescent="0.25">
      <c r="A83" s="85"/>
      <c r="B83" s="37" t="s">
        <v>9</v>
      </c>
      <c r="C83" s="38">
        <v>767</v>
      </c>
      <c r="D83" s="39"/>
      <c r="E83" s="54"/>
    </row>
    <row r="84" spans="1:5" x14ac:dyDescent="0.25">
      <c r="A84" s="85"/>
      <c r="B84" s="37" t="s">
        <v>10</v>
      </c>
      <c r="C84" s="38">
        <v>777</v>
      </c>
      <c r="D84" s="39"/>
      <c r="E84" s="54"/>
    </row>
    <row r="85" spans="1:5" x14ac:dyDescent="0.25">
      <c r="A85" s="85"/>
      <c r="B85" s="37" t="s">
        <v>11</v>
      </c>
      <c r="C85" s="38">
        <v>787</v>
      </c>
      <c r="D85" s="39"/>
      <c r="E85" s="54"/>
    </row>
    <row r="86" spans="1:5" x14ac:dyDescent="0.25">
      <c r="A86" s="85"/>
      <c r="B86" s="37" t="s">
        <v>12</v>
      </c>
      <c r="C86" s="38"/>
      <c r="D86" s="39"/>
      <c r="E86" s="54"/>
    </row>
    <row r="87" spans="1:5" x14ac:dyDescent="0.25">
      <c r="A87" s="85"/>
      <c r="B87" s="37" t="s">
        <v>13</v>
      </c>
      <c r="C87" s="38"/>
      <c r="D87" s="39"/>
      <c r="E87" s="54"/>
    </row>
    <row r="89" spans="1:5" x14ac:dyDescent="0.25">
      <c r="A89" s="26" t="s">
        <v>59</v>
      </c>
    </row>
  </sheetData>
  <mergeCells count="2">
    <mergeCell ref="A77:A81"/>
    <mergeCell ref="A82:A87"/>
  </mergeCells>
  <hyperlinks>
    <hyperlink ref="C29" r:id="rId1" xr:uid="{904EFF2C-D2A1-401D-B23F-D4F78B7C3886}"/>
    <hyperlink ref="D29" r:id="rId2" xr:uid="{C758AA37-1F55-445C-BAFE-0FD589E00C07}"/>
    <hyperlink ref="E29" r:id="rId3" xr:uid="{90299BAA-F5D5-4CFC-824E-5659D33C4D16}"/>
    <hyperlink ref="F29" r:id="rId4" xr:uid="{7AD02F12-0613-4B74-A655-4060F831B86E}"/>
    <hyperlink ref="G29" r:id="rId5" xr:uid="{67178AAE-4053-4363-BE32-58512D1EBC1C}"/>
    <hyperlink ref="I29" r:id="rId6" location="Fleet" xr:uid="{6AE77DBF-A0C2-46F7-9145-21C6325CAA90}"/>
    <hyperlink ref="J29" r:id="rId7" xr:uid="{046EA8F9-8B7F-4674-A0F7-346651F7AA4A}"/>
    <hyperlink ref="K29" r:id="rId8" xr:uid="{A46557D7-CA72-4699-B991-CE77953DE8C1}"/>
    <hyperlink ref="M29" r:id="rId9" xr:uid="{40BD2DDD-A2DE-4F39-89AB-591C071B6992}"/>
    <hyperlink ref="L29" r:id="rId10" xr:uid="{D16382BB-E8D5-435E-B02B-89A7282CC90C}"/>
    <hyperlink ref="O29" r:id="rId11" xr:uid="{2FB20157-3066-4A2E-B34C-78DD00B293C0}"/>
    <hyperlink ref="P29" r:id="rId12" location="Fleet" xr:uid="{7DD9E01F-6387-4858-BB92-B0E9A84F5645}"/>
    <hyperlink ref="Q29" r:id="rId13" xr:uid="{126EBBE0-32C6-44BB-BC09-FD60D0419A05}"/>
    <hyperlink ref="R29" r:id="rId14" location="Fleet" xr:uid="{7AC43969-2DEE-40DF-AA76-BF4636202E78}"/>
    <hyperlink ref="S29" r:id="rId15" location="Fleet" xr:uid="{0CA5B4F2-725D-404C-99A5-345BE827AB9E}"/>
    <hyperlink ref="U29" r:id="rId16" xr:uid="{523C6949-E710-4641-8564-E56D34D67C46}"/>
    <hyperlink ref="V29" r:id="rId17" xr:uid="{FE916F8A-8243-4A55-8DFE-91036102B221}"/>
    <hyperlink ref="W29" r:id="rId18" xr:uid="{C43E4DD2-2908-42B9-A8ED-B6FC31E081CF}"/>
    <hyperlink ref="A89" r:id="rId19" xr:uid="{422F0AD7-D283-4F2F-AF28-B7881FE34788}"/>
  </hyperlinks>
  <pageMargins left="0.7" right="0.7" top="0.75" bottom="0.75" header="0.3" footer="0.3"/>
  <drawing r:id="rId2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BDB02-12ED-4A8A-B7E9-BBE0290204BF}">
  <dimension ref="A1:U27"/>
  <sheetViews>
    <sheetView workbookViewId="0">
      <selection activeCell="C34" sqref="C34"/>
    </sheetView>
  </sheetViews>
  <sheetFormatPr defaultRowHeight="15" x14ac:dyDescent="0.25"/>
  <cols>
    <col min="2" max="5" width="12.140625" customWidth="1"/>
    <col min="9" max="9" width="9.140625" style="6"/>
    <col min="13" max="14" width="11.5703125" style="25" customWidth="1"/>
  </cols>
  <sheetData>
    <row r="1" spans="1:21" x14ac:dyDescent="0.25">
      <c r="A1" s="26" t="s">
        <v>59</v>
      </c>
    </row>
    <row r="2" spans="1:21" ht="15" customHeight="1" x14ac:dyDescent="0.25">
      <c r="B2" s="25" t="s">
        <v>17</v>
      </c>
      <c r="C2" s="25" t="s">
        <v>46</v>
      </c>
      <c r="D2" s="25" t="s">
        <v>47</v>
      </c>
      <c r="E2" s="25" t="s">
        <v>48</v>
      </c>
      <c r="M2" s="24" t="s">
        <v>3</v>
      </c>
      <c r="N2" s="24" t="s">
        <v>7</v>
      </c>
      <c r="Q2" s="6"/>
      <c r="R2" s="24" t="s">
        <v>0</v>
      </c>
      <c r="S2" s="24" t="s">
        <v>4</v>
      </c>
      <c r="T2" s="6" t="s">
        <v>20</v>
      </c>
      <c r="U2" s="83" t="s">
        <v>68</v>
      </c>
    </row>
    <row r="3" spans="1:21" ht="15" customHeight="1" x14ac:dyDescent="0.25">
      <c r="B3" s="24" t="s">
        <v>14</v>
      </c>
      <c r="C3" s="25" t="s">
        <v>49</v>
      </c>
      <c r="D3" s="25" t="s">
        <v>50</v>
      </c>
      <c r="E3" s="25" t="s">
        <v>33</v>
      </c>
      <c r="L3" s="85" t="s">
        <v>0</v>
      </c>
      <c r="M3" s="33" t="s">
        <v>1</v>
      </c>
      <c r="N3" s="37" t="s">
        <v>8</v>
      </c>
      <c r="Q3" s="85" t="s">
        <v>3</v>
      </c>
      <c r="R3" s="33" t="s">
        <v>1</v>
      </c>
      <c r="S3" s="34">
        <v>717</v>
      </c>
      <c r="T3" s="36" t="s">
        <v>80</v>
      </c>
      <c r="U3" s="84" t="s">
        <v>74</v>
      </c>
    </row>
    <row r="4" spans="1:21" x14ac:dyDescent="0.25">
      <c r="B4" s="24" t="s">
        <v>27</v>
      </c>
      <c r="C4" s="25" t="s">
        <v>34</v>
      </c>
      <c r="D4" s="25" t="s">
        <v>51</v>
      </c>
      <c r="E4" s="25" t="s">
        <v>53</v>
      </c>
      <c r="L4" s="85"/>
      <c r="M4" s="33" t="s">
        <v>2</v>
      </c>
      <c r="N4" s="37" t="s">
        <v>9</v>
      </c>
      <c r="Q4" s="85"/>
      <c r="R4" s="33" t="s">
        <v>2</v>
      </c>
      <c r="S4" s="34">
        <v>727</v>
      </c>
      <c r="T4" s="36" t="s">
        <v>21</v>
      </c>
      <c r="U4" s="84" t="s">
        <v>73</v>
      </c>
    </row>
    <row r="5" spans="1:21" x14ac:dyDescent="0.25">
      <c r="B5" s="24" t="s">
        <v>17</v>
      </c>
      <c r="C5" s="25" t="s">
        <v>56</v>
      </c>
      <c r="D5" s="25" t="s">
        <v>55</v>
      </c>
      <c r="E5" s="25" t="s">
        <v>54</v>
      </c>
      <c r="L5" s="85"/>
      <c r="M5" s="33"/>
      <c r="N5" s="37" t="s">
        <v>10</v>
      </c>
      <c r="Q5" s="85"/>
      <c r="R5" s="33"/>
      <c r="S5" s="34" t="s">
        <v>5</v>
      </c>
      <c r="T5" s="36" t="s">
        <v>81</v>
      </c>
      <c r="U5" s="84"/>
    </row>
    <row r="6" spans="1:21" x14ac:dyDescent="0.25">
      <c r="B6" s="24" t="s">
        <v>18</v>
      </c>
      <c r="C6" s="25" t="s">
        <v>52</v>
      </c>
      <c r="D6" s="25"/>
      <c r="E6" s="25"/>
      <c r="L6" s="85"/>
      <c r="M6" s="33"/>
      <c r="N6" s="37" t="s">
        <v>11</v>
      </c>
      <c r="Q6" s="85"/>
      <c r="R6" s="33"/>
      <c r="S6" s="34" t="s">
        <v>6</v>
      </c>
      <c r="T6" s="36" t="s">
        <v>82</v>
      </c>
      <c r="U6" s="84"/>
    </row>
    <row r="7" spans="1:21" x14ac:dyDescent="0.25">
      <c r="B7" s="24" t="s">
        <v>19</v>
      </c>
      <c r="C7" s="25" t="s">
        <v>58</v>
      </c>
      <c r="D7" s="25"/>
      <c r="E7" s="25"/>
      <c r="L7" s="85"/>
      <c r="M7" s="33"/>
      <c r="N7" s="37" t="s">
        <v>12</v>
      </c>
      <c r="Q7" s="85"/>
      <c r="R7" s="33"/>
      <c r="S7" s="34">
        <v>757</v>
      </c>
      <c r="T7" s="36"/>
      <c r="U7" s="84"/>
    </row>
    <row r="8" spans="1:21" ht="15" customHeight="1" x14ac:dyDescent="0.25">
      <c r="B8" s="24"/>
      <c r="C8" s="25" t="s">
        <v>57</v>
      </c>
      <c r="D8" s="25"/>
      <c r="E8" s="25"/>
      <c r="I8" s="27"/>
      <c r="L8" s="85"/>
      <c r="M8" s="33"/>
      <c r="N8" s="37" t="s">
        <v>13</v>
      </c>
      <c r="Q8" s="85" t="s">
        <v>7</v>
      </c>
      <c r="R8" s="37" t="s">
        <v>8</v>
      </c>
      <c r="S8" s="38">
        <v>747</v>
      </c>
      <c r="T8" s="39"/>
      <c r="U8" s="54"/>
    </row>
    <row r="9" spans="1:21" ht="15" customHeight="1" x14ac:dyDescent="0.25">
      <c r="B9" s="24"/>
      <c r="C9" s="25"/>
      <c r="D9" s="25"/>
      <c r="E9" s="25"/>
      <c r="I9" s="27"/>
      <c r="L9" s="85" t="s">
        <v>4</v>
      </c>
      <c r="M9" s="34">
        <v>717</v>
      </c>
      <c r="N9" s="38">
        <v>747</v>
      </c>
      <c r="Q9" s="85"/>
      <c r="R9" s="37" t="s">
        <v>9</v>
      </c>
      <c r="S9" s="38">
        <v>767</v>
      </c>
      <c r="T9" s="39"/>
      <c r="U9" s="54"/>
    </row>
    <row r="10" spans="1:21" x14ac:dyDescent="0.25">
      <c r="C10" s="25"/>
      <c r="D10" s="25"/>
      <c r="E10" s="25"/>
      <c r="I10" s="27"/>
      <c r="L10" s="85"/>
      <c r="M10" s="34">
        <v>727</v>
      </c>
      <c r="N10" s="38">
        <v>767</v>
      </c>
      <c r="Q10" s="85"/>
      <c r="R10" s="37" t="s">
        <v>10</v>
      </c>
      <c r="S10" s="38">
        <v>777</v>
      </c>
      <c r="T10" s="39"/>
      <c r="U10" s="54"/>
    </row>
    <row r="11" spans="1:21" x14ac:dyDescent="0.25">
      <c r="I11" s="27"/>
      <c r="L11" s="85"/>
      <c r="M11" s="34" t="s">
        <v>5</v>
      </c>
      <c r="N11" s="38">
        <v>777</v>
      </c>
      <c r="Q11" s="85"/>
      <c r="R11" s="37" t="s">
        <v>11</v>
      </c>
      <c r="S11" s="38">
        <v>787</v>
      </c>
      <c r="T11" s="39"/>
      <c r="U11" s="54"/>
    </row>
    <row r="12" spans="1:21" x14ac:dyDescent="0.25">
      <c r="I12" s="27"/>
      <c r="L12" s="85"/>
      <c r="M12" s="34" t="s">
        <v>6</v>
      </c>
      <c r="N12" s="38">
        <v>787</v>
      </c>
      <c r="Q12" s="85"/>
      <c r="R12" s="37" t="s">
        <v>12</v>
      </c>
      <c r="S12" s="38"/>
      <c r="T12" s="39"/>
      <c r="U12" s="54"/>
    </row>
    <row r="13" spans="1:21" x14ac:dyDescent="0.25">
      <c r="L13" s="85"/>
      <c r="M13" s="34">
        <v>757</v>
      </c>
      <c r="N13" s="38"/>
      <c r="Q13" s="85"/>
      <c r="R13" s="37" t="s">
        <v>13</v>
      </c>
      <c r="S13" s="38"/>
      <c r="T13" s="39"/>
      <c r="U13" s="54"/>
    </row>
    <row r="14" spans="1:21" ht="44.25" x14ac:dyDescent="0.25">
      <c r="L14" s="40" t="s">
        <v>20</v>
      </c>
      <c r="M14" s="41"/>
      <c r="N14" s="42"/>
    </row>
    <row r="15" spans="1:21" x14ac:dyDescent="0.25">
      <c r="L15" s="28"/>
    </row>
    <row r="23" spans="9:9" x14ac:dyDescent="0.25">
      <c r="I23" s="27"/>
    </row>
    <row r="24" spans="9:9" x14ac:dyDescent="0.25">
      <c r="I24" s="27"/>
    </row>
    <row r="25" spans="9:9" x14ac:dyDescent="0.25">
      <c r="I25" s="27"/>
    </row>
    <row r="26" spans="9:9" x14ac:dyDescent="0.25">
      <c r="I26" s="27"/>
    </row>
    <row r="27" spans="9:9" x14ac:dyDescent="0.25">
      <c r="I27" s="27"/>
    </row>
  </sheetData>
  <mergeCells count="4">
    <mergeCell ref="L3:L8"/>
    <mergeCell ref="L9:L13"/>
    <mergeCell ref="Q3:Q7"/>
    <mergeCell ref="Q8:Q13"/>
  </mergeCells>
  <hyperlinks>
    <hyperlink ref="A1" r:id="rId1" xr:uid="{8F9930C4-1433-4B4C-B217-7D1B5CBE54D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CCCAE6-CAA7-495E-9C5E-E6F94FCAD762}">
  <dimension ref="A1:AN46"/>
  <sheetViews>
    <sheetView workbookViewId="0">
      <selection activeCell="L1" sqref="L1"/>
    </sheetView>
  </sheetViews>
  <sheetFormatPr defaultRowHeight="15" x14ac:dyDescent="0.25"/>
  <sheetData>
    <row r="1" spans="1:40" ht="15.75" thickBot="1" x14ac:dyDescent="0.3">
      <c r="A1" t="s">
        <v>15</v>
      </c>
      <c r="C1" t="s">
        <v>16</v>
      </c>
      <c r="D1" s="17" t="s">
        <v>28</v>
      </c>
      <c r="E1" s="18"/>
      <c r="F1" s="17" t="s">
        <v>32</v>
      </c>
      <c r="G1" s="18"/>
      <c r="H1" s="17" t="s">
        <v>29</v>
      </c>
      <c r="I1" s="18"/>
      <c r="J1" s="17" t="s">
        <v>30</v>
      </c>
      <c r="K1" s="18"/>
      <c r="L1" s="17" t="s">
        <v>31</v>
      </c>
      <c r="M1" s="18"/>
      <c r="N1" s="18"/>
      <c r="O1" s="18"/>
      <c r="P1" s="18"/>
      <c r="Q1" s="18"/>
      <c r="Z1" s="23"/>
      <c r="AA1" t="s">
        <v>38</v>
      </c>
    </row>
    <row r="2" spans="1:40" s="2" customFormat="1" ht="15.75" thickBot="1" x14ac:dyDescent="0.3">
      <c r="A2" s="1"/>
      <c r="D2" s="12" t="s">
        <v>14</v>
      </c>
      <c r="E2" s="12"/>
      <c r="F2" s="2" t="s">
        <v>27</v>
      </c>
      <c r="H2" s="12" t="s">
        <v>17</v>
      </c>
      <c r="I2" s="12"/>
      <c r="J2" s="12" t="s">
        <v>18</v>
      </c>
      <c r="K2" s="12"/>
      <c r="L2" s="12" t="s">
        <v>19</v>
      </c>
      <c r="N2" s="19"/>
      <c r="P2" s="2" t="s">
        <v>34</v>
      </c>
      <c r="R2" s="2" t="s">
        <v>33</v>
      </c>
      <c r="T2" s="2" t="s">
        <v>35</v>
      </c>
      <c r="V2" s="2" t="s">
        <v>36</v>
      </c>
      <c r="X2" s="2" t="s">
        <v>37</v>
      </c>
      <c r="Z2" s="19"/>
      <c r="AB2" s="2" t="s">
        <v>39</v>
      </c>
      <c r="AD2" s="2" t="s">
        <v>40</v>
      </c>
      <c r="AF2" s="2" t="s">
        <v>41</v>
      </c>
      <c r="AH2" s="2" t="s">
        <v>42</v>
      </c>
      <c r="AJ2" s="2" t="s">
        <v>43</v>
      </c>
      <c r="AL2" s="2" t="s">
        <v>44</v>
      </c>
      <c r="AN2" s="2" t="s">
        <v>45</v>
      </c>
    </row>
    <row r="3" spans="1:40" s="4" customFormat="1" x14ac:dyDescent="0.25">
      <c r="A3" s="3" t="s">
        <v>3</v>
      </c>
      <c r="D3" s="13"/>
      <c r="E3" s="13"/>
      <c r="H3" s="13"/>
      <c r="I3" s="13"/>
      <c r="J3" s="13"/>
      <c r="K3" s="13"/>
      <c r="L3" s="13"/>
      <c r="N3" s="20"/>
      <c r="Z3" s="20"/>
    </row>
    <row r="4" spans="1:40" s="6" customFormat="1" x14ac:dyDescent="0.25">
      <c r="A4" s="5" t="s">
        <v>0</v>
      </c>
      <c r="D4" s="14"/>
      <c r="E4" s="14"/>
      <c r="H4" s="14"/>
      <c r="I4" s="14"/>
      <c r="J4" s="14"/>
      <c r="K4" s="14"/>
      <c r="L4" s="14"/>
      <c r="N4" s="21"/>
      <c r="Z4" s="21"/>
    </row>
    <row r="5" spans="1:40" s="6" customFormat="1" x14ac:dyDescent="0.25">
      <c r="A5" s="5" t="s">
        <v>1</v>
      </c>
      <c r="D5" s="14">
        <f>45+31</f>
        <v>76</v>
      </c>
      <c r="E5" s="14"/>
      <c r="H5" s="14"/>
      <c r="I5" s="14"/>
      <c r="J5" s="14"/>
      <c r="K5" s="14"/>
      <c r="L5" s="14"/>
      <c r="N5" s="21"/>
      <c r="Z5" s="21"/>
    </row>
    <row r="6" spans="1:40" s="8" customFormat="1" ht="15.75" thickBot="1" x14ac:dyDescent="0.3">
      <c r="A6" s="7" t="s">
        <v>2</v>
      </c>
      <c r="D6" s="15">
        <f>57+54+127+71</f>
        <v>309</v>
      </c>
      <c r="E6" s="15"/>
      <c r="F6" s="8">
        <f>81+78+33</f>
        <v>192</v>
      </c>
      <c r="H6" s="15">
        <f>133+48+203+15+74+10</f>
        <v>483</v>
      </c>
      <c r="I6" s="15"/>
      <c r="J6" s="15"/>
      <c r="K6" s="15"/>
      <c r="L6" s="15"/>
      <c r="N6" s="22"/>
      <c r="Z6" s="22"/>
    </row>
    <row r="7" spans="1:40" ht="15.75" thickBot="1" x14ac:dyDescent="0.3">
      <c r="D7" s="16"/>
      <c r="E7" s="16"/>
      <c r="H7" s="16"/>
      <c r="I7" s="16"/>
      <c r="J7" s="16"/>
      <c r="K7" s="16"/>
      <c r="L7" s="16"/>
      <c r="N7" s="23"/>
      <c r="Z7" s="23"/>
    </row>
    <row r="8" spans="1:40" s="4" customFormat="1" x14ac:dyDescent="0.25">
      <c r="A8" s="9" t="s">
        <v>4</v>
      </c>
      <c r="D8" s="13"/>
      <c r="E8" s="13"/>
      <c r="H8" s="13"/>
      <c r="I8" s="13"/>
      <c r="J8" s="13"/>
      <c r="K8" s="13"/>
      <c r="L8" s="13"/>
      <c r="N8" s="20"/>
      <c r="Z8" s="20"/>
    </row>
    <row r="9" spans="1:40" s="6" customFormat="1" x14ac:dyDescent="0.25">
      <c r="A9" s="10">
        <v>717</v>
      </c>
      <c r="D9" s="14">
        <v>80</v>
      </c>
      <c r="E9" s="14"/>
      <c r="H9" s="14"/>
      <c r="I9" s="14"/>
      <c r="J9" s="14"/>
      <c r="K9" s="14"/>
      <c r="L9" s="14"/>
      <c r="N9" s="21"/>
      <c r="Z9" s="21"/>
    </row>
    <row r="10" spans="1:40" s="6" customFormat="1" x14ac:dyDescent="0.25">
      <c r="A10" s="10">
        <v>727</v>
      </c>
      <c r="D10" s="14"/>
      <c r="E10" s="14"/>
      <c r="H10" s="14"/>
      <c r="I10" s="14"/>
      <c r="J10" s="14"/>
      <c r="K10" s="14"/>
      <c r="L10" s="14"/>
      <c r="N10" s="21"/>
      <c r="Z10" s="21"/>
    </row>
    <row r="11" spans="1:40" s="6" customFormat="1" x14ac:dyDescent="0.25">
      <c r="A11" s="10" t="s">
        <v>5</v>
      </c>
      <c r="D11" s="14">
        <v>163</v>
      </c>
      <c r="E11" s="14"/>
      <c r="F11" s="6">
        <f>40+141+12+136</f>
        <v>329</v>
      </c>
      <c r="H11" s="14">
        <v>303</v>
      </c>
      <c r="I11" s="14"/>
      <c r="J11" s="14">
        <f>342+203</f>
        <v>545</v>
      </c>
      <c r="K11" s="14"/>
      <c r="L11" s="14">
        <f>11+56+3+6+79</f>
        <v>155</v>
      </c>
      <c r="N11" s="21"/>
      <c r="Z11" s="21"/>
    </row>
    <row r="12" spans="1:40" s="6" customFormat="1" x14ac:dyDescent="0.25">
      <c r="A12" s="10" t="s">
        <v>6</v>
      </c>
      <c r="D12" s="14"/>
      <c r="E12" s="14"/>
      <c r="F12" s="6">
        <f>116+92</f>
        <v>208</v>
      </c>
      <c r="H12" s="14">
        <v>72</v>
      </c>
      <c r="I12" s="14"/>
      <c r="J12" s="14">
        <f>255</f>
        <v>255</v>
      </c>
      <c r="K12" s="14"/>
      <c r="L12" s="14">
        <f>5+74</f>
        <v>79</v>
      </c>
      <c r="N12" s="21"/>
      <c r="Z12" s="21"/>
    </row>
    <row r="13" spans="1:40" s="8" customFormat="1" ht="15.75" thickBot="1" x14ac:dyDescent="0.3">
      <c r="A13" s="11">
        <v>757</v>
      </c>
      <c r="D13" s="15">
        <f>88+16</f>
        <v>104</v>
      </c>
      <c r="E13" s="15"/>
      <c r="F13" s="8">
        <f>40+21</f>
        <v>61</v>
      </c>
      <c r="H13" s="15"/>
      <c r="I13" s="15"/>
      <c r="J13" s="15"/>
      <c r="K13" s="15"/>
      <c r="L13" s="15"/>
      <c r="N13" s="22"/>
      <c r="Z13" s="22"/>
    </row>
    <row r="14" spans="1:40" x14ac:dyDescent="0.25">
      <c r="D14" s="16"/>
      <c r="E14" s="16"/>
      <c r="H14" s="16"/>
      <c r="I14" s="16"/>
      <c r="J14" s="16"/>
      <c r="K14" s="16"/>
      <c r="L14" s="16"/>
      <c r="N14" s="23"/>
      <c r="Z14" s="23"/>
    </row>
    <row r="15" spans="1:40" ht="15.75" thickBot="1" x14ac:dyDescent="0.3">
      <c r="D15" s="16"/>
      <c r="E15" s="16"/>
      <c r="H15" s="16"/>
      <c r="I15" s="16"/>
      <c r="J15" s="16"/>
      <c r="K15" s="16"/>
      <c r="L15" s="16"/>
      <c r="N15" s="23"/>
      <c r="Z15" s="23"/>
    </row>
    <row r="16" spans="1:40" s="4" customFormat="1" x14ac:dyDescent="0.25">
      <c r="A16" s="3" t="s">
        <v>7</v>
      </c>
      <c r="D16" s="13"/>
      <c r="E16" s="13"/>
      <c r="H16" s="13"/>
      <c r="I16" s="13"/>
      <c r="J16" s="13"/>
      <c r="K16" s="13"/>
      <c r="L16" s="13"/>
      <c r="N16" s="20"/>
      <c r="Z16" s="20"/>
    </row>
    <row r="17" spans="1:26" s="6" customFormat="1" x14ac:dyDescent="0.25">
      <c r="A17" s="5" t="s">
        <v>0</v>
      </c>
      <c r="D17" s="14"/>
      <c r="E17" s="14"/>
      <c r="H17" s="14"/>
      <c r="I17" s="14"/>
      <c r="J17" s="14"/>
      <c r="K17" s="14"/>
      <c r="L17" s="14"/>
      <c r="N17" s="21"/>
      <c r="Z17" s="21"/>
    </row>
    <row r="18" spans="1:26" s="6" customFormat="1" x14ac:dyDescent="0.25">
      <c r="A18" s="5" t="s">
        <v>8</v>
      </c>
      <c r="D18" s="14"/>
      <c r="E18" s="14"/>
      <c r="H18" s="14"/>
      <c r="I18" s="14"/>
      <c r="J18" s="14"/>
      <c r="K18" s="14"/>
      <c r="L18" s="14"/>
      <c r="N18" s="21"/>
      <c r="Z18" s="21"/>
    </row>
    <row r="19" spans="1:26" s="6" customFormat="1" x14ac:dyDescent="0.25">
      <c r="A19" s="5" t="s">
        <v>9</v>
      </c>
      <c r="D19" s="14"/>
      <c r="E19" s="14"/>
      <c r="H19" s="14"/>
      <c r="I19" s="14"/>
      <c r="J19" s="14"/>
      <c r="K19" s="14"/>
      <c r="L19" s="14"/>
      <c r="N19" s="21"/>
      <c r="Z19" s="21"/>
    </row>
    <row r="20" spans="1:26" s="6" customFormat="1" x14ac:dyDescent="0.25">
      <c r="A20" s="5" t="s">
        <v>10</v>
      </c>
      <c r="D20" s="14">
        <f>11+31+33</f>
        <v>75</v>
      </c>
      <c r="E20" s="14"/>
      <c r="H20" s="14"/>
      <c r="I20" s="14"/>
      <c r="J20" s="14"/>
      <c r="K20" s="14"/>
      <c r="L20" s="14"/>
      <c r="N20" s="21"/>
      <c r="Z20" s="21"/>
    </row>
    <row r="21" spans="1:26" s="6" customFormat="1" x14ac:dyDescent="0.25">
      <c r="A21" s="5" t="s">
        <v>11</v>
      </c>
      <c r="D21" s="14"/>
      <c r="E21" s="14"/>
      <c r="H21" s="14"/>
      <c r="I21" s="14"/>
      <c r="J21" s="14"/>
      <c r="K21" s="14"/>
      <c r="L21" s="14"/>
      <c r="N21" s="21"/>
      <c r="Z21" s="21"/>
    </row>
    <row r="22" spans="1:26" s="6" customFormat="1" x14ac:dyDescent="0.25">
      <c r="A22" s="5" t="s">
        <v>12</v>
      </c>
      <c r="D22" s="14">
        <v>35</v>
      </c>
      <c r="E22" s="14"/>
      <c r="H22" s="14"/>
      <c r="I22" s="14"/>
      <c r="J22" s="14"/>
      <c r="K22" s="14"/>
      <c r="L22" s="14"/>
      <c r="N22" s="21"/>
      <c r="Z22" s="21"/>
    </row>
    <row r="23" spans="1:26" s="8" customFormat="1" ht="15.75" thickBot="1" x14ac:dyDescent="0.3">
      <c r="A23" s="7" t="s">
        <v>13</v>
      </c>
      <c r="D23" s="15"/>
      <c r="E23" s="15"/>
      <c r="H23" s="15"/>
      <c r="I23" s="15"/>
      <c r="J23" s="15"/>
      <c r="K23" s="15"/>
      <c r="L23" s="15"/>
      <c r="N23" s="22"/>
      <c r="Z23" s="22"/>
    </row>
    <row r="24" spans="1:26" ht="15.75" thickBot="1" x14ac:dyDescent="0.3">
      <c r="D24" s="16"/>
      <c r="E24" s="16"/>
      <c r="H24" s="16"/>
      <c r="I24" s="16"/>
      <c r="J24" s="16"/>
      <c r="K24" s="16"/>
      <c r="L24" s="16"/>
      <c r="N24" s="23"/>
      <c r="Z24" s="23"/>
    </row>
    <row r="25" spans="1:26" s="4" customFormat="1" x14ac:dyDescent="0.25">
      <c r="A25" s="9" t="s">
        <v>4</v>
      </c>
      <c r="D25" s="13"/>
      <c r="E25" s="13"/>
      <c r="H25" s="13"/>
      <c r="I25" s="13"/>
      <c r="J25" s="13"/>
      <c r="K25" s="13"/>
      <c r="L25" s="13"/>
      <c r="N25" s="20"/>
      <c r="Z25" s="20"/>
    </row>
    <row r="26" spans="1:26" s="6" customFormat="1" x14ac:dyDescent="0.25">
      <c r="A26" s="10">
        <v>747</v>
      </c>
      <c r="D26" s="14"/>
      <c r="E26" s="14"/>
      <c r="H26" s="14"/>
      <c r="I26" s="14"/>
      <c r="J26" s="14"/>
      <c r="K26" s="14"/>
      <c r="L26" s="14"/>
      <c r="N26" s="21"/>
      <c r="Z26" s="21"/>
    </row>
    <row r="27" spans="1:26" s="6" customFormat="1" x14ac:dyDescent="0.25">
      <c r="A27" s="10">
        <v>767</v>
      </c>
      <c r="D27" s="14">
        <f>39+21</f>
        <v>60</v>
      </c>
      <c r="E27" s="14"/>
      <c r="F27" s="6">
        <f>13+24+16</f>
        <v>53</v>
      </c>
      <c r="H27" s="14"/>
      <c r="I27" s="14"/>
      <c r="J27" s="14"/>
      <c r="K27" s="14"/>
      <c r="L27" s="14"/>
      <c r="N27" s="21"/>
      <c r="Z27" s="21"/>
    </row>
    <row r="28" spans="1:26" s="6" customFormat="1" x14ac:dyDescent="0.25">
      <c r="A28" s="10">
        <v>777</v>
      </c>
      <c r="D28" s="14"/>
      <c r="E28" s="14"/>
      <c r="F28" s="6">
        <f>19+51+4+22</f>
        <v>96</v>
      </c>
      <c r="H28" s="14">
        <f>47+20</f>
        <v>67</v>
      </c>
      <c r="I28" s="14"/>
      <c r="J28" s="14"/>
      <c r="K28" s="14"/>
      <c r="L28" s="14"/>
      <c r="N28" s="21"/>
      <c r="Z28" s="21"/>
    </row>
    <row r="29" spans="1:26" s="8" customFormat="1" ht="15.75" thickBot="1" x14ac:dyDescent="0.3">
      <c r="A29" s="11">
        <v>787</v>
      </c>
      <c r="D29" s="15"/>
      <c r="E29" s="15"/>
      <c r="F29" s="8">
        <f>12+43+21</f>
        <v>76</v>
      </c>
      <c r="H29" s="15">
        <f>37+22</f>
        <v>59</v>
      </c>
      <c r="I29" s="15"/>
      <c r="J29" s="15"/>
      <c r="K29" s="15"/>
      <c r="L29" s="15"/>
      <c r="N29" s="22"/>
      <c r="Z29" s="22"/>
    </row>
    <row r="30" spans="1:26" ht="15.75" thickBot="1" x14ac:dyDescent="0.3">
      <c r="D30" s="16"/>
      <c r="E30" s="16"/>
      <c r="H30" s="16"/>
      <c r="I30" s="16"/>
      <c r="J30" s="16"/>
      <c r="K30" s="16"/>
      <c r="L30" s="16"/>
      <c r="N30" s="23"/>
      <c r="Z30" s="23"/>
    </row>
    <row r="31" spans="1:26" s="4" customFormat="1" x14ac:dyDescent="0.25">
      <c r="A31" s="3" t="s">
        <v>20</v>
      </c>
      <c r="D31" s="13"/>
      <c r="E31" s="13"/>
      <c r="H31" s="13"/>
      <c r="I31" s="13"/>
      <c r="J31" s="13"/>
      <c r="K31" s="13"/>
      <c r="L31" s="13"/>
      <c r="N31" s="20"/>
      <c r="Z31" s="20"/>
    </row>
    <row r="32" spans="1:26" s="8" customFormat="1" ht="15.75" thickBot="1" x14ac:dyDescent="0.3">
      <c r="A32" s="7" t="s">
        <v>21</v>
      </c>
      <c r="D32" s="15"/>
      <c r="E32" s="15"/>
      <c r="H32" s="15"/>
      <c r="I32" s="15"/>
      <c r="J32" s="15"/>
      <c r="K32" s="15"/>
      <c r="L32" s="15">
        <f>44+42</f>
        <v>86</v>
      </c>
      <c r="N32" s="22"/>
      <c r="Z32" s="22"/>
    </row>
    <row r="33" spans="2:26" x14ac:dyDescent="0.25">
      <c r="Z33" s="23"/>
    </row>
    <row r="34" spans="2:26" x14ac:dyDescent="0.25">
      <c r="Z34" s="23"/>
    </row>
    <row r="35" spans="2:26" x14ac:dyDescent="0.25">
      <c r="Z35" s="23"/>
    </row>
    <row r="36" spans="2:26" s="8" customFormat="1" ht="15.75" thickBot="1" x14ac:dyDescent="0.3">
      <c r="Z36" s="22"/>
    </row>
    <row r="41" spans="2:26" x14ac:dyDescent="0.25">
      <c r="D41" s="14" t="s">
        <v>14</v>
      </c>
      <c r="E41" t="s">
        <v>27</v>
      </c>
      <c r="F41" s="14" t="s">
        <v>17</v>
      </c>
      <c r="G41" s="14" t="s">
        <v>18</v>
      </c>
      <c r="H41" s="14" t="s">
        <v>19</v>
      </c>
    </row>
    <row r="42" spans="2:26" x14ac:dyDescent="0.25">
      <c r="B42" s="86" t="s">
        <v>22</v>
      </c>
      <c r="C42" s="86"/>
      <c r="D42">
        <f>SUM(D4:D6)</f>
        <v>385</v>
      </c>
      <c r="E42">
        <f>SUM(F4:F6)</f>
        <v>192</v>
      </c>
      <c r="F42">
        <f>SUM(H4:H6)</f>
        <v>483</v>
      </c>
      <c r="G42">
        <f>SUM(J4:J6)</f>
        <v>0</v>
      </c>
      <c r="H42">
        <f>SUM(L4:L6)</f>
        <v>0</v>
      </c>
    </row>
    <row r="43" spans="2:26" x14ac:dyDescent="0.25">
      <c r="B43" s="86" t="s">
        <v>24</v>
      </c>
      <c r="C43" s="86"/>
      <c r="D43">
        <f>SUM(D16:D23)</f>
        <v>110</v>
      </c>
      <c r="E43">
        <f>SUM(F16:F23)</f>
        <v>0</v>
      </c>
      <c r="F43">
        <f>SUM(H16:H23)</f>
        <v>0</v>
      </c>
      <c r="G43">
        <f>SUM(J16:J23)</f>
        <v>0</v>
      </c>
      <c r="H43">
        <f>SUM(L16:L23)</f>
        <v>0</v>
      </c>
    </row>
    <row r="44" spans="2:26" x14ac:dyDescent="0.25">
      <c r="B44" s="86" t="s">
        <v>23</v>
      </c>
      <c r="C44" s="86"/>
      <c r="D44">
        <f>SUM(D8:D13)</f>
        <v>347</v>
      </c>
      <c r="E44">
        <f>SUM(F8:F13)</f>
        <v>598</v>
      </c>
      <c r="F44">
        <f>SUM(H8:H13)</f>
        <v>375</v>
      </c>
      <c r="G44">
        <f>SUM(J8:J13)</f>
        <v>800</v>
      </c>
      <c r="H44">
        <f>SUM(L8:L13)</f>
        <v>234</v>
      </c>
    </row>
    <row r="45" spans="2:26" x14ac:dyDescent="0.25">
      <c r="B45" s="86" t="s">
        <v>25</v>
      </c>
      <c r="C45" s="86"/>
      <c r="D45">
        <f>SUM(D25:D29)</f>
        <v>60</v>
      </c>
      <c r="E45">
        <f>SUM(F25:F29)</f>
        <v>225</v>
      </c>
      <c r="F45">
        <f>SUM(H25:H29)</f>
        <v>126</v>
      </c>
      <c r="G45">
        <f>SUM(J25:J29)</f>
        <v>0</v>
      </c>
      <c r="H45">
        <f>SUM(L25:L29)</f>
        <v>0</v>
      </c>
    </row>
    <row r="46" spans="2:26" x14ac:dyDescent="0.25">
      <c r="B46" s="86" t="s">
        <v>26</v>
      </c>
      <c r="C46" s="86"/>
      <c r="D46">
        <f>SUM(D31:D36)</f>
        <v>0</v>
      </c>
      <c r="E46">
        <f>SUM(F31:F36)</f>
        <v>0</v>
      </c>
      <c r="F46">
        <f>SUM(H31:H36)</f>
        <v>0</v>
      </c>
      <c r="G46">
        <f>SUM(J31:J36)</f>
        <v>0</v>
      </c>
      <c r="H46">
        <f>SUM(L31:L36)</f>
        <v>86</v>
      </c>
    </row>
  </sheetData>
  <mergeCells count="5">
    <mergeCell ref="B42:C42"/>
    <mergeCell ref="B43:C43"/>
    <mergeCell ref="B44:C44"/>
    <mergeCell ref="B45:C45"/>
    <mergeCell ref="B46:C46"/>
  </mergeCells>
  <hyperlinks>
    <hyperlink ref="D1" r:id="rId1" xr:uid="{ACB6D25C-6204-4673-9A2A-471666FB7A5B}"/>
    <hyperlink ref="H1" r:id="rId2" xr:uid="{C0056005-86C4-43C0-A1F8-E3F451F6B129}"/>
    <hyperlink ref="J1" r:id="rId3" xr:uid="{3E4905A5-4BA1-4216-A435-067F86D244A5}"/>
    <hyperlink ref="L1" r:id="rId4" xr:uid="{E75EB037-26A3-4314-9D2B-461E0D797CFE}"/>
    <hyperlink ref="F1" r:id="rId5" xr:uid="{30A987BA-C069-495E-A481-ADB39FFD86FD}"/>
  </hyperlinks>
  <pageMargins left="0.7" right="0.7" top="0.75" bottom="0.75" header="0.3" footer="0.3"/>
  <drawing r:id="rId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00BE7-8B95-429F-8AB6-81CE94BCBABD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536DF1-09CF-421C-AEBA-ECF680F149B4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3920D-3B3B-4559-961F-0CD41D6D7B2B}">
  <dimension ref="A1"/>
  <sheetViews>
    <sheetView workbookViewId="0">
      <selection activeCell="E23" sqref="E23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Fleet Analysis</vt:lpstr>
      <vt:lpstr>General</vt:lpstr>
      <vt:lpstr>American</vt:lpstr>
      <vt:lpstr>Europe</vt:lpstr>
      <vt:lpstr>Asia</vt:lpstr>
      <vt:lpstr>Middle East</vt:lpstr>
    </vt:vector>
  </TitlesOfParts>
  <Company>The Boeing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Wu (US), Bailey</dc:creator>
  <cp:lastModifiedBy>Wu (US), Bailey</cp:lastModifiedBy>
  <dcterms:created xsi:type="dcterms:W3CDTF">2025-03-28T21:16:52Z</dcterms:created>
  <dcterms:modified xsi:type="dcterms:W3CDTF">2025-04-08T17:28:15Z</dcterms:modified>
</cp:coreProperties>
</file>