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k093f\Documents\New Hire Information\"/>
    </mc:Choice>
  </mc:AlternateContent>
  <xr:revisionPtr revIDLastSave="0" documentId="8_{9C8CFD2A-465B-4A7B-817E-0F7D1225E407}" xr6:coauthVersionLast="47" xr6:coauthVersionMax="47" xr10:uidLastSave="{00000000-0000-0000-0000-000000000000}"/>
  <bookViews>
    <workbookView xWindow="-24015" yWindow="540" windowWidth="22230" windowHeight="14700" tabRatio="524" activeTab="1" xr2:uid="{12587048-0E33-4F82-B4DE-3820B5D11A53}"/>
  </bookViews>
  <sheets>
    <sheet name="Aircraft Matrix" sheetId="8" r:id="rId1"/>
    <sheet name="Fleet Analysis" sheetId="7" r:id="rId2"/>
    <sheet name="Airplane Identification" sheetId="9" r:id="rId3"/>
  </sheets>
  <definedNames>
    <definedName name="_xlnm._FilterDatabase" localSheetId="0" hidden="1">'Aircraft Matrix'!$H$2:$H$44</definedName>
    <definedName name="_xlnm._FilterDatabase" localSheetId="2" hidden="1">'Airplane Identification'!$A$1:$O$33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0" i="7" l="1"/>
  <c r="W63" i="7"/>
  <c r="V63" i="7"/>
  <c r="U63" i="7"/>
  <c r="T63" i="7"/>
  <c r="S63" i="7"/>
  <c r="S10" i="7" s="1"/>
  <c r="R63" i="7"/>
  <c r="R10" i="7" s="1"/>
  <c r="Q63" i="7"/>
  <c r="Q10" i="7" s="1"/>
  <c r="P63" i="7"/>
  <c r="P10" i="7" s="1"/>
  <c r="O63" i="7"/>
  <c r="N63" i="7"/>
  <c r="M63" i="7"/>
  <c r="L63" i="7"/>
  <c r="K63" i="7"/>
  <c r="K10" i="7" s="1"/>
  <c r="J63" i="7"/>
  <c r="J10" i="7" s="1"/>
  <c r="I63" i="7"/>
  <c r="H63" i="7"/>
  <c r="G63" i="7"/>
  <c r="G10" i="7" s="1"/>
  <c r="F63" i="7"/>
  <c r="F10" i="7" s="1"/>
  <c r="E63" i="7"/>
  <c r="D63" i="7"/>
  <c r="C63" i="7"/>
  <c r="G56" i="7"/>
  <c r="W54" i="7"/>
  <c r="U54" i="7"/>
  <c r="R54" i="7"/>
  <c r="R50" i="7" s="1"/>
  <c r="R8" i="7" s="1"/>
  <c r="Q54" i="7"/>
  <c r="Q50" i="7" s="1"/>
  <c r="Q8" i="7" s="1"/>
  <c r="P54" i="7"/>
  <c r="P50" i="7" s="1"/>
  <c r="P8" i="7" s="1"/>
  <c r="M54" i="7"/>
  <c r="K54" i="7"/>
  <c r="E54" i="7"/>
  <c r="D54" i="7"/>
  <c r="W53" i="7"/>
  <c r="V53" i="7"/>
  <c r="U53" i="7"/>
  <c r="P53" i="7"/>
  <c r="M53" i="7"/>
  <c r="M50" i="7" s="1"/>
  <c r="M8" i="7" s="1"/>
  <c r="L53" i="7"/>
  <c r="L50" i="7" s="1"/>
  <c r="L8" i="7" s="1"/>
  <c r="K53" i="7"/>
  <c r="K50" i="7" s="1"/>
  <c r="K8" i="7" s="1"/>
  <c r="E53" i="7"/>
  <c r="E50" i="7" s="1"/>
  <c r="E8" i="7" s="1"/>
  <c r="D53" i="7"/>
  <c r="D50" i="7" s="1"/>
  <c r="D8" i="7" s="1"/>
  <c r="D52" i="7"/>
  <c r="C52" i="7"/>
  <c r="P51" i="7"/>
  <c r="J51" i="7"/>
  <c r="W50" i="7"/>
  <c r="W8" i="7" s="1"/>
  <c r="V50" i="7"/>
  <c r="V8" i="7" s="1"/>
  <c r="U50" i="7"/>
  <c r="U8" i="7" s="1"/>
  <c r="T50" i="7"/>
  <c r="S50" i="7"/>
  <c r="O50" i="7"/>
  <c r="N50" i="7"/>
  <c r="J50" i="7"/>
  <c r="I50" i="7"/>
  <c r="I8" i="7" s="1"/>
  <c r="H50" i="7"/>
  <c r="G50" i="7"/>
  <c r="F50" i="7"/>
  <c r="C50" i="7"/>
  <c r="D49" i="7"/>
  <c r="C49" i="7"/>
  <c r="C43" i="7" s="1"/>
  <c r="C7" i="7" s="1"/>
  <c r="S48" i="7"/>
  <c r="S43" i="7" s="1"/>
  <c r="S7" i="7" s="1"/>
  <c r="P48" i="7"/>
  <c r="G48" i="7"/>
  <c r="F48" i="7"/>
  <c r="D48" i="7"/>
  <c r="S47" i="7"/>
  <c r="R47" i="7"/>
  <c r="P47" i="7"/>
  <c r="I47" i="7"/>
  <c r="I43" i="7" s="1"/>
  <c r="I7" i="7" s="1"/>
  <c r="G47" i="7"/>
  <c r="G43" i="7" s="1"/>
  <c r="G7" i="7" s="1"/>
  <c r="F47" i="7"/>
  <c r="F43" i="7" s="1"/>
  <c r="F7" i="7" s="1"/>
  <c r="D47" i="7"/>
  <c r="W43" i="7"/>
  <c r="V43" i="7"/>
  <c r="U43" i="7"/>
  <c r="T43" i="7"/>
  <c r="R43" i="7"/>
  <c r="R7" i="7" s="1"/>
  <c r="Q43" i="7"/>
  <c r="Q7" i="7" s="1"/>
  <c r="P43" i="7"/>
  <c r="P7" i="7" s="1"/>
  <c r="O43" i="7"/>
  <c r="O7" i="7" s="1"/>
  <c r="N43" i="7"/>
  <c r="M43" i="7"/>
  <c r="L43" i="7"/>
  <c r="K43" i="7"/>
  <c r="J43" i="7"/>
  <c r="H43" i="7"/>
  <c r="E43" i="7"/>
  <c r="E7" i="7" s="1"/>
  <c r="D43" i="7"/>
  <c r="D7" i="7" s="1"/>
  <c r="W41" i="7"/>
  <c r="U41" i="7"/>
  <c r="W40" i="7"/>
  <c r="U40" i="7"/>
  <c r="S40" i="7"/>
  <c r="S35" i="7" s="1"/>
  <c r="S6" i="7" s="1"/>
  <c r="Q40" i="7"/>
  <c r="Q35" i="7" s="1"/>
  <c r="Q6" i="7" s="1"/>
  <c r="O40" i="7"/>
  <c r="O35" i="7" s="1"/>
  <c r="O6" i="7" s="1"/>
  <c r="M40" i="7"/>
  <c r="M35" i="7" s="1"/>
  <c r="M6" i="7" s="1"/>
  <c r="J39" i="7"/>
  <c r="U38" i="7"/>
  <c r="S38" i="7"/>
  <c r="R38" i="7"/>
  <c r="R35" i="7" s="1"/>
  <c r="R6" i="7" s="1"/>
  <c r="P38" i="7"/>
  <c r="P35" i="7" s="1"/>
  <c r="P6" i="7" s="1"/>
  <c r="M38" i="7"/>
  <c r="C38" i="7"/>
  <c r="W35" i="7"/>
  <c r="V35" i="7"/>
  <c r="U35" i="7"/>
  <c r="T35" i="7"/>
  <c r="N35" i="7"/>
  <c r="L35" i="7"/>
  <c r="L6" i="7" s="1"/>
  <c r="K35" i="7"/>
  <c r="K6" i="7" s="1"/>
  <c r="J35" i="7"/>
  <c r="I35" i="7"/>
  <c r="H35" i="7"/>
  <c r="G35" i="7"/>
  <c r="F35" i="7"/>
  <c r="E35" i="7"/>
  <c r="D35" i="7"/>
  <c r="D6" i="7" s="1"/>
  <c r="C35" i="7"/>
  <c r="C6" i="7" s="1"/>
  <c r="W34" i="7"/>
  <c r="W32" i="7" s="1"/>
  <c r="W5" i="7" s="1"/>
  <c r="U34" i="7"/>
  <c r="U32" i="7" s="1"/>
  <c r="U5" i="7" s="1"/>
  <c r="S34" i="7"/>
  <c r="S32" i="7" s="1"/>
  <c r="S5" i="7" s="1"/>
  <c r="R34" i="7"/>
  <c r="R32" i="7" s="1"/>
  <c r="R5" i="7" s="1"/>
  <c r="P34" i="7"/>
  <c r="M34" i="7"/>
  <c r="L34" i="7"/>
  <c r="L32" i="7" s="1"/>
  <c r="L5" i="7" s="1"/>
  <c r="K34" i="7"/>
  <c r="K32" i="7" s="1"/>
  <c r="K5" i="7" s="1"/>
  <c r="J34" i="7"/>
  <c r="J32" i="7" s="1"/>
  <c r="J5" i="7" s="1"/>
  <c r="E34" i="7"/>
  <c r="D34" i="7"/>
  <c r="D32" i="7" s="1"/>
  <c r="D5" i="7" s="1"/>
  <c r="C34" i="7"/>
  <c r="C32" i="7" s="1"/>
  <c r="C5" i="7" s="1"/>
  <c r="C33" i="7"/>
  <c r="V32" i="7"/>
  <c r="T32" i="7"/>
  <c r="Q32" i="7"/>
  <c r="P32" i="7"/>
  <c r="P5" i="7" s="1"/>
  <c r="O32" i="7"/>
  <c r="O5" i="7" s="1"/>
  <c r="N32" i="7"/>
  <c r="M32" i="7"/>
  <c r="M5" i="7" s="1"/>
  <c r="I32" i="7"/>
  <c r="I5" i="7" s="1"/>
  <c r="H32" i="7"/>
  <c r="G32" i="7"/>
  <c r="G5" i="7" s="1"/>
  <c r="F32" i="7"/>
  <c r="F5" i="7" s="1"/>
  <c r="E32" i="7"/>
  <c r="E5" i="7" s="1"/>
  <c r="W10" i="7"/>
  <c r="V10" i="7"/>
  <c r="U10" i="7"/>
  <c r="O10" i="7"/>
  <c r="M10" i="7"/>
  <c r="L10" i="7"/>
  <c r="I10" i="7"/>
  <c r="E10" i="7"/>
  <c r="D10" i="7"/>
  <c r="C10" i="7"/>
  <c r="S8" i="7"/>
  <c r="O8" i="7"/>
  <c r="J8" i="7"/>
  <c r="G8" i="7"/>
  <c r="F8" i="7"/>
  <c r="C8" i="7"/>
  <c r="W7" i="7"/>
  <c r="V7" i="7"/>
  <c r="U7" i="7"/>
  <c r="M7" i="7"/>
  <c r="L7" i="7"/>
  <c r="K7" i="7"/>
  <c r="J7" i="7"/>
  <c r="W6" i="7"/>
  <c r="V6" i="7"/>
  <c r="U6" i="7"/>
  <c r="J6" i="7"/>
  <c r="I6" i="7"/>
  <c r="G6" i="7"/>
  <c r="F6" i="7"/>
  <c r="E6" i="7"/>
  <c r="V5" i="7"/>
  <c r="Q5" i="7"/>
</calcChain>
</file>

<file path=xl/sharedStrings.xml><?xml version="1.0" encoding="utf-8"?>
<sst xmlns="http://schemas.openxmlformats.org/spreadsheetml/2006/main" count="615" uniqueCount="267">
  <si>
    <t>Airbus</t>
  </si>
  <si>
    <t>A220</t>
  </si>
  <si>
    <t>A320</t>
  </si>
  <si>
    <t>Narrowbody</t>
  </si>
  <si>
    <t>Boeing</t>
  </si>
  <si>
    <t>737 NG</t>
  </si>
  <si>
    <t>737 MAX</t>
  </si>
  <si>
    <t>Widebody</t>
  </si>
  <si>
    <t>A300</t>
  </si>
  <si>
    <t>A310</t>
  </si>
  <si>
    <t>A330</t>
  </si>
  <si>
    <t>A340</t>
  </si>
  <si>
    <t>A350</t>
  </si>
  <si>
    <t>A380</t>
  </si>
  <si>
    <t>Delta</t>
  </si>
  <si>
    <t>American</t>
  </si>
  <si>
    <t>Southwest</t>
  </si>
  <si>
    <t>Alaska</t>
  </si>
  <si>
    <t>Embraer</t>
  </si>
  <si>
    <t>E175</t>
  </si>
  <si>
    <t>Airbus (Narrow)</t>
  </si>
  <si>
    <t>Boeing (Narrow)</t>
  </si>
  <si>
    <t>Airbus (Wide)</t>
  </si>
  <si>
    <t>Boeing (Wide)</t>
  </si>
  <si>
    <t>United</t>
  </si>
  <si>
    <t>Emirates</t>
  </si>
  <si>
    <t>RyanAir</t>
  </si>
  <si>
    <t>Lufthansa</t>
  </si>
  <si>
    <t>Air France</t>
  </si>
  <si>
    <t>Europe</t>
  </si>
  <si>
    <t>Asia</t>
  </si>
  <si>
    <t>Middle East</t>
  </si>
  <si>
    <t>Lufthansa Group</t>
  </si>
  <si>
    <t>China Southern Airlines</t>
  </si>
  <si>
    <t>China Eastern Airlines</t>
  </si>
  <si>
    <t>Air France-KLM</t>
  </si>
  <si>
    <t>Turkish Airlines</t>
  </si>
  <si>
    <t>Qatar Airways</t>
  </si>
  <si>
    <t>IndiGo</t>
  </si>
  <si>
    <t>British Airways</t>
  </si>
  <si>
    <t>Air Canada</t>
  </si>
  <si>
    <t>International Airlines Group</t>
  </si>
  <si>
    <t>https://www.worldairlineawards.com/best-airlines-2024-by-region/</t>
  </si>
  <si>
    <t>American Airlines</t>
  </si>
  <si>
    <t>IAG</t>
  </si>
  <si>
    <t>Singapore</t>
  </si>
  <si>
    <t>Korean Air</t>
  </si>
  <si>
    <t>Japan Airlines</t>
  </si>
  <si>
    <t>China Southern</t>
  </si>
  <si>
    <t>China Eastern</t>
  </si>
  <si>
    <t>Etihad Airways</t>
  </si>
  <si>
    <t>Comac</t>
  </si>
  <si>
    <t>Source</t>
  </si>
  <si>
    <t>Bombardier</t>
  </si>
  <si>
    <t>Challenger 3500</t>
  </si>
  <si>
    <t>Learjet 45</t>
  </si>
  <si>
    <t>C919</t>
  </si>
  <si>
    <t>C909</t>
  </si>
  <si>
    <t>Cargo Fleet</t>
  </si>
  <si>
    <t>777F</t>
  </si>
  <si>
    <t>A350F</t>
  </si>
  <si>
    <t>747F</t>
  </si>
  <si>
    <t>767BCF</t>
  </si>
  <si>
    <t>E170</t>
  </si>
  <si>
    <t>E190</t>
  </si>
  <si>
    <t>E195</t>
  </si>
  <si>
    <t>Family</t>
  </si>
  <si>
    <t>Aircraft Model</t>
  </si>
  <si>
    <t>Link</t>
  </si>
  <si>
    <t>Fuselage Length (m)</t>
  </si>
  <si>
    <t>Tail Height (m)</t>
  </si>
  <si>
    <t>Wingspan (m)</t>
  </si>
  <si>
    <t>Max Take Off Weight (lb)</t>
  </si>
  <si>
    <t>Max Range (nmi)</t>
  </si>
  <si>
    <t>Max Operation Mach No</t>
  </si>
  <si>
    <t>Seats - Max Configuration</t>
  </si>
  <si>
    <t>Seats - Typical Configuration</t>
  </si>
  <si>
    <t>Cost 
(Million USD)</t>
  </si>
  <si>
    <t>Engines</t>
  </si>
  <si>
    <t>Engine Models</t>
  </si>
  <si>
    <t>Primary Operators</t>
  </si>
  <si>
    <t>Airbus A318</t>
  </si>
  <si>
    <t>GE CFM56-5B, PW 6000A</t>
  </si>
  <si>
    <t>Air France, Avianca, TAROM</t>
  </si>
  <si>
    <t>Airbus A319</t>
  </si>
  <si>
    <t>GE CFM56-5B, V2500-A5</t>
  </si>
  <si>
    <t>American Airlines, United Airlines, Delta Air Lines</t>
  </si>
  <si>
    <t>Airbus A320</t>
  </si>
  <si>
    <t>China Eastern, China Southern, Vueling</t>
  </si>
  <si>
    <t>Airbus A321</t>
  </si>
  <si>
    <t>GE CFM56, V2500</t>
  </si>
  <si>
    <t>Air China, American Airlines, Lufthansa</t>
  </si>
  <si>
    <t>Airbus A330-200</t>
  </si>
  <si>
    <t>RR Trent 700, GE CF6-80E1, PW 4000</t>
  </si>
  <si>
    <t>China Eastern, Hawaiian, Turkish Airlines</t>
  </si>
  <si>
    <t>Airbus A330-200F</t>
  </si>
  <si>
    <t>N/A</t>
  </si>
  <si>
    <t>PW 4000, RR Trent 700</t>
  </si>
  <si>
    <t>Avianca Cargo, Qatar Airways Cargo, Turkish Airlines Cargo</t>
  </si>
  <si>
    <t>Airbus A330-300</t>
  </si>
  <si>
    <t>Cathay Pacific, Singapore Airlines, Turkish Airlines</t>
  </si>
  <si>
    <t>Airbus A340-300</t>
  </si>
  <si>
    <t>CFM56-5C4/P</t>
  </si>
  <si>
    <t>Air France, Lufthansa, Swiss</t>
  </si>
  <si>
    <t>Airbus A350-900</t>
  </si>
  <si>
    <t>RR Trent XWB</t>
  </si>
  <si>
    <t>Qatar Airways, Vietnam Airlines, Finnair</t>
  </si>
  <si>
    <t>Airbus A350-1000</t>
  </si>
  <si>
    <t>Not in service</t>
  </si>
  <si>
    <t>Airbus A380</t>
  </si>
  <si>
    <t>RR Trent 900, GP7200</t>
  </si>
  <si>
    <t>Emirates, Singapore Airlines, QANTAS</t>
  </si>
  <si>
    <t>737 Next Gen</t>
  </si>
  <si>
    <t>Boeing 737-700</t>
  </si>
  <si>
    <t>PW 4062, GE CF6-80C2B5F</t>
  </si>
  <si>
    <t>Southwest Airlines, WestJet, China Eastern</t>
  </si>
  <si>
    <t>Boeing 737-800</t>
  </si>
  <si>
    <t>Pw4062, GE CF6-80C2B5F, RR RB211-542H</t>
  </si>
  <si>
    <t>American Airlines, China Southern, Ryanair</t>
  </si>
  <si>
    <t>Boeing 737-900ER</t>
  </si>
  <si>
    <t>Delta Air Lines, Lion Air, United Airlines</t>
  </si>
  <si>
    <t>737 Max</t>
  </si>
  <si>
    <t>Boeing 737-7</t>
  </si>
  <si>
    <t>LEAP-1B from CFM International</t>
  </si>
  <si>
    <t>Boeing 737-8</t>
  </si>
  <si>
    <t>Boeing 737-9</t>
  </si>
  <si>
    <t>Boeing 737-10</t>
  </si>
  <si>
    <t>Boeing 747-400</t>
  </si>
  <si>
    <t>PW 4056, GE CF6-80C2B1F, RR RB211-524H</t>
  </si>
  <si>
    <t>British Airways, United Airlines, Lufthansa</t>
  </si>
  <si>
    <t>Boeing 747-400F</t>
  </si>
  <si>
    <t>PW 4062, GE CF6-80C2B5F, RR RB211-524H</t>
  </si>
  <si>
    <t>Air Bridge Cargo, Polar Air Cargo, Atlas Air</t>
  </si>
  <si>
    <t>Boeing 747-8i</t>
  </si>
  <si>
    <t>GEnx-2B67</t>
  </si>
  <si>
    <t>Air China, Korean Air, Lufthansa</t>
  </si>
  <si>
    <t>Boeing 757-200</t>
  </si>
  <si>
    <t>RR RB211, PW 2037, PW 2040</t>
  </si>
  <si>
    <t>American Airlines, Delta Air Lines, United Airlines</t>
  </si>
  <si>
    <t>Boeing 757-300</t>
  </si>
  <si>
    <t>RR RB211, PW 2037, PW 2040, PW 2043</t>
  </si>
  <si>
    <t>Condor, Delta Air Lines, United Airlines</t>
  </si>
  <si>
    <t>Boeing 767-300ER</t>
  </si>
  <si>
    <t>PW 4056/ 4060/4062, GE CF6-80C2, RR RB211-524G/H"</t>
  </si>
  <si>
    <t>American Airlines, Delta Airlines, ANA</t>
  </si>
  <si>
    <t>Boeing 767-400ER</t>
  </si>
  <si>
    <t>PW 4062, GE CF6-80C2</t>
  </si>
  <si>
    <t>Delta Air Lines, United</t>
  </si>
  <si>
    <t>Boeing 777-200ER</t>
  </si>
  <si>
    <t>PW 4090, GE90-94B, RR 895</t>
  </si>
  <si>
    <t>American Airlines, British Airways, United Airlines</t>
  </si>
  <si>
    <t>Boeing 777-200LR</t>
  </si>
  <si>
    <t>GE90-110B1, GE90-115B1</t>
  </si>
  <si>
    <t>Emirates, Qatar Airways, Ethiopian Airlines</t>
  </si>
  <si>
    <t>Boeing 777-300ER</t>
  </si>
  <si>
    <t>GE90-115B1</t>
  </si>
  <si>
    <t>Emirates, Cathay Pacific, Air France</t>
  </si>
  <si>
    <t>Boeing 777F</t>
  </si>
  <si>
    <t>FedEx, Emirates, China Southern</t>
  </si>
  <si>
    <t>777X</t>
  </si>
  <si>
    <t>Boeing 777-8</t>
  </si>
  <si>
    <t xml:space="preserve">General Electric GE9X-105B1A </t>
  </si>
  <si>
    <t>Boeing 777-9</t>
  </si>
  <si>
    <t>787 Dreamliner</t>
  </si>
  <si>
    <t>Boeing 787-8</t>
  </si>
  <si>
    <t>GEnx1B, RR Trent 1000</t>
  </si>
  <si>
    <t>ANA, Japan Airlines, Qatar Airways</t>
  </si>
  <si>
    <t>Boeing 787-9</t>
  </si>
  <si>
    <t>ANA, Etihad, Virgin Atlantic</t>
  </si>
  <si>
    <t>Boeing 787-10</t>
  </si>
  <si>
    <t>Bombardier CRJ100ER/LR</t>
  </si>
  <si>
    <t>GE CF34-3A1</t>
  </si>
  <si>
    <t>Air Wisconsin, Endeavor Air, SkyWest Airlines</t>
  </si>
  <si>
    <t>Bombardier CRJ200ER/LR</t>
  </si>
  <si>
    <t>GE CF34-3B1</t>
  </si>
  <si>
    <t>Bombardier CRJ700ER</t>
  </si>
  <si>
    <t>GE CF34-8C5B1</t>
  </si>
  <si>
    <t>SkyWest Airlines, Envoy Air, ExpressJet Airlines</t>
  </si>
  <si>
    <t>Bombardier CRJ900ER/LR</t>
  </si>
  <si>
    <t>GE CF34-8C5</t>
  </si>
  <si>
    <t>Mesa Airlines, Endeavor Air, Skywest Airlines</t>
  </si>
  <si>
    <t>Bombardier CRJ1000ER</t>
  </si>
  <si>
    <t>GE CF34-8C5A1</t>
  </si>
  <si>
    <t>Air Nostrum, Garuda Indonesia, HOP!</t>
  </si>
  <si>
    <t>Embraer 170LR</t>
  </si>
  <si>
    <t>GE CF34-8E</t>
  </si>
  <si>
    <t>Shuttle America, Republic Airlines, J-Air</t>
  </si>
  <si>
    <t>Embraer 175</t>
  </si>
  <si>
    <t>Republic Airlines, Compass Airlines, SkyWest Airlines</t>
  </si>
  <si>
    <t>Embraer 190</t>
  </si>
  <si>
    <t>GE CF34-10E</t>
  </si>
  <si>
    <t>JetBlue, KLM CityHopper, Air Canada</t>
  </si>
  <si>
    <t>Embraer 195</t>
  </si>
  <si>
    <t>Azul, Lufthansa Cityline, Air Europa</t>
  </si>
  <si>
    <t>References</t>
  </si>
  <si>
    <t xml:space="preserve">https://www.boeing.com/ </t>
  </si>
  <si>
    <t>https://en.wikipedia.org/wiki/Boeing_Commercial_Airplanes</t>
  </si>
  <si>
    <t>http://www.axonaviation.com/commercial-aircraft/aircraft-data/aircraft-pricing</t>
  </si>
  <si>
    <t>https://www.airbus.com/en/products-services/commercial-aircraft/passenger-aircraft</t>
  </si>
  <si>
    <t>Airplane</t>
  </si>
  <si>
    <t>Model</t>
  </si>
  <si>
    <t>Variants</t>
  </si>
  <si>
    <t>Engines Used</t>
  </si>
  <si>
    <t># of Engines</t>
  </si>
  <si>
    <t>Engine Placement</t>
  </si>
  <si>
    <t>T Fin</t>
  </si>
  <si>
    <t>Landing Gear</t>
  </si>
  <si>
    <t>Winglets</t>
  </si>
  <si>
    <t>Dorsal Fin</t>
  </si>
  <si>
    <t>APU Feature</t>
  </si>
  <si>
    <t>Nose</t>
  </si>
  <si>
    <t>Belly Bulge</t>
  </si>
  <si>
    <t>Jet?</t>
  </si>
  <si>
    <t>Wings</t>
  </si>
  <si>
    <t>N</t>
  </si>
  <si>
    <t>2+4</t>
  </si>
  <si>
    <t>Swept</t>
  </si>
  <si>
    <t>Y</t>
  </si>
  <si>
    <t>2+8</t>
  </si>
  <si>
    <t>Wingtip Fence</t>
  </si>
  <si>
    <t>A318, A319, A321</t>
  </si>
  <si>
    <t>Wingtip Fence or Swept</t>
  </si>
  <si>
    <t>2+10 or 2+12</t>
  </si>
  <si>
    <t>*Depends on Variant</t>
  </si>
  <si>
    <t>2+8 or 2+12</t>
  </si>
  <si>
    <t>Racoon Mask</t>
  </si>
  <si>
    <t>2+20</t>
  </si>
  <si>
    <t>None</t>
  </si>
  <si>
    <t>Flat</t>
  </si>
  <si>
    <t>Tail</t>
  </si>
  <si>
    <t>Swept or Split Scimitar</t>
  </si>
  <si>
    <t>Split</t>
  </si>
  <si>
    <t>2+16</t>
  </si>
  <si>
    <t>Various</t>
  </si>
  <si>
    <t xml:space="preserve"> 2+12</t>
  </si>
  <si>
    <t>Folding Raked</t>
  </si>
  <si>
    <t>Raked</t>
  </si>
  <si>
    <t>Metallic</t>
  </si>
  <si>
    <t>ERJ-135
ERJ-140
ERJ-145</t>
  </si>
  <si>
    <t>ERJ's have pointier noses than CRJs</t>
  </si>
  <si>
    <t xml:space="preserve">Bombardier </t>
  </si>
  <si>
    <t>CRJ200ER/LR</t>
  </si>
  <si>
    <t>CRJs have less pointy nose than ERJs</t>
  </si>
  <si>
    <t>CRJ700ER</t>
  </si>
  <si>
    <t>CRJ900ER/LR</t>
  </si>
  <si>
    <t>CRJ1000ER</t>
  </si>
  <si>
    <t xml:space="preserve">Comac </t>
  </si>
  <si>
    <t>McDonnell Douglas</t>
  </si>
  <si>
    <t>MD-11</t>
  </si>
  <si>
    <t>2+10</t>
  </si>
  <si>
    <t>MD-80</t>
  </si>
  <si>
    <t>Lockheed</t>
  </si>
  <si>
    <t xml:space="preserve"> C-5 Galaxy </t>
  </si>
  <si>
    <t>2+26</t>
  </si>
  <si>
    <t>Common Mixups</t>
  </si>
  <si>
    <t>ERJs vs CRJS</t>
  </si>
  <si>
    <t>Embraer - has dorsal fin and belly bulge</t>
  </si>
  <si>
    <t>metallic APU Cover</t>
  </si>
  <si>
    <t>E170 - No Exit Door over wings</t>
  </si>
  <si>
    <t>E190 &amp; E195 - Exit Door over wings, 195 is longer</t>
  </si>
  <si>
    <t>A310 A330</t>
  </si>
  <si>
    <t>A310s don’t have a belly bulge</t>
  </si>
  <si>
    <t>767 vs 777</t>
  </si>
  <si>
    <t>Landing Gears</t>
  </si>
  <si>
    <t>777 has flat APU exhaust, not rounded</t>
  </si>
  <si>
    <t>A350 - Mask Window</t>
  </si>
  <si>
    <t>787 - Toothed Engine Exhaust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</si>
</sst>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8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"/>
      <family val="2"/>
    </font>
    <font>
      <b/>
      <u/>
      <sz val="11"/>
      <color theme="1"/>
      <name val="Aptos Narrow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/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6" borderId="0" xfId="0" applyFill="1"/>
    <xf numFmtId="0" fontId="0" fillId="6" borderId="0" xfId="0" applyFill="1" applyBorder="1"/>
    <xf numFmtId="0" fontId="0" fillId="3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7" borderId="0" xfId="0" applyFill="1" applyBorder="1"/>
    <xf numFmtId="0" fontId="0" fillId="0" borderId="9" xfId="0" applyBorder="1" applyAlignment="1">
      <alignment horizontal="left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8" borderId="0" xfId="0" applyFill="1"/>
    <xf numFmtId="0" fontId="0" fillId="3" borderId="0" xfId="0" applyFill="1"/>
    <xf numFmtId="0" fontId="0" fillId="9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/>
    </xf>
    <xf numFmtId="0" fontId="0" fillId="3" borderId="1" xfId="0" applyFill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8" borderId="4" xfId="0" applyFill="1" applyBorder="1"/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/>
    <xf numFmtId="0" fontId="0" fillId="3" borderId="4" xfId="0" applyFill="1" applyBorder="1"/>
    <xf numFmtId="0" fontId="0" fillId="3" borderId="6" xfId="0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11" borderId="1" xfId="0" applyFill="1" applyBorder="1" applyAlignment="1">
      <alignment horizontal="left"/>
    </xf>
    <xf numFmtId="0" fontId="0" fillId="9" borderId="4" xfId="0" applyFill="1" applyBorder="1"/>
    <xf numFmtId="0" fontId="0" fillId="9" borderId="4" xfId="0" applyFill="1" applyBorder="1" applyAlignment="1">
      <alignment horizontal="left"/>
    </xf>
    <xf numFmtId="0" fontId="0" fillId="4" borderId="4" xfId="0" applyFill="1" applyBorder="1"/>
    <xf numFmtId="0" fontId="0" fillId="4" borderId="4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6" borderId="1" xfId="0" applyFill="1" applyBorder="1"/>
    <xf numFmtId="0" fontId="0" fillId="6" borderId="6" xfId="0" applyFill="1" applyBorder="1"/>
    <xf numFmtId="0" fontId="0" fillId="0" borderId="0" xfId="0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/>
    <xf numFmtId="0" fontId="0" fillId="12" borderId="0" xfId="0" applyFill="1" applyAlignment="1">
      <alignment horizontal="center" vertical="center"/>
    </xf>
    <xf numFmtId="0" fontId="0" fillId="0" borderId="0" xfId="0" applyFill="1" applyBorder="1"/>
    <xf numFmtId="0" fontId="0" fillId="13" borderId="0" xfId="0" applyFill="1"/>
    <xf numFmtId="0" fontId="0" fillId="0" borderId="0" xfId="0" applyAlignment="1">
      <alignment horizontal="left"/>
    </xf>
    <xf numFmtId="0" fontId="0" fillId="0" borderId="0" xfId="0" applyBorder="1" applyAlignment="1">
      <alignment horizontal="center" vertical="center" textRotation="90"/>
    </xf>
    <xf numFmtId="0" fontId="5" fillId="9" borderId="0" xfId="0" applyFont="1" applyFill="1"/>
    <xf numFmtId="0" fontId="5" fillId="9" borderId="0" xfId="0" applyFont="1" applyFill="1" applyAlignment="1">
      <alignment horizontal="center" vertical="center" wrapText="1"/>
    </xf>
    <xf numFmtId="0" fontId="0" fillId="9" borderId="0" xfId="0" applyFill="1"/>
    <xf numFmtId="0" fontId="1" fillId="0" borderId="0" xfId="1" applyAlignment="1">
      <alignment vertical="center" wrapText="1"/>
    </xf>
    <xf numFmtId="164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14" borderId="0" xfId="0" applyFill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0" fillId="1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19" borderId="0" xfId="0" applyFill="1" applyAlignment="1">
      <alignment horizontal="left"/>
    </xf>
    <xf numFmtId="0" fontId="0" fillId="19" borderId="0" xfId="0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American Airlines Fleets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'Fleet Analysis'!$A$5:$B$5</c:f>
              <c:strCache>
                <c:ptCount val="2"/>
                <c:pt idx="0">
                  <c:v>Airbus (Narrow)</c:v>
                </c:pt>
              </c:strCache>
            </c:strRef>
          </c:tx>
          <c:spPr>
            <a:solidFill>
              <a:srgbClr val="F3B495"/>
            </a:solidFill>
            <a:ln>
              <a:noFill/>
            </a:ln>
            <a:effectLst/>
          </c:spPr>
          <c:invertIfNegative val="0"/>
          <c:cat>
            <c:strRef>
              <c:f>'Fleet Analysis'!$C$4:$G$4</c:f>
              <c:strCache>
                <c:ptCount val="5"/>
                <c:pt idx="0">
                  <c:v>Delta</c:v>
                </c:pt>
                <c:pt idx="1">
                  <c:v>United</c:v>
                </c:pt>
                <c:pt idx="2">
                  <c:v>American</c:v>
                </c:pt>
                <c:pt idx="3">
                  <c:v>Southwest</c:v>
                </c:pt>
                <c:pt idx="4">
                  <c:v>Alaska</c:v>
                </c:pt>
              </c:strCache>
            </c:strRef>
          </c:cat>
          <c:val>
            <c:numRef>
              <c:f>'Fleet Analysis'!$C$5:$G$5</c:f>
              <c:numCache>
                <c:formatCode>General</c:formatCode>
                <c:ptCount val="5"/>
                <c:pt idx="0">
                  <c:v>385</c:v>
                </c:pt>
                <c:pt idx="1">
                  <c:v>192</c:v>
                </c:pt>
                <c:pt idx="2">
                  <c:v>483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6-477F-9170-86D3156F1F30}"/>
            </c:ext>
          </c:extLst>
        </c:ser>
        <c:ser>
          <c:idx val="1"/>
          <c:order val="1"/>
          <c:tx>
            <c:strRef>
              <c:f>'Fleet Analysis'!$A$6:$B$6</c:f>
              <c:strCache>
                <c:ptCount val="2"/>
                <c:pt idx="0">
                  <c:v>Airbus (Wide)</c:v>
                </c:pt>
              </c:strCache>
            </c:strRef>
          </c:tx>
          <c:spPr>
            <a:solidFill>
              <a:srgbClr val="EC844A"/>
            </a:solidFill>
            <a:ln>
              <a:noFill/>
            </a:ln>
            <a:effectLst/>
          </c:spPr>
          <c:invertIfNegative val="0"/>
          <c:cat>
            <c:strRef>
              <c:f>'Fleet Analysis'!$C$4:$G$4</c:f>
              <c:strCache>
                <c:ptCount val="5"/>
                <c:pt idx="0">
                  <c:v>Delta</c:v>
                </c:pt>
                <c:pt idx="1">
                  <c:v>United</c:v>
                </c:pt>
                <c:pt idx="2">
                  <c:v>American</c:v>
                </c:pt>
                <c:pt idx="3">
                  <c:v>Southwest</c:v>
                </c:pt>
                <c:pt idx="4">
                  <c:v>Alaska</c:v>
                </c:pt>
              </c:strCache>
            </c:strRef>
          </c:cat>
          <c:val>
            <c:numRef>
              <c:f>'Fleet Analysis'!$C$6:$G$6</c:f>
              <c:numCache>
                <c:formatCode>General</c:formatCode>
                <c:ptCount val="5"/>
                <c:pt idx="0">
                  <c:v>110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6-477F-9170-86D3156F1F30}"/>
            </c:ext>
          </c:extLst>
        </c:ser>
        <c:ser>
          <c:idx val="2"/>
          <c:order val="2"/>
          <c:tx>
            <c:strRef>
              <c:f>'Fleet Analysis'!$A$7:$B$7</c:f>
              <c:strCache>
                <c:ptCount val="2"/>
                <c:pt idx="0">
                  <c:v>Boeing (Narrow)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'Fleet Analysis'!$C$4:$G$4</c:f>
              <c:strCache>
                <c:ptCount val="5"/>
                <c:pt idx="0">
                  <c:v>Delta</c:v>
                </c:pt>
                <c:pt idx="1">
                  <c:v>United</c:v>
                </c:pt>
                <c:pt idx="2">
                  <c:v>American</c:v>
                </c:pt>
                <c:pt idx="3">
                  <c:v>Southwest</c:v>
                </c:pt>
                <c:pt idx="4">
                  <c:v>Alaska</c:v>
                </c:pt>
              </c:strCache>
            </c:strRef>
          </c:cat>
          <c:val>
            <c:numRef>
              <c:f>'Fleet Analysis'!$C$7:$G$7</c:f>
              <c:numCache>
                <c:formatCode>General</c:formatCode>
                <c:ptCount val="5"/>
                <c:pt idx="0">
                  <c:v>347</c:v>
                </c:pt>
                <c:pt idx="1">
                  <c:v>598</c:v>
                </c:pt>
                <c:pt idx="2">
                  <c:v>375</c:v>
                </c:pt>
                <c:pt idx="3">
                  <c:v>800</c:v>
                </c:pt>
                <c:pt idx="4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A6-477F-9170-86D3156F1F30}"/>
            </c:ext>
          </c:extLst>
        </c:ser>
        <c:ser>
          <c:idx val="3"/>
          <c:order val="3"/>
          <c:tx>
            <c:strRef>
              <c:f>'Fleet Analysis'!$A$8:$B$8</c:f>
              <c:strCache>
                <c:ptCount val="2"/>
                <c:pt idx="0">
                  <c:v>Boeing (Wide)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'Fleet Analysis'!$C$4:$G$4</c:f>
              <c:strCache>
                <c:ptCount val="5"/>
                <c:pt idx="0">
                  <c:v>Delta</c:v>
                </c:pt>
                <c:pt idx="1">
                  <c:v>United</c:v>
                </c:pt>
                <c:pt idx="2">
                  <c:v>American</c:v>
                </c:pt>
                <c:pt idx="3">
                  <c:v>Southwest</c:v>
                </c:pt>
                <c:pt idx="4">
                  <c:v>Alaska</c:v>
                </c:pt>
              </c:strCache>
            </c:strRef>
          </c:cat>
          <c:val>
            <c:numRef>
              <c:f>'Fleet Analysis'!$C$8:$G$8</c:f>
              <c:numCache>
                <c:formatCode>General</c:formatCode>
                <c:ptCount val="5"/>
                <c:pt idx="0">
                  <c:v>60</c:v>
                </c:pt>
                <c:pt idx="1">
                  <c:v>225</c:v>
                </c:pt>
                <c:pt idx="2">
                  <c:v>126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A6-477F-9170-86D3156F1F30}"/>
            </c:ext>
          </c:extLst>
        </c:ser>
        <c:ser>
          <c:idx val="4"/>
          <c:order val="4"/>
          <c:tx>
            <c:strRef>
              <c:f>'Fleet Analysis'!$A$9:$B$9</c:f>
              <c:strCache>
                <c:ptCount val="2"/>
                <c:pt idx="0">
                  <c:v>Embraer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'Fleet Analysis'!$C$4:$G$4</c:f>
              <c:strCache>
                <c:ptCount val="5"/>
                <c:pt idx="0">
                  <c:v>Delta</c:v>
                </c:pt>
                <c:pt idx="1">
                  <c:v>United</c:v>
                </c:pt>
                <c:pt idx="2">
                  <c:v>American</c:v>
                </c:pt>
                <c:pt idx="3">
                  <c:v>Southwest</c:v>
                </c:pt>
                <c:pt idx="4">
                  <c:v>Alaska</c:v>
                </c:pt>
              </c:strCache>
            </c:strRef>
          </c:cat>
          <c:val>
            <c:numRef>
              <c:f>'Fleet Analysis'!$C$9:$G$9</c:f>
              <c:numCache>
                <c:formatCode>General</c:formatCode>
                <c:ptCount val="5"/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6-477F-9170-86D3156F1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9881632"/>
        <c:axId val="699868672"/>
      </c:barChart>
      <c:catAx>
        <c:axId val="69988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868672"/>
        <c:crosses val="autoZero"/>
        <c:auto val="1"/>
        <c:lblAlgn val="ctr"/>
        <c:lblOffset val="100"/>
        <c:noMultiLvlLbl val="0"/>
      </c:catAx>
      <c:valAx>
        <c:axId val="6998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88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Fleet</a:t>
            </a:r>
            <a:r>
              <a:rPr lang="en-US" baseline="0"/>
              <a:t>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'Fleet Analysis'!$A$5:$B$5</c:f>
              <c:strCache>
                <c:ptCount val="2"/>
                <c:pt idx="0">
                  <c:v>Airbus (Narrow)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'Fleet Analysis'!$C$4:$W$4</c:f>
              <c:strCache>
                <c:ptCount val="21"/>
                <c:pt idx="0">
                  <c:v>Delta</c:v>
                </c:pt>
                <c:pt idx="1">
                  <c:v>United</c:v>
                </c:pt>
                <c:pt idx="2">
                  <c:v>American</c:v>
                </c:pt>
                <c:pt idx="3">
                  <c:v>Southwest</c:v>
                </c:pt>
                <c:pt idx="4">
                  <c:v>Alaska</c:v>
                </c:pt>
                <c:pt idx="6">
                  <c:v>RyanAir</c:v>
                </c:pt>
                <c:pt idx="7">
                  <c:v>Lufthansa</c:v>
                </c:pt>
                <c:pt idx="8">
                  <c:v>British Airways</c:v>
                </c:pt>
                <c:pt idx="9">
                  <c:v>Air France</c:v>
                </c:pt>
                <c:pt idx="10">
                  <c:v>IAG</c:v>
                </c:pt>
                <c:pt idx="12">
                  <c:v>Singapore</c:v>
                </c:pt>
                <c:pt idx="13">
                  <c:v>Korean Air</c:v>
                </c:pt>
                <c:pt idx="14">
                  <c:v>Japan Airlines</c:v>
                </c:pt>
                <c:pt idx="15">
                  <c:v>China Southern</c:v>
                </c:pt>
                <c:pt idx="16">
                  <c:v>China Eastern</c:v>
                </c:pt>
                <c:pt idx="18">
                  <c:v>Qatar Airways</c:v>
                </c:pt>
                <c:pt idx="19">
                  <c:v>Emirates</c:v>
                </c:pt>
                <c:pt idx="20">
                  <c:v>Etihad Airways</c:v>
                </c:pt>
              </c:strCache>
            </c:strRef>
          </c:cat>
          <c:val>
            <c:numRef>
              <c:f>'Fleet Analysis'!$C$5:$W$5</c:f>
              <c:numCache>
                <c:formatCode>General</c:formatCode>
                <c:ptCount val="21"/>
                <c:pt idx="0">
                  <c:v>385</c:v>
                </c:pt>
                <c:pt idx="1">
                  <c:v>192</c:v>
                </c:pt>
                <c:pt idx="2">
                  <c:v>483</c:v>
                </c:pt>
                <c:pt idx="3">
                  <c:v>0</c:v>
                </c:pt>
                <c:pt idx="4">
                  <c:v>0</c:v>
                </c:pt>
                <c:pt idx="6">
                  <c:v>26</c:v>
                </c:pt>
                <c:pt idx="7">
                  <c:v>190</c:v>
                </c:pt>
                <c:pt idx="8">
                  <c:v>144</c:v>
                </c:pt>
                <c:pt idx="9">
                  <c:v>106</c:v>
                </c:pt>
                <c:pt idx="10">
                  <c:v>452</c:v>
                </c:pt>
                <c:pt idx="12">
                  <c:v>0</c:v>
                </c:pt>
                <c:pt idx="13">
                  <c:v>25</c:v>
                </c:pt>
                <c:pt idx="14">
                  <c:v>0</c:v>
                </c:pt>
                <c:pt idx="15">
                  <c:v>329</c:v>
                </c:pt>
                <c:pt idx="16">
                  <c:v>386</c:v>
                </c:pt>
                <c:pt idx="18">
                  <c:v>28</c:v>
                </c:pt>
                <c:pt idx="19">
                  <c:v>0</c:v>
                </c:pt>
                <c:pt idx="2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C-4A9A-A06B-767A4A8EBED9}"/>
            </c:ext>
          </c:extLst>
        </c:ser>
        <c:ser>
          <c:idx val="1"/>
          <c:order val="1"/>
          <c:tx>
            <c:strRef>
              <c:f>'Fleet Analysis'!$A$6:$B$6</c:f>
              <c:strCache>
                <c:ptCount val="2"/>
                <c:pt idx="0">
                  <c:v>Airbus (Wide)</c:v>
                </c:pt>
              </c:strCache>
            </c:strRef>
          </c:tx>
          <c:spPr>
            <a:solidFill>
              <a:srgbClr val="EC844A"/>
            </a:solidFill>
            <a:ln>
              <a:noFill/>
            </a:ln>
            <a:effectLst/>
          </c:spPr>
          <c:invertIfNegative val="0"/>
          <c:cat>
            <c:strRef>
              <c:f>'Fleet Analysis'!$C$4:$W$4</c:f>
              <c:strCache>
                <c:ptCount val="21"/>
                <c:pt idx="0">
                  <c:v>Delta</c:v>
                </c:pt>
                <c:pt idx="1">
                  <c:v>United</c:v>
                </c:pt>
                <c:pt idx="2">
                  <c:v>American</c:v>
                </c:pt>
                <c:pt idx="3">
                  <c:v>Southwest</c:v>
                </c:pt>
                <c:pt idx="4">
                  <c:v>Alaska</c:v>
                </c:pt>
                <c:pt idx="6">
                  <c:v>RyanAir</c:v>
                </c:pt>
                <c:pt idx="7">
                  <c:v>Lufthansa</c:v>
                </c:pt>
                <c:pt idx="8">
                  <c:v>British Airways</c:v>
                </c:pt>
                <c:pt idx="9">
                  <c:v>Air France</c:v>
                </c:pt>
                <c:pt idx="10">
                  <c:v>IAG</c:v>
                </c:pt>
                <c:pt idx="12">
                  <c:v>Singapore</c:v>
                </c:pt>
                <c:pt idx="13">
                  <c:v>Korean Air</c:v>
                </c:pt>
                <c:pt idx="14">
                  <c:v>Japan Airlines</c:v>
                </c:pt>
                <c:pt idx="15">
                  <c:v>China Southern</c:v>
                </c:pt>
                <c:pt idx="16">
                  <c:v>China Eastern</c:v>
                </c:pt>
                <c:pt idx="18">
                  <c:v>Qatar Airways</c:v>
                </c:pt>
                <c:pt idx="19">
                  <c:v>Emirates</c:v>
                </c:pt>
                <c:pt idx="20">
                  <c:v>Etihad Airways</c:v>
                </c:pt>
              </c:strCache>
            </c:strRef>
          </c:cat>
          <c:val>
            <c:numRef>
              <c:f>'Fleet Analysis'!$C$6:$W$6</c:f>
              <c:numCache>
                <c:formatCode>General</c:formatCode>
                <c:ptCount val="21"/>
                <c:pt idx="0">
                  <c:v>110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63</c:v>
                </c:pt>
                <c:pt idx="8">
                  <c:v>30</c:v>
                </c:pt>
                <c:pt idx="9">
                  <c:v>42</c:v>
                </c:pt>
                <c:pt idx="10">
                  <c:v>59</c:v>
                </c:pt>
                <c:pt idx="12">
                  <c:v>77</c:v>
                </c:pt>
                <c:pt idx="13">
                  <c:v>29</c:v>
                </c:pt>
                <c:pt idx="14">
                  <c:v>24</c:v>
                </c:pt>
                <c:pt idx="15">
                  <c:v>45</c:v>
                </c:pt>
                <c:pt idx="16">
                  <c:v>76</c:v>
                </c:pt>
                <c:pt idx="18">
                  <c:v>76</c:v>
                </c:pt>
                <c:pt idx="19">
                  <c:v>120</c:v>
                </c:pt>
                <c:pt idx="2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1C-4A9A-A06B-767A4A8EBED9}"/>
            </c:ext>
          </c:extLst>
        </c:ser>
        <c:ser>
          <c:idx val="2"/>
          <c:order val="2"/>
          <c:tx>
            <c:strRef>
              <c:f>'Fleet Analysis'!$A$7:$B$7</c:f>
              <c:strCache>
                <c:ptCount val="2"/>
                <c:pt idx="0">
                  <c:v>Boeing (Narrow)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'Fleet Analysis'!$C$4:$W$4</c:f>
              <c:strCache>
                <c:ptCount val="21"/>
                <c:pt idx="0">
                  <c:v>Delta</c:v>
                </c:pt>
                <c:pt idx="1">
                  <c:v>United</c:v>
                </c:pt>
                <c:pt idx="2">
                  <c:v>American</c:v>
                </c:pt>
                <c:pt idx="3">
                  <c:v>Southwest</c:v>
                </c:pt>
                <c:pt idx="4">
                  <c:v>Alaska</c:v>
                </c:pt>
                <c:pt idx="6">
                  <c:v>RyanAir</c:v>
                </c:pt>
                <c:pt idx="7">
                  <c:v>Lufthansa</c:v>
                </c:pt>
                <c:pt idx="8">
                  <c:v>British Airways</c:v>
                </c:pt>
                <c:pt idx="9">
                  <c:v>Air France</c:v>
                </c:pt>
                <c:pt idx="10">
                  <c:v>IAG</c:v>
                </c:pt>
                <c:pt idx="12">
                  <c:v>Singapore</c:v>
                </c:pt>
                <c:pt idx="13">
                  <c:v>Korean Air</c:v>
                </c:pt>
                <c:pt idx="14">
                  <c:v>Japan Airlines</c:v>
                </c:pt>
                <c:pt idx="15">
                  <c:v>China Southern</c:v>
                </c:pt>
                <c:pt idx="16">
                  <c:v>China Eastern</c:v>
                </c:pt>
                <c:pt idx="18">
                  <c:v>Qatar Airways</c:v>
                </c:pt>
                <c:pt idx="19">
                  <c:v>Emirates</c:v>
                </c:pt>
                <c:pt idx="20">
                  <c:v>Etihad Airways</c:v>
                </c:pt>
              </c:strCache>
            </c:strRef>
          </c:cat>
          <c:val>
            <c:numRef>
              <c:f>'Fleet Analysis'!$C$7:$W$7</c:f>
              <c:numCache>
                <c:formatCode>General</c:formatCode>
                <c:ptCount val="21"/>
                <c:pt idx="0">
                  <c:v>347</c:v>
                </c:pt>
                <c:pt idx="1">
                  <c:v>598</c:v>
                </c:pt>
                <c:pt idx="2">
                  <c:v>375</c:v>
                </c:pt>
                <c:pt idx="3">
                  <c:v>800</c:v>
                </c:pt>
                <c:pt idx="4">
                  <c:v>234</c:v>
                </c:pt>
                <c:pt idx="6">
                  <c:v>588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20</c:v>
                </c:pt>
                <c:pt idx="13">
                  <c:v>23</c:v>
                </c:pt>
                <c:pt idx="14">
                  <c:v>42</c:v>
                </c:pt>
                <c:pt idx="15">
                  <c:v>201</c:v>
                </c:pt>
                <c:pt idx="16">
                  <c:v>141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1C-4A9A-A06B-767A4A8EBED9}"/>
            </c:ext>
          </c:extLst>
        </c:ser>
        <c:ser>
          <c:idx val="3"/>
          <c:order val="3"/>
          <c:tx>
            <c:strRef>
              <c:f>'Fleet Analysis'!$A$8:$B$8</c:f>
              <c:strCache>
                <c:ptCount val="2"/>
                <c:pt idx="0">
                  <c:v>Boeing (Wide)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'Fleet Analysis'!$C$4:$W$4</c:f>
              <c:strCache>
                <c:ptCount val="21"/>
                <c:pt idx="0">
                  <c:v>Delta</c:v>
                </c:pt>
                <c:pt idx="1">
                  <c:v>United</c:v>
                </c:pt>
                <c:pt idx="2">
                  <c:v>American</c:v>
                </c:pt>
                <c:pt idx="3">
                  <c:v>Southwest</c:v>
                </c:pt>
                <c:pt idx="4">
                  <c:v>Alaska</c:v>
                </c:pt>
                <c:pt idx="6">
                  <c:v>RyanAir</c:v>
                </c:pt>
                <c:pt idx="7">
                  <c:v>Lufthansa</c:v>
                </c:pt>
                <c:pt idx="8">
                  <c:v>British Airways</c:v>
                </c:pt>
                <c:pt idx="9">
                  <c:v>Air France</c:v>
                </c:pt>
                <c:pt idx="10">
                  <c:v>IAG</c:v>
                </c:pt>
                <c:pt idx="12">
                  <c:v>Singapore</c:v>
                </c:pt>
                <c:pt idx="13">
                  <c:v>Korean Air</c:v>
                </c:pt>
                <c:pt idx="14">
                  <c:v>Japan Airlines</c:v>
                </c:pt>
                <c:pt idx="15">
                  <c:v>China Southern</c:v>
                </c:pt>
                <c:pt idx="16">
                  <c:v>China Eastern</c:v>
                </c:pt>
                <c:pt idx="18">
                  <c:v>Qatar Airways</c:v>
                </c:pt>
                <c:pt idx="19">
                  <c:v>Emirates</c:v>
                </c:pt>
                <c:pt idx="20">
                  <c:v>Etihad Airways</c:v>
                </c:pt>
              </c:strCache>
            </c:strRef>
          </c:cat>
          <c:val>
            <c:numRef>
              <c:f>'Fleet Analysis'!$C$8:$W$8</c:f>
              <c:numCache>
                <c:formatCode>General</c:formatCode>
                <c:ptCount val="21"/>
                <c:pt idx="0">
                  <c:v>60</c:v>
                </c:pt>
                <c:pt idx="1">
                  <c:v>225</c:v>
                </c:pt>
                <c:pt idx="2">
                  <c:v>126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32</c:v>
                </c:pt>
                <c:pt idx="8">
                  <c:v>100</c:v>
                </c:pt>
                <c:pt idx="9">
                  <c:v>71</c:v>
                </c:pt>
                <c:pt idx="10">
                  <c:v>91</c:v>
                </c:pt>
                <c:pt idx="12">
                  <c:v>48</c:v>
                </c:pt>
                <c:pt idx="13">
                  <c:v>60</c:v>
                </c:pt>
                <c:pt idx="14">
                  <c:v>84</c:v>
                </c:pt>
                <c:pt idx="15">
                  <c:v>44</c:v>
                </c:pt>
                <c:pt idx="16">
                  <c:v>24</c:v>
                </c:pt>
                <c:pt idx="18">
                  <c:v>115</c:v>
                </c:pt>
                <c:pt idx="19">
                  <c:v>133</c:v>
                </c:pt>
                <c:pt idx="2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1C-4A9A-A06B-767A4A8EBED9}"/>
            </c:ext>
          </c:extLst>
        </c:ser>
        <c:ser>
          <c:idx val="4"/>
          <c:order val="4"/>
          <c:tx>
            <c:strRef>
              <c:f>'Fleet Analysis'!$A$9:$B$9</c:f>
              <c:strCache>
                <c:ptCount val="2"/>
                <c:pt idx="0">
                  <c:v>Embraer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'Fleet Analysis'!$C$4:$W$4</c:f>
              <c:strCache>
                <c:ptCount val="21"/>
                <c:pt idx="0">
                  <c:v>Delta</c:v>
                </c:pt>
                <c:pt idx="1">
                  <c:v>United</c:v>
                </c:pt>
                <c:pt idx="2">
                  <c:v>American</c:v>
                </c:pt>
                <c:pt idx="3">
                  <c:v>Southwest</c:v>
                </c:pt>
                <c:pt idx="4">
                  <c:v>Alaska</c:v>
                </c:pt>
                <c:pt idx="6">
                  <c:v>RyanAir</c:v>
                </c:pt>
                <c:pt idx="7">
                  <c:v>Lufthansa</c:v>
                </c:pt>
                <c:pt idx="8">
                  <c:v>British Airways</c:v>
                </c:pt>
                <c:pt idx="9">
                  <c:v>Air France</c:v>
                </c:pt>
                <c:pt idx="10">
                  <c:v>IAG</c:v>
                </c:pt>
                <c:pt idx="12">
                  <c:v>Singapore</c:v>
                </c:pt>
                <c:pt idx="13">
                  <c:v>Korean Air</c:v>
                </c:pt>
                <c:pt idx="14">
                  <c:v>Japan Airlines</c:v>
                </c:pt>
                <c:pt idx="15">
                  <c:v>China Southern</c:v>
                </c:pt>
                <c:pt idx="16">
                  <c:v>China Eastern</c:v>
                </c:pt>
                <c:pt idx="18">
                  <c:v>Qatar Airways</c:v>
                </c:pt>
                <c:pt idx="19">
                  <c:v>Emirates</c:v>
                </c:pt>
                <c:pt idx="20">
                  <c:v>Etihad Airways</c:v>
                </c:pt>
              </c:strCache>
            </c:strRef>
          </c:cat>
          <c:val>
            <c:numRef>
              <c:f>'Fleet Analysis'!$C$9:$W$9</c:f>
              <c:numCache>
                <c:formatCode>General</c:formatCode>
                <c:ptCount val="21"/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1C-4A9A-A06B-767A4A8EBED9}"/>
            </c:ext>
          </c:extLst>
        </c:ser>
        <c:ser>
          <c:idx val="5"/>
          <c:order val="5"/>
          <c:tx>
            <c:strRef>
              <c:f>'Fleet Analysis'!$A$10:$B$10</c:f>
              <c:strCache>
                <c:ptCount val="2"/>
                <c:pt idx="0">
                  <c:v>Comac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'Fleet Analysis'!$C$4:$W$4</c:f>
              <c:strCache>
                <c:ptCount val="21"/>
                <c:pt idx="0">
                  <c:v>Delta</c:v>
                </c:pt>
                <c:pt idx="1">
                  <c:v>United</c:v>
                </c:pt>
                <c:pt idx="2">
                  <c:v>American</c:v>
                </c:pt>
                <c:pt idx="3">
                  <c:v>Southwest</c:v>
                </c:pt>
                <c:pt idx="4">
                  <c:v>Alaska</c:v>
                </c:pt>
                <c:pt idx="6">
                  <c:v>RyanAir</c:v>
                </c:pt>
                <c:pt idx="7">
                  <c:v>Lufthansa</c:v>
                </c:pt>
                <c:pt idx="8">
                  <c:v>British Airways</c:v>
                </c:pt>
                <c:pt idx="9">
                  <c:v>Air France</c:v>
                </c:pt>
                <c:pt idx="10">
                  <c:v>IAG</c:v>
                </c:pt>
                <c:pt idx="12">
                  <c:v>Singapore</c:v>
                </c:pt>
                <c:pt idx="13">
                  <c:v>Korean Air</c:v>
                </c:pt>
                <c:pt idx="14">
                  <c:v>Japan Airlines</c:v>
                </c:pt>
                <c:pt idx="15">
                  <c:v>China Southern</c:v>
                </c:pt>
                <c:pt idx="16">
                  <c:v>China Eastern</c:v>
                </c:pt>
                <c:pt idx="18">
                  <c:v>Qatar Airways</c:v>
                </c:pt>
                <c:pt idx="19">
                  <c:v>Emirates</c:v>
                </c:pt>
                <c:pt idx="20">
                  <c:v>Etihad Airways</c:v>
                </c:pt>
              </c:strCache>
            </c:strRef>
          </c:cat>
          <c:val>
            <c:numRef>
              <c:f>'Fleet Analysis'!$C$10:$W$10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37</c:v>
                </c:pt>
                <c:pt idx="16">
                  <c:v>36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1C-4A9A-A06B-767A4A8EB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104288"/>
        <c:axId val="848109088"/>
      </c:barChart>
      <c:catAx>
        <c:axId val="84810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109088"/>
        <c:crosses val="autoZero"/>
        <c:auto val="1"/>
        <c:lblAlgn val="ctr"/>
        <c:lblOffset val="100"/>
        <c:noMultiLvlLbl val="0"/>
      </c:catAx>
      <c:valAx>
        <c:axId val="8481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10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61911</xdr:rowOff>
    </xdr:from>
    <xdr:to>
      <xdr:col>7</xdr:col>
      <xdr:colOff>600075</xdr:colOff>
      <xdr:row>25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9EBA5B-ACB7-4698-BA54-AD10AF9D1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10</xdr:row>
      <xdr:rowOff>47627</xdr:rowOff>
    </xdr:from>
    <xdr:to>
      <xdr:col>23</xdr:col>
      <xdr:colOff>590550</xdr:colOff>
      <xdr:row>26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D36198-474F-4829-B242-C8FC7C835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xonaviation.com/commercial-aircraft/aircraft-data/boeing-747-8i" TargetMode="External"/><Relationship Id="rId18" Type="http://schemas.openxmlformats.org/officeDocument/2006/relationships/hyperlink" Target="http://www.axonaviation.com/commercial-aircraft/aircraft-data/boeing-777-200er" TargetMode="External"/><Relationship Id="rId26" Type="http://schemas.openxmlformats.org/officeDocument/2006/relationships/hyperlink" Target="http://www.axonaviation.com/commercial-aircraft/aircraft-data/bombardier-crj200" TargetMode="External"/><Relationship Id="rId39" Type="http://schemas.openxmlformats.org/officeDocument/2006/relationships/hyperlink" Target="https://www.boeing.com/" TargetMode="External"/><Relationship Id="rId21" Type="http://schemas.openxmlformats.org/officeDocument/2006/relationships/hyperlink" Target="http://www.axonaviation.com/commercial-aircraft/aircraft-data/boeing-777f" TargetMode="External"/><Relationship Id="rId34" Type="http://schemas.openxmlformats.org/officeDocument/2006/relationships/hyperlink" Target="https://en.wikipedia.org/wiki/Boeing_737_MAX" TargetMode="External"/><Relationship Id="rId42" Type="http://schemas.openxmlformats.org/officeDocument/2006/relationships/hyperlink" Target="https://www.airbus.com/en/products-services/commercial-aircraft/passenger-aircraft" TargetMode="External"/><Relationship Id="rId7" Type="http://schemas.openxmlformats.org/officeDocument/2006/relationships/hyperlink" Target="http://www.axonaviation.com/commercial-aircraft/aircraft-data/airbus-a380" TargetMode="External"/><Relationship Id="rId2" Type="http://schemas.openxmlformats.org/officeDocument/2006/relationships/hyperlink" Target="http://www.axonaviation.com/commercial-aircraft/aircraft-data/airbus-a330-200f" TargetMode="External"/><Relationship Id="rId16" Type="http://schemas.openxmlformats.org/officeDocument/2006/relationships/hyperlink" Target="http://www.axonaviation.com/commercial-aircraft/aircraft-data/boeing-767-300er" TargetMode="External"/><Relationship Id="rId20" Type="http://schemas.openxmlformats.org/officeDocument/2006/relationships/hyperlink" Target="http://www.axonaviation.com/commercial-aircraft/aircraft-data/boeing-777-300er" TargetMode="External"/><Relationship Id="rId29" Type="http://schemas.openxmlformats.org/officeDocument/2006/relationships/hyperlink" Target="http://www.axonaviation.com/commercial-aircraft/aircraft-data/bombardier-crj1000" TargetMode="External"/><Relationship Id="rId41" Type="http://schemas.openxmlformats.org/officeDocument/2006/relationships/hyperlink" Target="http://www.axonaviation.com/commercial-aircraft/aircraft-data/aircraft-pricing" TargetMode="External"/><Relationship Id="rId1" Type="http://schemas.openxmlformats.org/officeDocument/2006/relationships/hyperlink" Target="http://www.axonaviation.com/commercial-aircraft/aircraft-data/airbus-a330-200" TargetMode="External"/><Relationship Id="rId6" Type="http://schemas.openxmlformats.org/officeDocument/2006/relationships/hyperlink" Target="http://www.axonaviation.com/commercial-aircraft/aircraft-data/airbus-a350-1000" TargetMode="External"/><Relationship Id="rId11" Type="http://schemas.openxmlformats.org/officeDocument/2006/relationships/hyperlink" Target="http://www.axonaviation.com/commercial-aircraft/aircraft-data/boeing-747-400" TargetMode="External"/><Relationship Id="rId24" Type="http://schemas.openxmlformats.org/officeDocument/2006/relationships/hyperlink" Target="http://www.axonaviation.com/commercial-aircraft/aircraft-data/boeing-787-10" TargetMode="External"/><Relationship Id="rId32" Type="http://schemas.openxmlformats.org/officeDocument/2006/relationships/hyperlink" Target="http://www.axonaviation.com/commercial-aircraft/aircraft-data/embraer-190" TargetMode="External"/><Relationship Id="rId37" Type="http://schemas.openxmlformats.org/officeDocument/2006/relationships/hyperlink" Target="http://www.axonaviation.com/commercial-aircraft/aircraft-data/airbus-a319" TargetMode="External"/><Relationship Id="rId40" Type="http://schemas.openxmlformats.org/officeDocument/2006/relationships/hyperlink" Target="https://en.wikipedia.org/wiki/Boeing_Commercial_Airplanes" TargetMode="External"/><Relationship Id="rId5" Type="http://schemas.openxmlformats.org/officeDocument/2006/relationships/hyperlink" Target="http://www.axonaviation.com/commercial-aircraft/aircraft-data/airbus-a350-900lr" TargetMode="External"/><Relationship Id="rId15" Type="http://schemas.openxmlformats.org/officeDocument/2006/relationships/hyperlink" Target="http://www.axonaviation.com/commercial-aircraft/aircraft-data/boeing-757-300" TargetMode="External"/><Relationship Id="rId23" Type="http://schemas.openxmlformats.org/officeDocument/2006/relationships/hyperlink" Target="http://www.axonaviation.com/commercial-aircraft/aircraft-data/boeing-787-9" TargetMode="External"/><Relationship Id="rId28" Type="http://schemas.openxmlformats.org/officeDocument/2006/relationships/hyperlink" Target="http://www.axonaviation.com/commercial-aircraft/aircraft-data/bombardier-crj900" TargetMode="External"/><Relationship Id="rId36" Type="http://schemas.openxmlformats.org/officeDocument/2006/relationships/hyperlink" Target="http://www.axonaviation.com/commercial-aircraft/aircraft-data/airbus-a320" TargetMode="External"/><Relationship Id="rId10" Type="http://schemas.openxmlformats.org/officeDocument/2006/relationships/hyperlink" Target="http://www.axonaviation.com/commercial-aircraft/aircraft-data/boeing-737-900er" TargetMode="External"/><Relationship Id="rId19" Type="http://schemas.openxmlformats.org/officeDocument/2006/relationships/hyperlink" Target="http://www.axonaviation.com/commercial-aircraft/aircraft-data/boeing-777-200lr" TargetMode="External"/><Relationship Id="rId31" Type="http://schemas.openxmlformats.org/officeDocument/2006/relationships/hyperlink" Target="http://www.axonaviation.com/commercial-aircraft/aircraft-data/embraer-175" TargetMode="External"/><Relationship Id="rId4" Type="http://schemas.openxmlformats.org/officeDocument/2006/relationships/hyperlink" Target="http://www.axonaviation.com/commercial-aircraft/aircraft-data/airbus-a340-300" TargetMode="External"/><Relationship Id="rId9" Type="http://schemas.openxmlformats.org/officeDocument/2006/relationships/hyperlink" Target="http://www.axonaviation.com/commercial-aircraft/aircraft-data/boeing-737-800" TargetMode="External"/><Relationship Id="rId14" Type="http://schemas.openxmlformats.org/officeDocument/2006/relationships/hyperlink" Target="http://www.axonaviation.com/commercial-aircraft/aircraft-data/boeing-757-200" TargetMode="External"/><Relationship Id="rId22" Type="http://schemas.openxmlformats.org/officeDocument/2006/relationships/hyperlink" Target="http://www.axonaviation.com/commercial-aircraft/aircraft-data/boeing-787-8" TargetMode="External"/><Relationship Id="rId27" Type="http://schemas.openxmlformats.org/officeDocument/2006/relationships/hyperlink" Target="http://www.axonaviation.com/commercial-aircraft/aircraft-data/bombardier-crj700" TargetMode="External"/><Relationship Id="rId30" Type="http://schemas.openxmlformats.org/officeDocument/2006/relationships/hyperlink" Target="http://www.axonaviation.com/commercial-aircraft/aircraft-data/embraer-170" TargetMode="External"/><Relationship Id="rId35" Type="http://schemas.openxmlformats.org/officeDocument/2006/relationships/hyperlink" Target="http://www.axonaviation.com/commercial-aircraft/aircraft-data/airbus-a321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http://www.axonaviation.com/commercial-aircraft/aircraft-data/boeing-737-700" TargetMode="External"/><Relationship Id="rId3" Type="http://schemas.openxmlformats.org/officeDocument/2006/relationships/hyperlink" Target="http://www.axonaviation.com/commercial-aircraft/aircraft-data/airbus-a330-300" TargetMode="External"/><Relationship Id="rId12" Type="http://schemas.openxmlformats.org/officeDocument/2006/relationships/hyperlink" Target="http://www.axonaviation.com/commercial-aircraft/aircraft-data/boeing-747-400f" TargetMode="External"/><Relationship Id="rId17" Type="http://schemas.openxmlformats.org/officeDocument/2006/relationships/hyperlink" Target="http://www.axonaviation.com/commercial-aircraft/aircraft-data/boeing-767-400er" TargetMode="External"/><Relationship Id="rId25" Type="http://schemas.openxmlformats.org/officeDocument/2006/relationships/hyperlink" Target="http://www.axonaviation.com/commercial-aircraft/aircraft-data/bombardier-crj100" TargetMode="External"/><Relationship Id="rId33" Type="http://schemas.openxmlformats.org/officeDocument/2006/relationships/hyperlink" Target="http://www.axonaviation.com/commercial-aircraft/aircraft-data/embraer-195" TargetMode="External"/><Relationship Id="rId38" Type="http://schemas.openxmlformats.org/officeDocument/2006/relationships/hyperlink" Target="http://www.axonaviation.com/commercial-aircraft/aircraft-data/airbus-a31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British_Airways_fleet" TargetMode="External"/><Relationship Id="rId13" Type="http://schemas.openxmlformats.org/officeDocument/2006/relationships/hyperlink" Target="https://en.wikipedia.org/wiki/Japan_Airlines_fleet" TargetMode="External"/><Relationship Id="rId18" Type="http://schemas.openxmlformats.org/officeDocument/2006/relationships/hyperlink" Target="https://en.wikipedia.org/wiki/Etihad_Airways_fleet" TargetMode="External"/><Relationship Id="rId3" Type="http://schemas.openxmlformats.org/officeDocument/2006/relationships/hyperlink" Target="https://en.wikipedia.org/wiki/American_Airlines_fleet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https://en.wikipedia.org/wiki/Lufthansa_fleet" TargetMode="External"/><Relationship Id="rId12" Type="http://schemas.openxmlformats.org/officeDocument/2006/relationships/hyperlink" Target="https://en.wikipedia.org/wiki/Korean_Air" TargetMode="External"/><Relationship Id="rId17" Type="http://schemas.openxmlformats.org/officeDocument/2006/relationships/hyperlink" Target="https://en.wikipedia.org/wiki/Emirates_fleet" TargetMode="External"/><Relationship Id="rId2" Type="http://schemas.openxmlformats.org/officeDocument/2006/relationships/hyperlink" Target="https://en.wikipedia.org/wiki/United_Airlines_fleet" TargetMode="External"/><Relationship Id="rId16" Type="http://schemas.openxmlformats.org/officeDocument/2006/relationships/hyperlink" Target="https://en.wikipedia.org/wiki/Qatar_Airways_fleet" TargetMode="External"/><Relationship Id="rId20" Type="http://schemas.openxmlformats.org/officeDocument/2006/relationships/hyperlink" Target="https://www.worldairlineawards.com/best-airlines-2024-by-region/" TargetMode="External"/><Relationship Id="rId1" Type="http://schemas.openxmlformats.org/officeDocument/2006/relationships/hyperlink" Target="https://en.wikipedia.org/wiki/Delta_Air_Lines_fleet" TargetMode="External"/><Relationship Id="rId6" Type="http://schemas.openxmlformats.org/officeDocument/2006/relationships/hyperlink" Target="https://en.wikipedia.org/wiki/Ryanair" TargetMode="External"/><Relationship Id="rId11" Type="http://schemas.openxmlformats.org/officeDocument/2006/relationships/hyperlink" Target="https://en.wikipedia.org/wiki/Singapore_Airlines_fleet" TargetMode="External"/><Relationship Id="rId5" Type="http://schemas.openxmlformats.org/officeDocument/2006/relationships/hyperlink" Target="https://en.wikipedia.org/wiki/Alaska_Airlines_fleet" TargetMode="External"/><Relationship Id="rId15" Type="http://schemas.openxmlformats.org/officeDocument/2006/relationships/hyperlink" Target="https://en.wikipedia.org/wiki/China_Eastern_Airlines" TargetMode="External"/><Relationship Id="rId10" Type="http://schemas.openxmlformats.org/officeDocument/2006/relationships/hyperlink" Target="https://en.wikipedia.org/wiki/Air_France_fleet" TargetMode="External"/><Relationship Id="rId19" Type="http://schemas.openxmlformats.org/officeDocument/2006/relationships/hyperlink" Target="https://www.worldairlineawards.com/best-airlines-2024-by-region/" TargetMode="External"/><Relationship Id="rId4" Type="http://schemas.openxmlformats.org/officeDocument/2006/relationships/hyperlink" Target="https://en.wikipedia.org/wiki/Southwest_Airlines_fleet" TargetMode="External"/><Relationship Id="rId9" Type="http://schemas.openxmlformats.org/officeDocument/2006/relationships/hyperlink" Target="https://www.iagcargo.com/en/fleet/" TargetMode="External"/><Relationship Id="rId14" Type="http://schemas.openxmlformats.org/officeDocument/2006/relationships/hyperlink" Target="https://en.wikipedia.org/wiki/China_Southern_Airlin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9DB1B-FDA2-456E-B6B4-875D528D7F8C}">
  <dimension ref="A1:O69"/>
  <sheetViews>
    <sheetView zoomScaleNormal="100" workbookViewId="0">
      <pane ySplit="1" topLeftCell="A2" activePane="bottomLeft" state="frozen"/>
      <selection activeCell="C4" sqref="C4"/>
      <selection pane="bottomLeft" activeCell="F33" sqref="F33"/>
    </sheetView>
  </sheetViews>
  <sheetFormatPr defaultRowHeight="15" x14ac:dyDescent="0.25"/>
  <cols>
    <col min="1" max="1" width="4" customWidth="1"/>
    <col min="2" max="2" width="23.28515625" bestFit="1" customWidth="1"/>
    <col min="3" max="3" width="6.42578125" customWidth="1"/>
    <col min="4" max="6" width="12.7109375" customWidth="1"/>
    <col min="7" max="7" width="11.42578125" customWidth="1"/>
    <col min="8" max="9" width="12.7109375" customWidth="1"/>
    <col min="10" max="10" width="13.5703125" customWidth="1"/>
    <col min="11" max="11" width="14.140625" customWidth="1"/>
    <col min="12" max="12" width="10.85546875" customWidth="1"/>
    <col min="13" max="13" width="8.140625" style="4" customWidth="1"/>
    <col min="14" max="14" width="40.140625" customWidth="1"/>
    <col min="15" max="15" width="48.42578125" customWidth="1"/>
  </cols>
  <sheetData>
    <row r="1" spans="1:15" s="63" customFormat="1" ht="45" customHeight="1" x14ac:dyDescent="0.25">
      <c r="A1" s="61" t="s">
        <v>66</v>
      </c>
      <c r="B1" s="62" t="s">
        <v>67</v>
      </c>
      <c r="C1" s="62" t="s">
        <v>68</v>
      </c>
      <c r="D1" s="62" t="s">
        <v>69</v>
      </c>
      <c r="E1" s="62" t="s">
        <v>70</v>
      </c>
      <c r="F1" s="62" t="s">
        <v>71</v>
      </c>
      <c r="G1" s="62" t="s">
        <v>72</v>
      </c>
      <c r="H1" s="62" t="s">
        <v>73</v>
      </c>
      <c r="I1" s="62" t="s">
        <v>74</v>
      </c>
      <c r="J1" s="62" t="s">
        <v>75</v>
      </c>
      <c r="K1" s="62" t="s">
        <v>76</v>
      </c>
      <c r="L1" s="62" t="s">
        <v>77</v>
      </c>
      <c r="M1" s="62" t="s">
        <v>78</v>
      </c>
      <c r="N1" s="62" t="s">
        <v>79</v>
      </c>
      <c r="O1" s="62" t="s">
        <v>80</v>
      </c>
    </row>
    <row r="2" spans="1:15" ht="13.5" customHeight="1" x14ac:dyDescent="0.25">
      <c r="B2" t="s">
        <v>81</v>
      </c>
      <c r="C2" s="64" t="s">
        <v>81</v>
      </c>
      <c r="D2" s="65">
        <v>31.4</v>
      </c>
      <c r="E2" s="65">
        <v>12.6</v>
      </c>
      <c r="F2" s="65">
        <v>34.1</v>
      </c>
      <c r="G2" s="23">
        <v>149900</v>
      </c>
      <c r="H2" s="23">
        <v>3100</v>
      </c>
      <c r="I2" s="66">
        <v>0.82</v>
      </c>
      <c r="J2" s="23">
        <v>132</v>
      </c>
      <c r="K2" s="23">
        <v>107</v>
      </c>
      <c r="L2" s="67">
        <v>75.099999999999994</v>
      </c>
      <c r="M2" s="23">
        <v>2</v>
      </c>
      <c r="N2" s="68" t="s">
        <v>82</v>
      </c>
      <c r="O2" s="68" t="s">
        <v>83</v>
      </c>
    </row>
    <row r="3" spans="1:15" ht="13.5" customHeight="1" x14ac:dyDescent="0.25">
      <c r="B3" t="s">
        <v>84</v>
      </c>
      <c r="C3" s="64" t="s">
        <v>84</v>
      </c>
      <c r="D3" s="65">
        <v>33.799999999999997</v>
      </c>
      <c r="E3" s="65">
        <v>11.8</v>
      </c>
      <c r="F3" s="65">
        <v>35.799999999999997</v>
      </c>
      <c r="G3" s="23">
        <v>166400</v>
      </c>
      <c r="H3" s="23">
        <v>3700</v>
      </c>
      <c r="I3" s="66">
        <v>0.82</v>
      </c>
      <c r="J3" s="23">
        <v>156</v>
      </c>
      <c r="K3" s="23">
        <v>124</v>
      </c>
      <c r="L3" s="67">
        <v>89.6</v>
      </c>
      <c r="M3" s="23">
        <v>2</v>
      </c>
      <c r="N3" s="68" t="s">
        <v>85</v>
      </c>
      <c r="O3" s="68" t="s">
        <v>86</v>
      </c>
    </row>
    <row r="4" spans="1:15" ht="13.5" customHeight="1" x14ac:dyDescent="0.25">
      <c r="B4" t="s">
        <v>87</v>
      </c>
      <c r="C4" s="64" t="s">
        <v>87</v>
      </c>
      <c r="D4" s="65">
        <v>37.6</v>
      </c>
      <c r="E4" s="65">
        <v>11.8</v>
      </c>
      <c r="F4" s="65">
        <v>35.799999999999997</v>
      </c>
      <c r="G4" s="23">
        <v>172000</v>
      </c>
      <c r="H4" s="23">
        <v>3300</v>
      </c>
      <c r="I4" s="66">
        <v>0.82</v>
      </c>
      <c r="J4" s="23">
        <v>180</v>
      </c>
      <c r="K4" s="23">
        <v>150</v>
      </c>
      <c r="L4" s="67">
        <v>98</v>
      </c>
      <c r="M4" s="23">
        <v>2</v>
      </c>
      <c r="N4" s="68" t="s">
        <v>85</v>
      </c>
      <c r="O4" s="68" t="s">
        <v>88</v>
      </c>
    </row>
    <row r="5" spans="1:15" ht="13.5" customHeight="1" x14ac:dyDescent="0.25">
      <c r="B5" t="s">
        <v>89</v>
      </c>
      <c r="C5" s="64" t="s">
        <v>89</v>
      </c>
      <c r="D5" s="65">
        <v>44.5</v>
      </c>
      <c r="E5" s="65">
        <v>11.8</v>
      </c>
      <c r="F5" s="65">
        <v>35.799999999999997</v>
      </c>
      <c r="G5" s="23">
        <v>206100</v>
      </c>
      <c r="H5" s="23">
        <v>3200</v>
      </c>
      <c r="I5" s="66">
        <v>0.82</v>
      </c>
      <c r="J5" s="23">
        <v>236</v>
      </c>
      <c r="K5" s="23">
        <v>185</v>
      </c>
      <c r="L5" s="67">
        <v>114.9</v>
      </c>
      <c r="M5" s="23">
        <v>2</v>
      </c>
      <c r="N5" s="68" t="s">
        <v>90</v>
      </c>
      <c r="O5" s="68" t="s">
        <v>91</v>
      </c>
    </row>
    <row r="6" spans="1:15" ht="13.5" customHeight="1" x14ac:dyDescent="0.25">
      <c r="B6" t="s">
        <v>92</v>
      </c>
      <c r="C6" s="64" t="s">
        <v>92</v>
      </c>
      <c r="D6" s="65">
        <v>58.8</v>
      </c>
      <c r="E6" s="65">
        <v>17.399999999999999</v>
      </c>
      <c r="F6" s="65">
        <v>60.3</v>
      </c>
      <c r="G6" s="23">
        <v>529100</v>
      </c>
      <c r="H6" s="23">
        <v>7250</v>
      </c>
      <c r="I6" s="66">
        <v>0.86</v>
      </c>
      <c r="J6" s="23">
        <v>406</v>
      </c>
      <c r="K6" s="23">
        <v>247</v>
      </c>
      <c r="L6" s="67">
        <v>231.5</v>
      </c>
      <c r="M6" s="23">
        <v>2</v>
      </c>
      <c r="N6" s="68" t="s">
        <v>93</v>
      </c>
      <c r="O6" s="68" t="s">
        <v>94</v>
      </c>
    </row>
    <row r="7" spans="1:15" ht="13.5" customHeight="1" x14ac:dyDescent="0.25">
      <c r="B7" s="69" t="s">
        <v>95</v>
      </c>
      <c r="C7" s="64" t="s">
        <v>95</v>
      </c>
      <c r="D7" s="65">
        <v>58.8</v>
      </c>
      <c r="E7" s="65">
        <v>16.899999999999999</v>
      </c>
      <c r="F7" s="65">
        <v>60.3</v>
      </c>
      <c r="G7" s="23">
        <v>514000</v>
      </c>
      <c r="H7" s="23">
        <v>4000</v>
      </c>
      <c r="I7" s="66">
        <v>0.86</v>
      </c>
      <c r="J7" s="23" t="s">
        <v>96</v>
      </c>
      <c r="K7" s="23" t="s">
        <v>96</v>
      </c>
      <c r="L7" s="67">
        <v>234.7</v>
      </c>
      <c r="M7" s="23">
        <v>2</v>
      </c>
      <c r="N7" s="68" t="s">
        <v>97</v>
      </c>
      <c r="O7" s="68" t="s">
        <v>98</v>
      </c>
    </row>
    <row r="8" spans="1:15" ht="13.5" customHeight="1" x14ac:dyDescent="0.25">
      <c r="B8" t="s">
        <v>99</v>
      </c>
      <c r="C8" s="64" t="s">
        <v>99</v>
      </c>
      <c r="D8" s="65">
        <v>63.7</v>
      </c>
      <c r="E8" s="65">
        <v>16.8</v>
      </c>
      <c r="F8" s="65">
        <v>60.3</v>
      </c>
      <c r="G8" s="23">
        <v>529100</v>
      </c>
      <c r="H8" s="23">
        <v>6350</v>
      </c>
      <c r="I8" s="66">
        <v>0.86</v>
      </c>
      <c r="J8" s="23">
        <v>440</v>
      </c>
      <c r="K8" s="23">
        <v>277</v>
      </c>
      <c r="L8" s="67">
        <v>256.39999999999998</v>
      </c>
      <c r="M8" s="23">
        <v>2</v>
      </c>
      <c r="N8" s="68" t="s">
        <v>93</v>
      </c>
      <c r="O8" s="68" t="s">
        <v>100</v>
      </c>
    </row>
    <row r="9" spans="1:15" ht="13.5" customHeight="1" x14ac:dyDescent="0.25">
      <c r="B9" t="s">
        <v>101</v>
      </c>
      <c r="C9" s="64" t="s">
        <v>101</v>
      </c>
      <c r="D9" s="65">
        <v>63.7</v>
      </c>
      <c r="E9" s="65">
        <v>16.899999999999999</v>
      </c>
      <c r="F9" s="65">
        <v>60.3</v>
      </c>
      <c r="G9" s="23">
        <v>609000</v>
      </c>
      <c r="H9" s="23">
        <v>7300</v>
      </c>
      <c r="I9" s="66">
        <v>0.86</v>
      </c>
      <c r="J9" s="23">
        <v>440</v>
      </c>
      <c r="K9" s="23">
        <v>277</v>
      </c>
      <c r="L9" s="67">
        <v>219</v>
      </c>
      <c r="M9" s="23">
        <v>4</v>
      </c>
      <c r="N9" s="68" t="s">
        <v>102</v>
      </c>
      <c r="O9" s="68" t="s">
        <v>103</v>
      </c>
    </row>
    <row r="10" spans="1:15" ht="13.5" customHeight="1" x14ac:dyDescent="0.25">
      <c r="B10" t="s">
        <v>104</v>
      </c>
      <c r="C10" s="64" t="s">
        <v>104</v>
      </c>
      <c r="D10" s="65">
        <v>66.8</v>
      </c>
      <c r="E10" s="65">
        <v>17.100000000000001</v>
      </c>
      <c r="F10" s="65">
        <v>64.8</v>
      </c>
      <c r="G10" s="23">
        <v>617300</v>
      </c>
      <c r="H10" s="23">
        <v>8100</v>
      </c>
      <c r="I10" s="66">
        <v>0.89</v>
      </c>
      <c r="J10" s="23">
        <v>440</v>
      </c>
      <c r="K10" s="23">
        <v>325</v>
      </c>
      <c r="L10" s="67">
        <v>308.10000000000002</v>
      </c>
      <c r="M10" s="23">
        <v>2</v>
      </c>
      <c r="N10" s="68" t="s">
        <v>105</v>
      </c>
      <c r="O10" s="68" t="s">
        <v>106</v>
      </c>
    </row>
    <row r="11" spans="1:15" ht="13.5" customHeight="1" x14ac:dyDescent="0.25">
      <c r="B11" t="s">
        <v>107</v>
      </c>
      <c r="C11" s="64" t="s">
        <v>107</v>
      </c>
      <c r="D11" s="65">
        <v>73.8</v>
      </c>
      <c r="E11" s="65">
        <v>17.100000000000001</v>
      </c>
      <c r="F11" s="65">
        <v>64.8</v>
      </c>
      <c r="G11" s="23">
        <v>681000</v>
      </c>
      <c r="H11" s="23">
        <v>7950</v>
      </c>
      <c r="I11" s="66">
        <v>0.89</v>
      </c>
      <c r="J11" s="23">
        <v>440</v>
      </c>
      <c r="K11" s="23">
        <v>366</v>
      </c>
      <c r="L11" s="67">
        <v>355.7</v>
      </c>
      <c r="M11" s="23">
        <v>2</v>
      </c>
      <c r="N11" s="68" t="s">
        <v>105</v>
      </c>
      <c r="O11" s="68" t="s">
        <v>108</v>
      </c>
    </row>
    <row r="12" spans="1:15" ht="13.5" customHeight="1" x14ac:dyDescent="0.25">
      <c r="B12" t="s">
        <v>109</v>
      </c>
      <c r="C12" s="64" t="s">
        <v>109</v>
      </c>
      <c r="D12" s="65">
        <v>72.7</v>
      </c>
      <c r="E12" s="65">
        <v>24.1</v>
      </c>
      <c r="F12" s="65">
        <v>79.8</v>
      </c>
      <c r="G12" s="23">
        <v>1268000</v>
      </c>
      <c r="H12" s="23">
        <v>8200</v>
      </c>
      <c r="I12" s="66">
        <v>0.89</v>
      </c>
      <c r="J12" s="23">
        <v>853</v>
      </c>
      <c r="K12" s="23">
        <v>544</v>
      </c>
      <c r="L12" s="67">
        <v>350</v>
      </c>
      <c r="M12" s="23">
        <v>4</v>
      </c>
      <c r="N12" s="68" t="s">
        <v>110</v>
      </c>
      <c r="O12" s="68" t="s">
        <v>111</v>
      </c>
    </row>
    <row r="13" spans="1:15" ht="13.5" customHeight="1" x14ac:dyDescent="0.25">
      <c r="A13" s="59" t="s">
        <v>112</v>
      </c>
      <c r="B13" t="s">
        <v>113</v>
      </c>
      <c r="C13" s="64" t="s">
        <v>113</v>
      </c>
      <c r="D13" s="65">
        <v>33.6</v>
      </c>
      <c r="E13" s="65">
        <v>12.5</v>
      </c>
      <c r="F13" s="65">
        <v>35.799999999999997</v>
      </c>
      <c r="G13" s="23">
        <v>154500</v>
      </c>
      <c r="H13" s="23">
        <v>3440</v>
      </c>
      <c r="I13" s="66">
        <v>0.82499999999999996</v>
      </c>
      <c r="J13" s="23">
        <v>149</v>
      </c>
      <c r="K13" s="23">
        <v>126</v>
      </c>
      <c r="L13" s="67">
        <v>89.1</v>
      </c>
      <c r="M13" s="23">
        <v>2</v>
      </c>
      <c r="N13" s="68" t="s">
        <v>114</v>
      </c>
      <c r="O13" s="68" t="s">
        <v>115</v>
      </c>
    </row>
    <row r="14" spans="1:15" ht="13.5" customHeight="1" x14ac:dyDescent="0.25">
      <c r="A14" s="59" t="s">
        <v>112</v>
      </c>
      <c r="B14" t="s">
        <v>116</v>
      </c>
      <c r="C14" s="64" t="s">
        <v>116</v>
      </c>
      <c r="D14" s="65">
        <v>39.5</v>
      </c>
      <c r="E14" s="65">
        <v>12.5</v>
      </c>
      <c r="F14" s="65">
        <v>35.799999999999997</v>
      </c>
      <c r="G14" s="23">
        <v>174200</v>
      </c>
      <c r="H14" s="23">
        <v>3115</v>
      </c>
      <c r="I14" s="66">
        <v>0.82499999999999996</v>
      </c>
      <c r="J14" s="23">
        <v>189</v>
      </c>
      <c r="K14" s="23">
        <v>162</v>
      </c>
      <c r="L14" s="67">
        <v>106.1</v>
      </c>
      <c r="M14" s="23">
        <v>2</v>
      </c>
      <c r="N14" s="68" t="s">
        <v>117</v>
      </c>
      <c r="O14" s="68" t="s">
        <v>118</v>
      </c>
    </row>
    <row r="15" spans="1:15" ht="13.5" customHeight="1" x14ac:dyDescent="0.25">
      <c r="A15" s="59" t="s">
        <v>112</v>
      </c>
      <c r="B15" t="s">
        <v>119</v>
      </c>
      <c r="C15" s="64" t="s">
        <v>119</v>
      </c>
      <c r="D15" s="65">
        <v>42.1</v>
      </c>
      <c r="E15" s="65">
        <v>12.5</v>
      </c>
      <c r="F15" s="65">
        <v>35.799999999999997</v>
      </c>
      <c r="G15" s="23">
        <v>187700</v>
      </c>
      <c r="H15" s="23">
        <v>3265</v>
      </c>
      <c r="I15" s="66">
        <v>0.82499999999999996</v>
      </c>
      <c r="J15" s="23">
        <v>220</v>
      </c>
      <c r="K15" s="23">
        <v>178</v>
      </c>
      <c r="L15" s="67">
        <v>112.6</v>
      </c>
      <c r="M15" s="23">
        <v>2</v>
      </c>
      <c r="N15" s="68" t="s">
        <v>114</v>
      </c>
      <c r="O15" s="68" t="s">
        <v>120</v>
      </c>
    </row>
    <row r="16" spans="1:15" ht="13.5" customHeight="1" x14ac:dyDescent="0.25">
      <c r="A16" s="59" t="s">
        <v>121</v>
      </c>
      <c r="B16" t="s">
        <v>122</v>
      </c>
      <c r="C16" s="5" t="s">
        <v>122</v>
      </c>
      <c r="D16" s="70">
        <v>33.6</v>
      </c>
      <c r="E16" s="70">
        <v>12.5</v>
      </c>
      <c r="F16" s="70">
        <v>35.9</v>
      </c>
      <c r="G16" s="2">
        <v>177000</v>
      </c>
      <c r="H16" s="2">
        <v>3800</v>
      </c>
      <c r="I16" s="71">
        <v>0.79</v>
      </c>
      <c r="J16" s="2">
        <v>172</v>
      </c>
      <c r="K16" s="2">
        <v>153</v>
      </c>
      <c r="L16" s="67">
        <v>99.7</v>
      </c>
      <c r="M16" s="23">
        <v>2</v>
      </c>
      <c r="N16" s="68" t="s">
        <v>123</v>
      </c>
      <c r="O16" s="68"/>
    </row>
    <row r="17" spans="1:15" ht="13.5" customHeight="1" x14ac:dyDescent="0.25">
      <c r="A17" s="59" t="s">
        <v>121</v>
      </c>
      <c r="B17" t="s">
        <v>124</v>
      </c>
      <c r="C17" s="5" t="s">
        <v>124</v>
      </c>
      <c r="D17" s="70">
        <v>39.520000000000003</v>
      </c>
      <c r="E17" s="70">
        <v>12.5</v>
      </c>
      <c r="F17" s="70">
        <v>35.9</v>
      </c>
      <c r="G17" s="2">
        <v>182200</v>
      </c>
      <c r="H17" s="2">
        <v>3500</v>
      </c>
      <c r="I17" s="71">
        <v>0.79</v>
      </c>
      <c r="J17" s="2">
        <v>189</v>
      </c>
      <c r="K17" s="2">
        <v>178</v>
      </c>
      <c r="L17" s="67">
        <v>121.6</v>
      </c>
      <c r="M17" s="23">
        <v>2</v>
      </c>
      <c r="N17" s="68" t="s">
        <v>123</v>
      </c>
      <c r="O17" s="68"/>
    </row>
    <row r="18" spans="1:15" ht="13.5" customHeight="1" x14ac:dyDescent="0.25">
      <c r="A18" s="59" t="s">
        <v>121</v>
      </c>
      <c r="B18" t="s">
        <v>125</v>
      </c>
      <c r="C18" s="5" t="s">
        <v>125</v>
      </c>
      <c r="D18" s="70">
        <v>42.16</v>
      </c>
      <c r="E18" s="70">
        <v>12.5</v>
      </c>
      <c r="F18" s="70">
        <v>35.9</v>
      </c>
      <c r="G18" s="2">
        <v>194700</v>
      </c>
      <c r="H18" s="2">
        <v>3300</v>
      </c>
      <c r="I18" s="71">
        <v>0.79</v>
      </c>
      <c r="J18" s="2">
        <v>220</v>
      </c>
      <c r="K18" s="2">
        <v>193</v>
      </c>
      <c r="L18" s="67">
        <v>128.9</v>
      </c>
      <c r="M18" s="23">
        <v>2</v>
      </c>
      <c r="N18" s="68" t="s">
        <v>123</v>
      </c>
      <c r="O18" s="68"/>
    </row>
    <row r="19" spans="1:15" ht="13.5" customHeight="1" x14ac:dyDescent="0.25">
      <c r="A19" s="59" t="s">
        <v>121</v>
      </c>
      <c r="B19" t="s">
        <v>126</v>
      </c>
      <c r="C19" s="5" t="s">
        <v>126</v>
      </c>
      <c r="D19" s="70">
        <v>43.8</v>
      </c>
      <c r="E19" s="70">
        <v>12.5</v>
      </c>
      <c r="F19" s="70">
        <v>35.9</v>
      </c>
      <c r="G19" s="2">
        <v>197900</v>
      </c>
      <c r="H19" s="2">
        <v>3100</v>
      </c>
      <c r="I19" s="71">
        <v>0.79</v>
      </c>
      <c r="J19" s="2">
        <v>230</v>
      </c>
      <c r="K19" s="2">
        <v>204</v>
      </c>
      <c r="L19" s="67">
        <v>134.9</v>
      </c>
      <c r="M19" s="23">
        <v>2</v>
      </c>
      <c r="N19" s="68" t="s">
        <v>123</v>
      </c>
      <c r="O19" s="68"/>
    </row>
    <row r="20" spans="1:15" ht="13.5" customHeight="1" x14ac:dyDescent="0.25">
      <c r="A20">
        <v>747</v>
      </c>
      <c r="B20" t="s">
        <v>127</v>
      </c>
      <c r="C20" s="64" t="s">
        <v>127</v>
      </c>
      <c r="D20" s="65">
        <v>70.7</v>
      </c>
      <c r="E20" s="65">
        <v>19.399999999999999</v>
      </c>
      <c r="F20" s="65">
        <v>64.400000000000006</v>
      </c>
      <c r="G20" s="23">
        <v>875000</v>
      </c>
      <c r="H20" s="23">
        <v>7260</v>
      </c>
      <c r="I20" s="66">
        <v>0.92</v>
      </c>
      <c r="J20" s="23">
        <v>660</v>
      </c>
      <c r="K20" s="23">
        <v>410</v>
      </c>
      <c r="L20" s="67"/>
      <c r="M20" s="23">
        <v>4</v>
      </c>
      <c r="N20" s="68" t="s">
        <v>128</v>
      </c>
      <c r="O20" s="68" t="s">
        <v>129</v>
      </c>
    </row>
    <row r="21" spans="1:15" ht="13.5" customHeight="1" x14ac:dyDescent="0.25">
      <c r="A21">
        <v>747</v>
      </c>
      <c r="B21" s="69" t="s">
        <v>130</v>
      </c>
      <c r="C21" s="64" t="s">
        <v>130</v>
      </c>
      <c r="D21" s="65">
        <v>70.7</v>
      </c>
      <c r="E21" s="65">
        <v>19.399999999999999</v>
      </c>
      <c r="F21" s="65">
        <v>64.400000000000006</v>
      </c>
      <c r="G21" s="23">
        <v>875000</v>
      </c>
      <c r="H21" s="23">
        <v>4445</v>
      </c>
      <c r="I21" s="66">
        <v>0.92</v>
      </c>
      <c r="J21" s="23" t="s">
        <v>96</v>
      </c>
      <c r="K21" s="23" t="s">
        <v>96</v>
      </c>
      <c r="L21" s="67"/>
      <c r="M21" s="23">
        <v>4</v>
      </c>
      <c r="N21" s="68" t="s">
        <v>131</v>
      </c>
      <c r="O21" s="68" t="s">
        <v>132</v>
      </c>
    </row>
    <row r="22" spans="1:15" ht="13.5" customHeight="1" x14ac:dyDescent="0.25">
      <c r="A22">
        <v>747</v>
      </c>
      <c r="B22" t="s">
        <v>133</v>
      </c>
      <c r="C22" s="64" t="s">
        <v>133</v>
      </c>
      <c r="D22" s="65">
        <v>76.3</v>
      </c>
      <c r="E22" s="65">
        <v>19.399999999999999</v>
      </c>
      <c r="F22" s="65">
        <v>68.400000000000006</v>
      </c>
      <c r="G22" s="23">
        <v>987000</v>
      </c>
      <c r="H22" s="23">
        <v>7730</v>
      </c>
      <c r="I22" s="66">
        <v>0.9</v>
      </c>
      <c r="J22" s="23">
        <v>605</v>
      </c>
      <c r="K22" s="23">
        <v>410</v>
      </c>
      <c r="L22" s="67">
        <v>418.4</v>
      </c>
      <c r="M22" s="23">
        <v>4</v>
      </c>
      <c r="N22" s="68" t="s">
        <v>134</v>
      </c>
      <c r="O22" s="68" t="s">
        <v>135</v>
      </c>
    </row>
    <row r="23" spans="1:15" ht="13.5" customHeight="1" x14ac:dyDescent="0.25">
      <c r="B23" t="s">
        <v>136</v>
      </c>
      <c r="C23" s="64" t="s">
        <v>136</v>
      </c>
      <c r="D23" s="65">
        <v>47.3</v>
      </c>
      <c r="E23" s="65">
        <v>13.6</v>
      </c>
      <c r="F23" s="65">
        <v>38.1</v>
      </c>
      <c r="G23" s="23">
        <v>255000</v>
      </c>
      <c r="H23" s="23">
        <v>4100</v>
      </c>
      <c r="I23" s="66">
        <v>0.86</v>
      </c>
      <c r="J23" s="23">
        <v>239</v>
      </c>
      <c r="K23" s="23">
        <v>200</v>
      </c>
      <c r="L23" s="67"/>
      <c r="M23" s="23">
        <v>2</v>
      </c>
      <c r="N23" s="68" t="s">
        <v>137</v>
      </c>
      <c r="O23" s="68" t="s">
        <v>138</v>
      </c>
    </row>
    <row r="24" spans="1:15" ht="13.5" customHeight="1" x14ac:dyDescent="0.25">
      <c r="B24" t="s">
        <v>139</v>
      </c>
      <c r="C24" s="64" t="s">
        <v>139</v>
      </c>
      <c r="D24" s="65">
        <v>54.5</v>
      </c>
      <c r="E24" s="65">
        <v>13.6</v>
      </c>
      <c r="F24" s="65">
        <v>38.1</v>
      </c>
      <c r="G24" s="23">
        <v>272500</v>
      </c>
      <c r="H24" s="23">
        <v>3595</v>
      </c>
      <c r="I24" s="66">
        <v>0.86</v>
      </c>
      <c r="J24" s="23">
        <v>295</v>
      </c>
      <c r="K24" s="23">
        <v>243</v>
      </c>
      <c r="L24" s="67"/>
      <c r="M24" s="23">
        <v>2</v>
      </c>
      <c r="N24" s="68" t="s">
        <v>140</v>
      </c>
      <c r="O24" s="68" t="s">
        <v>141</v>
      </c>
    </row>
    <row r="25" spans="1:15" ht="13.5" customHeight="1" x14ac:dyDescent="0.25">
      <c r="B25" t="s">
        <v>142</v>
      </c>
      <c r="C25" s="64" t="s">
        <v>142</v>
      </c>
      <c r="D25" s="65">
        <v>54.9</v>
      </c>
      <c r="E25" s="65">
        <v>16.8</v>
      </c>
      <c r="F25" s="65">
        <v>47.6</v>
      </c>
      <c r="G25" s="23">
        <v>412000</v>
      </c>
      <c r="H25" s="23">
        <v>6310</v>
      </c>
      <c r="I25" s="66">
        <v>0.86</v>
      </c>
      <c r="J25" s="23">
        <v>351</v>
      </c>
      <c r="K25" s="23">
        <v>269</v>
      </c>
      <c r="L25" s="67">
        <v>217.9</v>
      </c>
      <c r="M25" s="23">
        <v>2</v>
      </c>
      <c r="N25" s="68" t="s">
        <v>143</v>
      </c>
      <c r="O25" s="68" t="s">
        <v>144</v>
      </c>
    </row>
    <row r="26" spans="1:15" ht="13.5" customHeight="1" x14ac:dyDescent="0.25">
      <c r="B26" t="s">
        <v>145</v>
      </c>
      <c r="C26" s="64" t="s">
        <v>145</v>
      </c>
      <c r="D26" s="65">
        <v>61.4</v>
      </c>
      <c r="E26" s="65">
        <v>16.8</v>
      </c>
      <c r="F26" s="65">
        <v>51.9</v>
      </c>
      <c r="G26" s="23">
        <v>450000</v>
      </c>
      <c r="H26" s="23">
        <v>5625</v>
      </c>
      <c r="I26" s="66">
        <v>0.86</v>
      </c>
      <c r="J26" s="23">
        <v>375</v>
      </c>
      <c r="K26" s="23">
        <v>304</v>
      </c>
      <c r="L26" s="67"/>
      <c r="M26" s="23">
        <v>2</v>
      </c>
      <c r="N26" s="68" t="s">
        <v>146</v>
      </c>
      <c r="O26" s="68" t="s">
        <v>147</v>
      </c>
    </row>
    <row r="27" spans="1:15" ht="13.5" customHeight="1" x14ac:dyDescent="0.25">
      <c r="B27" t="s">
        <v>148</v>
      </c>
      <c r="C27" s="64" t="s">
        <v>148</v>
      </c>
      <c r="D27" s="65">
        <v>63.7</v>
      </c>
      <c r="E27" s="65">
        <v>18.5</v>
      </c>
      <c r="F27" s="65">
        <v>60.9</v>
      </c>
      <c r="G27" s="23">
        <v>656000</v>
      </c>
      <c r="H27" s="23">
        <v>7065</v>
      </c>
      <c r="I27" s="66">
        <v>0.89</v>
      </c>
      <c r="J27" s="23">
        <v>440</v>
      </c>
      <c r="K27" s="23">
        <v>313</v>
      </c>
      <c r="L27" s="67">
        <v>306.60000000000002</v>
      </c>
      <c r="M27" s="23">
        <v>2</v>
      </c>
      <c r="N27" s="68" t="s">
        <v>149</v>
      </c>
      <c r="O27" s="68" t="s">
        <v>150</v>
      </c>
    </row>
    <row r="28" spans="1:15" ht="13.5" customHeight="1" x14ac:dyDescent="0.25">
      <c r="B28" t="s">
        <v>151</v>
      </c>
      <c r="C28" s="64" t="s">
        <v>151</v>
      </c>
      <c r="D28" s="65">
        <v>63.7</v>
      </c>
      <c r="E28" s="65">
        <v>18.600000000000001</v>
      </c>
      <c r="F28" s="65">
        <v>64.8</v>
      </c>
      <c r="G28" s="23">
        <v>766000</v>
      </c>
      <c r="H28" s="23">
        <v>8555</v>
      </c>
      <c r="I28" s="66">
        <v>0.89</v>
      </c>
      <c r="J28" s="23">
        <v>440</v>
      </c>
      <c r="K28" s="23">
        <v>317</v>
      </c>
      <c r="L28" s="67">
        <v>346.9</v>
      </c>
      <c r="M28" s="23">
        <v>2</v>
      </c>
      <c r="N28" s="68" t="s">
        <v>152</v>
      </c>
      <c r="O28" s="68" t="s">
        <v>153</v>
      </c>
    </row>
    <row r="29" spans="1:15" ht="13.5" customHeight="1" x14ac:dyDescent="0.25">
      <c r="B29" t="s">
        <v>154</v>
      </c>
      <c r="C29" s="64" t="s">
        <v>154</v>
      </c>
      <c r="D29" s="65">
        <v>73.900000000000006</v>
      </c>
      <c r="E29" s="65">
        <v>18.5</v>
      </c>
      <c r="F29" s="65">
        <v>64.8</v>
      </c>
      <c r="G29" s="23">
        <v>775000</v>
      </c>
      <c r="H29" s="23">
        <v>7370</v>
      </c>
      <c r="I29" s="66">
        <v>0.89</v>
      </c>
      <c r="J29" s="23">
        <v>550</v>
      </c>
      <c r="K29" s="23">
        <v>396</v>
      </c>
      <c r="L29" s="67">
        <v>375.5</v>
      </c>
      <c r="M29" s="23">
        <v>2</v>
      </c>
      <c r="N29" s="68" t="s">
        <v>155</v>
      </c>
      <c r="O29" s="68" t="s">
        <v>156</v>
      </c>
    </row>
    <row r="30" spans="1:15" ht="13.5" customHeight="1" x14ac:dyDescent="0.25">
      <c r="B30" s="69" t="s">
        <v>157</v>
      </c>
      <c r="C30" s="64" t="s">
        <v>157</v>
      </c>
      <c r="D30" s="65">
        <v>63.7</v>
      </c>
      <c r="E30" s="65">
        <v>18.600000000000001</v>
      </c>
      <c r="F30" s="65">
        <v>64.8</v>
      </c>
      <c r="G30" s="23">
        <v>766800</v>
      </c>
      <c r="H30" s="23">
        <v>4970</v>
      </c>
      <c r="I30" s="66">
        <v>0.89</v>
      </c>
      <c r="J30" s="23" t="s">
        <v>96</v>
      </c>
      <c r="K30" s="23" t="s">
        <v>96</v>
      </c>
      <c r="L30" s="67">
        <v>352.3</v>
      </c>
      <c r="M30" s="23">
        <v>2</v>
      </c>
      <c r="N30" s="68" t="s">
        <v>152</v>
      </c>
      <c r="O30" s="68" t="s">
        <v>158</v>
      </c>
    </row>
    <row r="31" spans="1:15" x14ac:dyDescent="0.25">
      <c r="A31" t="s">
        <v>159</v>
      </c>
      <c r="B31" t="s">
        <v>160</v>
      </c>
      <c r="C31" t="s">
        <v>160</v>
      </c>
      <c r="D31" s="70">
        <v>70.86</v>
      </c>
      <c r="E31" s="70">
        <v>19.48</v>
      </c>
      <c r="F31" s="70">
        <v>71.75</v>
      </c>
      <c r="G31" s="2">
        <v>775000</v>
      </c>
      <c r="H31" s="2">
        <v>8745</v>
      </c>
      <c r="I31" s="71">
        <v>0.85</v>
      </c>
      <c r="J31" s="2">
        <v>395</v>
      </c>
      <c r="K31" s="2"/>
      <c r="L31" s="67">
        <v>410.2</v>
      </c>
      <c r="M31" s="4">
        <v>2</v>
      </c>
      <c r="N31" s="68" t="s">
        <v>161</v>
      </c>
    </row>
    <row r="32" spans="1:15" x14ac:dyDescent="0.25">
      <c r="A32" t="s">
        <v>159</v>
      </c>
      <c r="B32" t="s">
        <v>162</v>
      </c>
      <c r="C32" t="s">
        <v>162</v>
      </c>
      <c r="D32" s="70">
        <v>76.72</v>
      </c>
      <c r="E32" s="70">
        <v>19.48</v>
      </c>
      <c r="F32" s="70">
        <v>71.75</v>
      </c>
      <c r="G32" s="2">
        <v>775000</v>
      </c>
      <c r="H32" s="2">
        <v>7285</v>
      </c>
      <c r="I32" s="71">
        <v>0.85</v>
      </c>
      <c r="J32" s="2">
        <v>414</v>
      </c>
      <c r="K32" s="2"/>
      <c r="L32" s="67">
        <v>442.2</v>
      </c>
      <c r="M32" s="4">
        <v>2</v>
      </c>
      <c r="N32" s="68" t="s">
        <v>161</v>
      </c>
    </row>
    <row r="33" spans="1:15" ht="13.5" customHeight="1" x14ac:dyDescent="0.25">
      <c r="A33" t="s">
        <v>163</v>
      </c>
      <c r="B33" t="s">
        <v>164</v>
      </c>
      <c r="C33" s="64" t="s">
        <v>164</v>
      </c>
      <c r="D33" s="65">
        <v>56.7</v>
      </c>
      <c r="E33" s="65">
        <v>17</v>
      </c>
      <c r="F33" s="65">
        <v>60.2</v>
      </c>
      <c r="G33" s="23">
        <v>502500</v>
      </c>
      <c r="H33" s="23">
        <v>7355</v>
      </c>
      <c r="I33" s="66">
        <v>0.9</v>
      </c>
      <c r="J33" s="23">
        <v>381</v>
      </c>
      <c r="K33" s="23">
        <v>242</v>
      </c>
      <c r="L33" s="67">
        <v>248.3</v>
      </c>
      <c r="M33" s="23">
        <v>2</v>
      </c>
      <c r="N33" s="68" t="s">
        <v>165</v>
      </c>
      <c r="O33" s="68" t="s">
        <v>166</v>
      </c>
    </row>
    <row r="34" spans="1:15" ht="13.5" customHeight="1" x14ac:dyDescent="0.25">
      <c r="A34" t="s">
        <v>163</v>
      </c>
      <c r="B34" t="s">
        <v>167</v>
      </c>
      <c r="C34" s="64" t="s">
        <v>167</v>
      </c>
      <c r="D34" s="65">
        <v>63</v>
      </c>
      <c r="E34" s="65">
        <v>17</v>
      </c>
      <c r="F34" s="65">
        <v>60.2</v>
      </c>
      <c r="G34" s="23">
        <v>560000</v>
      </c>
      <c r="H34" s="23">
        <v>7635</v>
      </c>
      <c r="I34" s="66">
        <v>0.9</v>
      </c>
      <c r="J34" s="23">
        <v>420</v>
      </c>
      <c r="K34" s="23">
        <v>290</v>
      </c>
      <c r="L34" s="67">
        <v>292.5</v>
      </c>
      <c r="M34" s="23">
        <v>2</v>
      </c>
      <c r="N34" s="68" t="s">
        <v>165</v>
      </c>
      <c r="O34" s="68" t="s">
        <v>168</v>
      </c>
    </row>
    <row r="35" spans="1:15" ht="13.5" customHeight="1" x14ac:dyDescent="0.25">
      <c r="A35" t="s">
        <v>163</v>
      </c>
      <c r="B35" t="s">
        <v>169</v>
      </c>
      <c r="C35" s="64" t="s">
        <v>169</v>
      </c>
      <c r="D35" s="65">
        <v>68.3</v>
      </c>
      <c r="E35" s="65">
        <v>17</v>
      </c>
      <c r="F35" s="65">
        <v>60.2</v>
      </c>
      <c r="G35" s="23">
        <v>560000</v>
      </c>
      <c r="H35" s="23">
        <v>6430</v>
      </c>
      <c r="I35" s="66">
        <v>0.9</v>
      </c>
      <c r="J35" s="23">
        <v>450</v>
      </c>
      <c r="K35" s="23">
        <v>330</v>
      </c>
      <c r="L35" s="67">
        <v>338.4</v>
      </c>
      <c r="M35" s="23">
        <v>2</v>
      </c>
      <c r="N35" s="68" t="s">
        <v>165</v>
      </c>
      <c r="O35" s="68"/>
    </row>
    <row r="36" spans="1:15" ht="13.5" customHeight="1" x14ac:dyDescent="0.25">
      <c r="B36" t="s">
        <v>170</v>
      </c>
      <c r="C36" s="64" t="s">
        <v>170</v>
      </c>
      <c r="D36" s="65">
        <v>26.8</v>
      </c>
      <c r="E36" s="65">
        <v>6.2</v>
      </c>
      <c r="F36" s="65">
        <v>21.2</v>
      </c>
      <c r="G36" s="23">
        <v>53000</v>
      </c>
      <c r="H36" s="23">
        <v>1620</v>
      </c>
      <c r="I36" s="66">
        <v>0.81</v>
      </c>
      <c r="J36" s="23">
        <v>50</v>
      </c>
      <c r="K36" s="23">
        <v>50</v>
      </c>
      <c r="L36" s="67"/>
      <c r="M36" s="23">
        <v>2</v>
      </c>
      <c r="N36" s="68" t="s">
        <v>171</v>
      </c>
      <c r="O36" s="68" t="s">
        <v>172</v>
      </c>
    </row>
    <row r="37" spans="1:15" ht="13.5" customHeight="1" x14ac:dyDescent="0.25">
      <c r="B37" t="s">
        <v>173</v>
      </c>
      <c r="C37" s="64" t="s">
        <v>173</v>
      </c>
      <c r="D37" s="65">
        <v>26.8</v>
      </c>
      <c r="E37" s="65">
        <v>6.2</v>
      </c>
      <c r="F37" s="65">
        <v>21.2</v>
      </c>
      <c r="G37" s="23">
        <v>53000</v>
      </c>
      <c r="H37" s="23">
        <v>1644</v>
      </c>
      <c r="I37" s="66">
        <v>0.81</v>
      </c>
      <c r="J37" s="23">
        <v>50</v>
      </c>
      <c r="K37" s="23">
        <v>50</v>
      </c>
      <c r="L37" s="67"/>
      <c r="M37" s="23">
        <v>2</v>
      </c>
      <c r="N37" s="68" t="s">
        <v>174</v>
      </c>
      <c r="O37" s="68" t="s">
        <v>172</v>
      </c>
    </row>
    <row r="38" spans="1:15" ht="13.5" customHeight="1" x14ac:dyDescent="0.25">
      <c r="B38" t="s">
        <v>175</v>
      </c>
      <c r="C38" s="64" t="s">
        <v>175</v>
      </c>
      <c r="D38" s="65">
        <v>32.299999999999997</v>
      </c>
      <c r="E38" s="65">
        <v>7.6</v>
      </c>
      <c r="F38" s="65">
        <v>23.2</v>
      </c>
      <c r="G38" s="23">
        <v>75000</v>
      </c>
      <c r="H38" s="23">
        <v>1378</v>
      </c>
      <c r="I38" s="66">
        <v>0.82499999999999996</v>
      </c>
      <c r="J38" s="23">
        <v>78</v>
      </c>
      <c r="K38" s="23">
        <v>66</v>
      </c>
      <c r="L38" s="67"/>
      <c r="M38" s="23">
        <v>2</v>
      </c>
      <c r="N38" s="68" t="s">
        <v>176</v>
      </c>
      <c r="O38" s="68" t="s">
        <v>177</v>
      </c>
    </row>
    <row r="39" spans="1:15" ht="13.5" customHeight="1" x14ac:dyDescent="0.25">
      <c r="B39" t="s">
        <v>178</v>
      </c>
      <c r="C39" s="64" t="s">
        <v>178</v>
      </c>
      <c r="D39" s="65">
        <v>36.4</v>
      </c>
      <c r="E39" s="65">
        <v>7.5</v>
      </c>
      <c r="F39" s="65">
        <v>24.9</v>
      </c>
      <c r="G39" s="23">
        <v>82500</v>
      </c>
      <c r="H39" s="23">
        <v>1317</v>
      </c>
      <c r="I39" s="66">
        <v>0.8</v>
      </c>
      <c r="J39" s="23">
        <v>90</v>
      </c>
      <c r="K39" s="23">
        <v>79</v>
      </c>
      <c r="L39" s="67"/>
      <c r="M39" s="23">
        <v>2</v>
      </c>
      <c r="N39" s="68" t="s">
        <v>179</v>
      </c>
      <c r="O39" s="68" t="s">
        <v>180</v>
      </c>
    </row>
    <row r="40" spans="1:15" ht="13.5" customHeight="1" x14ac:dyDescent="0.25">
      <c r="B40" t="s">
        <v>181</v>
      </c>
      <c r="C40" s="64" t="s">
        <v>181</v>
      </c>
      <c r="D40" s="65">
        <v>39.1</v>
      </c>
      <c r="E40" s="65">
        <v>7.5</v>
      </c>
      <c r="F40" s="65">
        <v>26.2</v>
      </c>
      <c r="G40" s="23">
        <v>91800</v>
      </c>
      <c r="H40" s="23">
        <v>1622</v>
      </c>
      <c r="I40" s="66">
        <v>0.82</v>
      </c>
      <c r="J40" s="23">
        <v>50</v>
      </c>
      <c r="K40" s="23">
        <v>50</v>
      </c>
      <c r="L40" s="67"/>
      <c r="M40" s="23">
        <v>2</v>
      </c>
      <c r="N40" s="68" t="s">
        <v>182</v>
      </c>
      <c r="O40" s="68" t="s">
        <v>183</v>
      </c>
    </row>
    <row r="41" spans="1:15" ht="13.5" customHeight="1" x14ac:dyDescent="0.25">
      <c r="B41" t="s">
        <v>184</v>
      </c>
      <c r="C41" s="64" t="s">
        <v>184</v>
      </c>
      <c r="D41" s="65">
        <v>29.9</v>
      </c>
      <c r="E41" s="65">
        <v>9.6999999999999993</v>
      </c>
      <c r="F41" s="65">
        <v>26</v>
      </c>
      <c r="G41" s="23">
        <v>82000</v>
      </c>
      <c r="H41" s="23">
        <v>2100</v>
      </c>
      <c r="I41" s="66">
        <v>0.82</v>
      </c>
      <c r="J41" s="23">
        <v>80</v>
      </c>
      <c r="K41" s="23">
        <v>70</v>
      </c>
      <c r="L41" s="67">
        <v>26.5</v>
      </c>
      <c r="M41" s="23">
        <v>2</v>
      </c>
      <c r="N41" s="68" t="s">
        <v>185</v>
      </c>
      <c r="O41" s="68" t="s">
        <v>186</v>
      </c>
    </row>
    <row r="42" spans="1:15" ht="13.5" customHeight="1" x14ac:dyDescent="0.25">
      <c r="B42" t="s">
        <v>187</v>
      </c>
      <c r="C42" s="64" t="s">
        <v>187</v>
      </c>
      <c r="D42" s="65">
        <v>31.7</v>
      </c>
      <c r="E42" s="65">
        <v>9.6999999999999993</v>
      </c>
      <c r="F42" s="65">
        <v>28.7</v>
      </c>
      <c r="G42" s="23">
        <v>85520</v>
      </c>
      <c r="H42" s="23">
        <v>2150</v>
      </c>
      <c r="I42" s="66">
        <v>0.82</v>
      </c>
      <c r="J42" s="23">
        <v>88</v>
      </c>
      <c r="K42" s="23">
        <v>78</v>
      </c>
      <c r="L42" s="67">
        <v>28</v>
      </c>
      <c r="M42" s="23">
        <v>2</v>
      </c>
      <c r="N42" s="68" t="s">
        <v>185</v>
      </c>
      <c r="O42" s="68" t="s">
        <v>188</v>
      </c>
    </row>
    <row r="43" spans="1:15" ht="13.5" customHeight="1" x14ac:dyDescent="0.25">
      <c r="B43" t="s">
        <v>189</v>
      </c>
      <c r="C43" s="64" t="s">
        <v>189</v>
      </c>
      <c r="D43" s="65">
        <v>36.200000000000003</v>
      </c>
      <c r="E43" s="65">
        <v>10.6</v>
      </c>
      <c r="F43" s="65">
        <v>28.7</v>
      </c>
      <c r="G43" s="23">
        <v>110900</v>
      </c>
      <c r="H43" s="23">
        <v>2400</v>
      </c>
      <c r="I43" s="66">
        <v>0.82</v>
      </c>
      <c r="J43" s="23">
        <v>114</v>
      </c>
      <c r="K43" s="23">
        <v>94</v>
      </c>
      <c r="L43" s="67">
        <v>32</v>
      </c>
      <c r="M43" s="23">
        <v>2</v>
      </c>
      <c r="N43" s="68" t="s">
        <v>190</v>
      </c>
      <c r="O43" s="68" t="s">
        <v>191</v>
      </c>
    </row>
    <row r="44" spans="1:15" ht="13.5" customHeight="1" x14ac:dyDescent="0.25">
      <c r="B44" t="s">
        <v>192</v>
      </c>
      <c r="C44" s="64" t="s">
        <v>192</v>
      </c>
      <c r="D44" s="65">
        <v>38.700000000000003</v>
      </c>
      <c r="E44" s="65">
        <v>10.6</v>
      </c>
      <c r="F44" s="65">
        <v>28.7</v>
      </c>
      <c r="G44" s="23">
        <v>111970</v>
      </c>
      <c r="H44" s="23">
        <v>2000</v>
      </c>
      <c r="I44" s="66">
        <v>0.82</v>
      </c>
      <c r="J44" s="23">
        <v>122</v>
      </c>
      <c r="K44" s="23">
        <v>106</v>
      </c>
      <c r="L44" s="67">
        <v>40</v>
      </c>
      <c r="M44" s="23">
        <v>2</v>
      </c>
      <c r="N44" s="68" t="s">
        <v>190</v>
      </c>
      <c r="O44" s="68" t="s">
        <v>193</v>
      </c>
    </row>
    <row r="65" spans="1:1" x14ac:dyDescent="0.25">
      <c r="A65" t="s">
        <v>194</v>
      </c>
    </row>
    <row r="66" spans="1:1" x14ac:dyDescent="0.25">
      <c r="A66" s="5" t="s">
        <v>195</v>
      </c>
    </row>
    <row r="67" spans="1:1" x14ac:dyDescent="0.25">
      <c r="A67" s="5" t="s">
        <v>196</v>
      </c>
    </row>
    <row r="68" spans="1:1" x14ac:dyDescent="0.25">
      <c r="A68" s="5" t="s">
        <v>197</v>
      </c>
    </row>
    <row r="69" spans="1:1" x14ac:dyDescent="0.25">
      <c r="A69" s="5" t="s">
        <v>198</v>
      </c>
    </row>
  </sheetData>
  <autoFilter ref="H2:H44" xr:uid="{C3BBB2F9-C6AD-4A25-ACD2-640C2B3C83D0}"/>
  <conditionalFormatting sqref="D2:D44">
    <cfRule type="colorScale" priority="10">
      <colorScale>
        <cfvo type="min"/>
        <cfvo type="max"/>
        <color theme="4" tint="0.39997558519241921"/>
        <color theme="9" tint="0.39997558519241921"/>
      </colorScale>
    </cfRule>
  </conditionalFormatting>
  <conditionalFormatting sqref="E2:E44">
    <cfRule type="colorScale" priority="9">
      <colorScale>
        <cfvo type="min"/>
        <cfvo type="max"/>
        <color theme="4" tint="0.39997558519241921"/>
        <color theme="9" tint="0.39997558519241921"/>
      </colorScale>
    </cfRule>
  </conditionalFormatting>
  <conditionalFormatting sqref="F2:F44">
    <cfRule type="colorScale" priority="8">
      <colorScale>
        <cfvo type="min"/>
        <cfvo type="max"/>
        <color theme="4" tint="0.39997558519241921"/>
        <color theme="9" tint="0.39997558519241921"/>
      </colorScale>
    </cfRule>
  </conditionalFormatting>
  <conditionalFormatting sqref="G2:G44">
    <cfRule type="colorScale" priority="7">
      <colorScale>
        <cfvo type="min"/>
        <cfvo type="max"/>
        <color theme="4" tint="0.39997558519241921"/>
        <color theme="9" tint="0.39997558519241921"/>
      </colorScale>
    </cfRule>
  </conditionalFormatting>
  <conditionalFormatting sqref="H2:H44">
    <cfRule type="colorScale" priority="6">
      <colorScale>
        <cfvo type="min"/>
        <cfvo type="max"/>
        <color theme="4" tint="0.39997558519241921"/>
        <color theme="9" tint="0.39997558519241921"/>
      </colorScale>
    </cfRule>
  </conditionalFormatting>
  <conditionalFormatting sqref="I2:I44">
    <cfRule type="colorScale" priority="5">
      <colorScale>
        <cfvo type="min"/>
        <cfvo type="max"/>
        <color theme="4" tint="0.39997558519241921"/>
        <color theme="9" tint="0.39997558519241921"/>
      </colorScale>
    </cfRule>
  </conditionalFormatting>
  <conditionalFormatting sqref="J2:J44">
    <cfRule type="colorScale" priority="4">
      <colorScale>
        <cfvo type="min"/>
        <cfvo type="max"/>
        <color theme="4" tint="0.39997558519241921"/>
        <color theme="9" tint="0.39997558519241921"/>
      </colorScale>
    </cfRule>
  </conditionalFormatting>
  <conditionalFormatting sqref="K2:K44">
    <cfRule type="colorScale" priority="3">
      <colorScale>
        <cfvo type="min"/>
        <cfvo type="max"/>
        <color theme="4" tint="0.39997558519241921"/>
        <color theme="9" tint="0.39997558519241921"/>
      </colorScale>
    </cfRule>
  </conditionalFormatting>
  <conditionalFormatting sqref="L2:L4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44">
    <cfRule type="colorScale" priority="1">
      <colorScale>
        <cfvo type="min"/>
        <cfvo type="max"/>
        <color theme="4" tint="0.59999389629810485"/>
        <color theme="9" tint="0.39997558519241921"/>
      </colorScale>
    </cfRule>
  </conditionalFormatting>
  <hyperlinks>
    <hyperlink ref="C6" r:id="rId1" display="http://www.axonaviation.com/commercial-aircraft/aircraft-data/airbus-a330-200" xr:uid="{AE6FB912-CC9E-44F9-92DE-1D7B624BE0F8}"/>
    <hyperlink ref="C7" r:id="rId2" display="http://www.axonaviation.com/commercial-aircraft/aircraft-data/airbus-a330-200f" xr:uid="{4847B23F-CCE9-474C-A93E-DD257D7BC553}"/>
    <hyperlink ref="C8" r:id="rId3" display="http://www.axonaviation.com/commercial-aircraft/aircraft-data/airbus-a330-300" xr:uid="{739AA69F-457A-4D31-AB66-BC9A24CD41D7}"/>
    <hyperlink ref="C9" r:id="rId4" display="http://www.axonaviation.com/commercial-aircraft/aircraft-data/airbus-a340-300" xr:uid="{2EF89059-037F-4E29-8D61-9DE963748681}"/>
    <hyperlink ref="C10" r:id="rId5" display="http://www.axonaviation.com/commercial-aircraft/aircraft-data/airbus-a350-900lr" xr:uid="{286D2346-46D6-4CE5-9E97-082FF21801CF}"/>
    <hyperlink ref="C11" r:id="rId6" display="http://www.axonaviation.com/commercial-aircraft/aircraft-data/airbus-a350-1000" xr:uid="{57A4E37B-2252-4DFE-AD06-898614AFD9CD}"/>
    <hyperlink ref="C12" r:id="rId7" display="http://www.axonaviation.com/commercial-aircraft/aircraft-data/airbus-a380" xr:uid="{067F684C-E740-41CC-AB4D-160621B19012}"/>
    <hyperlink ref="C13" r:id="rId8" display="http://www.axonaviation.com/commercial-aircraft/aircraft-data/boeing-737-700" xr:uid="{55DF1B96-B165-48F8-8E9D-38E9DF418F49}"/>
    <hyperlink ref="C14" r:id="rId9" display="http://www.axonaviation.com/commercial-aircraft/aircraft-data/boeing-737-800" xr:uid="{553FE6FE-90A0-4767-82A3-62E2D12F53FC}"/>
    <hyperlink ref="C15" r:id="rId10" display="http://www.axonaviation.com/commercial-aircraft/aircraft-data/boeing-737-900er" xr:uid="{8E1B8674-B870-416F-8300-E1CB55C70E79}"/>
    <hyperlink ref="C20" r:id="rId11" display="http://www.axonaviation.com/commercial-aircraft/aircraft-data/boeing-747-400" xr:uid="{B8F4FE43-8A2F-4B21-AEBD-438E24A5447A}"/>
    <hyperlink ref="C21" r:id="rId12" display="http://www.axonaviation.com/commercial-aircraft/aircraft-data/boeing-747-400f" xr:uid="{2C8870FE-EC6E-48B1-96A3-0BF68E890A7C}"/>
    <hyperlink ref="C22" r:id="rId13" display="http://www.axonaviation.com/commercial-aircraft/aircraft-data/boeing-747-8i" xr:uid="{7908EE18-597A-46B1-A13E-2730B4E5136C}"/>
    <hyperlink ref="C23" r:id="rId14" display="http://www.axonaviation.com/commercial-aircraft/aircraft-data/boeing-757-200" xr:uid="{C5EA2C5F-AD11-44D9-8386-AE46874394D5}"/>
    <hyperlink ref="C24" r:id="rId15" display="http://www.axonaviation.com/commercial-aircraft/aircraft-data/boeing-757-300" xr:uid="{9413A658-25E8-40B0-AB7A-8DBDD7838138}"/>
    <hyperlink ref="C25" r:id="rId16" display="http://www.axonaviation.com/commercial-aircraft/aircraft-data/boeing-767-300er" xr:uid="{A733C776-1C12-476C-990C-5869A3B48BF6}"/>
    <hyperlink ref="C26" r:id="rId17" display="http://www.axonaviation.com/commercial-aircraft/aircraft-data/boeing-767-400er" xr:uid="{42B99699-F66B-4C48-A63C-4D2E1EA379B5}"/>
    <hyperlink ref="C27" r:id="rId18" display="http://www.axonaviation.com/commercial-aircraft/aircraft-data/boeing-777-200er" xr:uid="{0525BFDA-B06E-44F1-8EA3-71395C50C89B}"/>
    <hyperlink ref="C28" r:id="rId19" display="http://www.axonaviation.com/commercial-aircraft/aircraft-data/boeing-777-200lr" xr:uid="{3455CF92-0892-44A4-B7FD-20FC60E4FCDB}"/>
    <hyperlink ref="C29" r:id="rId20" display="http://www.axonaviation.com/commercial-aircraft/aircraft-data/boeing-777-300er" xr:uid="{F6067CF2-1B98-423F-AA31-2C40F95FA8F7}"/>
    <hyperlink ref="C30" r:id="rId21" display="http://www.axonaviation.com/commercial-aircraft/aircraft-data/boeing-777f" xr:uid="{EC480C9A-81FD-4584-8CCF-9AB38A04F36A}"/>
    <hyperlink ref="C33" r:id="rId22" display="http://www.axonaviation.com/commercial-aircraft/aircraft-data/boeing-787-8" xr:uid="{858FAFD7-443A-4C66-B223-44B5FCE5EC0B}"/>
    <hyperlink ref="C34" r:id="rId23" display="http://www.axonaviation.com/commercial-aircraft/aircraft-data/boeing-787-9" xr:uid="{61B0B249-B7EF-4101-B252-F3A419A8463A}"/>
    <hyperlink ref="C35" r:id="rId24" display="http://www.axonaviation.com/commercial-aircraft/aircraft-data/boeing-787-10" xr:uid="{1FDCF01F-FECD-4779-AFBA-DB909170CFEA}"/>
    <hyperlink ref="C36" r:id="rId25" display="http://www.axonaviation.com/commercial-aircraft/aircraft-data/bombardier-crj100" xr:uid="{1896920B-1D4D-4542-BF95-3DB157FB7775}"/>
    <hyperlink ref="C37" r:id="rId26" display="http://www.axonaviation.com/commercial-aircraft/aircraft-data/bombardier-crj200" xr:uid="{7A66E5BD-0F10-44F5-9A3A-6F1A7EB8236D}"/>
    <hyperlink ref="C38" r:id="rId27" display="http://www.axonaviation.com/commercial-aircraft/aircraft-data/bombardier-crj700" xr:uid="{A2596C83-89C3-4B81-A63E-034DE142C2FE}"/>
    <hyperlink ref="C39" r:id="rId28" display="http://www.axonaviation.com/commercial-aircraft/aircraft-data/bombardier-crj900" xr:uid="{C10696AC-1F3B-4A2A-A644-874C568AA988}"/>
    <hyperlink ref="C40" r:id="rId29" display="http://www.axonaviation.com/commercial-aircraft/aircraft-data/bombardier-crj1000" xr:uid="{A3211D46-9B29-4CFD-9820-8EF57981EAB4}"/>
    <hyperlink ref="C41" r:id="rId30" display="http://www.axonaviation.com/commercial-aircraft/aircraft-data/embraer-170" xr:uid="{172186AA-942A-4F36-87FE-27506298AB96}"/>
    <hyperlink ref="C42" r:id="rId31" display="http://www.axonaviation.com/commercial-aircraft/aircraft-data/embraer-175" xr:uid="{808135B6-2DB3-4BF5-9FF5-3391710B0818}"/>
    <hyperlink ref="C43" r:id="rId32" display="http://www.axonaviation.com/commercial-aircraft/aircraft-data/embraer-190" xr:uid="{C815BB4B-540B-49C0-B068-5A64C6700501}"/>
    <hyperlink ref="C44" r:id="rId33" display="http://www.axonaviation.com/commercial-aircraft/aircraft-data/embraer-195" xr:uid="{819B7B01-4689-4C8B-942E-C9E78CE9A549}"/>
    <hyperlink ref="C16" r:id="rId34" xr:uid="{0F2128C3-5B17-48D3-81BF-501FDF749838}"/>
    <hyperlink ref="C5" r:id="rId35" display="http://www.axonaviation.com/commercial-aircraft/aircraft-data/airbus-a321" xr:uid="{76645A72-BD99-4F3B-9B85-786F0501FE74}"/>
    <hyperlink ref="C4" r:id="rId36" display="http://www.axonaviation.com/commercial-aircraft/aircraft-data/airbus-a320" xr:uid="{1EA02633-CC78-4251-9495-D85FB51145AC}"/>
    <hyperlink ref="C3" r:id="rId37" display="http://www.axonaviation.com/commercial-aircraft/aircraft-data/airbus-a319" xr:uid="{F1741A54-5AD6-49A9-A6A0-9EDB1E914952}"/>
    <hyperlink ref="C2" r:id="rId38" display="http://www.axonaviation.com/commercial-aircraft/aircraft-data/airbus-a318" xr:uid="{69C2F974-A352-4B16-92F9-8EEBCE64CDA7}"/>
    <hyperlink ref="A66" r:id="rId39" xr:uid="{4C96468A-821B-4527-A459-DB34F67FA792}"/>
    <hyperlink ref="A67" r:id="rId40" xr:uid="{51897D6C-D16C-4B4A-9555-77684B211A1B}"/>
    <hyperlink ref="A68" r:id="rId41" xr:uid="{556E4141-3857-4B46-BCB2-343648D4FD50}"/>
    <hyperlink ref="A69" r:id="rId42" xr:uid="{B80AFFA5-2C15-40BA-91F7-095F928E2CAA}"/>
  </hyperlinks>
  <pageMargins left="0.7" right="0.7" top="0.75" bottom="0.75" header="0.3" footer="0.3"/>
  <pageSetup orientation="portrait" r:id="rId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F511E-33CF-487A-985D-82938617C0B2}">
  <dimension ref="A3:X99"/>
  <sheetViews>
    <sheetView tabSelected="1" workbookViewId="0">
      <selection activeCell="J92" sqref="J92"/>
    </sheetView>
  </sheetViews>
  <sheetFormatPr defaultRowHeight="15" x14ac:dyDescent="0.25"/>
  <cols>
    <col min="1" max="1" width="11.5703125" customWidth="1"/>
    <col min="6" max="6" width="9.7109375" customWidth="1"/>
    <col min="9" max="9" width="12.28515625" customWidth="1"/>
    <col min="10" max="10" width="10.5703125" customWidth="1"/>
    <col min="11" max="15" width="10.28515625" style="4" customWidth="1"/>
    <col min="17" max="21" width="11.7109375" customWidth="1"/>
    <col min="23" max="23" width="10.140625" customWidth="1"/>
  </cols>
  <sheetData>
    <row r="3" spans="1:23" x14ac:dyDescent="0.25">
      <c r="C3" s="17" t="s">
        <v>43</v>
      </c>
      <c r="D3" s="8"/>
      <c r="E3" s="8"/>
      <c r="F3" s="8"/>
      <c r="G3" s="9"/>
      <c r="I3" s="18" t="s">
        <v>29</v>
      </c>
      <c r="J3" s="19"/>
      <c r="K3" s="19"/>
      <c r="L3" s="19"/>
      <c r="M3" s="20"/>
      <c r="O3" s="18" t="s">
        <v>30</v>
      </c>
      <c r="P3" s="19"/>
      <c r="Q3" s="19"/>
      <c r="R3" s="19"/>
      <c r="S3" s="20"/>
      <c r="U3" s="18" t="s">
        <v>31</v>
      </c>
      <c r="V3" s="19"/>
      <c r="W3" s="20"/>
    </row>
    <row r="4" spans="1:23" s="21" customFormat="1" ht="37.5" customHeight="1" x14ac:dyDescent="0.25">
      <c r="C4" s="22" t="s">
        <v>14</v>
      </c>
      <c r="D4" s="21" t="s">
        <v>24</v>
      </c>
      <c r="E4" s="22" t="s">
        <v>15</v>
      </c>
      <c r="F4" s="22" t="s">
        <v>16</v>
      </c>
      <c r="G4" s="22" t="s">
        <v>17</v>
      </c>
      <c r="I4" s="23" t="s">
        <v>26</v>
      </c>
      <c r="J4" s="23" t="s">
        <v>27</v>
      </c>
      <c r="K4" s="23" t="s">
        <v>39</v>
      </c>
      <c r="L4" s="23" t="s">
        <v>28</v>
      </c>
      <c r="M4" s="23" t="s">
        <v>44</v>
      </c>
      <c r="O4" s="23" t="s">
        <v>45</v>
      </c>
      <c r="P4" s="23" t="s">
        <v>46</v>
      </c>
      <c r="Q4" s="23" t="s">
        <v>47</v>
      </c>
      <c r="R4" s="23" t="s">
        <v>48</v>
      </c>
      <c r="S4" s="23" t="s">
        <v>49</v>
      </c>
      <c r="U4" s="23" t="s">
        <v>37</v>
      </c>
      <c r="V4" s="23" t="s">
        <v>25</v>
      </c>
      <c r="W4" s="23" t="s">
        <v>50</v>
      </c>
    </row>
    <row r="5" spans="1:23" x14ac:dyDescent="0.25">
      <c r="A5" s="24" t="s">
        <v>20</v>
      </c>
      <c r="B5" s="24"/>
      <c r="C5">
        <f>C32</f>
        <v>385</v>
      </c>
      <c r="D5">
        <f>D32</f>
        <v>192</v>
      </c>
      <c r="E5">
        <f>E32</f>
        <v>483</v>
      </c>
      <c r="F5">
        <f>F32</f>
        <v>0</v>
      </c>
      <c r="G5">
        <f>G32</f>
        <v>0</v>
      </c>
      <c r="I5">
        <f>I32</f>
        <v>26</v>
      </c>
      <c r="J5">
        <f>J32</f>
        <v>190</v>
      </c>
      <c r="K5">
        <f>K32</f>
        <v>144</v>
      </c>
      <c r="L5">
        <f>L32</f>
        <v>106</v>
      </c>
      <c r="M5">
        <f>M32</f>
        <v>452</v>
      </c>
      <c r="N5"/>
      <c r="O5">
        <f>O32</f>
        <v>0</v>
      </c>
      <c r="P5">
        <f>P32</f>
        <v>25</v>
      </c>
      <c r="Q5">
        <f>Q32</f>
        <v>0</v>
      </c>
      <c r="R5">
        <f>R32</f>
        <v>329</v>
      </c>
      <c r="S5">
        <f>S32</f>
        <v>386</v>
      </c>
      <c r="U5">
        <f>U32</f>
        <v>28</v>
      </c>
      <c r="V5">
        <f>V32</f>
        <v>0</v>
      </c>
      <c r="W5">
        <f>W32</f>
        <v>30</v>
      </c>
    </row>
    <row r="6" spans="1:23" x14ac:dyDescent="0.25">
      <c r="A6" s="25" t="s">
        <v>22</v>
      </c>
      <c r="B6" s="25"/>
      <c r="C6">
        <f>C35</f>
        <v>110</v>
      </c>
      <c r="D6">
        <f>D35</f>
        <v>0</v>
      </c>
      <c r="E6">
        <f>E35</f>
        <v>0</v>
      </c>
      <c r="F6">
        <f>F35</f>
        <v>0</v>
      </c>
      <c r="G6">
        <f>G35</f>
        <v>0</v>
      </c>
      <c r="I6">
        <f>I35</f>
        <v>0</v>
      </c>
      <c r="J6">
        <f>J35</f>
        <v>63</v>
      </c>
      <c r="K6">
        <f>K35</f>
        <v>30</v>
      </c>
      <c r="L6">
        <f>L35</f>
        <v>42</v>
      </c>
      <c r="M6">
        <f>M35</f>
        <v>59</v>
      </c>
      <c r="N6"/>
      <c r="O6">
        <f>O35</f>
        <v>77</v>
      </c>
      <c r="P6">
        <f>P35</f>
        <v>29</v>
      </c>
      <c r="Q6">
        <f>Q35</f>
        <v>24</v>
      </c>
      <c r="R6">
        <f>R35</f>
        <v>45</v>
      </c>
      <c r="S6">
        <f>S35</f>
        <v>76</v>
      </c>
      <c r="U6">
        <f>U35</f>
        <v>76</v>
      </c>
      <c r="V6">
        <f>V35</f>
        <v>120</v>
      </c>
      <c r="W6">
        <f>W35</f>
        <v>11</v>
      </c>
    </row>
    <row r="7" spans="1:23" x14ac:dyDescent="0.25">
      <c r="A7" s="26" t="s">
        <v>21</v>
      </c>
      <c r="B7" s="26"/>
      <c r="C7">
        <f>C43</f>
        <v>347</v>
      </c>
      <c r="D7">
        <f>D43</f>
        <v>598</v>
      </c>
      <c r="E7">
        <f>E43</f>
        <v>375</v>
      </c>
      <c r="F7">
        <f>F43</f>
        <v>800</v>
      </c>
      <c r="G7">
        <f>G43</f>
        <v>234</v>
      </c>
      <c r="I7">
        <f>I43</f>
        <v>588</v>
      </c>
      <c r="J7">
        <f>J43</f>
        <v>0</v>
      </c>
      <c r="K7">
        <f>K43</f>
        <v>0</v>
      </c>
      <c r="L7">
        <f>L43</f>
        <v>0</v>
      </c>
      <c r="M7">
        <f>M43</f>
        <v>0</v>
      </c>
      <c r="N7"/>
      <c r="O7">
        <f>O43</f>
        <v>20</v>
      </c>
      <c r="P7">
        <f>P43</f>
        <v>23</v>
      </c>
      <c r="Q7">
        <f>Q43</f>
        <v>42</v>
      </c>
      <c r="R7">
        <f>R43</f>
        <v>201</v>
      </c>
      <c r="S7">
        <f>S43</f>
        <v>141</v>
      </c>
      <c r="U7">
        <f>U43</f>
        <v>2</v>
      </c>
      <c r="V7">
        <f>V43</f>
        <v>0</v>
      </c>
      <c r="W7">
        <f>W43</f>
        <v>0</v>
      </c>
    </row>
    <row r="8" spans="1:23" x14ac:dyDescent="0.25">
      <c r="A8" s="27" t="s">
        <v>23</v>
      </c>
      <c r="B8" s="27"/>
      <c r="C8">
        <f>C50</f>
        <v>60</v>
      </c>
      <c r="D8">
        <f>D50</f>
        <v>225</v>
      </c>
      <c r="E8">
        <f>E50</f>
        <v>126</v>
      </c>
      <c r="F8">
        <f>F50</f>
        <v>0</v>
      </c>
      <c r="G8">
        <f>G50</f>
        <v>0</v>
      </c>
      <c r="I8">
        <f>I50</f>
        <v>0</v>
      </c>
      <c r="J8">
        <f>J50</f>
        <v>32</v>
      </c>
      <c r="K8">
        <f>K50</f>
        <v>100</v>
      </c>
      <c r="L8">
        <f>L50</f>
        <v>71</v>
      </c>
      <c r="M8">
        <f>M50</f>
        <v>91</v>
      </c>
      <c r="N8"/>
      <c r="O8">
        <f>O50</f>
        <v>48</v>
      </c>
      <c r="P8">
        <f>P50</f>
        <v>60</v>
      </c>
      <c r="Q8">
        <f>Q50</f>
        <v>84</v>
      </c>
      <c r="R8">
        <f>R50</f>
        <v>44</v>
      </c>
      <c r="S8">
        <f>S50</f>
        <v>24</v>
      </c>
      <c r="U8">
        <f>U50</f>
        <v>115</v>
      </c>
      <c r="V8">
        <f>V50</f>
        <v>133</v>
      </c>
      <c r="W8">
        <f>W50</f>
        <v>52</v>
      </c>
    </row>
    <row r="9" spans="1:23" x14ac:dyDescent="0.25">
      <c r="A9" s="12" t="s">
        <v>18</v>
      </c>
      <c r="B9" s="12"/>
      <c r="G9">
        <v>86</v>
      </c>
      <c r="K9"/>
      <c r="L9"/>
      <c r="M9"/>
      <c r="N9"/>
      <c r="O9"/>
    </row>
    <row r="10" spans="1:23" x14ac:dyDescent="0.25">
      <c r="A10" s="28" t="s">
        <v>51</v>
      </c>
      <c r="B10" s="29"/>
      <c r="C10">
        <f>C63</f>
        <v>0</v>
      </c>
      <c r="D10">
        <f t="shared" ref="D10:W10" si="0">D63</f>
        <v>0</v>
      </c>
      <c r="E10">
        <f t="shared" si="0"/>
        <v>0</v>
      </c>
      <c r="F10">
        <f t="shared" si="0"/>
        <v>0</v>
      </c>
      <c r="G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/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37</v>
      </c>
      <c r="S10">
        <f t="shared" si="0"/>
        <v>36</v>
      </c>
      <c r="U10">
        <f t="shared" si="0"/>
        <v>0</v>
      </c>
      <c r="V10">
        <f t="shared" si="0"/>
        <v>0</v>
      </c>
      <c r="W10">
        <f t="shared" si="0"/>
        <v>0</v>
      </c>
    </row>
    <row r="27" spans="1:24" x14ac:dyDescent="0.25">
      <c r="C27" s="4"/>
      <c r="D27" s="4"/>
      <c r="E27" s="4"/>
      <c r="F27" s="4"/>
      <c r="G27" s="4"/>
      <c r="K27"/>
      <c r="L27"/>
      <c r="M27"/>
      <c r="N27"/>
      <c r="O27"/>
    </row>
    <row r="28" spans="1:24" x14ac:dyDescent="0.25">
      <c r="C28" s="17" t="s">
        <v>43</v>
      </c>
      <c r="D28" s="8"/>
      <c r="E28" s="8"/>
      <c r="F28" s="8"/>
      <c r="G28" s="9"/>
      <c r="I28" s="18" t="s">
        <v>29</v>
      </c>
      <c r="J28" s="19"/>
      <c r="K28" s="19"/>
      <c r="L28" s="19"/>
      <c r="M28" s="20"/>
      <c r="N28"/>
      <c r="O28" s="18" t="s">
        <v>30</v>
      </c>
      <c r="P28" s="19"/>
      <c r="Q28" s="19"/>
      <c r="R28" s="19"/>
      <c r="S28" s="20"/>
      <c r="U28" s="18" t="s">
        <v>31</v>
      </c>
      <c r="V28" s="19"/>
      <c r="W28" s="20"/>
    </row>
    <row r="29" spans="1:24" x14ac:dyDescent="0.25">
      <c r="C29" s="30" t="s">
        <v>52</v>
      </c>
      <c r="D29" s="30" t="s">
        <v>52</v>
      </c>
      <c r="E29" s="30" t="s">
        <v>52</v>
      </c>
      <c r="F29" s="30" t="s">
        <v>52</v>
      </c>
      <c r="G29" s="30" t="s">
        <v>52</v>
      </c>
      <c r="I29" s="30" t="s">
        <v>52</v>
      </c>
      <c r="J29" s="30" t="s">
        <v>52</v>
      </c>
      <c r="K29" s="30" t="s">
        <v>52</v>
      </c>
      <c r="L29" s="30" t="s">
        <v>52</v>
      </c>
      <c r="M29" s="30" t="s">
        <v>52</v>
      </c>
      <c r="N29"/>
      <c r="O29" s="31" t="s">
        <v>52</v>
      </c>
      <c r="P29" s="31" t="s">
        <v>52</v>
      </c>
      <c r="Q29" s="31" t="s">
        <v>52</v>
      </c>
      <c r="R29" s="31" t="s">
        <v>52</v>
      </c>
      <c r="S29" s="31" t="s">
        <v>52</v>
      </c>
      <c r="T29" s="2"/>
      <c r="U29" s="31" t="s">
        <v>52</v>
      </c>
      <c r="V29" s="31" t="s">
        <v>52</v>
      </c>
      <c r="W29" s="31" t="s">
        <v>52</v>
      </c>
    </row>
    <row r="30" spans="1:24" ht="30" x14ac:dyDescent="0.25">
      <c r="A30" s="21"/>
      <c r="B30" s="21"/>
      <c r="C30" s="23" t="s">
        <v>14</v>
      </c>
      <c r="D30" s="23" t="s">
        <v>24</v>
      </c>
      <c r="E30" s="23" t="s">
        <v>15</v>
      </c>
      <c r="F30" s="23" t="s">
        <v>16</v>
      </c>
      <c r="G30" s="23" t="s">
        <v>17</v>
      </c>
      <c r="H30" s="21"/>
      <c r="I30" s="23" t="s">
        <v>26</v>
      </c>
      <c r="J30" s="23" t="s">
        <v>27</v>
      </c>
      <c r="K30" s="23" t="s">
        <v>39</v>
      </c>
      <c r="L30" s="23" t="s">
        <v>28</v>
      </c>
      <c r="M30" s="23" t="s">
        <v>44</v>
      </c>
      <c r="N30" s="21"/>
      <c r="O30" s="23" t="s">
        <v>45</v>
      </c>
      <c r="P30" s="23" t="s">
        <v>46</v>
      </c>
      <c r="Q30" s="23" t="s">
        <v>47</v>
      </c>
      <c r="R30" s="23" t="s">
        <v>48</v>
      </c>
      <c r="S30" s="23" t="s">
        <v>49</v>
      </c>
      <c r="T30" s="21"/>
      <c r="U30" s="23" t="s">
        <v>37</v>
      </c>
      <c r="V30" s="23" t="s">
        <v>25</v>
      </c>
      <c r="W30" s="23" t="s">
        <v>50</v>
      </c>
      <c r="X30" s="21"/>
    </row>
    <row r="31" spans="1:24" x14ac:dyDescent="0.25">
      <c r="A31" s="32" t="s">
        <v>0</v>
      </c>
      <c r="B31" s="33"/>
      <c r="C31" s="6"/>
      <c r="D31" s="6"/>
      <c r="E31" s="6"/>
      <c r="F31" s="6"/>
      <c r="G31" s="6"/>
      <c r="H31" s="33"/>
      <c r="I31" s="34"/>
      <c r="J31" s="34"/>
      <c r="K31" s="34"/>
      <c r="L31" s="34"/>
      <c r="M31" s="34"/>
      <c r="N31" s="33"/>
      <c r="O31" s="33"/>
      <c r="P31" s="33"/>
      <c r="Q31" s="33"/>
      <c r="R31" s="33"/>
      <c r="S31" s="33"/>
      <c r="T31" s="33"/>
      <c r="U31" s="33"/>
      <c r="V31" s="33"/>
      <c r="W31" s="35"/>
    </row>
    <row r="32" spans="1:24" x14ac:dyDescent="0.25">
      <c r="A32" s="36" t="s">
        <v>3</v>
      </c>
      <c r="C32" s="37">
        <f>SUM(C33:C34)</f>
        <v>385</v>
      </c>
      <c r="D32" s="37">
        <f t="shared" ref="D32:W32" si="1">SUM(D33:D34)</f>
        <v>192</v>
      </c>
      <c r="E32" s="37">
        <f t="shared" si="1"/>
        <v>483</v>
      </c>
      <c r="F32" s="37">
        <f t="shared" si="1"/>
        <v>0</v>
      </c>
      <c r="G32" s="37">
        <f t="shared" si="1"/>
        <v>0</v>
      </c>
      <c r="H32" s="37">
        <f t="shared" si="1"/>
        <v>0</v>
      </c>
      <c r="I32" s="37">
        <f t="shared" si="1"/>
        <v>26</v>
      </c>
      <c r="J32" s="37">
        <f t="shared" si="1"/>
        <v>190</v>
      </c>
      <c r="K32" s="37">
        <f t="shared" si="1"/>
        <v>144</v>
      </c>
      <c r="L32" s="37">
        <f t="shared" si="1"/>
        <v>106</v>
      </c>
      <c r="M32" s="37">
        <f t="shared" si="1"/>
        <v>452</v>
      </c>
      <c r="N32" s="37">
        <f t="shared" si="1"/>
        <v>0</v>
      </c>
      <c r="O32" s="37">
        <f t="shared" si="1"/>
        <v>0</v>
      </c>
      <c r="P32" s="37">
        <f t="shared" si="1"/>
        <v>25</v>
      </c>
      <c r="Q32" s="37">
        <f t="shared" si="1"/>
        <v>0</v>
      </c>
      <c r="R32" s="37">
        <f t="shared" si="1"/>
        <v>329</v>
      </c>
      <c r="S32" s="37">
        <f t="shared" si="1"/>
        <v>386</v>
      </c>
      <c r="T32" s="37">
        <f t="shared" si="1"/>
        <v>0</v>
      </c>
      <c r="U32" s="37">
        <f t="shared" si="1"/>
        <v>28</v>
      </c>
      <c r="V32" s="37">
        <f t="shared" si="1"/>
        <v>0</v>
      </c>
      <c r="W32" s="38">
        <f t="shared" si="1"/>
        <v>30</v>
      </c>
    </row>
    <row r="33" spans="1:23" x14ac:dyDescent="0.25">
      <c r="A33" s="36" t="s">
        <v>1</v>
      </c>
      <c r="C33" s="4">
        <f>45+31</f>
        <v>76</v>
      </c>
      <c r="D33" s="4"/>
      <c r="E33" s="4"/>
      <c r="F33" s="4"/>
      <c r="G33" s="4"/>
      <c r="I33" s="2"/>
      <c r="J33" s="2"/>
      <c r="K33" s="2"/>
      <c r="L33" s="2">
        <v>42</v>
      </c>
      <c r="M33" s="2"/>
      <c r="N33"/>
      <c r="O33"/>
      <c r="P33">
        <v>10</v>
      </c>
      <c r="W33" s="39"/>
    </row>
    <row r="34" spans="1:23" x14ac:dyDescent="0.25">
      <c r="A34" s="36" t="s">
        <v>2</v>
      </c>
      <c r="C34" s="4">
        <f>57+54+127+71</f>
        <v>309</v>
      </c>
      <c r="D34" s="4">
        <f>81+78+33</f>
        <v>192</v>
      </c>
      <c r="E34" s="4">
        <f>133+48+203+15+74+10</f>
        <v>483</v>
      </c>
      <c r="F34" s="4"/>
      <c r="G34" s="4"/>
      <c r="I34" s="2">
        <v>26</v>
      </c>
      <c r="J34" s="2">
        <f>35+49+35+17+37+17</f>
        <v>190</v>
      </c>
      <c r="K34" s="2">
        <f>27+63+28+11+15</f>
        <v>144</v>
      </c>
      <c r="L34" s="2">
        <f>6+8+36+4+10</f>
        <v>64</v>
      </c>
      <c r="M34" s="2">
        <f>55+336+61</f>
        <v>452</v>
      </c>
      <c r="N34"/>
      <c r="O34"/>
      <c r="P34">
        <f>15</f>
        <v>15</v>
      </c>
      <c r="R34">
        <f>8+96+58+89+78</f>
        <v>329</v>
      </c>
      <c r="S34">
        <f>32+149+117+75+13</f>
        <v>386</v>
      </c>
      <c r="U34">
        <f>28</f>
        <v>28</v>
      </c>
      <c r="W34" s="39">
        <f>14+1+9+6</f>
        <v>30</v>
      </c>
    </row>
    <row r="35" spans="1:23" x14ac:dyDescent="0.25">
      <c r="A35" s="40" t="s">
        <v>7</v>
      </c>
      <c r="C35" s="37">
        <f>SUM(C36:C41)</f>
        <v>110</v>
      </c>
      <c r="D35" s="37">
        <f t="shared" ref="D35:W35" si="2">SUM(D36:D41)</f>
        <v>0</v>
      </c>
      <c r="E35" s="37">
        <f t="shared" si="2"/>
        <v>0</v>
      </c>
      <c r="F35" s="37">
        <f t="shared" si="2"/>
        <v>0</v>
      </c>
      <c r="G35" s="37">
        <f t="shared" si="2"/>
        <v>0</v>
      </c>
      <c r="H35" s="37">
        <f t="shared" si="2"/>
        <v>0</v>
      </c>
      <c r="I35" s="37">
        <f t="shared" si="2"/>
        <v>0</v>
      </c>
      <c r="J35" s="37">
        <f t="shared" si="2"/>
        <v>63</v>
      </c>
      <c r="K35" s="37">
        <f t="shared" si="2"/>
        <v>30</v>
      </c>
      <c r="L35" s="37">
        <f t="shared" si="2"/>
        <v>42</v>
      </c>
      <c r="M35" s="37">
        <f t="shared" si="2"/>
        <v>59</v>
      </c>
      <c r="N35" s="37">
        <f t="shared" si="2"/>
        <v>0</v>
      </c>
      <c r="O35" s="37">
        <f t="shared" si="2"/>
        <v>77</v>
      </c>
      <c r="P35" s="37">
        <f t="shared" si="2"/>
        <v>29</v>
      </c>
      <c r="Q35" s="37">
        <f t="shared" si="2"/>
        <v>24</v>
      </c>
      <c r="R35" s="37">
        <f t="shared" si="2"/>
        <v>45</v>
      </c>
      <c r="S35" s="37">
        <f t="shared" si="2"/>
        <v>76</v>
      </c>
      <c r="T35" s="37">
        <f t="shared" si="2"/>
        <v>0</v>
      </c>
      <c r="U35" s="37">
        <f t="shared" si="2"/>
        <v>76</v>
      </c>
      <c r="V35" s="37">
        <f t="shared" si="2"/>
        <v>120</v>
      </c>
      <c r="W35" s="38">
        <f t="shared" si="2"/>
        <v>11</v>
      </c>
    </row>
    <row r="36" spans="1:23" x14ac:dyDescent="0.25">
      <c r="A36" s="40" t="s">
        <v>8</v>
      </c>
      <c r="C36" s="4"/>
      <c r="D36" s="4"/>
      <c r="E36" s="4"/>
      <c r="F36" s="4"/>
      <c r="G36" s="4"/>
      <c r="I36" s="2"/>
      <c r="J36" s="2"/>
      <c r="K36" s="2"/>
      <c r="L36" s="2"/>
      <c r="M36" s="2"/>
      <c r="N36"/>
      <c r="O36"/>
      <c r="W36" s="39"/>
    </row>
    <row r="37" spans="1:23" x14ac:dyDescent="0.25">
      <c r="A37" s="40" t="s">
        <v>9</v>
      </c>
      <c r="C37" s="4"/>
      <c r="D37" s="4"/>
      <c r="E37" s="4"/>
      <c r="F37" s="4"/>
      <c r="G37" s="4"/>
      <c r="I37" s="2"/>
      <c r="J37" s="2"/>
      <c r="K37" s="2"/>
      <c r="L37" s="2"/>
      <c r="M37" s="2"/>
      <c r="N37"/>
      <c r="O37"/>
      <c r="W37" s="39"/>
    </row>
    <row r="38" spans="1:23" x14ac:dyDescent="0.25">
      <c r="A38" s="40" t="s">
        <v>10</v>
      </c>
      <c r="C38" s="4">
        <f>11+31+33</f>
        <v>75</v>
      </c>
      <c r="D38" s="4"/>
      <c r="E38" s="4"/>
      <c r="F38" s="4"/>
      <c r="G38" s="4"/>
      <c r="I38" s="2"/>
      <c r="J38" s="2"/>
      <c r="K38" s="2"/>
      <c r="L38" s="2">
        <v>10</v>
      </c>
      <c r="M38" s="2">
        <f>16+22</f>
        <v>38</v>
      </c>
      <c r="N38"/>
      <c r="O38"/>
      <c r="P38">
        <f>1+19</f>
        <v>20</v>
      </c>
      <c r="R38">
        <f>25</f>
        <v>25</v>
      </c>
      <c r="S38">
        <f>30+26</f>
        <v>56</v>
      </c>
      <c r="U38">
        <f>3+7</f>
        <v>10</v>
      </c>
      <c r="W38" s="39"/>
    </row>
    <row r="39" spans="1:23" x14ac:dyDescent="0.25">
      <c r="A39" s="40" t="s">
        <v>11</v>
      </c>
      <c r="C39" s="4"/>
      <c r="D39" s="4"/>
      <c r="E39" s="4"/>
      <c r="F39" s="4"/>
      <c r="G39" s="4"/>
      <c r="I39" s="2"/>
      <c r="J39" s="2">
        <f>17+8</f>
        <v>25</v>
      </c>
      <c r="K39" s="2"/>
      <c r="L39" s="2">
        <v>32</v>
      </c>
      <c r="M39" s="2"/>
      <c r="N39"/>
      <c r="O39"/>
      <c r="W39" s="39"/>
    </row>
    <row r="40" spans="1:23" x14ac:dyDescent="0.25">
      <c r="A40" s="40" t="s">
        <v>12</v>
      </c>
      <c r="C40" s="4">
        <v>35</v>
      </c>
      <c r="D40" s="4"/>
      <c r="E40" s="4"/>
      <c r="F40" s="4"/>
      <c r="G40" s="4"/>
      <c r="I40" s="2"/>
      <c r="J40" s="2">
        <v>30</v>
      </c>
      <c r="K40" s="2">
        <v>18</v>
      </c>
      <c r="L40" s="2"/>
      <c r="M40" s="2">
        <f>7+2</f>
        <v>9</v>
      </c>
      <c r="N40"/>
      <c r="O40">
        <f>58+7</f>
        <v>65</v>
      </c>
      <c r="P40">
        <v>2</v>
      </c>
      <c r="Q40">
        <f>15+9</f>
        <v>24</v>
      </c>
      <c r="R40">
        <v>20</v>
      </c>
      <c r="S40">
        <f>20</f>
        <v>20</v>
      </c>
      <c r="U40">
        <f>34+24</f>
        <v>58</v>
      </c>
      <c r="V40">
        <v>4</v>
      </c>
      <c r="W40" s="39">
        <f>5</f>
        <v>5</v>
      </c>
    </row>
    <row r="41" spans="1:23" x14ac:dyDescent="0.25">
      <c r="A41" s="41" t="s">
        <v>13</v>
      </c>
      <c r="B41" s="42"/>
      <c r="C41" s="7"/>
      <c r="D41" s="7"/>
      <c r="E41" s="7"/>
      <c r="F41" s="7"/>
      <c r="G41" s="7"/>
      <c r="H41" s="42"/>
      <c r="I41" s="43"/>
      <c r="J41" s="43">
        <v>8</v>
      </c>
      <c r="K41" s="43">
        <v>12</v>
      </c>
      <c r="L41" s="43"/>
      <c r="M41" s="43">
        <v>12</v>
      </c>
      <c r="N41" s="42"/>
      <c r="O41" s="42">
        <v>12</v>
      </c>
      <c r="P41" s="42">
        <v>7</v>
      </c>
      <c r="Q41" s="42"/>
      <c r="R41" s="42"/>
      <c r="S41" s="42"/>
      <c r="T41" s="42"/>
      <c r="U41" s="42">
        <f>8</f>
        <v>8</v>
      </c>
      <c r="V41" s="42">
        <v>116</v>
      </c>
      <c r="W41" s="44">
        <f>6</f>
        <v>6</v>
      </c>
    </row>
    <row r="42" spans="1:23" x14ac:dyDescent="0.25">
      <c r="A42" s="45" t="s">
        <v>4</v>
      </c>
      <c r="B42" s="33"/>
      <c r="C42" s="6"/>
      <c r="D42" s="6"/>
      <c r="E42" s="6"/>
      <c r="F42" s="6"/>
      <c r="G42" s="6"/>
      <c r="H42" s="33"/>
      <c r="I42" s="34"/>
      <c r="J42" s="34"/>
      <c r="K42" s="34"/>
      <c r="L42" s="34"/>
      <c r="M42" s="34"/>
      <c r="N42" s="33"/>
      <c r="O42" s="33"/>
      <c r="P42" s="33"/>
      <c r="Q42" s="33"/>
      <c r="R42" s="33"/>
      <c r="S42" s="33"/>
      <c r="T42" s="33"/>
      <c r="U42" s="33"/>
      <c r="V42" s="33"/>
      <c r="W42" s="35"/>
    </row>
    <row r="43" spans="1:23" x14ac:dyDescent="0.25">
      <c r="A43" s="46" t="s">
        <v>3</v>
      </c>
      <c r="C43" s="37">
        <f>SUM(C44:C49)</f>
        <v>347</v>
      </c>
      <c r="D43" s="37">
        <f t="shared" ref="D43:W43" si="3">SUM(D44:D49)</f>
        <v>598</v>
      </c>
      <c r="E43" s="37">
        <f t="shared" si="3"/>
        <v>375</v>
      </c>
      <c r="F43" s="37">
        <f t="shared" si="3"/>
        <v>800</v>
      </c>
      <c r="G43" s="37">
        <f t="shared" si="3"/>
        <v>234</v>
      </c>
      <c r="H43" s="37">
        <f t="shared" si="3"/>
        <v>0</v>
      </c>
      <c r="I43" s="37">
        <f t="shared" si="3"/>
        <v>588</v>
      </c>
      <c r="J43" s="37">
        <f t="shared" si="3"/>
        <v>0</v>
      </c>
      <c r="K43" s="37">
        <f t="shared" si="3"/>
        <v>0</v>
      </c>
      <c r="L43" s="37">
        <f t="shared" si="3"/>
        <v>0</v>
      </c>
      <c r="M43" s="37">
        <f t="shared" si="3"/>
        <v>0</v>
      </c>
      <c r="N43" s="37">
        <f t="shared" si="3"/>
        <v>0</v>
      </c>
      <c r="O43" s="37">
        <f t="shared" si="3"/>
        <v>20</v>
      </c>
      <c r="P43" s="37">
        <f t="shared" si="3"/>
        <v>23</v>
      </c>
      <c r="Q43" s="37">
        <f t="shared" si="3"/>
        <v>42</v>
      </c>
      <c r="R43" s="37">
        <f t="shared" si="3"/>
        <v>201</v>
      </c>
      <c r="S43" s="37">
        <f t="shared" si="3"/>
        <v>141</v>
      </c>
      <c r="T43" s="37">
        <f t="shared" si="3"/>
        <v>0</v>
      </c>
      <c r="U43" s="37">
        <f t="shared" si="3"/>
        <v>2</v>
      </c>
      <c r="V43" s="37">
        <f t="shared" si="3"/>
        <v>0</v>
      </c>
      <c r="W43" s="38">
        <f t="shared" si="3"/>
        <v>0</v>
      </c>
    </row>
    <row r="44" spans="1:23" x14ac:dyDescent="0.25">
      <c r="A44" s="47">
        <v>707</v>
      </c>
      <c r="C44" s="4"/>
      <c r="D44" s="4"/>
      <c r="E44" s="4"/>
      <c r="F44" s="4"/>
      <c r="G44" s="4"/>
      <c r="I44" s="2"/>
      <c r="J44" s="2"/>
      <c r="K44" s="2"/>
      <c r="L44" s="2"/>
      <c r="M44" s="2"/>
      <c r="N44"/>
      <c r="O44"/>
      <c r="W44" s="39"/>
    </row>
    <row r="45" spans="1:23" x14ac:dyDescent="0.25">
      <c r="A45" s="47">
        <v>717</v>
      </c>
      <c r="C45" s="4">
        <v>80</v>
      </c>
      <c r="D45" s="4"/>
      <c r="E45" s="4"/>
      <c r="F45" s="4"/>
      <c r="G45" s="4"/>
      <c r="I45" s="2"/>
      <c r="J45" s="2"/>
      <c r="K45" s="2"/>
      <c r="L45" s="2"/>
      <c r="M45" s="2"/>
      <c r="N45"/>
      <c r="O45"/>
      <c r="W45" s="39"/>
    </row>
    <row r="46" spans="1:23" x14ac:dyDescent="0.25">
      <c r="A46" s="47">
        <v>727</v>
      </c>
      <c r="C46" s="4"/>
      <c r="D46" s="4"/>
      <c r="E46" s="4"/>
      <c r="F46" s="4"/>
      <c r="G46" s="4"/>
      <c r="I46" s="2"/>
      <c r="J46" s="2"/>
      <c r="K46" s="2"/>
      <c r="L46" s="2"/>
      <c r="M46" s="2"/>
      <c r="N46"/>
      <c r="O46"/>
      <c r="W46" s="39"/>
    </row>
    <row r="47" spans="1:23" x14ac:dyDescent="0.25">
      <c r="A47" s="47" t="s">
        <v>5</v>
      </c>
      <c r="C47" s="4">
        <v>163</v>
      </c>
      <c r="D47" s="4">
        <f>40+141+12+136</f>
        <v>329</v>
      </c>
      <c r="E47" s="4">
        <v>303</v>
      </c>
      <c r="F47" s="4">
        <f>342+203</f>
        <v>545</v>
      </c>
      <c r="G47" s="4">
        <f>11+56+3+6+79</f>
        <v>155</v>
      </c>
      <c r="I47" s="2">
        <f>1+410</f>
        <v>411</v>
      </c>
      <c r="J47" s="2"/>
      <c r="K47" s="2"/>
      <c r="L47" s="2"/>
      <c r="M47" s="2"/>
      <c r="N47"/>
      <c r="O47">
        <v>4</v>
      </c>
      <c r="P47">
        <f>2+9+6</f>
        <v>17</v>
      </c>
      <c r="Q47">
        <v>42</v>
      </c>
      <c r="R47">
        <f>13+155</f>
        <v>168</v>
      </c>
      <c r="S47">
        <f>36+101</f>
        <v>137</v>
      </c>
      <c r="W47" s="39"/>
    </row>
    <row r="48" spans="1:23" x14ac:dyDescent="0.25">
      <c r="A48" s="47" t="s">
        <v>6</v>
      </c>
      <c r="C48" s="4"/>
      <c r="D48" s="4">
        <f>116+92</f>
        <v>208</v>
      </c>
      <c r="E48" s="4">
        <v>72</v>
      </c>
      <c r="F48" s="4">
        <f>255</f>
        <v>255</v>
      </c>
      <c r="G48" s="4">
        <f>5+74</f>
        <v>79</v>
      </c>
      <c r="I48" s="2">
        <v>177</v>
      </c>
      <c r="J48" s="2"/>
      <c r="K48" s="2"/>
      <c r="L48" s="2"/>
      <c r="M48" s="2"/>
      <c r="N48"/>
      <c r="O48">
        <v>16</v>
      </c>
      <c r="P48">
        <f>5+1</f>
        <v>6</v>
      </c>
      <c r="R48">
        <v>33</v>
      </c>
      <c r="S48">
        <f>4</f>
        <v>4</v>
      </c>
      <c r="U48">
        <v>2</v>
      </c>
      <c r="W48" s="39"/>
    </row>
    <row r="49" spans="1:23" x14ac:dyDescent="0.25">
      <c r="A49" s="47">
        <v>757</v>
      </c>
      <c r="C49" s="4">
        <f>88+16</f>
        <v>104</v>
      </c>
      <c r="D49" s="4">
        <f>40+21</f>
        <v>61</v>
      </c>
      <c r="E49" s="4"/>
      <c r="F49" s="4"/>
      <c r="G49" s="4"/>
      <c r="I49" s="2"/>
      <c r="J49" s="2"/>
      <c r="K49" s="2"/>
      <c r="L49" s="2"/>
      <c r="M49" s="2"/>
      <c r="N49"/>
      <c r="O49"/>
      <c r="W49" s="39"/>
    </row>
    <row r="50" spans="1:23" x14ac:dyDescent="0.25">
      <c r="A50" s="48" t="s">
        <v>7</v>
      </c>
      <c r="C50" s="37">
        <f>SUM(C51:C54)</f>
        <v>60</v>
      </c>
      <c r="D50" s="37">
        <f t="shared" ref="D50:W50" si="4">SUM(D51:D54)</f>
        <v>225</v>
      </c>
      <c r="E50" s="37">
        <f t="shared" si="4"/>
        <v>126</v>
      </c>
      <c r="F50" s="37">
        <f t="shared" si="4"/>
        <v>0</v>
      </c>
      <c r="G50" s="37">
        <f t="shared" si="4"/>
        <v>0</v>
      </c>
      <c r="H50" s="37">
        <f t="shared" si="4"/>
        <v>0</v>
      </c>
      <c r="I50" s="37">
        <f t="shared" si="4"/>
        <v>0</v>
      </c>
      <c r="J50" s="37">
        <f t="shared" si="4"/>
        <v>32</v>
      </c>
      <c r="K50" s="37">
        <f t="shared" si="4"/>
        <v>100</v>
      </c>
      <c r="L50" s="37">
        <f t="shared" si="4"/>
        <v>71</v>
      </c>
      <c r="M50" s="37">
        <f t="shared" si="4"/>
        <v>91</v>
      </c>
      <c r="N50" s="37">
        <f t="shared" si="4"/>
        <v>0</v>
      </c>
      <c r="O50" s="37">
        <f t="shared" si="4"/>
        <v>48</v>
      </c>
      <c r="P50" s="37">
        <f t="shared" si="4"/>
        <v>60</v>
      </c>
      <c r="Q50" s="37">
        <f t="shared" si="4"/>
        <v>84</v>
      </c>
      <c r="R50" s="37">
        <f t="shared" si="4"/>
        <v>44</v>
      </c>
      <c r="S50" s="37">
        <f t="shared" si="4"/>
        <v>24</v>
      </c>
      <c r="T50" s="37">
        <f t="shared" si="4"/>
        <v>0</v>
      </c>
      <c r="U50" s="37">
        <f t="shared" si="4"/>
        <v>115</v>
      </c>
      <c r="V50" s="37">
        <f t="shared" si="4"/>
        <v>133</v>
      </c>
      <c r="W50" s="38">
        <f t="shared" si="4"/>
        <v>52</v>
      </c>
    </row>
    <row r="51" spans="1:23" x14ac:dyDescent="0.25">
      <c r="A51" s="49">
        <v>747</v>
      </c>
      <c r="C51" s="4"/>
      <c r="D51" s="4"/>
      <c r="E51" s="4"/>
      <c r="F51" s="4"/>
      <c r="G51" s="4"/>
      <c r="I51" s="2"/>
      <c r="J51" s="2">
        <f>8+19</f>
        <v>27</v>
      </c>
      <c r="K51" s="2"/>
      <c r="L51" s="2"/>
      <c r="M51" s="2"/>
      <c r="N51"/>
      <c r="O51"/>
      <c r="P51">
        <f>6+1</f>
        <v>7</v>
      </c>
      <c r="W51" s="39"/>
    </row>
    <row r="52" spans="1:23" x14ac:dyDescent="0.25">
      <c r="A52" s="49">
        <v>767</v>
      </c>
      <c r="C52" s="4">
        <f>39+21</f>
        <v>60</v>
      </c>
      <c r="D52" s="4">
        <f>13+24+16</f>
        <v>53</v>
      </c>
      <c r="E52" s="4"/>
      <c r="F52" s="4"/>
      <c r="G52" s="4"/>
      <c r="I52" s="2"/>
      <c r="J52" s="2"/>
      <c r="K52" s="2"/>
      <c r="L52" s="2"/>
      <c r="M52" s="2"/>
      <c r="N52"/>
      <c r="O52"/>
      <c r="Q52">
        <v>27</v>
      </c>
      <c r="W52" s="39"/>
    </row>
    <row r="53" spans="1:23" x14ac:dyDescent="0.25">
      <c r="A53" s="49">
        <v>777</v>
      </c>
      <c r="C53" s="4"/>
      <c r="D53" s="4">
        <f>19+51+4+22</f>
        <v>96</v>
      </c>
      <c r="E53" s="4">
        <f>47+20</f>
        <v>67</v>
      </c>
      <c r="F53" s="4"/>
      <c r="G53" s="4"/>
      <c r="I53" s="2"/>
      <c r="J53" s="2"/>
      <c r="K53" s="2">
        <f>43+16</f>
        <v>59</v>
      </c>
      <c r="L53" s="2">
        <f>18+43</f>
        <v>61</v>
      </c>
      <c r="M53" s="2">
        <f>13+46</f>
        <v>59</v>
      </c>
      <c r="N53"/>
      <c r="O53">
        <v>22</v>
      </c>
      <c r="P53">
        <f>7+25</f>
        <v>32</v>
      </c>
      <c r="Q53">
        <v>12</v>
      </c>
      <c r="R53">
        <v>15</v>
      </c>
      <c r="S53">
        <v>20</v>
      </c>
      <c r="U53">
        <f>7+57</f>
        <v>64</v>
      </c>
      <c r="V53">
        <f>10+123</f>
        <v>133</v>
      </c>
      <c r="W53" s="39">
        <f>9</f>
        <v>9</v>
      </c>
    </row>
    <row r="54" spans="1:23" x14ac:dyDescent="0.25">
      <c r="A54" s="50">
        <v>787</v>
      </c>
      <c r="B54" s="42"/>
      <c r="C54" s="7"/>
      <c r="D54" s="7">
        <f>12+43+21</f>
        <v>76</v>
      </c>
      <c r="E54" s="7">
        <f>37+22</f>
        <v>59</v>
      </c>
      <c r="F54" s="7"/>
      <c r="G54" s="7"/>
      <c r="H54" s="42"/>
      <c r="I54" s="43"/>
      <c r="J54" s="43">
        <v>5</v>
      </c>
      <c r="K54" s="43">
        <f>12+18+11</f>
        <v>41</v>
      </c>
      <c r="L54" s="43">
        <v>10</v>
      </c>
      <c r="M54" s="43">
        <f>2+18+12</f>
        <v>32</v>
      </c>
      <c r="N54" s="42"/>
      <c r="O54" s="42">
        <v>26</v>
      </c>
      <c r="P54" s="42">
        <f>14+7</f>
        <v>21</v>
      </c>
      <c r="Q54" s="42">
        <f>23+22</f>
        <v>45</v>
      </c>
      <c r="R54" s="42">
        <f>10+19</f>
        <v>29</v>
      </c>
      <c r="S54" s="42">
        <v>4</v>
      </c>
      <c r="T54" s="42"/>
      <c r="U54" s="42">
        <f>31+20</f>
        <v>51</v>
      </c>
      <c r="V54" s="42"/>
      <c r="W54" s="44">
        <f>33+10</f>
        <v>43</v>
      </c>
    </row>
    <row r="55" spans="1:23" x14ac:dyDescent="0.25">
      <c r="A55" s="51" t="s">
        <v>18</v>
      </c>
      <c r="B55" s="33"/>
      <c r="C55" s="6"/>
      <c r="D55" s="6"/>
      <c r="E55" s="6"/>
      <c r="F55" s="6"/>
      <c r="G55" s="6"/>
      <c r="H55" s="33"/>
      <c r="I55" s="34"/>
      <c r="J55" s="34"/>
      <c r="K55" s="34"/>
      <c r="L55" s="34"/>
      <c r="M55" s="34"/>
      <c r="N55" s="33"/>
      <c r="O55" s="33"/>
      <c r="P55" s="33"/>
      <c r="Q55" s="33"/>
      <c r="R55" s="33"/>
      <c r="S55" s="33"/>
      <c r="T55" s="33"/>
      <c r="U55" s="33"/>
      <c r="V55" s="33"/>
      <c r="W55" s="35"/>
    </row>
    <row r="56" spans="1:23" x14ac:dyDescent="0.25">
      <c r="A56" s="52" t="s">
        <v>19</v>
      </c>
      <c r="B56" s="42"/>
      <c r="C56" s="7"/>
      <c r="D56" s="7"/>
      <c r="E56" s="7"/>
      <c r="F56" s="7"/>
      <c r="G56" s="7">
        <f>44+42</f>
        <v>86</v>
      </c>
      <c r="H56" s="42"/>
      <c r="I56" s="43"/>
      <c r="J56" s="43"/>
      <c r="K56" s="43"/>
      <c r="L56" s="43"/>
      <c r="M56" s="43"/>
      <c r="N56" s="42"/>
      <c r="O56" s="42"/>
      <c r="P56" s="42"/>
      <c r="Q56" s="42"/>
      <c r="R56" s="42"/>
      <c r="S56" s="42"/>
      <c r="T56" s="42"/>
      <c r="U56" s="42"/>
      <c r="V56" s="42"/>
      <c r="W56" s="44"/>
    </row>
    <row r="57" spans="1:23" x14ac:dyDescent="0.25">
      <c r="A57" s="2"/>
      <c r="B57" s="2"/>
      <c r="C57" s="4"/>
      <c r="D57" s="4"/>
      <c r="E57" s="4"/>
      <c r="F57" s="4"/>
      <c r="G57" s="4"/>
      <c r="H57" s="2"/>
      <c r="I57" s="2"/>
      <c r="J57" s="2"/>
      <c r="K57" s="2"/>
      <c r="L57" s="2"/>
      <c r="M57" s="2"/>
      <c r="N57"/>
      <c r="O57"/>
    </row>
    <row r="58" spans="1:23" x14ac:dyDescent="0.25">
      <c r="A58" s="53" t="s">
        <v>53</v>
      </c>
      <c r="B58" s="2"/>
      <c r="C58" s="4"/>
      <c r="D58" s="4"/>
      <c r="E58" s="4"/>
      <c r="F58" s="4"/>
      <c r="G58" s="4"/>
      <c r="H58" s="2"/>
      <c r="I58" s="2"/>
      <c r="J58" s="2"/>
      <c r="K58" s="2"/>
      <c r="L58" s="2"/>
      <c r="M58" s="2"/>
      <c r="N58"/>
      <c r="O58"/>
    </row>
    <row r="59" spans="1:23" x14ac:dyDescent="0.25">
      <c r="A59" s="53" t="s">
        <v>54</v>
      </c>
      <c r="B59" s="2"/>
      <c r="C59" s="4"/>
      <c r="D59" s="4"/>
      <c r="E59" s="4"/>
      <c r="F59" s="4"/>
      <c r="G59" s="4"/>
      <c r="H59" s="2"/>
      <c r="I59" s="2">
        <v>1</v>
      </c>
      <c r="J59" s="2"/>
      <c r="K59" s="2"/>
      <c r="L59" s="2"/>
      <c r="M59" s="2"/>
      <c r="N59"/>
      <c r="O59"/>
    </row>
    <row r="60" spans="1:23" x14ac:dyDescent="0.25">
      <c r="A60" s="53"/>
      <c r="B60" s="2"/>
      <c r="C60" s="4"/>
      <c r="D60" s="4"/>
      <c r="E60" s="4"/>
      <c r="F60" s="4"/>
      <c r="G60" s="4"/>
      <c r="H60" s="2"/>
      <c r="I60" s="2"/>
      <c r="J60" s="2"/>
      <c r="K60" s="2"/>
      <c r="L60" s="2"/>
      <c r="M60" s="2"/>
      <c r="N60"/>
      <c r="O60"/>
    </row>
    <row r="61" spans="1:23" x14ac:dyDescent="0.25">
      <c r="A61" s="53" t="s">
        <v>55</v>
      </c>
      <c r="B61" s="2"/>
      <c r="C61" s="4"/>
      <c r="D61" s="4"/>
      <c r="E61" s="4"/>
      <c r="F61" s="4"/>
      <c r="G61" s="4"/>
      <c r="H61" s="2"/>
      <c r="I61" s="2">
        <v>4</v>
      </c>
      <c r="J61" s="2"/>
      <c r="K61" s="2"/>
      <c r="L61" s="2"/>
      <c r="M61" s="2"/>
      <c r="N61"/>
      <c r="O61"/>
    </row>
    <row r="62" spans="1:23" x14ac:dyDescent="0.25">
      <c r="A62" s="2"/>
      <c r="B62" s="2"/>
      <c r="C62" s="4"/>
      <c r="D62" s="4"/>
      <c r="E62" s="4"/>
      <c r="F62" s="4"/>
      <c r="G62" s="4"/>
      <c r="H62" s="2"/>
      <c r="I62" s="2"/>
      <c r="J62" s="2"/>
      <c r="K62" s="2"/>
      <c r="L62" s="2"/>
      <c r="M62" s="2"/>
      <c r="N62"/>
      <c r="O62"/>
    </row>
    <row r="63" spans="1:23" x14ac:dyDescent="0.25">
      <c r="A63" s="2" t="s">
        <v>51</v>
      </c>
      <c r="B63" s="2"/>
      <c r="C63" s="37">
        <f>SUM(C64:C65)</f>
        <v>0</v>
      </c>
      <c r="D63" s="37">
        <f t="shared" ref="D63:W63" si="5">SUM(D64:D65)</f>
        <v>0</v>
      </c>
      <c r="E63" s="37">
        <f t="shared" si="5"/>
        <v>0</v>
      </c>
      <c r="F63" s="37">
        <f t="shared" si="5"/>
        <v>0</v>
      </c>
      <c r="G63" s="37">
        <f t="shared" si="5"/>
        <v>0</v>
      </c>
      <c r="H63" s="37">
        <f t="shared" si="5"/>
        <v>0</v>
      </c>
      <c r="I63" s="37">
        <f t="shared" si="5"/>
        <v>0</v>
      </c>
      <c r="J63" s="37">
        <f t="shared" si="5"/>
        <v>0</v>
      </c>
      <c r="K63" s="37">
        <f t="shared" si="5"/>
        <v>0</v>
      </c>
      <c r="L63" s="37">
        <f t="shared" si="5"/>
        <v>0</v>
      </c>
      <c r="M63" s="37">
        <f t="shared" si="5"/>
        <v>0</v>
      </c>
      <c r="N63" s="37">
        <f t="shared" si="5"/>
        <v>0</v>
      </c>
      <c r="O63" s="37">
        <f t="shared" si="5"/>
        <v>0</v>
      </c>
      <c r="P63" s="37">
        <f t="shared" si="5"/>
        <v>0</v>
      </c>
      <c r="Q63" s="37">
        <f t="shared" si="5"/>
        <v>0</v>
      </c>
      <c r="R63" s="37">
        <f t="shared" si="5"/>
        <v>37</v>
      </c>
      <c r="S63" s="37">
        <f t="shared" si="5"/>
        <v>36</v>
      </c>
      <c r="T63" s="37">
        <f t="shared" si="5"/>
        <v>0</v>
      </c>
      <c r="U63" s="37">
        <f t="shared" si="5"/>
        <v>0</v>
      </c>
      <c r="V63" s="37">
        <f t="shared" si="5"/>
        <v>0</v>
      </c>
      <c r="W63" s="37">
        <f t="shared" si="5"/>
        <v>0</v>
      </c>
    </row>
    <row r="64" spans="1:23" x14ac:dyDescent="0.25">
      <c r="A64" s="2" t="s">
        <v>56</v>
      </c>
      <c r="B64" s="2"/>
      <c r="C64" s="4"/>
      <c r="D64" s="4"/>
      <c r="E64" s="4"/>
      <c r="F64" s="4"/>
      <c r="G64" s="4"/>
      <c r="H64" s="2"/>
      <c r="I64" s="2"/>
      <c r="J64" s="2"/>
      <c r="K64" s="2"/>
      <c r="L64" s="2"/>
      <c r="M64" s="2"/>
      <c r="N64"/>
      <c r="O64"/>
      <c r="R64">
        <v>3</v>
      </c>
      <c r="S64">
        <v>10</v>
      </c>
    </row>
    <row r="65" spans="1:23" x14ac:dyDescent="0.25">
      <c r="A65" s="2" t="s">
        <v>57</v>
      </c>
      <c r="C65" s="4"/>
      <c r="D65" s="4"/>
      <c r="E65" s="4"/>
      <c r="F65" s="4"/>
      <c r="G65" s="4"/>
      <c r="K65"/>
      <c r="L65"/>
      <c r="M65"/>
      <c r="N65"/>
      <c r="O65"/>
      <c r="R65">
        <v>34</v>
      </c>
      <c r="S65">
        <v>26</v>
      </c>
    </row>
    <row r="66" spans="1:23" x14ac:dyDescent="0.25">
      <c r="C66" s="4"/>
      <c r="D66" s="4"/>
      <c r="E66" s="4"/>
      <c r="F66" s="4"/>
      <c r="G66" s="4"/>
      <c r="K66"/>
      <c r="L66"/>
      <c r="M66"/>
      <c r="N66"/>
      <c r="O66"/>
    </row>
    <row r="67" spans="1:23" x14ac:dyDescent="0.25">
      <c r="A67" s="54" t="s">
        <v>58</v>
      </c>
      <c r="B67" s="55"/>
      <c r="C67" s="56"/>
      <c r="D67" s="56"/>
      <c r="E67" s="56"/>
      <c r="F67" s="56"/>
      <c r="G67" s="56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</row>
    <row r="68" spans="1:23" x14ac:dyDescent="0.25">
      <c r="A68" s="2" t="s">
        <v>59</v>
      </c>
      <c r="C68" s="4"/>
      <c r="D68" s="4"/>
      <c r="E68" s="4"/>
      <c r="F68" s="4"/>
      <c r="G68" s="4"/>
      <c r="K68"/>
      <c r="L68">
        <v>2</v>
      </c>
      <c r="M68"/>
      <c r="N68"/>
      <c r="O68">
        <v>5</v>
      </c>
      <c r="P68">
        <v>12</v>
      </c>
      <c r="R68">
        <v>19</v>
      </c>
      <c r="U68">
        <v>28</v>
      </c>
      <c r="W68">
        <v>5</v>
      </c>
    </row>
    <row r="69" spans="1:23" x14ac:dyDescent="0.25">
      <c r="A69" s="2" t="s">
        <v>60</v>
      </c>
      <c r="C69" s="4"/>
      <c r="D69" s="4"/>
      <c r="E69" s="4"/>
      <c r="F69" s="4"/>
      <c r="G69" s="4"/>
      <c r="K69"/>
      <c r="L69"/>
      <c r="M69"/>
      <c r="N69"/>
      <c r="O69"/>
    </row>
    <row r="70" spans="1:23" x14ac:dyDescent="0.25">
      <c r="A70" s="2" t="s">
        <v>61</v>
      </c>
      <c r="C70" s="4"/>
      <c r="D70" s="4"/>
      <c r="E70" s="4"/>
      <c r="F70" s="4"/>
      <c r="G70" s="4"/>
      <c r="K70"/>
      <c r="L70"/>
      <c r="M70"/>
      <c r="N70"/>
      <c r="O70">
        <v>7</v>
      </c>
      <c r="P70">
        <f>4+7</f>
        <v>11</v>
      </c>
    </row>
    <row r="71" spans="1:23" x14ac:dyDescent="0.25">
      <c r="A71" s="2" t="s">
        <v>62</v>
      </c>
      <c r="C71" s="4"/>
      <c r="D71" s="4"/>
      <c r="E71" s="4"/>
      <c r="F71" s="4"/>
      <c r="G71" s="4"/>
      <c r="K71"/>
      <c r="L71"/>
      <c r="M71"/>
      <c r="N71"/>
      <c r="O71"/>
      <c r="Q71">
        <v>3</v>
      </c>
    </row>
    <row r="72" spans="1:23" x14ac:dyDescent="0.25">
      <c r="C72" s="4"/>
      <c r="D72" s="4"/>
      <c r="E72" s="4"/>
      <c r="F72" s="4"/>
      <c r="G72" s="4"/>
      <c r="K72"/>
      <c r="L72"/>
      <c r="M72"/>
      <c r="N72"/>
      <c r="O72"/>
    </row>
    <row r="76" spans="1:23" x14ac:dyDescent="0.25">
      <c r="A76" s="1"/>
      <c r="B76" s="3" t="s">
        <v>0</v>
      </c>
      <c r="C76" s="3" t="s">
        <v>4</v>
      </c>
      <c r="D76" s="1" t="s">
        <v>18</v>
      </c>
      <c r="E76" s="57" t="s">
        <v>51</v>
      </c>
    </row>
    <row r="77" spans="1:23" x14ac:dyDescent="0.25">
      <c r="A77" s="60" t="s">
        <v>3</v>
      </c>
      <c r="B77" s="10" t="s">
        <v>1</v>
      </c>
      <c r="C77" s="11">
        <v>717</v>
      </c>
      <c r="D77" s="13" t="s">
        <v>63</v>
      </c>
      <c r="E77" s="58" t="s">
        <v>57</v>
      </c>
    </row>
    <row r="78" spans="1:23" x14ac:dyDescent="0.25">
      <c r="A78" s="60"/>
      <c r="B78" s="10" t="s">
        <v>2</v>
      </c>
      <c r="C78" s="11">
        <v>727</v>
      </c>
      <c r="D78" s="13" t="s">
        <v>19</v>
      </c>
      <c r="E78" s="58" t="s">
        <v>56</v>
      </c>
    </row>
    <row r="79" spans="1:23" x14ac:dyDescent="0.25">
      <c r="A79" s="60"/>
      <c r="B79" s="10"/>
      <c r="C79" s="11" t="s">
        <v>5</v>
      </c>
      <c r="D79" s="13" t="s">
        <v>64</v>
      </c>
      <c r="E79" s="58"/>
    </row>
    <row r="80" spans="1:23" x14ac:dyDescent="0.25">
      <c r="A80" s="60"/>
      <c r="B80" s="10"/>
      <c r="C80" s="11" t="s">
        <v>6</v>
      </c>
      <c r="D80" s="13" t="s">
        <v>65</v>
      </c>
      <c r="E80" s="58"/>
    </row>
    <row r="81" spans="1:5" x14ac:dyDescent="0.25">
      <c r="A81" s="60"/>
      <c r="B81" s="10"/>
      <c r="C81" s="11">
        <v>757</v>
      </c>
      <c r="D81" s="13"/>
      <c r="E81" s="58"/>
    </row>
    <row r="82" spans="1:5" x14ac:dyDescent="0.25">
      <c r="A82" s="60" t="s">
        <v>7</v>
      </c>
      <c r="B82" s="14" t="s">
        <v>8</v>
      </c>
      <c r="C82" s="15">
        <v>747</v>
      </c>
      <c r="D82" s="16"/>
      <c r="E82" s="28"/>
    </row>
    <row r="83" spans="1:5" x14ac:dyDescent="0.25">
      <c r="A83" s="60"/>
      <c r="B83" s="14" t="s">
        <v>9</v>
      </c>
      <c r="C83" s="15">
        <v>767</v>
      </c>
      <c r="D83" s="16"/>
      <c r="E83" s="28"/>
    </row>
    <row r="84" spans="1:5" x14ac:dyDescent="0.25">
      <c r="A84" s="60"/>
      <c r="B84" s="14" t="s">
        <v>10</v>
      </c>
      <c r="C84" s="15">
        <v>777</v>
      </c>
      <c r="D84" s="16"/>
      <c r="E84" s="28"/>
    </row>
    <row r="85" spans="1:5" x14ac:dyDescent="0.25">
      <c r="A85" s="60"/>
      <c r="B85" s="14" t="s">
        <v>11</v>
      </c>
      <c r="C85" s="15">
        <v>787</v>
      </c>
      <c r="D85" s="16"/>
      <c r="E85" s="28"/>
    </row>
    <row r="86" spans="1:5" x14ac:dyDescent="0.25">
      <c r="A86" s="60"/>
      <c r="B86" s="14" t="s">
        <v>12</v>
      </c>
      <c r="C86" s="15"/>
      <c r="D86" s="16"/>
      <c r="E86" s="28"/>
    </row>
    <row r="87" spans="1:5" x14ac:dyDescent="0.25">
      <c r="A87" s="60"/>
      <c r="B87" s="14" t="s">
        <v>13</v>
      </c>
      <c r="C87" s="15"/>
      <c r="D87" s="16"/>
      <c r="E87" s="28"/>
    </row>
    <row r="89" spans="1:5" x14ac:dyDescent="0.25">
      <c r="A89" s="5" t="s">
        <v>42</v>
      </c>
    </row>
    <row r="92" spans="1:5" x14ac:dyDescent="0.25">
      <c r="A92" s="5" t="s">
        <v>42</v>
      </c>
    </row>
    <row r="93" spans="1:5" x14ac:dyDescent="0.25">
      <c r="B93" s="4" t="s">
        <v>15</v>
      </c>
      <c r="C93" s="4" t="s">
        <v>29</v>
      </c>
      <c r="D93" s="4" t="s">
        <v>30</v>
      </c>
      <c r="E93" s="4" t="s">
        <v>31</v>
      </c>
    </row>
    <row r="94" spans="1:5" x14ac:dyDescent="0.25">
      <c r="B94" s="3" t="s">
        <v>14</v>
      </c>
      <c r="C94" s="4" t="s">
        <v>32</v>
      </c>
      <c r="D94" s="4" t="s">
        <v>33</v>
      </c>
      <c r="E94" s="4" t="s">
        <v>25</v>
      </c>
    </row>
    <row r="95" spans="1:5" x14ac:dyDescent="0.25">
      <c r="B95" s="3" t="s">
        <v>24</v>
      </c>
      <c r="C95" s="4" t="s">
        <v>26</v>
      </c>
      <c r="D95" s="4" t="s">
        <v>34</v>
      </c>
      <c r="E95" s="4" t="s">
        <v>36</v>
      </c>
    </row>
    <row r="96" spans="1:5" x14ac:dyDescent="0.25">
      <c r="B96" s="3" t="s">
        <v>15</v>
      </c>
      <c r="C96" s="4" t="s">
        <v>39</v>
      </c>
      <c r="D96" s="4" t="s">
        <v>38</v>
      </c>
      <c r="E96" s="4" t="s">
        <v>37</v>
      </c>
    </row>
    <row r="97" spans="2:5" x14ac:dyDescent="0.25">
      <c r="B97" s="3" t="s">
        <v>16</v>
      </c>
      <c r="C97" s="4" t="s">
        <v>35</v>
      </c>
      <c r="D97" s="4"/>
      <c r="E97" s="4"/>
    </row>
    <row r="98" spans="2:5" x14ac:dyDescent="0.25">
      <c r="B98" s="3" t="s">
        <v>17</v>
      </c>
      <c r="C98" s="4" t="s">
        <v>41</v>
      </c>
      <c r="D98" s="4"/>
      <c r="E98" s="4"/>
    </row>
    <row r="99" spans="2:5" x14ac:dyDescent="0.25">
      <c r="B99" s="3"/>
      <c r="C99" s="4" t="s">
        <v>40</v>
      </c>
      <c r="D99" s="4"/>
      <c r="E99" s="4"/>
    </row>
  </sheetData>
  <mergeCells count="2">
    <mergeCell ref="A77:A81"/>
    <mergeCell ref="A82:A87"/>
  </mergeCells>
  <hyperlinks>
    <hyperlink ref="C29" r:id="rId1" xr:uid="{904EFF2C-D2A1-401D-B23F-D4F78B7C3886}"/>
    <hyperlink ref="D29" r:id="rId2" xr:uid="{C758AA37-1F55-445C-BAFE-0FD589E00C07}"/>
    <hyperlink ref="E29" r:id="rId3" xr:uid="{90299BAA-F5D5-4CFC-824E-5659D33C4D16}"/>
    <hyperlink ref="F29" r:id="rId4" xr:uid="{7AD02F12-0613-4B74-A655-4060F831B86E}"/>
    <hyperlink ref="G29" r:id="rId5" xr:uid="{67178AAE-4053-4363-BE32-58512D1EBC1C}"/>
    <hyperlink ref="I29" r:id="rId6" location="Fleet" xr:uid="{6AE77DBF-A0C2-46F7-9145-21C6325CAA90}"/>
    <hyperlink ref="J29" r:id="rId7" xr:uid="{046EA8F9-8B7F-4674-A0F7-346651F7AA4A}"/>
    <hyperlink ref="K29" r:id="rId8" xr:uid="{A46557D7-CA72-4699-B991-CE77953DE8C1}"/>
    <hyperlink ref="M29" r:id="rId9" xr:uid="{40BD2DDD-A2DE-4F39-89AB-591C071B6992}"/>
    <hyperlink ref="L29" r:id="rId10" xr:uid="{D16382BB-E8D5-435E-B02B-89A7282CC90C}"/>
    <hyperlink ref="O29" r:id="rId11" xr:uid="{2FB20157-3066-4A2E-B34C-78DD00B293C0}"/>
    <hyperlink ref="P29" r:id="rId12" location="Fleet" xr:uid="{7DD9E01F-6387-4858-BB92-B0E9A84F5645}"/>
    <hyperlink ref="Q29" r:id="rId13" xr:uid="{126EBBE0-32C6-44BB-BC09-FD60D0419A05}"/>
    <hyperlink ref="R29" r:id="rId14" location="Fleet" xr:uid="{7AC43969-2DEE-40DF-AA76-BF4636202E78}"/>
    <hyperlink ref="S29" r:id="rId15" location="Fleet" xr:uid="{0CA5B4F2-725D-404C-99A5-345BE827AB9E}"/>
    <hyperlink ref="U29" r:id="rId16" xr:uid="{523C6949-E710-4641-8564-E56D34D67C46}"/>
    <hyperlink ref="V29" r:id="rId17" xr:uid="{FE916F8A-8243-4A55-8DFE-91036102B221}"/>
    <hyperlink ref="W29" r:id="rId18" xr:uid="{C43E4DD2-2908-42B9-A8ED-B6FC31E081CF}"/>
    <hyperlink ref="A89" r:id="rId19" xr:uid="{422F0AD7-D283-4F2F-AF28-B7881FE34788}"/>
    <hyperlink ref="A92" r:id="rId20" xr:uid="{65087C90-98F9-4E5D-A03F-4445B4D45145}"/>
  </hyperlinks>
  <pageMargins left="0.7" right="0.7" top="0.75" bottom="0.75" header="0.3" footer="0.3"/>
  <drawing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7465-7F93-4DC8-8669-5E733AE546D0}">
  <dimension ref="A1:O49"/>
  <sheetViews>
    <sheetView workbookViewId="0">
      <selection activeCell="G44" sqref="G44"/>
    </sheetView>
  </sheetViews>
  <sheetFormatPr defaultRowHeight="15" x14ac:dyDescent="0.25"/>
  <cols>
    <col min="2" max="2" width="10" bestFit="1" customWidth="1"/>
    <col min="4" max="4" width="12.7109375" customWidth="1"/>
    <col min="5" max="5" width="12.85546875" customWidth="1"/>
    <col min="6" max="6" width="17" bestFit="1" customWidth="1"/>
    <col min="7" max="7" width="17" customWidth="1"/>
    <col min="8" max="8" width="12.42578125" bestFit="1" customWidth="1"/>
    <col min="9" max="9" width="9.28515625" customWidth="1"/>
    <col min="10" max="10" width="23.140625" style="59" customWidth="1"/>
    <col min="11" max="12" width="13.5703125" customWidth="1"/>
    <col min="13" max="13" width="12.42578125" bestFit="1" customWidth="1"/>
  </cols>
  <sheetData>
    <row r="1" spans="1:15" x14ac:dyDescent="0.25">
      <c r="A1" t="s">
        <v>199</v>
      </c>
      <c r="B1" t="s">
        <v>200</v>
      </c>
      <c r="C1" t="s">
        <v>201</v>
      </c>
      <c r="D1" t="s">
        <v>202</v>
      </c>
      <c r="E1" t="s">
        <v>203</v>
      </c>
      <c r="F1" t="s">
        <v>204</v>
      </c>
      <c r="G1" t="s">
        <v>205</v>
      </c>
      <c r="H1" t="s">
        <v>206</v>
      </c>
      <c r="J1" s="59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</row>
    <row r="2" spans="1:15" x14ac:dyDescent="0.25">
      <c r="A2" s="72" t="s">
        <v>0</v>
      </c>
      <c r="B2" s="73" t="s">
        <v>1</v>
      </c>
      <c r="C2" s="4"/>
      <c r="E2" s="75">
        <v>2</v>
      </c>
      <c r="F2" s="75" t="s">
        <v>213</v>
      </c>
      <c r="G2" s="74" t="s">
        <v>214</v>
      </c>
      <c r="H2" s="75" t="s">
        <v>215</v>
      </c>
      <c r="J2" s="59" t="s">
        <v>216</v>
      </c>
      <c r="K2" s="74" t="s">
        <v>214</v>
      </c>
      <c r="L2" s="4"/>
      <c r="M2" s="4"/>
      <c r="N2" t="s">
        <v>217</v>
      </c>
    </row>
    <row r="3" spans="1:15" x14ac:dyDescent="0.25">
      <c r="A3" s="72" t="s">
        <v>0</v>
      </c>
      <c r="B3" s="73" t="s">
        <v>9</v>
      </c>
      <c r="C3" s="4"/>
      <c r="E3" s="75">
        <v>2</v>
      </c>
      <c r="F3" s="75" t="s">
        <v>213</v>
      </c>
      <c r="G3" s="74" t="s">
        <v>214</v>
      </c>
      <c r="H3" s="56" t="s">
        <v>218</v>
      </c>
      <c r="J3" s="59" t="s">
        <v>219</v>
      </c>
      <c r="K3" s="74" t="s">
        <v>214</v>
      </c>
      <c r="L3" s="4"/>
      <c r="M3" s="4"/>
      <c r="N3" s="74" t="s">
        <v>214</v>
      </c>
    </row>
    <row r="4" spans="1:15" x14ac:dyDescent="0.25">
      <c r="A4" s="72" t="s">
        <v>0</v>
      </c>
      <c r="B4" s="73" t="s">
        <v>2</v>
      </c>
      <c r="C4" s="4" t="s">
        <v>220</v>
      </c>
      <c r="E4" s="75">
        <v>2</v>
      </c>
      <c r="F4" s="75" t="s">
        <v>213</v>
      </c>
      <c r="G4" s="74" t="s">
        <v>214</v>
      </c>
      <c r="H4" s="75" t="s">
        <v>215</v>
      </c>
      <c r="J4" s="59" t="s">
        <v>221</v>
      </c>
      <c r="K4" s="74" t="s">
        <v>214</v>
      </c>
      <c r="L4" s="4"/>
      <c r="M4" s="4"/>
    </row>
    <row r="5" spans="1:15" x14ac:dyDescent="0.25">
      <c r="A5" s="72" t="s">
        <v>0</v>
      </c>
      <c r="B5" s="73" t="s">
        <v>10</v>
      </c>
      <c r="C5" s="4"/>
      <c r="E5" s="75">
        <v>2</v>
      </c>
      <c r="F5" s="75" t="s">
        <v>213</v>
      </c>
      <c r="G5" s="74" t="s">
        <v>214</v>
      </c>
      <c r="H5" s="56" t="s">
        <v>218</v>
      </c>
      <c r="J5" s="59" t="s">
        <v>216</v>
      </c>
      <c r="K5" s="74" t="s">
        <v>214</v>
      </c>
      <c r="L5" s="4"/>
      <c r="M5" s="4"/>
    </row>
    <row r="6" spans="1:15" x14ac:dyDescent="0.25">
      <c r="A6" s="72" t="s">
        <v>0</v>
      </c>
      <c r="B6" s="73" t="s">
        <v>11</v>
      </c>
      <c r="C6" s="4"/>
      <c r="E6" s="76">
        <v>4</v>
      </c>
      <c r="F6" s="75" t="s">
        <v>213</v>
      </c>
      <c r="G6" s="74" t="s">
        <v>214</v>
      </c>
      <c r="H6" s="77" t="s">
        <v>222</v>
      </c>
      <c r="I6" s="78" t="s">
        <v>223</v>
      </c>
      <c r="J6" s="59" t="s">
        <v>216</v>
      </c>
      <c r="K6" s="74" t="s">
        <v>214</v>
      </c>
      <c r="L6" s="4"/>
      <c r="M6" s="4"/>
    </row>
    <row r="7" spans="1:15" x14ac:dyDescent="0.25">
      <c r="A7" s="72" t="s">
        <v>0</v>
      </c>
      <c r="B7" s="73" t="s">
        <v>12</v>
      </c>
      <c r="C7" s="4"/>
      <c r="E7" s="75">
        <v>2</v>
      </c>
      <c r="F7" s="75" t="s">
        <v>213</v>
      </c>
      <c r="G7" s="74" t="s">
        <v>214</v>
      </c>
      <c r="H7" s="77" t="s">
        <v>224</v>
      </c>
      <c r="I7" s="78" t="s">
        <v>223</v>
      </c>
      <c r="J7" s="59" t="s">
        <v>216</v>
      </c>
      <c r="K7" s="74" t="s">
        <v>214</v>
      </c>
      <c r="L7" s="4"/>
      <c r="M7" s="4" t="s">
        <v>225</v>
      </c>
    </row>
    <row r="8" spans="1:15" x14ac:dyDescent="0.25">
      <c r="A8" s="72" t="s">
        <v>0</v>
      </c>
      <c r="B8" s="73" t="s">
        <v>13</v>
      </c>
      <c r="C8" s="4"/>
      <c r="E8" s="76">
        <v>4</v>
      </c>
      <c r="F8" s="75" t="s">
        <v>213</v>
      </c>
      <c r="G8" s="74" t="s">
        <v>214</v>
      </c>
      <c r="H8" s="79" t="s">
        <v>226</v>
      </c>
      <c r="J8" s="59" t="s">
        <v>219</v>
      </c>
      <c r="K8" s="74" t="s">
        <v>214</v>
      </c>
      <c r="L8" s="4"/>
      <c r="M8" s="4"/>
    </row>
    <row r="9" spans="1:15" x14ac:dyDescent="0.25">
      <c r="A9" s="72" t="s">
        <v>4</v>
      </c>
      <c r="B9" s="73">
        <v>707</v>
      </c>
      <c r="C9" s="4"/>
      <c r="E9" s="76">
        <v>4</v>
      </c>
      <c r="F9" s="75" t="s">
        <v>213</v>
      </c>
      <c r="G9" s="74" t="s">
        <v>214</v>
      </c>
      <c r="H9" s="56" t="s">
        <v>218</v>
      </c>
      <c r="J9" s="78" t="s">
        <v>227</v>
      </c>
      <c r="K9" s="74" t="s">
        <v>214</v>
      </c>
      <c r="L9" s="4"/>
      <c r="M9" s="4"/>
    </row>
    <row r="10" spans="1:15" x14ac:dyDescent="0.25">
      <c r="A10" s="72" t="s">
        <v>4</v>
      </c>
      <c r="B10" s="73">
        <v>717</v>
      </c>
      <c r="C10" s="4"/>
      <c r="E10" s="75">
        <v>2</v>
      </c>
      <c r="F10" s="75" t="s">
        <v>213</v>
      </c>
      <c r="G10" s="80" t="s">
        <v>217</v>
      </c>
      <c r="H10" s="75" t="s">
        <v>215</v>
      </c>
      <c r="J10" s="78" t="s">
        <v>227</v>
      </c>
      <c r="K10" s="74" t="s">
        <v>214</v>
      </c>
      <c r="L10" s="80" t="s">
        <v>228</v>
      </c>
      <c r="M10" s="4"/>
    </row>
    <row r="11" spans="1:15" x14ac:dyDescent="0.25">
      <c r="A11" s="72" t="s">
        <v>4</v>
      </c>
      <c r="B11" s="73">
        <v>727</v>
      </c>
      <c r="C11" s="4"/>
      <c r="E11" s="81">
        <v>3</v>
      </c>
      <c r="F11" s="76" t="s">
        <v>229</v>
      </c>
      <c r="G11" s="80" t="s">
        <v>217</v>
      </c>
      <c r="H11" s="75" t="s">
        <v>215</v>
      </c>
      <c r="J11" s="59" t="s">
        <v>216</v>
      </c>
      <c r="K11" s="74" t="s">
        <v>214</v>
      </c>
      <c r="L11" s="4"/>
      <c r="M11" s="4"/>
    </row>
    <row r="12" spans="1:15" x14ac:dyDescent="0.25">
      <c r="A12" s="72" t="s">
        <v>4</v>
      </c>
      <c r="B12" s="73" t="s">
        <v>5</v>
      </c>
      <c r="C12" s="4"/>
      <c r="E12" s="75">
        <v>2</v>
      </c>
      <c r="F12" s="75" t="s">
        <v>213</v>
      </c>
      <c r="G12" s="74" t="s">
        <v>214</v>
      </c>
      <c r="H12" s="75" t="s">
        <v>215</v>
      </c>
      <c r="J12" s="82" t="s">
        <v>230</v>
      </c>
      <c r="K12" s="80" t="s">
        <v>217</v>
      </c>
      <c r="L12" s="4"/>
      <c r="M12" s="4"/>
    </row>
    <row r="13" spans="1:15" x14ac:dyDescent="0.25">
      <c r="A13" s="72" t="s">
        <v>4</v>
      </c>
      <c r="B13" s="73" t="s">
        <v>6</v>
      </c>
      <c r="C13" s="4"/>
      <c r="E13" s="75">
        <v>2</v>
      </c>
      <c r="F13" s="75" t="s">
        <v>213</v>
      </c>
      <c r="G13" s="74" t="s">
        <v>214</v>
      </c>
      <c r="H13" s="75" t="s">
        <v>215</v>
      </c>
      <c r="J13" s="83" t="s">
        <v>231</v>
      </c>
      <c r="K13" s="80" t="s">
        <v>217</v>
      </c>
      <c r="L13" s="4"/>
      <c r="M13" s="4"/>
    </row>
    <row r="14" spans="1:15" x14ac:dyDescent="0.25">
      <c r="A14" s="72" t="s">
        <v>4</v>
      </c>
      <c r="B14" s="73">
        <v>747</v>
      </c>
      <c r="C14" s="4"/>
      <c r="E14" s="76">
        <v>4</v>
      </c>
      <c r="F14" s="75" t="s">
        <v>213</v>
      </c>
      <c r="G14" s="74" t="s">
        <v>214</v>
      </c>
      <c r="H14" s="79" t="s">
        <v>232</v>
      </c>
      <c r="J14" s="59" t="s">
        <v>216</v>
      </c>
      <c r="K14" s="74" t="s">
        <v>214</v>
      </c>
      <c r="L14" s="4"/>
      <c r="M14" s="4"/>
    </row>
    <row r="15" spans="1:15" x14ac:dyDescent="0.25">
      <c r="A15" s="72" t="s">
        <v>4</v>
      </c>
      <c r="B15" s="73">
        <v>757</v>
      </c>
      <c r="C15" s="4"/>
      <c r="E15" s="75">
        <v>2</v>
      </c>
      <c r="F15" s="75" t="s">
        <v>213</v>
      </c>
      <c r="G15" s="74" t="s">
        <v>214</v>
      </c>
      <c r="H15" s="56" t="s">
        <v>218</v>
      </c>
      <c r="J15" s="84" t="s">
        <v>233</v>
      </c>
      <c r="K15" s="74" t="s">
        <v>214</v>
      </c>
      <c r="L15" s="4"/>
      <c r="M15" s="4"/>
    </row>
    <row r="16" spans="1:15" x14ac:dyDescent="0.25">
      <c r="A16" s="72" t="s">
        <v>4</v>
      </c>
      <c r="B16" s="73">
        <v>767</v>
      </c>
      <c r="C16" s="4"/>
      <c r="E16" s="75">
        <v>2</v>
      </c>
      <c r="F16" s="75" t="s">
        <v>213</v>
      </c>
      <c r="G16" s="74" t="s">
        <v>214</v>
      </c>
      <c r="H16" s="56" t="s">
        <v>218</v>
      </c>
      <c r="J16" s="59" t="s">
        <v>216</v>
      </c>
      <c r="K16" s="74" t="s">
        <v>214</v>
      </c>
      <c r="L16" s="4"/>
      <c r="M16" s="4"/>
    </row>
    <row r="17" spans="1:14" x14ac:dyDescent="0.25">
      <c r="A17" s="72" t="s">
        <v>4</v>
      </c>
      <c r="B17" s="73">
        <v>777</v>
      </c>
      <c r="C17" s="4"/>
      <c r="E17" s="75">
        <v>2</v>
      </c>
      <c r="F17" s="75" t="s">
        <v>213</v>
      </c>
      <c r="G17" s="74" t="s">
        <v>214</v>
      </c>
      <c r="H17" s="77" t="s">
        <v>234</v>
      </c>
      <c r="J17" s="78" t="s">
        <v>227</v>
      </c>
      <c r="K17" s="74" t="s">
        <v>214</v>
      </c>
      <c r="L17" s="80" t="s">
        <v>228</v>
      </c>
      <c r="M17" s="4"/>
      <c r="N17" t="s">
        <v>217</v>
      </c>
    </row>
    <row r="18" spans="1:14" x14ac:dyDescent="0.25">
      <c r="A18" s="72" t="s">
        <v>4</v>
      </c>
      <c r="B18" s="73" t="s">
        <v>159</v>
      </c>
      <c r="C18" s="4"/>
      <c r="E18" s="75">
        <v>2</v>
      </c>
      <c r="F18" s="75" t="s">
        <v>213</v>
      </c>
      <c r="G18" s="74" t="s">
        <v>214</v>
      </c>
      <c r="H18" s="77" t="s">
        <v>234</v>
      </c>
      <c r="J18" s="78" t="s">
        <v>235</v>
      </c>
      <c r="K18" s="74" t="s">
        <v>214</v>
      </c>
      <c r="L18" s="80" t="s">
        <v>228</v>
      </c>
      <c r="M18" s="4"/>
    </row>
    <row r="19" spans="1:14" x14ac:dyDescent="0.25">
      <c r="A19" s="72" t="s">
        <v>4</v>
      </c>
      <c r="B19" s="73">
        <v>787</v>
      </c>
      <c r="C19" s="4"/>
      <c r="E19" s="75">
        <v>2</v>
      </c>
      <c r="F19" s="75" t="s">
        <v>213</v>
      </c>
      <c r="G19" s="74" t="s">
        <v>214</v>
      </c>
      <c r="H19" s="56" t="s">
        <v>218</v>
      </c>
      <c r="J19" s="78" t="s">
        <v>236</v>
      </c>
      <c r="K19" s="74" t="s">
        <v>214</v>
      </c>
      <c r="L19" s="80" t="s">
        <v>237</v>
      </c>
      <c r="M19" s="4"/>
    </row>
    <row r="20" spans="1:14" x14ac:dyDescent="0.25">
      <c r="A20" s="72" t="s">
        <v>18</v>
      </c>
      <c r="B20" s="73" t="s">
        <v>63</v>
      </c>
      <c r="C20" s="4"/>
      <c r="E20" s="75">
        <v>2</v>
      </c>
      <c r="F20" s="75" t="s">
        <v>213</v>
      </c>
      <c r="G20" s="74" t="s">
        <v>214</v>
      </c>
      <c r="H20" s="75" t="s">
        <v>215</v>
      </c>
      <c r="J20" s="59" t="s">
        <v>216</v>
      </c>
      <c r="K20" s="80" t="s">
        <v>217</v>
      </c>
      <c r="L20" s="80" t="s">
        <v>237</v>
      </c>
      <c r="M20" s="4"/>
      <c r="N20" t="s">
        <v>217</v>
      </c>
    </row>
    <row r="21" spans="1:14" x14ac:dyDescent="0.25">
      <c r="A21" s="72" t="s">
        <v>18</v>
      </c>
      <c r="B21" s="73" t="s">
        <v>19</v>
      </c>
      <c r="C21" s="4"/>
      <c r="E21" s="75">
        <v>2</v>
      </c>
      <c r="F21" s="75" t="s">
        <v>213</v>
      </c>
      <c r="G21" s="74" t="s">
        <v>214</v>
      </c>
      <c r="H21" s="75" t="s">
        <v>215</v>
      </c>
      <c r="J21" s="59" t="s">
        <v>216</v>
      </c>
      <c r="K21" s="80" t="s">
        <v>217</v>
      </c>
      <c r="L21" s="80" t="s">
        <v>237</v>
      </c>
      <c r="M21" s="4"/>
      <c r="N21" t="s">
        <v>217</v>
      </c>
    </row>
    <row r="22" spans="1:14" x14ac:dyDescent="0.25">
      <c r="A22" s="72" t="s">
        <v>18</v>
      </c>
      <c r="B22" s="73" t="s">
        <v>64</v>
      </c>
      <c r="C22" s="4"/>
      <c r="E22" s="75">
        <v>2</v>
      </c>
      <c r="F22" s="75" t="s">
        <v>213</v>
      </c>
      <c r="G22" s="74" t="s">
        <v>214</v>
      </c>
      <c r="H22" s="75" t="s">
        <v>215</v>
      </c>
      <c r="J22" s="59" t="s">
        <v>216</v>
      </c>
      <c r="K22" s="80" t="s">
        <v>217</v>
      </c>
      <c r="L22" s="80" t="s">
        <v>237</v>
      </c>
      <c r="M22" s="4"/>
      <c r="N22" t="s">
        <v>217</v>
      </c>
    </row>
    <row r="23" spans="1:14" x14ac:dyDescent="0.25">
      <c r="A23" s="72" t="s">
        <v>18</v>
      </c>
      <c r="B23" s="73" t="s">
        <v>65</v>
      </c>
      <c r="C23" s="4"/>
      <c r="E23" s="75">
        <v>2</v>
      </c>
      <c r="F23" s="75" t="s">
        <v>213</v>
      </c>
      <c r="G23" s="74" t="s">
        <v>214</v>
      </c>
      <c r="H23" s="75" t="s">
        <v>215</v>
      </c>
      <c r="J23" s="59" t="s">
        <v>216</v>
      </c>
      <c r="K23" s="80" t="s">
        <v>217</v>
      </c>
      <c r="L23" s="80" t="s">
        <v>237</v>
      </c>
      <c r="M23" s="4"/>
      <c r="N23" t="s">
        <v>217</v>
      </c>
    </row>
    <row r="24" spans="1:14" ht="40.5" x14ac:dyDescent="0.25">
      <c r="A24" s="72" t="s">
        <v>18</v>
      </c>
      <c r="B24" s="85" t="s">
        <v>238</v>
      </c>
      <c r="C24" s="4"/>
      <c r="E24" s="75">
        <v>2</v>
      </c>
      <c r="F24" s="76" t="s">
        <v>229</v>
      </c>
      <c r="G24" s="80" t="s">
        <v>217</v>
      </c>
      <c r="H24" s="75" t="s">
        <v>215</v>
      </c>
      <c r="J24" s="59" t="s">
        <v>216</v>
      </c>
      <c r="K24" s="74" t="s">
        <v>214</v>
      </c>
      <c r="L24" s="4"/>
      <c r="M24" s="78" t="s">
        <v>239</v>
      </c>
    </row>
    <row r="25" spans="1:14" x14ac:dyDescent="0.25">
      <c r="A25" s="72" t="s">
        <v>240</v>
      </c>
      <c r="B25" s="73" t="s">
        <v>241</v>
      </c>
      <c r="C25" s="4"/>
      <c r="E25" s="75">
        <v>2</v>
      </c>
      <c r="F25" s="76" t="s">
        <v>229</v>
      </c>
      <c r="G25" s="80" t="s">
        <v>217</v>
      </c>
      <c r="H25" s="75" t="s">
        <v>215</v>
      </c>
      <c r="J25" s="59" t="s">
        <v>216</v>
      </c>
      <c r="K25" s="74" t="s">
        <v>214</v>
      </c>
      <c r="L25" s="4"/>
      <c r="M25" s="78" t="s">
        <v>242</v>
      </c>
    </row>
    <row r="26" spans="1:14" x14ac:dyDescent="0.25">
      <c r="A26" s="72" t="s">
        <v>53</v>
      </c>
      <c r="B26" s="73" t="s">
        <v>243</v>
      </c>
      <c r="C26" s="4"/>
      <c r="E26" s="75">
        <v>2</v>
      </c>
      <c r="F26" s="76" t="s">
        <v>229</v>
      </c>
      <c r="G26" s="80" t="s">
        <v>217</v>
      </c>
      <c r="H26" s="75" t="s">
        <v>215</v>
      </c>
      <c r="J26" s="59" t="s">
        <v>216</v>
      </c>
      <c r="K26" s="74" t="s">
        <v>214</v>
      </c>
      <c r="L26" s="4"/>
      <c r="M26" s="78" t="s">
        <v>242</v>
      </c>
    </row>
    <row r="27" spans="1:14" x14ac:dyDescent="0.25">
      <c r="A27" s="72" t="s">
        <v>240</v>
      </c>
      <c r="B27" s="73" t="s">
        <v>244</v>
      </c>
      <c r="C27" s="4"/>
      <c r="E27" s="75">
        <v>2</v>
      </c>
      <c r="F27" s="76" t="s">
        <v>229</v>
      </c>
      <c r="G27" s="80" t="s">
        <v>217</v>
      </c>
      <c r="H27" s="75" t="s">
        <v>215</v>
      </c>
      <c r="J27" s="59" t="s">
        <v>216</v>
      </c>
      <c r="K27" s="74" t="s">
        <v>214</v>
      </c>
      <c r="L27" s="4"/>
      <c r="M27" s="78" t="s">
        <v>242</v>
      </c>
    </row>
    <row r="28" spans="1:14" x14ac:dyDescent="0.25">
      <c r="A28" s="72" t="s">
        <v>240</v>
      </c>
      <c r="B28" s="73" t="s">
        <v>245</v>
      </c>
      <c r="C28" s="4"/>
      <c r="E28" s="75">
        <v>2</v>
      </c>
      <c r="F28" s="76" t="s">
        <v>229</v>
      </c>
      <c r="G28" s="80" t="s">
        <v>217</v>
      </c>
      <c r="H28" s="75" t="s">
        <v>215</v>
      </c>
      <c r="J28" s="59" t="s">
        <v>216</v>
      </c>
      <c r="K28" s="74" t="s">
        <v>214</v>
      </c>
      <c r="L28" s="4"/>
      <c r="M28" s="78" t="s">
        <v>242</v>
      </c>
    </row>
    <row r="29" spans="1:14" x14ac:dyDescent="0.25">
      <c r="A29" s="72" t="s">
        <v>246</v>
      </c>
      <c r="B29" s="73" t="s">
        <v>57</v>
      </c>
      <c r="C29" s="4"/>
      <c r="E29" s="75">
        <v>2</v>
      </c>
      <c r="F29" s="76" t="s">
        <v>229</v>
      </c>
      <c r="G29" s="80" t="s">
        <v>217</v>
      </c>
      <c r="H29" s="75" t="s">
        <v>215</v>
      </c>
      <c r="J29" s="59" t="s">
        <v>216</v>
      </c>
      <c r="K29" s="74" t="s">
        <v>214</v>
      </c>
      <c r="L29" s="80" t="s">
        <v>228</v>
      </c>
      <c r="M29" s="4"/>
    </row>
    <row r="30" spans="1:14" x14ac:dyDescent="0.25">
      <c r="A30" s="72" t="s">
        <v>246</v>
      </c>
      <c r="B30" s="73" t="s">
        <v>56</v>
      </c>
      <c r="C30" s="4"/>
      <c r="E30" s="75">
        <v>2</v>
      </c>
      <c r="F30" s="75" t="s">
        <v>213</v>
      </c>
      <c r="G30" s="74" t="s">
        <v>214</v>
      </c>
      <c r="H30" s="75" t="s">
        <v>215</v>
      </c>
      <c r="J30" s="59" t="s">
        <v>216</v>
      </c>
      <c r="K30" s="74" t="s">
        <v>214</v>
      </c>
      <c r="L30" s="80" t="s">
        <v>237</v>
      </c>
      <c r="M30" s="4"/>
    </row>
    <row r="31" spans="1:14" x14ac:dyDescent="0.25">
      <c r="A31" s="72" t="s">
        <v>247</v>
      </c>
      <c r="B31" s="73" t="s">
        <v>248</v>
      </c>
      <c r="C31" s="4"/>
      <c r="E31" s="81">
        <v>3</v>
      </c>
      <c r="F31" s="75" t="s">
        <v>213</v>
      </c>
      <c r="G31" s="74" t="s">
        <v>214</v>
      </c>
      <c r="H31" s="77" t="s">
        <v>249</v>
      </c>
      <c r="J31" s="78" t="s">
        <v>231</v>
      </c>
      <c r="K31" s="74" t="s">
        <v>214</v>
      </c>
      <c r="L31" s="80" t="s">
        <v>228</v>
      </c>
      <c r="M31" s="4"/>
    </row>
    <row r="32" spans="1:14" x14ac:dyDescent="0.25">
      <c r="A32" s="72"/>
      <c r="B32" s="73" t="s">
        <v>250</v>
      </c>
      <c r="C32" s="4"/>
      <c r="E32" s="75">
        <v>2</v>
      </c>
      <c r="F32" s="76" t="s">
        <v>229</v>
      </c>
      <c r="G32" s="80" t="s">
        <v>217</v>
      </c>
      <c r="H32" s="75" t="s">
        <v>215</v>
      </c>
      <c r="J32" s="78" t="s">
        <v>233</v>
      </c>
      <c r="K32" s="74" t="s">
        <v>214</v>
      </c>
      <c r="L32" s="80" t="s">
        <v>228</v>
      </c>
      <c r="M32" s="4"/>
    </row>
    <row r="33" spans="1:12" x14ac:dyDescent="0.25">
      <c r="A33" s="72" t="s">
        <v>251</v>
      </c>
      <c r="B33" s="73" t="s">
        <v>252</v>
      </c>
      <c r="E33" s="76">
        <v>4</v>
      </c>
      <c r="F33" s="75" t="s">
        <v>213</v>
      </c>
      <c r="G33" s="80" t="s">
        <v>217</v>
      </c>
      <c r="H33" s="79" t="s">
        <v>253</v>
      </c>
      <c r="J33" s="78" t="s">
        <v>227</v>
      </c>
      <c r="K33" s="74" t="s">
        <v>214</v>
      </c>
      <c r="L33" s="4"/>
    </row>
    <row r="37" spans="1:12" x14ac:dyDescent="0.25">
      <c r="A37" s="86" t="s">
        <v>254</v>
      </c>
    </row>
    <row r="38" spans="1:12" x14ac:dyDescent="0.25">
      <c r="A38" t="s">
        <v>255</v>
      </c>
    </row>
    <row r="39" spans="1:12" x14ac:dyDescent="0.25">
      <c r="A39" t="s">
        <v>256</v>
      </c>
    </row>
    <row r="40" spans="1:12" x14ac:dyDescent="0.25">
      <c r="B40" t="s">
        <v>257</v>
      </c>
    </row>
    <row r="41" spans="1:12" x14ac:dyDescent="0.25">
      <c r="B41" t="s">
        <v>258</v>
      </c>
    </row>
    <row r="42" spans="1:12" x14ac:dyDescent="0.25">
      <c r="B42" t="s">
        <v>259</v>
      </c>
    </row>
    <row r="43" spans="1:12" x14ac:dyDescent="0.25">
      <c r="A43" t="s">
        <v>260</v>
      </c>
    </row>
    <row r="44" spans="1:12" x14ac:dyDescent="0.25">
      <c r="B44" t="s">
        <v>261</v>
      </c>
    </row>
    <row r="45" spans="1:12" x14ac:dyDescent="0.25">
      <c r="A45" t="s">
        <v>262</v>
      </c>
    </row>
    <row r="46" spans="1:12" x14ac:dyDescent="0.25">
      <c r="B46" t="s">
        <v>263</v>
      </c>
    </row>
    <row r="47" spans="1:12" x14ac:dyDescent="0.25">
      <c r="B47" t="s">
        <v>264</v>
      </c>
    </row>
    <row r="48" spans="1:12" x14ac:dyDescent="0.25">
      <c r="A48" t="s">
        <v>265</v>
      </c>
    </row>
    <row r="49" spans="1:1" x14ac:dyDescent="0.25">
      <c r="A49" t="s">
        <v>266</v>
      </c>
    </row>
  </sheetData>
  <autoFilter ref="A1:O33" xr:uid="{A8072282-46DE-4A38-841C-E80E201F1FB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Aircraft Matrix</vt:lpstr>
      <vt:lpstr>Fleet Analysis</vt:lpstr>
      <vt:lpstr>Airplane Identification</vt:lpstr>
    </vt:vector>
  </TitlesOfParts>
  <Company>The Boeing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(US), Bailey</dc:creator>
  <cp:lastModifiedBy>Wu (US), Bailey</cp:lastModifiedBy>
  <dcterms:created xsi:type="dcterms:W3CDTF">2025-03-28T21:16:52Z</dcterms:created>
  <dcterms:modified xsi:type="dcterms:W3CDTF">2025-04-17T17:14:53Z</dcterms:modified>
</cp:coreProperties>
</file>