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</sheets>
  <calcPr calcId="152511"/>
</workbook>
</file>

<file path=xl/calcChain.xml><?xml version="1.0" encoding="utf-8"?>
<calcChain xmlns="http://schemas.openxmlformats.org/spreadsheetml/2006/main">
  <c r="O4" i="8" l="1"/>
  <c r="R27" i="8"/>
  <c r="R28" i="8"/>
  <c r="R29" i="8"/>
  <c r="R30" i="8"/>
  <c r="R31" i="8"/>
  <c r="R32" i="8"/>
  <c r="R33" i="8"/>
  <c r="R34" i="8"/>
  <c r="R35" i="8"/>
  <c r="R36" i="8"/>
  <c r="R37" i="8"/>
  <c r="R38" i="8"/>
  <c r="O36" i="8" l="1"/>
  <c r="O24" i="8"/>
  <c r="J37" i="8"/>
  <c r="J36" i="8"/>
  <c r="J35" i="8"/>
  <c r="J34" i="8"/>
  <c r="J33" i="8"/>
  <c r="J32" i="8"/>
  <c r="J31" i="8"/>
  <c r="J30" i="8"/>
  <c r="J29" i="8"/>
  <c r="J28" i="8"/>
  <c r="K37" i="8"/>
  <c r="K36" i="8"/>
  <c r="K35" i="8"/>
  <c r="K34" i="8"/>
  <c r="K32" i="8"/>
  <c r="K31" i="8"/>
  <c r="K30" i="8"/>
  <c r="K28" i="8"/>
  <c r="M37" i="8"/>
  <c r="M36" i="8"/>
  <c r="M35" i="8"/>
  <c r="M34" i="8"/>
  <c r="M33" i="8"/>
  <c r="M32" i="8"/>
  <c r="M31" i="8"/>
  <c r="M30" i="8"/>
  <c r="M29" i="8"/>
  <c r="M28" i="8"/>
  <c r="L37" i="8"/>
  <c r="L36" i="8"/>
  <c r="L35" i="8"/>
  <c r="L34" i="8"/>
  <c r="L33" i="8"/>
  <c r="L32" i="8"/>
  <c r="L31" i="8"/>
  <c r="L30" i="8"/>
  <c r="L29" i="8"/>
  <c r="L28" i="8"/>
  <c r="K33" i="8"/>
  <c r="K29" i="8"/>
  <c r="I37" i="8"/>
  <c r="I36" i="8"/>
  <c r="I35" i="8"/>
  <c r="I34" i="8"/>
  <c r="I33" i="8"/>
  <c r="I32" i="8"/>
  <c r="I31" i="8"/>
  <c r="I30" i="8"/>
  <c r="I29" i="8"/>
  <c r="I28" i="8"/>
  <c r="H37" i="8"/>
  <c r="H36" i="8"/>
  <c r="H35" i="8"/>
  <c r="H34" i="8"/>
  <c r="H33" i="8"/>
  <c r="H32" i="8"/>
  <c r="H31" i="8"/>
  <c r="H30" i="8"/>
  <c r="H29" i="8"/>
  <c r="H28" i="8"/>
  <c r="G37" i="8"/>
  <c r="G36" i="8"/>
  <c r="G35" i="8"/>
  <c r="G34" i="8"/>
  <c r="G33" i="8"/>
  <c r="G32" i="8"/>
  <c r="G31" i="8"/>
  <c r="G30" i="8"/>
  <c r="G29" i="8"/>
  <c r="G28" i="8"/>
  <c r="F37" i="8"/>
  <c r="F36" i="8"/>
  <c r="F35" i="8"/>
  <c r="F34" i="8"/>
  <c r="F33" i="8"/>
  <c r="F32" i="8"/>
  <c r="F31" i="8"/>
  <c r="F30" i="8"/>
  <c r="F29" i="8"/>
  <c r="F28" i="8"/>
  <c r="E37" i="8"/>
  <c r="E36" i="8"/>
  <c r="E35" i="8"/>
  <c r="E34" i="8"/>
  <c r="E33" i="8"/>
  <c r="E32" i="8"/>
  <c r="E31" i="8"/>
  <c r="E30" i="8"/>
  <c r="E29" i="8"/>
  <c r="E28" i="8"/>
  <c r="D37" i="8"/>
  <c r="D36" i="8"/>
  <c r="D35" i="8"/>
  <c r="D34" i="8"/>
  <c r="D33" i="8"/>
  <c r="D32" i="8"/>
  <c r="D31" i="8"/>
  <c r="D30" i="8"/>
  <c r="D29" i="8"/>
  <c r="D28" i="8"/>
  <c r="C37" i="8"/>
  <c r="C36" i="8"/>
  <c r="C35" i="8"/>
  <c r="C34" i="8"/>
  <c r="C33" i="8"/>
  <c r="C32" i="8"/>
  <c r="C31" i="8"/>
  <c r="C30" i="8"/>
  <c r="C29" i="8"/>
  <c r="C28" i="8"/>
  <c r="M25" i="8"/>
  <c r="M24" i="8"/>
  <c r="M23" i="8"/>
  <c r="M22" i="8"/>
  <c r="M21" i="8"/>
  <c r="M20" i="8"/>
  <c r="M19" i="8"/>
  <c r="M18" i="8"/>
  <c r="M17" i="8"/>
  <c r="M16" i="8"/>
  <c r="L25" i="8"/>
  <c r="L24" i="8"/>
  <c r="L23" i="8"/>
  <c r="L22" i="8"/>
  <c r="L21" i="8"/>
  <c r="L20" i="8"/>
  <c r="L19" i="8"/>
  <c r="L18" i="8"/>
  <c r="L17" i="8"/>
  <c r="L16" i="8"/>
  <c r="K25" i="8"/>
  <c r="K24" i="8"/>
  <c r="K23" i="8"/>
  <c r="K22" i="8"/>
  <c r="K21" i="8"/>
  <c r="K20" i="8"/>
  <c r="K19" i="8"/>
  <c r="K18" i="8"/>
  <c r="K17" i="8"/>
  <c r="K16" i="8"/>
  <c r="L15" i="8"/>
  <c r="K15" i="8"/>
  <c r="J25" i="8"/>
  <c r="J24" i="8"/>
  <c r="J23" i="8"/>
  <c r="J22" i="8"/>
  <c r="J21" i="8"/>
  <c r="J20" i="8"/>
  <c r="J19" i="8"/>
  <c r="J18" i="8"/>
  <c r="J17" i="8"/>
  <c r="J16" i="8"/>
  <c r="I25" i="8"/>
  <c r="I24" i="8"/>
  <c r="I23" i="8"/>
  <c r="I22" i="8"/>
  <c r="I21" i="8"/>
  <c r="I20" i="8"/>
  <c r="I19" i="8"/>
  <c r="I18" i="8"/>
  <c r="I17" i="8"/>
  <c r="I16" i="8"/>
  <c r="H25" i="8"/>
  <c r="H24" i="8"/>
  <c r="H23" i="8"/>
  <c r="H22" i="8"/>
  <c r="H21" i="8"/>
  <c r="H20" i="8"/>
  <c r="H19" i="8"/>
  <c r="H18" i="8"/>
  <c r="H17" i="8"/>
  <c r="H16" i="8"/>
  <c r="G25" i="8"/>
  <c r="G24" i="8"/>
  <c r="G23" i="8"/>
  <c r="G22" i="8"/>
  <c r="G21" i="8"/>
  <c r="G20" i="8"/>
  <c r="G19" i="8"/>
  <c r="G18" i="8"/>
  <c r="G17" i="8"/>
  <c r="G16" i="8"/>
  <c r="F25" i="8"/>
  <c r="F24" i="8"/>
  <c r="F23" i="8"/>
  <c r="F22" i="8"/>
  <c r="F21" i="8"/>
  <c r="F20" i="8"/>
  <c r="F19" i="8"/>
  <c r="F16" i="8"/>
  <c r="F17" i="8"/>
  <c r="F18" i="8"/>
  <c r="E24" i="8"/>
  <c r="E23" i="8"/>
  <c r="E22" i="8"/>
  <c r="E21" i="8"/>
  <c r="E25" i="8"/>
  <c r="E20" i="8"/>
  <c r="E19" i="8"/>
  <c r="E18" i="8"/>
  <c r="E17" i="8"/>
  <c r="E16" i="8"/>
  <c r="D24" i="8"/>
  <c r="D23" i="8"/>
  <c r="D22" i="8"/>
  <c r="D21" i="8"/>
  <c r="D20" i="8"/>
  <c r="D25" i="8"/>
  <c r="D2" i="4"/>
  <c r="D19" i="8"/>
  <c r="D18" i="8"/>
  <c r="D17" i="8"/>
  <c r="D16" i="8"/>
  <c r="C25" i="8"/>
  <c r="C24" i="8"/>
  <c r="C23" i="8"/>
  <c r="C22" i="8"/>
  <c r="C21" i="8"/>
  <c r="C20" i="8"/>
  <c r="C19" i="8"/>
  <c r="C18" i="8"/>
  <c r="C17" i="8"/>
  <c r="C16" i="8"/>
  <c r="R14" i="8"/>
  <c r="U3" i="8"/>
  <c r="U4" i="8"/>
  <c r="U5" i="8"/>
  <c r="U6" i="8"/>
  <c r="U7" i="8"/>
  <c r="U8" i="8"/>
  <c r="U9" i="8"/>
  <c r="U10" i="8"/>
  <c r="U11" i="8"/>
  <c r="U12" i="8"/>
  <c r="U13" i="8"/>
  <c r="U2" i="8"/>
  <c r="U14" i="8" s="1"/>
  <c r="T3" i="8"/>
  <c r="T4" i="8"/>
  <c r="T5" i="8"/>
  <c r="T6" i="8"/>
  <c r="T7" i="8"/>
  <c r="T8" i="8"/>
  <c r="T9" i="8"/>
  <c r="T10" i="8"/>
  <c r="T11" i="8"/>
  <c r="T12" i="8"/>
  <c r="T13" i="8"/>
  <c r="T2" i="8"/>
  <c r="T14" i="8" s="1"/>
  <c r="S3" i="8"/>
  <c r="S4" i="8"/>
  <c r="S5" i="8"/>
  <c r="S6" i="8"/>
  <c r="S7" i="8"/>
  <c r="S8" i="8"/>
  <c r="S9" i="8"/>
  <c r="S10" i="8"/>
  <c r="S11" i="8"/>
  <c r="S12" i="8"/>
  <c r="S13" i="8"/>
  <c r="S2" i="8"/>
  <c r="S14" i="8" s="1"/>
  <c r="I6" i="7"/>
  <c r="M2" i="7"/>
  <c r="L2" i="7"/>
  <c r="K2" i="7"/>
  <c r="J2" i="7"/>
  <c r="I2" i="7"/>
  <c r="F17" i="7"/>
  <c r="F16" i="7"/>
  <c r="E17" i="7"/>
  <c r="E16" i="7"/>
  <c r="F15" i="7"/>
  <c r="E15" i="7"/>
  <c r="H2" i="7" l="1"/>
  <c r="C12" i="7"/>
  <c r="A12" i="7"/>
  <c r="F10" i="7"/>
  <c r="F3" i="7"/>
  <c r="F4" i="7"/>
  <c r="F5" i="7"/>
  <c r="F6" i="7"/>
  <c r="F7" i="7"/>
  <c r="F8" i="7"/>
  <c r="F9" i="7"/>
  <c r="F11" i="7"/>
  <c r="F2" i="7"/>
  <c r="E11" i="7"/>
  <c r="E4" i="7"/>
  <c r="E5" i="7"/>
  <c r="E10" i="7"/>
  <c r="E9" i="7"/>
  <c r="E8" i="7"/>
  <c r="E7" i="7"/>
  <c r="E6" i="7"/>
  <c r="E3" i="7"/>
  <c r="E2" i="7"/>
  <c r="E12" i="7" s="1"/>
  <c r="E8" i="6"/>
  <c r="N3" i="6"/>
  <c r="M3" i="6"/>
  <c r="L3" i="6"/>
  <c r="K10" i="5"/>
  <c r="H11" i="5"/>
  <c r="H3" i="5"/>
  <c r="H4" i="5"/>
  <c r="H5" i="5"/>
  <c r="H6" i="5"/>
  <c r="H7" i="5"/>
  <c r="H8" i="5"/>
  <c r="H9" i="5"/>
  <c r="H2" i="5"/>
  <c r="C21" i="5"/>
  <c r="K3" i="6"/>
  <c r="A5" i="6"/>
  <c r="F12" i="7" l="1"/>
  <c r="G2" i="5"/>
  <c r="F2" i="5"/>
  <c r="F3" i="5"/>
  <c r="M2" i="5"/>
  <c r="F4" i="5"/>
  <c r="F6" i="5"/>
  <c r="G6" i="5" s="1"/>
  <c r="I6" i="5" s="1"/>
  <c r="J6" i="5" s="1"/>
  <c r="K6" i="5" s="1"/>
  <c r="F8" i="5"/>
  <c r="D9" i="5"/>
  <c r="D8" i="5"/>
  <c r="D7" i="5"/>
  <c r="F7" i="5" s="1"/>
  <c r="D6" i="5"/>
  <c r="D5" i="5"/>
  <c r="F5" i="5" s="1"/>
  <c r="D4" i="5"/>
  <c r="D3" i="5"/>
  <c r="D2" i="5"/>
  <c r="C9" i="5"/>
  <c r="E9" i="5" s="1"/>
  <c r="C8" i="5"/>
  <c r="E8" i="5" s="1"/>
  <c r="C7" i="5"/>
  <c r="E7" i="5" s="1"/>
  <c r="C6" i="5"/>
  <c r="E6" i="5" s="1"/>
  <c r="C5" i="5"/>
  <c r="E5" i="5" s="1"/>
  <c r="C4" i="5"/>
  <c r="E4" i="5" s="1"/>
  <c r="C3" i="5"/>
  <c r="E3" i="5" s="1"/>
  <c r="C2" i="5"/>
  <c r="A13" i="5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I12" i="4"/>
  <c r="G6" i="4"/>
  <c r="I16" i="4"/>
  <c r="H9" i="4"/>
  <c r="H8" i="4"/>
  <c r="H7" i="4"/>
  <c r="H6" i="4"/>
  <c r="H5" i="4"/>
  <c r="H4" i="4"/>
  <c r="H3" i="4"/>
  <c r="H2" i="4"/>
  <c r="J9" i="4"/>
  <c r="J8" i="4"/>
  <c r="J7" i="4"/>
  <c r="J6" i="4"/>
  <c r="J5" i="4"/>
  <c r="J4" i="4"/>
  <c r="J3" i="4"/>
  <c r="J2" i="4"/>
  <c r="J9" i="2"/>
  <c r="J8" i="2"/>
  <c r="J7" i="2"/>
  <c r="I7" i="2"/>
  <c r="J6" i="2"/>
  <c r="J5" i="2"/>
  <c r="J4" i="2"/>
  <c r="J3" i="2"/>
  <c r="J2" i="2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3" i="4"/>
  <c r="F4" i="4"/>
  <c r="F5" i="4"/>
  <c r="F6" i="4"/>
  <c r="F7" i="4"/>
  <c r="F8" i="4"/>
  <c r="C3" i="4" s="1"/>
  <c r="E3" i="4" s="1"/>
  <c r="F9" i="4"/>
  <c r="F10" i="4"/>
  <c r="F11" i="4"/>
  <c r="F12" i="4"/>
  <c r="F13" i="4"/>
  <c r="F14" i="4"/>
  <c r="F15" i="4"/>
  <c r="F16" i="4"/>
  <c r="B8" i="4" s="1"/>
  <c r="D8" i="4" s="1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2" i="4"/>
  <c r="C9" i="4"/>
  <c r="E9" i="4" s="1"/>
  <c r="C8" i="4"/>
  <c r="E8" i="4" s="1"/>
  <c r="C7" i="4"/>
  <c r="E7" i="4" s="1"/>
  <c r="C6" i="4"/>
  <c r="E6" i="4" s="1"/>
  <c r="C5" i="4"/>
  <c r="E5" i="4" s="1"/>
  <c r="B2" i="4"/>
  <c r="C4" i="4"/>
  <c r="E4" i="4" s="1"/>
  <c r="B9" i="4"/>
  <c r="B7" i="4"/>
  <c r="D7" i="4" s="1"/>
  <c r="B6" i="4"/>
  <c r="D6" i="4" s="1"/>
  <c r="B5" i="4"/>
  <c r="B4" i="4"/>
  <c r="B3" i="4"/>
  <c r="D3" i="4" s="1"/>
  <c r="C2" i="4"/>
  <c r="E2" i="4" s="1"/>
  <c r="D5" i="4"/>
  <c r="D9" i="4"/>
  <c r="D4" i="4"/>
  <c r="I2" i="5" l="1"/>
  <c r="J2" i="5" s="1"/>
  <c r="K2" i="5" s="1"/>
  <c r="G3" i="5"/>
  <c r="G5" i="5"/>
  <c r="G7" i="5"/>
  <c r="I7" i="5" s="1"/>
  <c r="J7" i="5" s="1"/>
  <c r="K7" i="5" s="1"/>
  <c r="G9" i="5"/>
  <c r="G8" i="5"/>
  <c r="I8" i="5" s="1"/>
  <c r="J8" i="5" s="1"/>
  <c r="K8" i="5" s="1"/>
  <c r="G4" i="5"/>
  <c r="I4" i="5" s="1"/>
  <c r="J4" i="5" s="1"/>
  <c r="K4" i="5" s="1"/>
  <c r="K2" i="4"/>
  <c r="G3" i="4"/>
  <c r="I13" i="4" s="1"/>
  <c r="G4" i="4"/>
  <c r="G5" i="4"/>
  <c r="G7" i="4"/>
  <c r="G8" i="4"/>
  <c r="G9" i="4"/>
  <c r="G2" i="4"/>
  <c r="I9" i="5" l="1"/>
  <c r="J9" i="5" s="1"/>
  <c r="K9" i="5" s="1"/>
  <c r="G10" i="5"/>
  <c r="I5" i="5"/>
  <c r="J5" i="5" s="1"/>
  <c r="K5" i="5" s="1"/>
  <c r="I3" i="5"/>
  <c r="J3" i="5" s="1"/>
  <c r="K3" i="5" s="1"/>
  <c r="I19" i="4"/>
  <c r="J19" i="4" s="1"/>
  <c r="I17" i="4"/>
  <c r="J17" i="4" s="1"/>
  <c r="I15" i="4"/>
  <c r="J15" i="4" s="1"/>
  <c r="I18" i="4"/>
  <c r="J18" i="4" s="1"/>
  <c r="J16" i="4"/>
  <c r="I14" i="4"/>
  <c r="J14" i="4" s="1"/>
  <c r="J13" i="4"/>
  <c r="J12" i="4"/>
  <c r="R19" i="3"/>
  <c r="T6" i="3"/>
  <c r="T10" i="3"/>
  <c r="T8" i="3"/>
  <c r="O19" i="3"/>
  <c r="S6" i="3"/>
  <c r="S8" i="3"/>
  <c r="S10" i="3"/>
  <c r="R6" i="3"/>
  <c r="R8" i="3"/>
  <c r="Q6" i="3"/>
  <c r="P6" i="3"/>
  <c r="P8" i="3"/>
  <c r="O6" i="3"/>
  <c r="O8" i="3"/>
  <c r="L2" i="5" l="1"/>
  <c r="I2" i="4"/>
  <c r="E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B6" i="3"/>
  <c r="C6" i="3" s="1"/>
  <c r="L6" i="3" l="1"/>
  <c r="I6" i="3"/>
  <c r="F6" i="3"/>
  <c r="D6" i="3"/>
  <c r="L106" i="3"/>
  <c r="I106" i="3"/>
  <c r="F106" i="3"/>
  <c r="L104" i="3"/>
  <c r="I104" i="3"/>
  <c r="F104" i="3"/>
  <c r="L102" i="3"/>
  <c r="I102" i="3"/>
  <c r="F102" i="3"/>
  <c r="L100" i="3"/>
  <c r="I100" i="3"/>
  <c r="F100" i="3"/>
  <c r="L98" i="3"/>
  <c r="I98" i="3"/>
  <c r="F98" i="3"/>
  <c r="L96" i="3"/>
  <c r="I96" i="3"/>
  <c r="F96" i="3"/>
  <c r="L94" i="3"/>
  <c r="I94" i="3"/>
  <c r="F94" i="3"/>
  <c r="L92" i="3"/>
  <c r="I92" i="3"/>
  <c r="F92" i="3"/>
  <c r="L90" i="3"/>
  <c r="I90" i="3"/>
  <c r="F90" i="3"/>
  <c r="L88" i="3"/>
  <c r="I88" i="3"/>
  <c r="F88" i="3"/>
  <c r="L86" i="3"/>
  <c r="I86" i="3"/>
  <c r="F86" i="3"/>
  <c r="L84" i="3"/>
  <c r="I84" i="3"/>
  <c r="F84" i="3"/>
  <c r="L82" i="3"/>
  <c r="I82" i="3"/>
  <c r="F82" i="3"/>
  <c r="L80" i="3"/>
  <c r="I80" i="3"/>
  <c r="F80" i="3"/>
  <c r="L78" i="3"/>
  <c r="I78" i="3"/>
  <c r="F78" i="3"/>
  <c r="L76" i="3"/>
  <c r="I76" i="3"/>
  <c r="F76" i="3"/>
  <c r="L74" i="3"/>
  <c r="I74" i="3"/>
  <c r="F74" i="3"/>
  <c r="L72" i="3"/>
  <c r="I72" i="3"/>
  <c r="F72" i="3"/>
  <c r="L70" i="3"/>
  <c r="I70" i="3"/>
  <c r="F70" i="3"/>
  <c r="L68" i="3"/>
  <c r="I68" i="3"/>
  <c r="F68" i="3"/>
  <c r="L66" i="3"/>
  <c r="I66" i="3"/>
  <c r="F66" i="3"/>
  <c r="L64" i="3"/>
  <c r="I64" i="3"/>
  <c r="F64" i="3"/>
  <c r="L62" i="3"/>
  <c r="I62" i="3"/>
  <c r="F62" i="3"/>
  <c r="L60" i="3"/>
  <c r="I60" i="3"/>
  <c r="F60" i="3"/>
  <c r="L58" i="3"/>
  <c r="I58" i="3"/>
  <c r="F58" i="3"/>
  <c r="L56" i="3"/>
  <c r="I56" i="3"/>
  <c r="F56" i="3"/>
  <c r="L54" i="3"/>
  <c r="I54" i="3"/>
  <c r="F54" i="3"/>
  <c r="L52" i="3"/>
  <c r="I52" i="3"/>
  <c r="F52" i="3"/>
  <c r="L50" i="3"/>
  <c r="I50" i="3"/>
  <c r="F50" i="3"/>
  <c r="L48" i="3"/>
  <c r="I48" i="3"/>
  <c r="F48" i="3"/>
  <c r="L46" i="3"/>
  <c r="I46" i="3"/>
  <c r="F46" i="3"/>
  <c r="L44" i="3"/>
  <c r="I44" i="3"/>
  <c r="F44" i="3"/>
  <c r="L42" i="3"/>
  <c r="I42" i="3"/>
  <c r="F42" i="3"/>
  <c r="L40" i="3"/>
  <c r="I40" i="3"/>
  <c r="F40" i="3"/>
  <c r="L38" i="3"/>
  <c r="I38" i="3"/>
  <c r="F38" i="3"/>
  <c r="L36" i="3"/>
  <c r="I36" i="3"/>
  <c r="F36" i="3"/>
  <c r="L34" i="3"/>
  <c r="I34" i="3"/>
  <c r="F34" i="3"/>
  <c r="L32" i="3"/>
  <c r="I32" i="3"/>
  <c r="F32" i="3"/>
  <c r="L30" i="3"/>
  <c r="I30" i="3"/>
  <c r="F30" i="3"/>
  <c r="L28" i="3"/>
  <c r="I28" i="3"/>
  <c r="F28" i="3"/>
  <c r="L26" i="3"/>
  <c r="I26" i="3"/>
  <c r="F26" i="3"/>
  <c r="L24" i="3"/>
  <c r="I24" i="3"/>
  <c r="F24" i="3"/>
  <c r="L22" i="3"/>
  <c r="I22" i="3"/>
  <c r="F22" i="3"/>
  <c r="L20" i="3"/>
  <c r="I20" i="3"/>
  <c r="F20" i="3"/>
  <c r="L18" i="3"/>
  <c r="I18" i="3"/>
  <c r="F18" i="3"/>
  <c r="L16" i="3"/>
  <c r="I16" i="3"/>
  <c r="F16" i="3"/>
  <c r="L14" i="3"/>
  <c r="I14" i="3"/>
  <c r="F14" i="3"/>
  <c r="L12" i="3"/>
  <c r="I12" i="3"/>
  <c r="F12" i="3"/>
  <c r="L10" i="3"/>
  <c r="I10" i="3"/>
  <c r="F10" i="3"/>
  <c r="L8" i="3"/>
  <c r="I8" i="3"/>
  <c r="F8" i="3"/>
  <c r="L107" i="3"/>
  <c r="I107" i="3"/>
  <c r="F107" i="3"/>
  <c r="L105" i="3"/>
  <c r="I105" i="3"/>
  <c r="F105" i="3"/>
  <c r="L103" i="3"/>
  <c r="I103" i="3"/>
  <c r="F103" i="3"/>
  <c r="L101" i="3"/>
  <c r="I101" i="3"/>
  <c r="F101" i="3"/>
  <c r="L99" i="3"/>
  <c r="I99" i="3"/>
  <c r="F99" i="3"/>
  <c r="L97" i="3"/>
  <c r="I97" i="3"/>
  <c r="F97" i="3"/>
  <c r="L95" i="3"/>
  <c r="I95" i="3"/>
  <c r="F95" i="3"/>
  <c r="L93" i="3"/>
  <c r="I93" i="3"/>
  <c r="F93" i="3"/>
  <c r="L91" i="3"/>
  <c r="I91" i="3"/>
  <c r="F91" i="3"/>
  <c r="L89" i="3"/>
  <c r="I89" i="3"/>
  <c r="F89" i="3"/>
  <c r="L87" i="3"/>
  <c r="I87" i="3"/>
  <c r="F87" i="3"/>
  <c r="L85" i="3"/>
  <c r="I85" i="3"/>
  <c r="F85" i="3"/>
  <c r="L83" i="3"/>
  <c r="I83" i="3"/>
  <c r="F83" i="3"/>
  <c r="L81" i="3"/>
  <c r="I81" i="3"/>
  <c r="F81" i="3"/>
  <c r="L79" i="3"/>
  <c r="I79" i="3"/>
  <c r="F79" i="3"/>
  <c r="L77" i="3"/>
  <c r="I77" i="3"/>
  <c r="F77" i="3"/>
  <c r="L75" i="3"/>
  <c r="I75" i="3"/>
  <c r="F75" i="3"/>
  <c r="L73" i="3"/>
  <c r="I73" i="3"/>
  <c r="F73" i="3"/>
  <c r="L71" i="3"/>
  <c r="I71" i="3"/>
  <c r="F71" i="3"/>
  <c r="I69" i="3"/>
  <c r="L69" i="3"/>
  <c r="F69" i="3"/>
  <c r="I67" i="3"/>
  <c r="L67" i="3"/>
  <c r="F67" i="3"/>
  <c r="I65" i="3"/>
  <c r="L65" i="3"/>
  <c r="F65" i="3"/>
  <c r="I63" i="3"/>
  <c r="L63" i="3"/>
  <c r="F63" i="3"/>
  <c r="I61" i="3"/>
  <c r="L61" i="3"/>
  <c r="F61" i="3"/>
  <c r="I59" i="3"/>
  <c r="L59" i="3"/>
  <c r="F59" i="3"/>
  <c r="I57" i="3"/>
  <c r="L57" i="3"/>
  <c r="F57" i="3"/>
  <c r="I55" i="3"/>
  <c r="L55" i="3"/>
  <c r="F55" i="3"/>
  <c r="I53" i="3"/>
  <c r="L53" i="3"/>
  <c r="F53" i="3"/>
  <c r="I51" i="3"/>
  <c r="L51" i="3"/>
  <c r="F51" i="3"/>
  <c r="I49" i="3"/>
  <c r="L49" i="3"/>
  <c r="F49" i="3"/>
  <c r="I47" i="3"/>
  <c r="L47" i="3"/>
  <c r="F47" i="3"/>
  <c r="I45" i="3"/>
  <c r="L45" i="3"/>
  <c r="F45" i="3"/>
  <c r="I43" i="3"/>
  <c r="L43" i="3"/>
  <c r="F43" i="3"/>
  <c r="I41" i="3"/>
  <c r="L41" i="3"/>
  <c r="F41" i="3"/>
  <c r="I39" i="3"/>
  <c r="L39" i="3"/>
  <c r="F39" i="3"/>
  <c r="I37" i="3"/>
  <c r="L37" i="3"/>
  <c r="F37" i="3"/>
  <c r="I35" i="3"/>
  <c r="L35" i="3"/>
  <c r="F35" i="3"/>
  <c r="I33" i="3"/>
  <c r="L33" i="3"/>
  <c r="F33" i="3"/>
  <c r="I31" i="3"/>
  <c r="L31" i="3"/>
  <c r="F31" i="3"/>
  <c r="I29" i="3"/>
  <c r="L29" i="3"/>
  <c r="F29" i="3"/>
  <c r="I27" i="3"/>
  <c r="L27" i="3"/>
  <c r="F27" i="3"/>
  <c r="L25" i="3"/>
  <c r="I25" i="3"/>
  <c r="F25" i="3"/>
  <c r="L23" i="3"/>
  <c r="I23" i="3"/>
  <c r="F23" i="3"/>
  <c r="L21" i="3"/>
  <c r="I21" i="3"/>
  <c r="F21" i="3"/>
  <c r="L19" i="3"/>
  <c r="I19" i="3"/>
  <c r="F19" i="3"/>
  <c r="L17" i="3"/>
  <c r="I17" i="3"/>
  <c r="F17" i="3"/>
  <c r="L15" i="3"/>
  <c r="I15" i="3"/>
  <c r="F15" i="3"/>
  <c r="L13" i="3"/>
  <c r="I13" i="3"/>
  <c r="F13" i="3"/>
  <c r="L11" i="3"/>
  <c r="I11" i="3"/>
  <c r="F11" i="3"/>
  <c r="L9" i="3"/>
  <c r="I9" i="3"/>
  <c r="F9" i="3"/>
  <c r="L7" i="3"/>
  <c r="I7" i="3"/>
  <c r="F7" i="3"/>
  <c r="K2" i="2"/>
  <c r="L2" i="2"/>
  <c r="J6" i="3" l="1"/>
  <c r="K6" i="3" s="1"/>
  <c r="G6" i="3"/>
  <c r="H6" i="3" s="1"/>
  <c r="M6" i="3"/>
  <c r="N6" i="3" s="1"/>
  <c r="J11" i="2"/>
  <c r="K5" i="2"/>
  <c r="K7" i="2"/>
  <c r="K9" i="2"/>
  <c r="K3" i="2"/>
  <c r="K4" i="2"/>
  <c r="K6" i="2"/>
  <c r="K8" i="2"/>
  <c r="I3" i="2"/>
  <c r="I4" i="2"/>
  <c r="I5" i="2"/>
  <c r="I6" i="2"/>
  <c r="I8" i="2"/>
  <c r="I9" i="2"/>
  <c r="I2" i="2"/>
  <c r="C2" i="2"/>
  <c r="B2" i="2"/>
  <c r="D2" i="2"/>
  <c r="J2" i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B2" i="1"/>
  <c r="C2" i="1" s="1"/>
  <c r="K11" i="2" l="1"/>
  <c r="E2" i="2"/>
  <c r="F2" i="1"/>
  <c r="G2" i="1" s="1"/>
  <c r="D2" i="1"/>
  <c r="E2" i="1" s="1"/>
  <c r="L3" i="2" l="1"/>
  <c r="L4" i="2" s="1"/>
  <c r="L5" i="2" s="1"/>
  <c r="L6" i="2" s="1"/>
  <c r="L7" i="2" s="1"/>
  <c r="L8" i="2" s="1"/>
  <c r="L9" i="2" s="1"/>
  <c r="H2" i="1"/>
  <c r="L11" i="2" l="1"/>
</calcChain>
</file>

<file path=xl/sharedStrings.xml><?xml version="1.0" encoding="utf-8"?>
<sst xmlns="http://schemas.openxmlformats.org/spreadsheetml/2006/main" count="148" uniqueCount="123">
  <si>
    <t>март</t>
  </si>
  <si>
    <t>ср знач</t>
  </si>
  <si>
    <t>Хi-Xcp</t>
  </si>
  <si>
    <t>S^2</t>
  </si>
  <si>
    <t>Scp</t>
  </si>
  <si>
    <t>|xi-xcp|</t>
  </si>
  <si>
    <t>max|xi-x|</t>
  </si>
  <si>
    <t>max/S</t>
  </si>
  <si>
    <t>табл</t>
  </si>
  <si>
    <t>tao</t>
  </si>
  <si>
    <t>k</t>
  </si>
  <si>
    <t>#</t>
  </si>
  <si>
    <t>xmax-xmin/k</t>
  </si>
  <si>
    <t>Xmax</t>
  </si>
  <si>
    <t>Xmin</t>
  </si>
  <si>
    <t>классы</t>
  </si>
  <si>
    <t>серидины интервалов</t>
  </si>
  <si>
    <t>абс част</t>
  </si>
  <si>
    <t>отн накопит</t>
  </si>
  <si>
    <t>отн част = абс/n</t>
  </si>
  <si>
    <t>х</t>
  </si>
  <si>
    <t>сумма</t>
  </si>
  <si>
    <t>Xi-C</t>
  </si>
  <si>
    <t>1/102</t>
  </si>
  <si>
    <t>(x-xcp)^2</t>
  </si>
  <si>
    <t>cumm H</t>
  </si>
  <si>
    <t>M2</t>
  </si>
  <si>
    <t>(x-xcp)^3</t>
  </si>
  <si>
    <t>cumm K</t>
  </si>
  <si>
    <t>m3</t>
  </si>
  <si>
    <t>(x-xcp)^4</t>
  </si>
  <si>
    <t>cumm N</t>
  </si>
  <si>
    <t>m4</t>
  </si>
  <si>
    <t>g1</t>
  </si>
  <si>
    <t>g2</t>
  </si>
  <si>
    <t>m^3/2</t>
  </si>
  <si>
    <t>m^2</t>
  </si>
  <si>
    <t>G1</t>
  </si>
  <si>
    <t>G2</t>
  </si>
  <si>
    <t>[]</t>
  </si>
  <si>
    <t>SG1</t>
  </si>
  <si>
    <t>числ</t>
  </si>
  <si>
    <t>знам</t>
  </si>
  <si>
    <t>|G1|</t>
  </si>
  <si>
    <t>3SG1</t>
  </si>
  <si>
    <t>|G2|</t>
  </si>
  <si>
    <t>5SG2</t>
  </si>
  <si>
    <t>SG2</t>
  </si>
  <si>
    <t>Гипотеза</t>
  </si>
  <si>
    <t>нормаль</t>
  </si>
  <si>
    <t>ности</t>
  </si>
  <si>
    <t>принята</t>
  </si>
  <si>
    <t>Xk края интервалов</t>
  </si>
  <si>
    <t>Xi</t>
  </si>
  <si>
    <t>Фпр</t>
  </si>
  <si>
    <t>Фл</t>
  </si>
  <si>
    <t>знач</t>
  </si>
  <si>
    <t>pk</t>
  </si>
  <si>
    <t>nk'</t>
  </si>
  <si>
    <t>X2набл</t>
  </si>
  <si>
    <t>nk</t>
  </si>
  <si>
    <t>Х2кр</t>
  </si>
  <si>
    <t>(nk-nk')^2</t>
  </si>
  <si>
    <t>числ/nk'</t>
  </si>
  <si>
    <t>Х лев</t>
  </si>
  <si>
    <t>Х пр</t>
  </si>
  <si>
    <t>nk-nk'</t>
  </si>
  <si>
    <t>Точечные оценки</t>
  </si>
  <si>
    <t>мат ож</t>
  </si>
  <si>
    <t>дисп</t>
  </si>
  <si>
    <t>Xcp</t>
  </si>
  <si>
    <r>
      <t>t</t>
    </r>
    <r>
      <rPr>
        <b/>
        <sz val="9"/>
        <color theme="1"/>
        <rFont val="Calibri"/>
        <family val="2"/>
        <charset val="204"/>
        <scheme val="minor"/>
      </rPr>
      <t>y</t>
    </r>
  </si>
  <si>
    <t>кор n</t>
  </si>
  <si>
    <r>
      <t>q</t>
    </r>
    <r>
      <rPr>
        <b/>
        <sz val="9"/>
        <color theme="1"/>
        <rFont val="Calibri"/>
        <family val="2"/>
        <charset val="204"/>
        <scheme val="minor"/>
      </rPr>
      <t>y</t>
    </r>
  </si>
  <si>
    <t>tyScp/kopx</t>
  </si>
  <si>
    <t>Xcp-drob</t>
  </si>
  <si>
    <t>Xcp+drob</t>
  </si>
  <si>
    <t>Инт оценка мат ож</t>
  </si>
  <si>
    <r>
      <t>S</t>
    </r>
    <r>
      <rPr>
        <b/>
        <sz val="9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q</t>
    </r>
    <r>
      <rPr>
        <b/>
        <sz val="9"/>
        <color theme="1"/>
        <rFont val="Calibri"/>
        <family val="2"/>
        <charset val="204"/>
        <scheme val="minor"/>
      </rPr>
      <t>y</t>
    </r>
  </si>
  <si>
    <t>Инт оценка дисперсии</t>
  </si>
  <si>
    <t>1,88-0,52865</t>
  </si>
  <si>
    <t>1,88+0,52865</t>
  </si>
  <si>
    <t>первые 10 лет</t>
  </si>
  <si>
    <t>последние 10 лет</t>
  </si>
  <si>
    <t>сумма факт</t>
  </si>
  <si>
    <t>Хср</t>
  </si>
  <si>
    <t>сумма общ</t>
  </si>
  <si>
    <t>q</t>
  </si>
  <si>
    <t>p</t>
  </si>
  <si>
    <t>сумма ост</t>
  </si>
  <si>
    <t>S²общ</t>
  </si>
  <si>
    <t>S²факт</t>
  </si>
  <si>
    <t>S²ост</t>
  </si>
  <si>
    <t>Fнаб</t>
  </si>
  <si>
    <t>Fкрит</t>
  </si>
  <si>
    <t>Гипотеза о глобальном потеплении подтверждена</t>
  </si>
  <si>
    <t>Средняя</t>
  </si>
  <si>
    <t>январь</t>
  </si>
  <si>
    <t>февраль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</si>
  <si>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</si>
  <si>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</si>
  <si>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</si>
  <si>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</si>
  <si>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</si>
  <si>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</si>
  <si>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</si>
  <si>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</si>
  <si>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</si>
  <si>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Число опытов</t>
  </si>
  <si>
    <t>Число факт</t>
  </si>
  <si>
    <t>y cp</t>
  </si>
  <si>
    <t>x cp</t>
  </si>
  <si>
    <t>x2 cp</t>
  </si>
  <si>
    <t>x3 cp</t>
  </si>
  <si>
    <t>x4 cp</t>
  </si>
  <si>
    <t>xy cp</t>
  </si>
  <si>
    <t>xy^2 cp</t>
  </si>
  <si>
    <t>a</t>
  </si>
  <si>
    <t>b</t>
  </si>
  <si>
    <t>c</t>
  </si>
  <si>
    <t>y=-0,91x^2+12,39x-30,34</t>
  </si>
  <si>
    <t>y=</t>
  </si>
  <si>
    <t>х=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</si>
</sst>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0"/>
      <color theme="3" tint="0.39997558519241921"/>
      <name val="Arial Cyr"/>
      <family val="2"/>
      <charset val="204"/>
    </font>
    <font>
      <sz val="11"/>
      <color theme="9" tint="-0.249977111117893"/>
      <name val="Calibri"/>
      <family val="2"/>
      <scheme val="minor"/>
    </font>
    <font>
      <sz val="10"/>
      <color theme="9" tint="-0.249977111117893"/>
      <name val="Arial Cyr"/>
      <family val="2"/>
      <charset val="204"/>
    </font>
    <font>
      <sz val="11"/>
      <color theme="6" tint="-0.249977111117893"/>
      <name val="Calibri"/>
      <family val="2"/>
      <scheme val="minor"/>
    </font>
    <font>
      <sz val="10"/>
      <color theme="6" tint="-0.249977111117893"/>
      <name val="Arial Cyr"/>
      <family val="2"/>
      <charset val="204"/>
    </font>
    <font>
      <sz val="11"/>
      <color rgb="FF00B050"/>
      <name val="Calibri"/>
      <family val="2"/>
      <scheme val="minor"/>
    </font>
    <font>
      <sz val="10"/>
      <color rgb="FF00B050"/>
      <name val="Arial Cyr"/>
      <family val="2"/>
      <charset val="204"/>
    </font>
    <font>
      <sz val="11"/>
      <color theme="2" tint="-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4"/>
      <color rgb="FF333333"/>
      <name val="Arial"/>
      <family val="2"/>
      <charset val="204"/>
    </font>
    <font>
      <b/>
      <sz val="11"/>
      <color theme="7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 applyFill="1" applyAlignment="1"/>
    <xf numFmtId="164" fontId="3" fillId="2" borderId="0" xfId="0" applyNumberFormat="1" applyFont="1" applyFill="1" applyAlignment="1"/>
    <xf numFmtId="164" fontId="3" fillId="0" borderId="0" xfId="0" applyNumberFormat="1" applyFont="1" applyFill="1" applyAlignment="1"/>
    <xf numFmtId="164" fontId="0" fillId="0" borderId="0" xfId="0" applyNumberFormat="1"/>
    <xf numFmtId="164" fontId="0" fillId="2" borderId="0" xfId="0" applyNumberFormat="1" applyFill="1" applyAlignment="1"/>
    <xf numFmtId="0" fontId="2" fillId="0" borderId="0" xfId="0" applyFont="1"/>
    <xf numFmtId="164" fontId="4" fillId="0" borderId="0" xfId="0" applyNumberFormat="1" applyFont="1" applyFill="1" applyBorder="1" applyAlignment="1"/>
    <xf numFmtId="164" fontId="4" fillId="0" borderId="0" xfId="0" applyNumberFormat="1" applyFont="1" applyFill="1" applyAlignment="1"/>
    <xf numFmtId="164" fontId="5" fillId="0" borderId="0" xfId="0" applyNumberFormat="1" applyFont="1" applyFill="1" applyBorder="1" applyAlignment="1"/>
    <xf numFmtId="164" fontId="5" fillId="0" borderId="0" xfId="0" applyNumberFormat="1" applyFont="1" applyFill="1" applyAlignment="1"/>
    <xf numFmtId="164" fontId="6" fillId="2" borderId="0" xfId="0" applyNumberFormat="1" applyFont="1" applyFill="1" applyAlignment="1"/>
    <xf numFmtId="164" fontId="7" fillId="0" borderId="0" xfId="0" applyNumberFormat="1" applyFont="1" applyFill="1" applyAlignment="1"/>
    <xf numFmtId="164" fontId="7" fillId="0" borderId="0" xfId="0" applyNumberFormat="1" applyFont="1" applyFill="1" applyBorder="1" applyAlignment="1"/>
    <xf numFmtId="164" fontId="8" fillId="2" borderId="0" xfId="0" applyNumberFormat="1" applyFont="1" applyFill="1" applyAlignment="1"/>
    <xf numFmtId="164" fontId="9" fillId="0" borderId="0" xfId="0" applyNumberFormat="1" applyFont="1" applyFill="1" applyBorder="1" applyAlignment="1"/>
    <xf numFmtId="164" fontId="9" fillId="0" borderId="0" xfId="0" applyNumberFormat="1" applyFont="1" applyFill="1" applyAlignment="1"/>
    <xf numFmtId="164" fontId="9" fillId="2" borderId="0" xfId="0" applyNumberFormat="1" applyFont="1" applyFill="1" applyAlignment="1"/>
    <xf numFmtId="164" fontId="10" fillId="2" borderId="0" xfId="0" applyNumberFormat="1" applyFont="1" applyFill="1" applyAlignment="1"/>
    <xf numFmtId="164" fontId="11" fillId="0" borderId="0" xfId="0" applyNumberFormat="1" applyFont="1" applyFill="1" applyAlignment="1"/>
    <xf numFmtId="164" fontId="12" fillId="0" borderId="0" xfId="0" applyNumberFormat="1" applyFont="1" applyFill="1" applyAlignment="1"/>
    <xf numFmtId="164" fontId="11" fillId="0" borderId="0" xfId="0" applyNumberFormat="1" applyFont="1"/>
    <xf numFmtId="164" fontId="11" fillId="0" borderId="0" xfId="0" applyNumberFormat="1" applyFont="1" applyFill="1" applyBorder="1" applyAlignment="1"/>
    <xf numFmtId="0" fontId="4" fillId="0" borderId="0" xfId="0" applyFont="1"/>
    <xf numFmtId="164" fontId="13" fillId="0" borderId="0" xfId="0" applyNumberFormat="1" applyFont="1" applyFill="1" applyBorder="1" applyAlignment="1"/>
    <xf numFmtId="164" fontId="13" fillId="0" borderId="0" xfId="0" applyNumberFormat="1" applyFont="1" applyFill="1" applyAlignment="1"/>
    <xf numFmtId="164" fontId="14" fillId="0" borderId="0" xfId="0" applyNumberFormat="1" applyFont="1" applyFill="1" applyBorder="1" applyAlignment="1"/>
    <xf numFmtId="164" fontId="14" fillId="0" borderId="0" xfId="0" applyNumberFormat="1" applyFont="1" applyFill="1" applyAlignment="1"/>
    <xf numFmtId="0" fontId="15" fillId="0" borderId="0" xfId="0" applyFont="1"/>
    <xf numFmtId="0" fontId="11" fillId="0" borderId="0" xfId="0" applyFont="1"/>
    <xf numFmtId="164" fontId="3" fillId="3" borderId="0" xfId="0" applyNumberFormat="1" applyFont="1" applyFill="1" applyAlignment="1"/>
    <xf numFmtId="164" fontId="0" fillId="3" borderId="0" xfId="0" applyNumberFormat="1" applyFill="1"/>
    <xf numFmtId="164" fontId="2" fillId="0" borderId="0" xfId="0" applyNumberFormat="1" applyFont="1"/>
    <xf numFmtId="0" fontId="17" fillId="0" borderId="0" xfId="0" applyFont="1"/>
    <xf numFmtId="2" fontId="18" fillId="0" borderId="0" xfId="0" applyNumberFormat="1" applyFont="1"/>
    <xf numFmtId="164" fontId="0" fillId="4" borderId="0" xfId="0" applyNumberFormat="1" applyFill="1" applyBorder="1" applyAlignment="1"/>
    <xf numFmtId="0" fontId="0" fillId="0" borderId="2" xfId="0" applyBorder="1"/>
    <xf numFmtId="0" fontId="0" fillId="0" borderId="3" xfId="0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/>
    <xf numFmtId="0" fontId="19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Лист2!$J$2:$J$9</c:f>
              <c:numCache>
                <c:formatCode>0.0</c:formatCode>
                <c:ptCount val="8"/>
                <c:pt idx="0" formatCode="General">
                  <c:v>7</c:v>
                </c:pt>
                <c:pt idx="1">
                  <c:v>12</c:v>
                </c:pt>
                <c:pt idx="2" formatCode="General">
                  <c:v>15</c:v>
                </c:pt>
                <c:pt idx="3" formatCode="General">
                  <c:v>17</c:v>
                </c:pt>
                <c:pt idx="4">
                  <c:v>16</c:v>
                </c:pt>
                <c:pt idx="5" formatCode="General">
                  <c:v>14</c:v>
                </c:pt>
                <c:pt idx="6" formatCode="General">
                  <c:v>12</c:v>
                </c:pt>
                <c:pt idx="7" formatCode="General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68934720"/>
        <c:axId val="-768932544"/>
      </c:barChart>
      <c:catAx>
        <c:axId val="-76893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68932544"/>
        <c:crosses val="autoZero"/>
        <c:auto val="1"/>
        <c:lblAlgn val="ctr"/>
        <c:lblOffset val="100"/>
        <c:noMultiLvlLbl val="0"/>
      </c:catAx>
      <c:valAx>
        <c:axId val="-7689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6893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Лист2!$L$2:$L$9</c:f>
              <c:numCache>
                <c:formatCode>General</c:formatCode>
                <c:ptCount val="8"/>
                <c:pt idx="0">
                  <c:v>6.7281814686658979E-4</c:v>
                </c:pt>
                <c:pt idx="1">
                  <c:v>6.9300269127258757E-2</c:v>
                </c:pt>
                <c:pt idx="2">
                  <c:v>0.18694732795078817</c:v>
                </c:pt>
                <c:pt idx="3">
                  <c:v>0.33400615148019996</c:v>
                </c:pt>
                <c:pt idx="4">
                  <c:v>0.50067281814686659</c:v>
                </c:pt>
                <c:pt idx="5">
                  <c:v>0.65753556324490581</c:v>
                </c:pt>
                <c:pt idx="6">
                  <c:v>0.79479046520569008</c:v>
                </c:pt>
                <c:pt idx="7">
                  <c:v>0.91243752402921952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57201920"/>
        <c:axId val="-757201376"/>
      </c:barChart>
      <c:catAx>
        <c:axId val="-75720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57201376"/>
        <c:crosses val="autoZero"/>
        <c:auto val="1"/>
        <c:lblAlgn val="ctr"/>
        <c:lblOffset val="100"/>
        <c:noMultiLvlLbl val="0"/>
      </c:catAx>
      <c:valAx>
        <c:axId val="-7572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572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Регрессионная</a:t>
            </a:r>
            <a:r>
              <a:rPr lang="ru-RU" baseline="0"/>
              <a:t> кривая</a:t>
            </a:r>
            <a:endParaRPr lang="ru-RU"/>
          </a:p>
        </c:rich>
      </c:tx>
      <c:layout>
        <c:manualLayout>
          <c:xMode val="edge"/>
          <c:yMode val="edge"/>
          <c:x val="0.307201224846894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Лист8!$P$27:$P$38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Лист8!$R$27:$R$38</c:f>
              <c:numCache>
                <c:formatCode>General</c:formatCode>
                <c:ptCount val="12"/>
                <c:pt idx="0">
                  <c:v>-18.86</c:v>
                </c:pt>
                <c:pt idx="1">
                  <c:v>-9.1999999999999993</c:v>
                </c:pt>
                <c:pt idx="2">
                  <c:v>-1.3599999999999959</c:v>
                </c:pt>
                <c:pt idx="3">
                  <c:v>4.66</c:v>
                </c:pt>
                <c:pt idx="4">
                  <c:v>8.860000000000003</c:v>
                </c:pt>
                <c:pt idx="5">
                  <c:v>11.240000000000006</c:v>
                </c:pt>
                <c:pt idx="6">
                  <c:v>11.8</c:v>
                </c:pt>
                <c:pt idx="7">
                  <c:v>10.540000000000003</c:v>
                </c:pt>
                <c:pt idx="8">
                  <c:v>7.4599999999999973</c:v>
                </c:pt>
                <c:pt idx="9">
                  <c:v>2.0600000000000058</c:v>
                </c:pt>
                <c:pt idx="10">
                  <c:v>-4.1599999999999788</c:v>
                </c:pt>
                <c:pt idx="11">
                  <c:v>-12.699999999999985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7212800"/>
        <c:axId val="-757206272"/>
      </c:scatterChart>
      <c:valAx>
        <c:axId val="-757212800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57206272"/>
        <c:crosses val="autoZero"/>
        <c:crossBetween val="midCat"/>
      </c:valAx>
      <c:valAx>
        <c:axId val="-7572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5721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14287</xdr:rowOff>
    </xdr:from>
    <xdr:to>
      <xdr:col>16</xdr:col>
      <xdr:colOff>400050</xdr:colOff>
      <xdr:row>26</xdr:row>
      <xdr:rowOff>90487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12</xdr:row>
      <xdr:rowOff>4762</xdr:rowOff>
    </xdr:from>
    <xdr:to>
      <xdr:col>8</xdr:col>
      <xdr:colOff>600075</xdr:colOff>
      <xdr:row>26</xdr:row>
      <xdr:rowOff>80962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0</xdr:row>
          <xdr:rowOff>133350</xdr:rowOff>
        </xdr:from>
        <xdr:to>
          <xdr:col>12</xdr:col>
          <xdr:colOff>457200</xdr:colOff>
          <xdr:row>3</xdr:row>
          <xdr:rowOff>123825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200025</xdr:colOff>
          <xdr:row>0</xdr:row>
          <xdr:rowOff>161925</xdr:rowOff>
        </xdr:from>
        <xdr:to>
          <xdr:col>16</xdr:col>
          <xdr:colOff>533400</xdr:colOff>
          <xdr:row>3</xdr:row>
          <xdr:rowOff>9525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0</xdr:row>
          <xdr:rowOff>104775</xdr:rowOff>
        </xdr:from>
        <xdr:to>
          <xdr:col>20</xdr:col>
          <xdr:colOff>228600</xdr:colOff>
          <xdr:row>3</xdr:row>
          <xdr:rowOff>104775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381000</xdr:colOff>
          <xdr:row>0</xdr:row>
          <xdr:rowOff>66675</xdr:rowOff>
        </xdr:from>
        <xdr:to>
          <xdr:col>24</xdr:col>
          <xdr:colOff>190500</xdr:colOff>
          <xdr:row>3</xdr:row>
          <xdr:rowOff>104775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0</xdr:row>
          <xdr:rowOff>57150</xdr:rowOff>
        </xdr:from>
        <xdr:to>
          <xdr:col>3</xdr:col>
          <xdr:colOff>409575</xdr:colOff>
          <xdr:row>3</xdr:row>
          <xdr:rowOff>85725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0</xdr:row>
          <xdr:rowOff>47625</xdr:rowOff>
        </xdr:from>
        <xdr:to>
          <xdr:col>8</xdr:col>
          <xdr:colOff>114300</xdr:colOff>
          <xdr:row>2</xdr:row>
          <xdr:rowOff>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2</xdr:row>
          <xdr:rowOff>47625</xdr:rowOff>
        </xdr:from>
        <xdr:to>
          <xdr:col>8</xdr:col>
          <xdr:colOff>152400</xdr:colOff>
          <xdr:row>3</xdr:row>
          <xdr:rowOff>180975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</xdr:row>
          <xdr:rowOff>0</xdr:rowOff>
        </xdr:from>
        <xdr:to>
          <xdr:col>17</xdr:col>
          <xdr:colOff>409575</xdr:colOff>
          <xdr:row>15</xdr:row>
          <xdr:rowOff>171450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</xdr:colOff>
          <xdr:row>1</xdr:row>
          <xdr:rowOff>28575</xdr:rowOff>
        </xdr:from>
        <xdr:to>
          <xdr:col>7</xdr:col>
          <xdr:colOff>323850</xdr:colOff>
          <xdr:row>3</xdr:row>
          <xdr:rowOff>133350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447675</xdr:colOff>
          <xdr:row>8</xdr:row>
          <xdr:rowOff>76200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24</xdr:row>
      <xdr:rowOff>4762</xdr:rowOff>
    </xdr:from>
    <xdr:to>
      <xdr:col>27</xdr:col>
      <xdr:colOff>304800</xdr:colOff>
      <xdr:row>38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0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9.emf"/><Relationship Id="rId4" Type="http://schemas.openxmlformats.org/officeDocument/2006/relationships/oleObject" Target="../embeddings/oleObject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opLeftCell="C1" workbookViewId="0">
      <selection activeCell="E2" sqref="E2"/>
    </sheetView>
  </sheetViews>
  <sheetFormatPr defaultRowHeight="15" x14ac:dyDescent="0.25"/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8" t="s">
        <v>7</v>
      </c>
      <c r="I1" t="s">
        <v>8</v>
      </c>
      <c r="J1" s="8" t="s">
        <v>9</v>
      </c>
      <c r="K1" s="3">
        <v>-2.5</v>
      </c>
    </row>
    <row r="2" spans="1:11" x14ac:dyDescent="0.25">
      <c r="A2" s="2">
        <v>-6.6</v>
      </c>
      <c r="B2" s="6">
        <f>-6.1</f>
        <v>-6.1</v>
      </c>
      <c r="C2" s="6">
        <f>A2-B2</f>
        <v>-0.5</v>
      </c>
      <c r="D2">
        <f>(1/113)*(SUM(C2:C103)^2)</f>
        <v>3.5393590460113717</v>
      </c>
      <c r="E2">
        <f>SQRT(D2)</f>
        <v>1.8813184329111783</v>
      </c>
      <c r="F2">
        <f t="shared" ref="F2:F15" si="0">ABS(C2:C103)</f>
        <v>0.5</v>
      </c>
      <c r="G2">
        <f>MAX(F2:F103)</f>
        <v>3.5999999999999996</v>
      </c>
      <c r="H2">
        <f>G2/E2</f>
        <v>1.9135516545326725</v>
      </c>
      <c r="I2">
        <v>1.9813718</v>
      </c>
      <c r="J2">
        <f>(I2*(SQRT(112)))/(SQRT(112+I2^2))</f>
        <v>1.9475332183918348</v>
      </c>
      <c r="K2" s="2">
        <v>-2.6</v>
      </c>
    </row>
    <row r="3" spans="1:11" x14ac:dyDescent="0.25">
      <c r="A3" s="2">
        <v>-4.7</v>
      </c>
      <c r="B3">
        <v>-6.1</v>
      </c>
      <c r="C3" s="6">
        <f t="shared" ref="C3:C57" si="1">A3-B3</f>
        <v>1.3999999999999995</v>
      </c>
      <c r="F3">
        <f t="shared" si="0"/>
        <v>1.3999999999999995</v>
      </c>
      <c r="K3" s="3">
        <v>-2.6</v>
      </c>
    </row>
    <row r="4" spans="1:11" x14ac:dyDescent="0.25">
      <c r="A4" s="2">
        <v>-6.5</v>
      </c>
      <c r="B4">
        <v>-6.1</v>
      </c>
      <c r="C4" s="6">
        <f t="shared" si="1"/>
        <v>-0.40000000000000036</v>
      </c>
      <c r="F4">
        <f t="shared" si="0"/>
        <v>0.40000000000000036</v>
      </c>
      <c r="K4" s="3">
        <v>-2.7</v>
      </c>
    </row>
    <row r="5" spans="1:11" x14ac:dyDescent="0.25">
      <c r="A5" s="2">
        <v>-9.1999999999999993</v>
      </c>
      <c r="B5">
        <v>-6.1</v>
      </c>
      <c r="C5" s="6">
        <f t="shared" si="1"/>
        <v>-3.0999999999999996</v>
      </c>
      <c r="F5">
        <f t="shared" si="0"/>
        <v>3.0999999999999996</v>
      </c>
      <c r="K5" s="3">
        <v>-2.9</v>
      </c>
    </row>
    <row r="6" spans="1:11" x14ac:dyDescent="0.25">
      <c r="A6" s="2">
        <v>-6.2</v>
      </c>
      <c r="B6">
        <v>-6.1</v>
      </c>
      <c r="C6" s="6">
        <f t="shared" si="1"/>
        <v>-0.10000000000000053</v>
      </c>
      <c r="F6">
        <f t="shared" si="0"/>
        <v>0.10000000000000053</v>
      </c>
      <c r="K6" s="3">
        <v>-3</v>
      </c>
    </row>
    <row r="7" spans="1:11" x14ac:dyDescent="0.25">
      <c r="A7" s="2">
        <v>-9</v>
      </c>
      <c r="B7">
        <v>-6.1</v>
      </c>
      <c r="C7" s="6">
        <f t="shared" si="1"/>
        <v>-2.9000000000000004</v>
      </c>
      <c r="E7">
        <v>1.881318</v>
      </c>
      <c r="F7">
        <f t="shared" si="0"/>
        <v>2.9000000000000004</v>
      </c>
      <c r="H7">
        <v>1</v>
      </c>
      <c r="I7">
        <v>1</v>
      </c>
      <c r="K7" s="3">
        <v>-3.1</v>
      </c>
    </row>
    <row r="8" spans="1:11" x14ac:dyDescent="0.25">
      <c r="A8" s="2">
        <v>-8.1999999999999993</v>
      </c>
      <c r="B8">
        <v>-6.1</v>
      </c>
      <c r="C8" s="6">
        <f t="shared" si="1"/>
        <v>-2.0999999999999996</v>
      </c>
      <c r="F8">
        <f t="shared" si="0"/>
        <v>2.0999999999999996</v>
      </c>
      <c r="H8">
        <v>1</v>
      </c>
      <c r="I8">
        <v>1</v>
      </c>
      <c r="K8" s="3">
        <v>-3.3</v>
      </c>
    </row>
    <row r="9" spans="1:11" x14ac:dyDescent="0.25">
      <c r="A9" s="2">
        <v>-8.4</v>
      </c>
      <c r="B9">
        <v>-6.1</v>
      </c>
      <c r="C9" s="6">
        <f t="shared" si="1"/>
        <v>-2.3000000000000007</v>
      </c>
      <c r="F9">
        <f t="shared" si="0"/>
        <v>2.3000000000000007</v>
      </c>
      <c r="H9">
        <v>1</v>
      </c>
      <c r="I9">
        <v>1</v>
      </c>
      <c r="K9" s="3">
        <v>-3.4</v>
      </c>
    </row>
    <row r="10" spans="1:11" x14ac:dyDescent="0.25">
      <c r="A10" s="2">
        <v>-8.6999999999999993</v>
      </c>
      <c r="B10">
        <v>-6.1</v>
      </c>
      <c r="C10" s="6">
        <f t="shared" si="1"/>
        <v>-2.5999999999999996</v>
      </c>
      <c r="F10">
        <f t="shared" si="0"/>
        <v>2.5999999999999996</v>
      </c>
      <c r="H10">
        <v>1</v>
      </c>
      <c r="I10">
        <v>1</v>
      </c>
      <c r="K10" s="5">
        <v>-3.4</v>
      </c>
    </row>
    <row r="11" spans="1:11" x14ac:dyDescent="0.25">
      <c r="A11" s="2">
        <v>-5</v>
      </c>
      <c r="B11">
        <v>-6.1</v>
      </c>
      <c r="C11" s="6">
        <f t="shared" si="1"/>
        <v>1.0999999999999996</v>
      </c>
      <c r="F11">
        <f t="shared" si="0"/>
        <v>1.0999999999999996</v>
      </c>
      <c r="H11">
        <v>1</v>
      </c>
      <c r="I11">
        <v>1</v>
      </c>
      <c r="K11" s="5">
        <v>-3.4</v>
      </c>
    </row>
    <row r="12" spans="1:11" x14ac:dyDescent="0.25">
      <c r="A12" s="2">
        <v>-7.6</v>
      </c>
      <c r="B12">
        <v>-6.1</v>
      </c>
      <c r="C12" s="6">
        <f t="shared" si="1"/>
        <v>-1.5</v>
      </c>
      <c r="F12">
        <f t="shared" si="0"/>
        <v>1.5</v>
      </c>
      <c r="H12">
        <v>1</v>
      </c>
      <c r="I12">
        <v>1</v>
      </c>
      <c r="K12" s="3">
        <v>-3.5</v>
      </c>
    </row>
    <row r="13" spans="1:11" x14ac:dyDescent="0.25">
      <c r="A13" s="2">
        <v>-2.6</v>
      </c>
      <c r="B13">
        <v>-6.1</v>
      </c>
      <c r="C13" s="6">
        <f t="shared" si="1"/>
        <v>3.4999999999999996</v>
      </c>
      <c r="F13">
        <f t="shared" si="0"/>
        <v>3.4999999999999996</v>
      </c>
      <c r="H13">
        <v>1</v>
      </c>
      <c r="I13">
        <v>1</v>
      </c>
      <c r="K13" s="6">
        <v>-3.5311203319502074</v>
      </c>
    </row>
    <row r="14" spans="1:11" x14ac:dyDescent="0.25">
      <c r="A14" s="2">
        <v>-8.6</v>
      </c>
      <c r="B14">
        <v>-6.1</v>
      </c>
      <c r="C14" s="6">
        <f t="shared" si="1"/>
        <v>-2.5</v>
      </c>
      <c r="F14">
        <f t="shared" si="0"/>
        <v>2.5</v>
      </c>
      <c r="H14">
        <v>1</v>
      </c>
      <c r="I14">
        <v>1</v>
      </c>
      <c r="K14" s="6">
        <v>-3.5311203319502074</v>
      </c>
    </row>
    <row r="15" spans="1:11" x14ac:dyDescent="0.25">
      <c r="A15" s="2">
        <v>-5.7</v>
      </c>
      <c r="B15">
        <v>-6.1</v>
      </c>
      <c r="C15" s="6">
        <f t="shared" si="1"/>
        <v>0.39999999999999947</v>
      </c>
      <c r="F15">
        <f t="shared" si="0"/>
        <v>0.39999999999999947</v>
      </c>
      <c r="H15">
        <v>1</v>
      </c>
      <c r="I15">
        <v>1</v>
      </c>
      <c r="K15" s="2">
        <v>-3.6</v>
      </c>
    </row>
    <row r="16" spans="1:11" x14ac:dyDescent="0.25">
      <c r="A16" s="2">
        <v>-9.4</v>
      </c>
      <c r="B16">
        <v>-6.1</v>
      </c>
      <c r="C16" s="6">
        <f t="shared" si="1"/>
        <v>-3.3000000000000007</v>
      </c>
      <c r="F16">
        <f t="shared" ref="F16:F24" si="2">ABS(C16:C120)</f>
        <v>3.3000000000000007</v>
      </c>
      <c r="H16">
        <v>1</v>
      </c>
      <c r="I16">
        <v>1</v>
      </c>
      <c r="K16" s="6">
        <v>-3.6</v>
      </c>
    </row>
    <row r="17" spans="1:11" x14ac:dyDescent="0.25">
      <c r="A17" s="2">
        <v>-5.0999999999999996</v>
      </c>
      <c r="B17">
        <v>-6.1</v>
      </c>
      <c r="C17" s="6">
        <f t="shared" si="1"/>
        <v>1</v>
      </c>
      <c r="F17">
        <f t="shared" si="2"/>
        <v>1</v>
      </c>
      <c r="H17">
        <v>1</v>
      </c>
      <c r="I17">
        <v>1</v>
      </c>
      <c r="K17" s="6">
        <v>-3.6</v>
      </c>
    </row>
    <row r="18" spans="1:11" x14ac:dyDescent="0.25">
      <c r="A18" s="2">
        <v>-4.5</v>
      </c>
      <c r="B18">
        <v>-6.1</v>
      </c>
      <c r="C18" s="6">
        <f t="shared" si="1"/>
        <v>1.5999999999999996</v>
      </c>
      <c r="F18">
        <f t="shared" si="2"/>
        <v>1.5999999999999996</v>
      </c>
      <c r="K18" s="6">
        <v>-3.6682242990654204</v>
      </c>
    </row>
    <row r="19" spans="1:11" x14ac:dyDescent="0.25">
      <c r="A19" s="2">
        <v>-7.8</v>
      </c>
      <c r="B19">
        <v>-6.1</v>
      </c>
      <c r="C19" s="6">
        <f t="shared" si="1"/>
        <v>-1.7000000000000002</v>
      </c>
      <c r="F19">
        <f t="shared" si="2"/>
        <v>1.7000000000000002</v>
      </c>
      <c r="K19" s="6">
        <v>-3.6682242990654204</v>
      </c>
    </row>
    <row r="20" spans="1:11" x14ac:dyDescent="0.25">
      <c r="A20" s="2">
        <v>-7.4</v>
      </c>
      <c r="B20">
        <v>-6.1</v>
      </c>
      <c r="C20" s="6">
        <f t="shared" si="1"/>
        <v>-1.3000000000000007</v>
      </c>
      <c r="F20">
        <f t="shared" si="2"/>
        <v>1.3000000000000007</v>
      </c>
      <c r="K20" s="3">
        <v>-4</v>
      </c>
    </row>
    <row r="21" spans="1:11" x14ac:dyDescent="0.25">
      <c r="A21" s="2">
        <v>-6.5</v>
      </c>
      <c r="B21">
        <v>-6.1</v>
      </c>
      <c r="C21" s="6">
        <f t="shared" si="1"/>
        <v>-0.40000000000000036</v>
      </c>
      <c r="F21">
        <f t="shared" si="2"/>
        <v>0.40000000000000036</v>
      </c>
      <c r="K21" s="5">
        <v>-4</v>
      </c>
    </row>
    <row r="22" spans="1:11" x14ac:dyDescent="0.25">
      <c r="A22" s="2">
        <v>-8.6</v>
      </c>
      <c r="B22">
        <v>-6.1</v>
      </c>
      <c r="C22" s="6">
        <f t="shared" si="1"/>
        <v>-2.5</v>
      </c>
      <c r="F22">
        <f t="shared" si="2"/>
        <v>2.5</v>
      </c>
      <c r="K22" s="5">
        <v>-4</v>
      </c>
    </row>
    <row r="23" spans="1:11" x14ac:dyDescent="0.25">
      <c r="A23" s="2">
        <v>-3.6</v>
      </c>
      <c r="B23">
        <v>-6.1</v>
      </c>
      <c r="C23" s="6">
        <f t="shared" si="1"/>
        <v>2.4999999999999996</v>
      </c>
      <c r="F23">
        <f t="shared" si="2"/>
        <v>2.4999999999999996</v>
      </c>
      <c r="K23" s="3">
        <v>-4.0999999999999996</v>
      </c>
    </row>
    <row r="24" spans="1:11" x14ac:dyDescent="0.25">
      <c r="A24" s="2">
        <v>-6.8</v>
      </c>
      <c r="B24">
        <v>-6.1</v>
      </c>
      <c r="C24" s="6">
        <f t="shared" si="1"/>
        <v>-0.70000000000000018</v>
      </c>
      <c r="F24">
        <f t="shared" si="2"/>
        <v>0.70000000000000018</v>
      </c>
      <c r="K24" s="2">
        <v>-4.2</v>
      </c>
    </row>
    <row r="25" spans="1:11" x14ac:dyDescent="0.25">
      <c r="A25" s="2">
        <v>-8.1</v>
      </c>
      <c r="B25">
        <v>-6.1</v>
      </c>
      <c r="C25" s="6">
        <f t="shared" si="1"/>
        <v>-2</v>
      </c>
      <c r="F25">
        <f t="shared" ref="F25:F32" si="3">ABS(C25:C130)</f>
        <v>2</v>
      </c>
      <c r="K25" s="2">
        <v>-4.5</v>
      </c>
    </row>
    <row r="26" spans="1:11" x14ac:dyDescent="0.25">
      <c r="A26" s="2">
        <v>-6.6</v>
      </c>
      <c r="B26">
        <v>-6.1</v>
      </c>
      <c r="C26" s="6">
        <f t="shared" si="1"/>
        <v>-0.5</v>
      </c>
      <c r="F26">
        <f t="shared" si="3"/>
        <v>0.5</v>
      </c>
      <c r="K26" s="3">
        <v>-4.5999999999999996</v>
      </c>
    </row>
    <row r="27" spans="1:11" x14ac:dyDescent="0.25">
      <c r="A27" s="2">
        <v>-8.9</v>
      </c>
      <c r="B27">
        <v>-6.1</v>
      </c>
      <c r="C27" s="6">
        <f t="shared" si="1"/>
        <v>-2.8000000000000007</v>
      </c>
      <c r="F27">
        <f t="shared" si="3"/>
        <v>2.8000000000000007</v>
      </c>
      <c r="K27" s="2">
        <v>-4.7</v>
      </c>
    </row>
    <row r="28" spans="1:11" x14ac:dyDescent="0.25">
      <c r="A28" s="2">
        <v>-6.9</v>
      </c>
      <c r="B28">
        <v>-6.1</v>
      </c>
      <c r="C28" s="6">
        <f t="shared" si="1"/>
        <v>-0.80000000000000071</v>
      </c>
      <c r="F28">
        <f t="shared" si="3"/>
        <v>0.80000000000000071</v>
      </c>
      <c r="K28" s="2">
        <v>-5</v>
      </c>
    </row>
    <row r="29" spans="1:11" x14ac:dyDescent="0.25">
      <c r="A29" s="2">
        <v>-5.5</v>
      </c>
      <c r="B29">
        <v>-6.1</v>
      </c>
      <c r="C29" s="6">
        <f t="shared" si="1"/>
        <v>0.59999999999999964</v>
      </c>
      <c r="F29">
        <f t="shared" si="3"/>
        <v>0.59999999999999964</v>
      </c>
      <c r="K29" s="2">
        <v>-5</v>
      </c>
    </row>
    <row r="30" spans="1:11" x14ac:dyDescent="0.25">
      <c r="A30" s="2">
        <v>-7.2</v>
      </c>
      <c r="B30">
        <v>-6.1</v>
      </c>
      <c r="C30" s="6">
        <f t="shared" si="1"/>
        <v>-1.1000000000000005</v>
      </c>
      <c r="F30">
        <f t="shared" si="3"/>
        <v>1.1000000000000005</v>
      </c>
      <c r="K30" s="3">
        <v>-5</v>
      </c>
    </row>
    <row r="31" spans="1:11" x14ac:dyDescent="0.25">
      <c r="A31" s="2">
        <v>-8.9</v>
      </c>
      <c r="B31">
        <v>-6.1</v>
      </c>
      <c r="C31" s="6">
        <f t="shared" si="1"/>
        <v>-2.8000000000000007</v>
      </c>
      <c r="F31">
        <f t="shared" si="3"/>
        <v>2.8000000000000007</v>
      </c>
      <c r="K31" s="2">
        <v>-5.0999999999999996</v>
      </c>
    </row>
    <row r="32" spans="1:11" x14ac:dyDescent="0.25">
      <c r="A32" s="2">
        <v>-8.4</v>
      </c>
      <c r="B32">
        <v>-6.1</v>
      </c>
      <c r="C32" s="6">
        <f t="shared" si="1"/>
        <v>-2.3000000000000007</v>
      </c>
      <c r="F32">
        <f t="shared" si="3"/>
        <v>2.3000000000000007</v>
      </c>
      <c r="K32" s="2">
        <v>-5.0999999999999996</v>
      </c>
    </row>
    <row r="33" spans="1:11" x14ac:dyDescent="0.25">
      <c r="A33" s="2">
        <v>-9.6</v>
      </c>
      <c r="B33">
        <v>-6.1</v>
      </c>
      <c r="C33" s="6">
        <f t="shared" si="1"/>
        <v>-3.5</v>
      </c>
      <c r="F33">
        <f>ABS(C33:C139)</f>
        <v>3.5</v>
      </c>
      <c r="K33" s="2">
        <v>-5.0999999999999996</v>
      </c>
    </row>
    <row r="34" spans="1:11" x14ac:dyDescent="0.25">
      <c r="A34" s="2">
        <v>-5.0999999999999996</v>
      </c>
      <c r="B34">
        <v>-6.1</v>
      </c>
      <c r="C34" s="6">
        <f t="shared" si="1"/>
        <v>1</v>
      </c>
      <c r="F34">
        <f t="shared" ref="F34:F53" si="4">ABS(C34:C142)</f>
        <v>1</v>
      </c>
      <c r="K34" s="3">
        <v>-5.0999999999999996</v>
      </c>
    </row>
    <row r="35" spans="1:11" x14ac:dyDescent="0.25">
      <c r="A35" s="2">
        <v>-4.2</v>
      </c>
      <c r="B35">
        <v>-6.1</v>
      </c>
      <c r="C35" s="6">
        <f t="shared" si="1"/>
        <v>1.8999999999999995</v>
      </c>
      <c r="F35">
        <f t="shared" si="4"/>
        <v>1.8999999999999995</v>
      </c>
      <c r="K35" s="2">
        <v>-5.4</v>
      </c>
    </row>
    <row r="36" spans="1:11" x14ac:dyDescent="0.25">
      <c r="A36" s="2">
        <v>-7.1</v>
      </c>
      <c r="B36">
        <v>-6.1</v>
      </c>
      <c r="C36" s="6">
        <f t="shared" si="1"/>
        <v>-1</v>
      </c>
      <c r="F36">
        <f t="shared" si="4"/>
        <v>1</v>
      </c>
      <c r="K36" s="2">
        <v>-5.4</v>
      </c>
    </row>
    <row r="37" spans="1:11" x14ac:dyDescent="0.25">
      <c r="A37" s="2">
        <v>-6.3</v>
      </c>
      <c r="B37">
        <v>-6.1</v>
      </c>
      <c r="C37" s="6">
        <f t="shared" si="1"/>
        <v>-0.20000000000000018</v>
      </c>
      <c r="F37">
        <f t="shared" si="4"/>
        <v>0.20000000000000018</v>
      </c>
      <c r="K37" s="2">
        <v>-5.5</v>
      </c>
    </row>
    <row r="38" spans="1:11" x14ac:dyDescent="0.25">
      <c r="A38" s="2">
        <v>-5.4</v>
      </c>
      <c r="B38">
        <v>-6.1</v>
      </c>
      <c r="C38" s="6">
        <f t="shared" si="1"/>
        <v>0.69999999999999929</v>
      </c>
      <c r="F38">
        <f t="shared" si="4"/>
        <v>0.69999999999999929</v>
      </c>
      <c r="K38" s="2">
        <v>-5.5</v>
      </c>
    </row>
    <row r="39" spans="1:11" x14ac:dyDescent="0.25">
      <c r="A39" s="2">
        <v>-5.0999999999999996</v>
      </c>
      <c r="B39">
        <v>-6.1</v>
      </c>
      <c r="C39" s="6">
        <f t="shared" si="1"/>
        <v>1</v>
      </c>
      <c r="F39">
        <f t="shared" si="4"/>
        <v>1</v>
      </c>
      <c r="K39" s="3">
        <v>-5.5</v>
      </c>
    </row>
    <row r="40" spans="1:11" x14ac:dyDescent="0.25">
      <c r="A40" s="2">
        <v>-9.6</v>
      </c>
      <c r="B40">
        <v>-6.1</v>
      </c>
      <c r="C40" s="6">
        <f t="shared" si="1"/>
        <v>-3.5</v>
      </c>
      <c r="F40">
        <f t="shared" si="4"/>
        <v>3.5</v>
      </c>
      <c r="K40" s="4">
        <v>-5.6</v>
      </c>
    </row>
    <row r="41" spans="1:11" x14ac:dyDescent="0.25">
      <c r="A41" s="2">
        <v>-9.3000000000000007</v>
      </c>
      <c r="B41">
        <v>-6.1</v>
      </c>
      <c r="C41" s="6">
        <f t="shared" si="1"/>
        <v>-3.2000000000000011</v>
      </c>
      <c r="F41">
        <f t="shared" si="4"/>
        <v>3.2000000000000011</v>
      </c>
      <c r="K41" s="2">
        <v>-5.7</v>
      </c>
    </row>
    <row r="42" spans="1:11" x14ac:dyDescent="0.25">
      <c r="A42" s="2">
        <v>-8.6999999999999993</v>
      </c>
      <c r="B42">
        <v>-6.1</v>
      </c>
      <c r="C42" s="6">
        <f t="shared" si="1"/>
        <v>-2.5999999999999996</v>
      </c>
      <c r="F42">
        <f t="shared" si="4"/>
        <v>2.5999999999999996</v>
      </c>
      <c r="K42" s="2">
        <v>-5.8</v>
      </c>
    </row>
    <row r="43" spans="1:11" x14ac:dyDescent="0.25">
      <c r="A43" s="2">
        <v>-5</v>
      </c>
      <c r="B43">
        <v>-6.1</v>
      </c>
      <c r="C43" s="6">
        <f t="shared" si="1"/>
        <v>1.0999999999999996</v>
      </c>
      <c r="F43">
        <f t="shared" si="4"/>
        <v>1.0999999999999996</v>
      </c>
      <c r="K43" s="3">
        <v>-5.8</v>
      </c>
    </row>
    <row r="44" spans="1:11" x14ac:dyDescent="0.25">
      <c r="A44" s="2">
        <v>-6.2</v>
      </c>
      <c r="B44">
        <v>-6.1</v>
      </c>
      <c r="C44" s="6">
        <f t="shared" si="1"/>
        <v>-0.10000000000000053</v>
      </c>
      <c r="F44">
        <f t="shared" si="4"/>
        <v>0.10000000000000053</v>
      </c>
      <c r="K44" s="4">
        <v>-5.9</v>
      </c>
    </row>
    <row r="45" spans="1:11" x14ac:dyDescent="0.25">
      <c r="A45" s="2">
        <v>-7.5</v>
      </c>
      <c r="B45">
        <v>-6.1</v>
      </c>
      <c r="C45" s="6">
        <f t="shared" si="1"/>
        <v>-1.4000000000000004</v>
      </c>
      <c r="F45">
        <f t="shared" si="4"/>
        <v>1.4000000000000004</v>
      </c>
      <c r="K45" s="2">
        <v>-6.2</v>
      </c>
    </row>
    <row r="46" spans="1:11" x14ac:dyDescent="0.25">
      <c r="A46" s="2">
        <v>-9.1999999999999993</v>
      </c>
      <c r="B46">
        <v>-6.1</v>
      </c>
      <c r="C46" s="6">
        <f t="shared" si="1"/>
        <v>-3.0999999999999996</v>
      </c>
      <c r="F46">
        <f t="shared" si="4"/>
        <v>3.0999999999999996</v>
      </c>
      <c r="K46" s="2">
        <v>-6.2</v>
      </c>
    </row>
    <row r="47" spans="1:11" x14ac:dyDescent="0.25">
      <c r="A47" s="2">
        <v>-9</v>
      </c>
      <c r="B47">
        <v>-6.1</v>
      </c>
      <c r="C47" s="6">
        <f t="shared" si="1"/>
        <v>-2.9000000000000004</v>
      </c>
      <c r="F47">
        <f t="shared" si="4"/>
        <v>2.9000000000000004</v>
      </c>
      <c r="K47" s="7">
        <v>-6.2</v>
      </c>
    </row>
    <row r="48" spans="1:11" x14ac:dyDescent="0.25">
      <c r="A48" s="2">
        <v>-5.8</v>
      </c>
      <c r="B48">
        <v>-6.1</v>
      </c>
      <c r="C48" s="6">
        <f t="shared" si="1"/>
        <v>0.29999999999999982</v>
      </c>
      <c r="F48">
        <f t="shared" si="4"/>
        <v>0.29999999999999982</v>
      </c>
      <c r="K48" s="7">
        <v>-6.2</v>
      </c>
    </row>
    <row r="49" spans="1:11" x14ac:dyDescent="0.25">
      <c r="A49" s="2">
        <v>-8.1</v>
      </c>
      <c r="B49">
        <v>-6.1</v>
      </c>
      <c r="C49" s="6">
        <f t="shared" si="1"/>
        <v>-2</v>
      </c>
      <c r="F49">
        <f t="shared" si="4"/>
        <v>2</v>
      </c>
      <c r="K49" s="2">
        <v>-6.3</v>
      </c>
    </row>
    <row r="50" spans="1:11" x14ac:dyDescent="0.25">
      <c r="A50" s="2">
        <v>-8.6</v>
      </c>
      <c r="B50">
        <v>-6.1</v>
      </c>
      <c r="C50" s="6">
        <f t="shared" si="1"/>
        <v>-2.5</v>
      </c>
      <c r="F50">
        <f t="shared" si="4"/>
        <v>2.5</v>
      </c>
      <c r="K50" s="3">
        <v>-6.3</v>
      </c>
    </row>
    <row r="51" spans="1:11" x14ac:dyDescent="0.25">
      <c r="A51" s="2">
        <v>-5.4</v>
      </c>
      <c r="B51">
        <v>-6.1</v>
      </c>
      <c r="C51" s="6">
        <f t="shared" si="1"/>
        <v>0.69999999999999929</v>
      </c>
      <c r="F51">
        <f t="shared" si="4"/>
        <v>0.69999999999999929</v>
      </c>
      <c r="K51" s="2">
        <v>-6.5</v>
      </c>
    </row>
    <row r="52" spans="1:11" x14ac:dyDescent="0.25">
      <c r="A52" s="2">
        <v>-6.7</v>
      </c>
      <c r="B52">
        <v>-6.1</v>
      </c>
      <c r="C52" s="6">
        <f t="shared" si="1"/>
        <v>-0.60000000000000053</v>
      </c>
      <c r="F52">
        <f t="shared" si="4"/>
        <v>0.60000000000000053</v>
      </c>
      <c r="K52" s="2">
        <v>-6.5</v>
      </c>
    </row>
    <row r="53" spans="1:11" x14ac:dyDescent="0.25">
      <c r="A53" s="2">
        <v>-7.2</v>
      </c>
      <c r="B53">
        <v>-6.1</v>
      </c>
      <c r="C53" s="6">
        <f t="shared" si="1"/>
        <v>-1.1000000000000005</v>
      </c>
      <c r="F53">
        <f t="shared" si="4"/>
        <v>1.1000000000000005</v>
      </c>
      <c r="K53" s="2">
        <v>-6.6</v>
      </c>
    </row>
    <row r="54" spans="1:11" x14ac:dyDescent="0.25">
      <c r="A54" s="2">
        <v>-6.7</v>
      </c>
      <c r="B54">
        <v>-6.1</v>
      </c>
      <c r="C54" s="6">
        <f t="shared" si="1"/>
        <v>-0.60000000000000053</v>
      </c>
      <c r="F54">
        <f>ABS(C54:C163)</f>
        <v>0.60000000000000053</v>
      </c>
      <c r="K54" s="2">
        <v>-6.6</v>
      </c>
    </row>
    <row r="55" spans="1:11" x14ac:dyDescent="0.25">
      <c r="A55" s="2">
        <v>-8.5</v>
      </c>
      <c r="B55">
        <v>-6.1</v>
      </c>
      <c r="C55" s="6">
        <f t="shared" si="1"/>
        <v>-2.4000000000000004</v>
      </c>
      <c r="F55">
        <f t="shared" ref="F55:F66" si="5">ABS(C55:C165)</f>
        <v>2.4000000000000004</v>
      </c>
      <c r="K55" s="2">
        <v>-6.7</v>
      </c>
    </row>
    <row r="56" spans="1:11" x14ac:dyDescent="0.25">
      <c r="A56" s="2">
        <v>-7.4</v>
      </c>
      <c r="B56">
        <v>-6.1</v>
      </c>
      <c r="C56" s="6">
        <f t="shared" si="1"/>
        <v>-1.3000000000000007</v>
      </c>
      <c r="F56">
        <f t="shared" si="5"/>
        <v>1.3000000000000007</v>
      </c>
      <c r="K56" s="2">
        <v>-6.7</v>
      </c>
    </row>
    <row r="57" spans="1:11" x14ac:dyDescent="0.25">
      <c r="A57" s="2">
        <v>-5.5</v>
      </c>
      <c r="B57">
        <v>-6.1</v>
      </c>
      <c r="C57" s="6">
        <f t="shared" si="1"/>
        <v>0.59999999999999964</v>
      </c>
      <c r="F57">
        <f t="shared" si="5"/>
        <v>0.59999999999999964</v>
      </c>
      <c r="K57" s="2">
        <v>-6.8</v>
      </c>
    </row>
    <row r="58" spans="1:11" x14ac:dyDescent="0.25">
      <c r="A58" s="3">
        <v>-8.6999999999999993</v>
      </c>
      <c r="B58">
        <v>-6.1</v>
      </c>
      <c r="C58" s="6">
        <f t="shared" ref="C58:C103" si="6">A58-B58</f>
        <v>-2.5999999999999996</v>
      </c>
      <c r="F58">
        <f t="shared" si="5"/>
        <v>2.5999999999999996</v>
      </c>
      <c r="K58" s="2">
        <v>-6.9</v>
      </c>
    </row>
    <row r="59" spans="1:11" x14ac:dyDescent="0.25">
      <c r="A59" s="3">
        <v>-8.6</v>
      </c>
      <c r="B59">
        <v>-6.1</v>
      </c>
      <c r="C59" s="6">
        <f t="shared" si="6"/>
        <v>-2.5</v>
      </c>
      <c r="F59">
        <f t="shared" si="5"/>
        <v>2.5</v>
      </c>
      <c r="K59" s="3">
        <v>-7</v>
      </c>
    </row>
    <row r="60" spans="1:11" x14ac:dyDescent="0.25">
      <c r="A60" s="3">
        <v>-5.0999999999999996</v>
      </c>
      <c r="B60">
        <v>-6.1</v>
      </c>
      <c r="C60" s="6">
        <f t="shared" si="6"/>
        <v>1</v>
      </c>
      <c r="F60">
        <f t="shared" si="5"/>
        <v>1</v>
      </c>
      <c r="K60" s="2">
        <v>-7.1</v>
      </c>
    </row>
    <row r="61" spans="1:11" x14ac:dyDescent="0.25">
      <c r="A61" s="3">
        <v>-3.4</v>
      </c>
      <c r="B61">
        <v>-6.1</v>
      </c>
      <c r="C61" s="6">
        <f t="shared" si="6"/>
        <v>2.6999999999999997</v>
      </c>
      <c r="F61">
        <f t="shared" si="5"/>
        <v>2.6999999999999997</v>
      </c>
      <c r="K61" s="2">
        <v>-7.2</v>
      </c>
    </row>
    <row r="62" spans="1:11" x14ac:dyDescent="0.25">
      <c r="A62" s="3">
        <v>-8.8000000000000007</v>
      </c>
      <c r="B62">
        <v>-6.1</v>
      </c>
      <c r="C62" s="6">
        <f t="shared" si="6"/>
        <v>-2.7000000000000011</v>
      </c>
      <c r="F62">
        <f t="shared" si="5"/>
        <v>2.7000000000000011</v>
      </c>
      <c r="K62" s="2">
        <v>-7.2</v>
      </c>
    </row>
    <row r="63" spans="1:11" x14ac:dyDescent="0.25">
      <c r="A63" s="3">
        <v>-6.3</v>
      </c>
      <c r="B63">
        <v>-6.1</v>
      </c>
      <c r="C63" s="6">
        <f t="shared" si="6"/>
        <v>-0.20000000000000018</v>
      </c>
      <c r="F63">
        <f t="shared" si="5"/>
        <v>0.20000000000000018</v>
      </c>
      <c r="K63" s="3">
        <v>-7.2</v>
      </c>
    </row>
    <row r="64" spans="1:11" x14ac:dyDescent="0.25">
      <c r="A64" s="3">
        <v>-7</v>
      </c>
      <c r="B64">
        <v>-6.1</v>
      </c>
      <c r="C64" s="6">
        <f t="shared" si="6"/>
        <v>-0.90000000000000036</v>
      </c>
      <c r="F64">
        <f t="shared" si="5"/>
        <v>0.90000000000000036</v>
      </c>
      <c r="K64" s="4">
        <v>-7.2</v>
      </c>
    </row>
    <row r="65" spans="1:11" x14ac:dyDescent="0.25">
      <c r="A65" s="3">
        <v>-8.6999999999999993</v>
      </c>
      <c r="B65">
        <v>-6.1</v>
      </c>
      <c r="C65" s="6">
        <f t="shared" si="6"/>
        <v>-2.5999999999999996</v>
      </c>
      <c r="F65">
        <f t="shared" si="5"/>
        <v>2.5999999999999996</v>
      </c>
      <c r="K65" s="3">
        <v>-7.3</v>
      </c>
    </row>
    <row r="66" spans="1:11" x14ac:dyDescent="0.25">
      <c r="A66" s="3">
        <v>-7.4</v>
      </c>
      <c r="B66">
        <v>-6.1</v>
      </c>
      <c r="C66" s="6">
        <f t="shared" si="6"/>
        <v>-1.3000000000000007</v>
      </c>
      <c r="F66">
        <f t="shared" si="5"/>
        <v>1.3000000000000007</v>
      </c>
      <c r="K66" s="2">
        <v>-7.4</v>
      </c>
    </row>
    <row r="67" spans="1:11" x14ac:dyDescent="0.25">
      <c r="A67" s="3">
        <v>-5</v>
      </c>
      <c r="B67">
        <v>-6.1</v>
      </c>
      <c r="C67" s="6">
        <f t="shared" si="6"/>
        <v>1.0999999999999996</v>
      </c>
      <c r="F67">
        <f t="shared" ref="F67:F75" si="7">ABS(C67:C178)</f>
        <v>1.0999999999999996</v>
      </c>
      <c r="K67" s="2">
        <v>-7.4</v>
      </c>
    </row>
    <row r="68" spans="1:11" x14ac:dyDescent="0.25">
      <c r="A68" s="3">
        <v>-3.3</v>
      </c>
      <c r="B68">
        <v>-6.1</v>
      </c>
      <c r="C68" s="6">
        <f t="shared" si="6"/>
        <v>2.8</v>
      </c>
      <c r="F68">
        <f t="shared" si="7"/>
        <v>2.8</v>
      </c>
      <c r="K68" s="3">
        <v>-7.4</v>
      </c>
    </row>
    <row r="69" spans="1:11" x14ac:dyDescent="0.25">
      <c r="A69" s="3">
        <v>-3.5</v>
      </c>
      <c r="B69">
        <v>-6.1</v>
      </c>
      <c r="C69" s="6">
        <f t="shared" si="6"/>
        <v>2.5999999999999996</v>
      </c>
      <c r="F69">
        <f t="shared" si="7"/>
        <v>2.5999999999999996</v>
      </c>
      <c r="K69" s="2">
        <v>-7.5</v>
      </c>
    </row>
    <row r="70" spans="1:11" x14ac:dyDescent="0.25">
      <c r="A70" s="3">
        <v>-9.3000000000000007</v>
      </c>
      <c r="B70">
        <v>-6.1</v>
      </c>
      <c r="C70" s="6">
        <f t="shared" si="6"/>
        <v>-3.2000000000000011</v>
      </c>
      <c r="F70">
        <f t="shared" si="7"/>
        <v>3.2000000000000011</v>
      </c>
      <c r="K70" s="2">
        <v>-7.6</v>
      </c>
    </row>
    <row r="71" spans="1:11" x14ac:dyDescent="0.25">
      <c r="A71" s="3">
        <v>-2.5</v>
      </c>
      <c r="B71">
        <v>-6.1</v>
      </c>
      <c r="C71" s="6">
        <f t="shared" si="6"/>
        <v>3.5999999999999996</v>
      </c>
      <c r="F71">
        <f t="shared" si="7"/>
        <v>3.5999999999999996</v>
      </c>
      <c r="K71" s="3">
        <v>-7.7</v>
      </c>
    </row>
    <row r="72" spans="1:11" x14ac:dyDescent="0.25">
      <c r="A72" s="3">
        <v>-7.7</v>
      </c>
      <c r="B72">
        <v>-6.1</v>
      </c>
      <c r="C72" s="6">
        <f t="shared" si="6"/>
        <v>-1.6000000000000005</v>
      </c>
      <c r="F72">
        <f t="shared" si="7"/>
        <v>1.6000000000000005</v>
      </c>
      <c r="K72" s="2">
        <v>-7.8</v>
      </c>
    </row>
    <row r="73" spans="1:11" x14ac:dyDescent="0.25">
      <c r="A73" s="3">
        <v>-8.1</v>
      </c>
      <c r="B73">
        <v>-6.1</v>
      </c>
      <c r="C73" s="6">
        <f t="shared" si="6"/>
        <v>-2</v>
      </c>
      <c r="F73">
        <f t="shared" si="7"/>
        <v>2</v>
      </c>
      <c r="K73" s="4">
        <v>-7.8</v>
      </c>
    </row>
    <row r="74" spans="1:11" x14ac:dyDescent="0.25">
      <c r="A74" s="3">
        <v>-4</v>
      </c>
      <c r="B74">
        <v>-6.1</v>
      </c>
      <c r="C74" s="6">
        <f t="shared" si="6"/>
        <v>2.0999999999999996</v>
      </c>
      <c r="F74">
        <f t="shared" si="7"/>
        <v>2.0999999999999996</v>
      </c>
      <c r="K74" s="4">
        <v>-7.8</v>
      </c>
    </row>
    <row r="75" spans="1:11" x14ac:dyDescent="0.25">
      <c r="A75" s="3">
        <v>-2.7</v>
      </c>
      <c r="B75">
        <v>-6.1</v>
      </c>
      <c r="C75" s="6">
        <f t="shared" si="6"/>
        <v>3.3999999999999995</v>
      </c>
      <c r="F75">
        <f t="shared" si="7"/>
        <v>3.3999999999999995</v>
      </c>
      <c r="K75" s="2">
        <v>-8.1</v>
      </c>
    </row>
    <row r="76" spans="1:11" x14ac:dyDescent="0.25">
      <c r="A76" s="3">
        <v>-7.2</v>
      </c>
      <c r="B76">
        <v>-6.1</v>
      </c>
      <c r="C76" s="6">
        <f t="shared" si="6"/>
        <v>-1.1000000000000005</v>
      </c>
      <c r="F76">
        <f>ABS(C76:C188)</f>
        <v>1.1000000000000005</v>
      </c>
      <c r="K76" s="2">
        <v>-8.1</v>
      </c>
    </row>
    <row r="77" spans="1:11" x14ac:dyDescent="0.25">
      <c r="A77" s="3">
        <v>-3</v>
      </c>
      <c r="B77">
        <v>-6.1</v>
      </c>
      <c r="C77" s="6">
        <f t="shared" si="6"/>
        <v>3.0999999999999996</v>
      </c>
      <c r="F77">
        <f>ABS(C77:C189)</f>
        <v>3.0999999999999996</v>
      </c>
      <c r="K77" s="3">
        <v>-8.1</v>
      </c>
    </row>
    <row r="78" spans="1:11" x14ac:dyDescent="0.25">
      <c r="A78" s="3">
        <v>-2.9</v>
      </c>
      <c r="B78">
        <v>-6.1</v>
      </c>
      <c r="C78" s="6">
        <f t="shared" si="6"/>
        <v>3.1999999999999997</v>
      </c>
      <c r="F78">
        <f>ABS(C78:C191)</f>
        <v>3.1999999999999997</v>
      </c>
      <c r="K78" s="2">
        <v>-8.1999999999999993</v>
      </c>
    </row>
    <row r="79" spans="1:11" x14ac:dyDescent="0.25">
      <c r="A79" s="3">
        <v>-7.3</v>
      </c>
      <c r="B79">
        <v>-6.1</v>
      </c>
      <c r="C79" s="6">
        <f t="shared" si="6"/>
        <v>-1.2000000000000002</v>
      </c>
      <c r="F79">
        <f>ABS(C79:C192)</f>
        <v>1.2000000000000002</v>
      </c>
      <c r="K79" s="2">
        <v>-8.4</v>
      </c>
    </row>
    <row r="80" spans="1:11" x14ac:dyDescent="0.25">
      <c r="A80" s="3">
        <v>-5.8</v>
      </c>
      <c r="B80">
        <v>-6.1</v>
      </c>
      <c r="C80" s="6">
        <f t="shared" si="6"/>
        <v>0.29999999999999982</v>
      </c>
      <c r="F80">
        <f>ABS(C80:C193)</f>
        <v>0.29999999999999982</v>
      </c>
      <c r="K80" s="2">
        <v>-8.4</v>
      </c>
    </row>
    <row r="81" spans="1:11" x14ac:dyDescent="0.25">
      <c r="A81" s="3">
        <v>-8.5</v>
      </c>
      <c r="B81">
        <v>-6.1</v>
      </c>
      <c r="C81" s="6">
        <f t="shared" si="6"/>
        <v>-2.4000000000000004</v>
      </c>
      <c r="F81">
        <f>ABS(C81:C194)</f>
        <v>2.4000000000000004</v>
      </c>
      <c r="K81" s="2">
        <v>-8.5</v>
      </c>
    </row>
    <row r="82" spans="1:11" x14ac:dyDescent="0.25">
      <c r="A82" s="3">
        <v>-4.5999999999999996</v>
      </c>
      <c r="B82">
        <v>-6.1</v>
      </c>
      <c r="C82" s="6">
        <f t="shared" si="6"/>
        <v>1.5</v>
      </c>
      <c r="F82">
        <f>ABS(C82:C195)</f>
        <v>1.5</v>
      </c>
      <c r="K82" s="3">
        <v>-8.5</v>
      </c>
    </row>
    <row r="83" spans="1:11" x14ac:dyDescent="0.25">
      <c r="A83" s="3">
        <v>-4.0999999999999996</v>
      </c>
      <c r="B83">
        <v>-6.1</v>
      </c>
      <c r="C83" s="6">
        <f t="shared" si="6"/>
        <v>2</v>
      </c>
      <c r="F83">
        <f>ABS(C83:C197)</f>
        <v>2</v>
      </c>
      <c r="K83" s="2">
        <v>-8.6</v>
      </c>
    </row>
    <row r="84" spans="1:11" x14ac:dyDescent="0.25">
      <c r="A84" s="3">
        <v>-3.1</v>
      </c>
      <c r="B84">
        <v>-6.1</v>
      </c>
      <c r="C84" s="6">
        <f t="shared" si="6"/>
        <v>2.9999999999999996</v>
      </c>
      <c r="F84">
        <f>ABS(C84:C198)</f>
        <v>2.9999999999999996</v>
      </c>
      <c r="K84" s="2">
        <v>-8.6</v>
      </c>
    </row>
    <row r="85" spans="1:11" x14ac:dyDescent="0.25">
      <c r="A85" s="3">
        <v>-5.5</v>
      </c>
      <c r="B85">
        <v>-6.1</v>
      </c>
      <c r="C85" s="6">
        <f t="shared" si="6"/>
        <v>0.59999999999999964</v>
      </c>
      <c r="F85">
        <f>ABS(C85:C199)</f>
        <v>0.59999999999999964</v>
      </c>
      <c r="K85" s="2">
        <v>-8.6</v>
      </c>
    </row>
    <row r="86" spans="1:11" x14ac:dyDescent="0.25">
      <c r="A86" s="3">
        <v>-2.6</v>
      </c>
      <c r="B86">
        <v>-6.1</v>
      </c>
      <c r="C86" s="6">
        <f t="shared" si="6"/>
        <v>3.4999999999999996</v>
      </c>
      <c r="F86">
        <f>ABS(C86:C200)</f>
        <v>3.4999999999999996</v>
      </c>
      <c r="K86" s="3">
        <v>-8.6</v>
      </c>
    </row>
    <row r="87" spans="1:11" x14ac:dyDescent="0.25">
      <c r="A87" s="4">
        <v>-7.2</v>
      </c>
      <c r="B87">
        <v>-6.1</v>
      </c>
      <c r="C87" s="6">
        <f t="shared" si="6"/>
        <v>-1.1000000000000005</v>
      </c>
      <c r="F87">
        <f>ABS(C87:C203)</f>
        <v>1.1000000000000005</v>
      </c>
      <c r="K87" s="2">
        <v>-8.6999999999999993</v>
      </c>
    </row>
    <row r="88" spans="1:11" x14ac:dyDescent="0.25">
      <c r="A88" s="5">
        <v>-4</v>
      </c>
      <c r="B88">
        <v>-6.1</v>
      </c>
      <c r="C88" s="6">
        <f t="shared" si="6"/>
        <v>2.0999999999999996</v>
      </c>
      <c r="F88">
        <f>ABS(C88:C204)</f>
        <v>2.0999999999999996</v>
      </c>
      <c r="K88" s="2">
        <v>-8.6999999999999993</v>
      </c>
    </row>
    <row r="89" spans="1:11" x14ac:dyDescent="0.25">
      <c r="A89" s="4">
        <v>-5.9</v>
      </c>
      <c r="B89">
        <v>-6.1</v>
      </c>
      <c r="C89" s="6">
        <f t="shared" si="6"/>
        <v>0.19999999999999929</v>
      </c>
      <c r="F89">
        <f>ABS(C89:C205)</f>
        <v>0.19999999999999929</v>
      </c>
      <c r="K89" s="3">
        <v>-8.6999999999999993</v>
      </c>
    </row>
    <row r="90" spans="1:11" x14ac:dyDescent="0.25">
      <c r="A90" s="4">
        <v>-5.6</v>
      </c>
      <c r="B90">
        <v>-6.1</v>
      </c>
      <c r="C90" s="6">
        <f t="shared" si="6"/>
        <v>0.5</v>
      </c>
      <c r="F90">
        <f>ABS(C90:C206)</f>
        <v>0.5</v>
      </c>
      <c r="K90" s="3">
        <v>-8.6999999999999993</v>
      </c>
    </row>
    <row r="91" spans="1:11" x14ac:dyDescent="0.25">
      <c r="A91" s="5">
        <v>-4</v>
      </c>
      <c r="B91">
        <v>-6.1</v>
      </c>
      <c r="C91" s="6">
        <f t="shared" si="6"/>
        <v>2.0999999999999996</v>
      </c>
      <c r="F91">
        <f>ABS(C91:C208)</f>
        <v>2.0999999999999996</v>
      </c>
      <c r="K91" s="3">
        <v>-8.8000000000000007</v>
      </c>
    </row>
    <row r="92" spans="1:11" x14ac:dyDescent="0.25">
      <c r="A92" s="5">
        <v>-3.4</v>
      </c>
      <c r="B92">
        <v>-6.1</v>
      </c>
      <c r="C92" s="6">
        <f t="shared" si="6"/>
        <v>2.6999999999999997</v>
      </c>
      <c r="F92">
        <f>ABS(C92:C210)</f>
        <v>2.6999999999999997</v>
      </c>
      <c r="K92" s="2">
        <v>-8.9</v>
      </c>
    </row>
    <row r="93" spans="1:11" x14ac:dyDescent="0.25">
      <c r="A93" s="4">
        <v>-7.8</v>
      </c>
      <c r="B93">
        <v>-6.1</v>
      </c>
      <c r="C93" s="6">
        <f t="shared" si="6"/>
        <v>-1.7000000000000002</v>
      </c>
      <c r="F93">
        <f>ABS(C93:C211)</f>
        <v>1.7000000000000002</v>
      </c>
      <c r="K93" s="2">
        <v>-8.9</v>
      </c>
    </row>
    <row r="94" spans="1:11" x14ac:dyDescent="0.25">
      <c r="A94" s="6">
        <v>-3.5311203319502074</v>
      </c>
      <c r="B94">
        <v>-6.1</v>
      </c>
      <c r="C94" s="6">
        <f t="shared" si="6"/>
        <v>2.5688796680497923</v>
      </c>
      <c r="F94">
        <f>ABS(C94:C213)</f>
        <v>2.5688796680497923</v>
      </c>
      <c r="K94" s="2">
        <v>-9</v>
      </c>
    </row>
    <row r="95" spans="1:11" x14ac:dyDescent="0.25">
      <c r="A95" s="6">
        <v>-3.6682242990654204</v>
      </c>
      <c r="B95">
        <v>-6.1</v>
      </c>
      <c r="C95" s="6">
        <f t="shared" si="6"/>
        <v>2.4317757009345793</v>
      </c>
      <c r="F95">
        <f>ABS(C95:C215)</f>
        <v>2.4317757009345793</v>
      </c>
      <c r="K95" s="2">
        <v>-9</v>
      </c>
    </row>
    <row r="96" spans="1:11" x14ac:dyDescent="0.25">
      <c r="A96" s="6">
        <v>-3.6</v>
      </c>
      <c r="B96">
        <v>-6.1</v>
      </c>
      <c r="C96" s="6">
        <f t="shared" si="6"/>
        <v>2.4999999999999996</v>
      </c>
      <c r="F96">
        <f>ABS(C96:C216)</f>
        <v>2.4999999999999996</v>
      </c>
      <c r="K96" s="2">
        <v>-9.1999999999999993</v>
      </c>
    </row>
    <row r="97" spans="1:11" x14ac:dyDescent="0.25">
      <c r="A97" s="7">
        <v>-6.2</v>
      </c>
      <c r="B97">
        <v>-6.1</v>
      </c>
      <c r="C97" s="6">
        <f t="shared" si="6"/>
        <v>-0.10000000000000053</v>
      </c>
      <c r="F97">
        <f>ABS(C97:C217)</f>
        <v>0.10000000000000053</v>
      </c>
      <c r="K97" s="2">
        <v>-9.1999999999999993</v>
      </c>
    </row>
    <row r="98" spans="1:11" x14ac:dyDescent="0.25">
      <c r="A98" s="5">
        <v>-3.4</v>
      </c>
      <c r="B98">
        <v>-6.1</v>
      </c>
      <c r="C98" s="6">
        <f t="shared" si="6"/>
        <v>2.6999999999999997</v>
      </c>
      <c r="F98">
        <f>ABS(C98:C219)</f>
        <v>2.6999999999999997</v>
      </c>
      <c r="K98" s="2">
        <v>-9.3000000000000007</v>
      </c>
    </row>
    <row r="99" spans="1:11" x14ac:dyDescent="0.25">
      <c r="A99" s="4">
        <v>-7.8</v>
      </c>
      <c r="B99">
        <v>-6.1</v>
      </c>
      <c r="C99" s="6">
        <f t="shared" si="6"/>
        <v>-1.7000000000000002</v>
      </c>
      <c r="F99">
        <f>ABS(C99:C220)</f>
        <v>1.7000000000000002</v>
      </c>
      <c r="K99" s="3">
        <v>-9.3000000000000007</v>
      </c>
    </row>
    <row r="100" spans="1:11" x14ac:dyDescent="0.25">
      <c r="A100" s="6">
        <v>-3.5311203319502074</v>
      </c>
      <c r="B100">
        <v>-6.1</v>
      </c>
      <c r="C100" s="6">
        <f t="shared" si="6"/>
        <v>2.5688796680497923</v>
      </c>
      <c r="F100">
        <f>ABS(C100:C222)</f>
        <v>2.5688796680497923</v>
      </c>
      <c r="K100" s="2">
        <v>-9.4</v>
      </c>
    </row>
    <row r="101" spans="1:11" x14ac:dyDescent="0.25">
      <c r="A101" s="6">
        <v>-3.6682242990654204</v>
      </c>
      <c r="B101">
        <v>-6.1</v>
      </c>
      <c r="C101" s="6">
        <f t="shared" si="6"/>
        <v>2.4317757009345793</v>
      </c>
      <c r="F101">
        <f t="shared" ref="F101:F103" si="8">ABS(C101:C224)</f>
        <v>2.4317757009345793</v>
      </c>
      <c r="K101" s="2">
        <v>-9.6</v>
      </c>
    </row>
    <row r="102" spans="1:11" x14ac:dyDescent="0.25">
      <c r="A102" s="6">
        <v>-3.6</v>
      </c>
      <c r="B102">
        <v>-6.1</v>
      </c>
      <c r="C102" s="6">
        <f t="shared" si="6"/>
        <v>2.4999999999999996</v>
      </c>
      <c r="F102">
        <f t="shared" si="8"/>
        <v>2.4999999999999996</v>
      </c>
      <c r="K102" s="2">
        <v>-9.6</v>
      </c>
    </row>
    <row r="103" spans="1:11" x14ac:dyDescent="0.25">
      <c r="A103" s="7">
        <v>-6.2</v>
      </c>
      <c r="B103">
        <v>-6.1</v>
      </c>
      <c r="C103" s="6">
        <f t="shared" si="6"/>
        <v>-0.10000000000000053</v>
      </c>
      <c r="F103">
        <f t="shared" si="8"/>
        <v>0.10000000000000053</v>
      </c>
    </row>
  </sheetData>
  <sortState ref="K1:K102">
    <sortCondition descending="1" ref="K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4" workbookViewId="0">
      <selection activeCell="J4" sqref="J4"/>
    </sheetView>
  </sheetViews>
  <sheetFormatPr defaultRowHeight="15" x14ac:dyDescent="0.25"/>
  <cols>
    <col min="7" max="7" width="7.42578125" customWidth="1"/>
    <col min="11" max="11" width="16.85546875" customWidth="1"/>
  </cols>
  <sheetData>
    <row r="1" spans="1:14" x14ac:dyDescent="0.25">
      <c r="A1" s="1" t="s">
        <v>0</v>
      </c>
      <c r="B1" t="s">
        <v>13</v>
      </c>
      <c r="C1" t="s">
        <v>14</v>
      </c>
      <c r="D1" t="s">
        <v>10</v>
      </c>
      <c r="E1" t="s">
        <v>12</v>
      </c>
      <c r="F1" t="s">
        <v>11</v>
      </c>
      <c r="G1" t="s">
        <v>15</v>
      </c>
      <c r="H1" t="s">
        <v>15</v>
      </c>
      <c r="I1" t="s">
        <v>16</v>
      </c>
      <c r="J1" t="s">
        <v>17</v>
      </c>
      <c r="K1" t="s">
        <v>19</v>
      </c>
      <c r="L1" t="s">
        <v>18</v>
      </c>
    </row>
    <row r="2" spans="1:14" x14ac:dyDescent="0.25">
      <c r="A2" s="9">
        <v>-9.6</v>
      </c>
      <c r="B2">
        <f>MAX(A:A)</f>
        <v>-2.5</v>
      </c>
      <c r="C2" s="6">
        <f>MIN(A2:A103)</f>
        <v>-9.6</v>
      </c>
      <c r="D2">
        <f>1+3.32*(LOG10(102))</f>
        <v>7.6685525702495658</v>
      </c>
      <c r="E2" s="6">
        <f>(B2-C2)/D2</f>
        <v>0.92585920680060452</v>
      </c>
      <c r="F2">
        <v>1</v>
      </c>
      <c r="G2">
        <v>-9.6</v>
      </c>
      <c r="H2">
        <v>-9.1999999999999993</v>
      </c>
      <c r="I2">
        <f>AVERAGE(G2,H2)</f>
        <v>-9.3999999999999986</v>
      </c>
      <c r="J2">
        <f>COUNT(A2:A8)</f>
        <v>7</v>
      </c>
      <c r="K2">
        <f>J2/102</f>
        <v>6.8627450980392163E-2</v>
      </c>
      <c r="L2">
        <f>K2/102</f>
        <v>6.7281814686658979E-4</v>
      </c>
      <c r="N2">
        <v>16</v>
      </c>
    </row>
    <row r="3" spans="1:14" x14ac:dyDescent="0.25">
      <c r="A3" s="9">
        <v>-9.6</v>
      </c>
      <c r="F3">
        <v>2</v>
      </c>
      <c r="G3">
        <v>-9.1999999999999993</v>
      </c>
      <c r="H3">
        <v>-8.6</v>
      </c>
      <c r="I3">
        <f t="shared" ref="I3:I9" si="0">AVERAGE(G3,H3)</f>
        <v>-8.8999999999999986</v>
      </c>
      <c r="J3" s="6">
        <f>COUNT(A9:A20)</f>
        <v>12</v>
      </c>
      <c r="K3">
        <f t="shared" ref="K3:K9" si="1">J3/102</f>
        <v>0.11764705882352941</v>
      </c>
      <c r="L3">
        <f>L2+K2</f>
        <v>6.9300269127258757E-2</v>
      </c>
      <c r="N3">
        <v>15</v>
      </c>
    </row>
    <row r="4" spans="1:14" x14ac:dyDescent="0.25">
      <c r="A4" s="9">
        <v>-9.4</v>
      </c>
      <c r="F4">
        <v>3</v>
      </c>
      <c r="G4">
        <v>-8.6</v>
      </c>
      <c r="H4">
        <v>-7.5</v>
      </c>
      <c r="I4">
        <f t="shared" si="0"/>
        <v>-8.0500000000000007</v>
      </c>
      <c r="J4">
        <f>COUNT(A21:A35)</f>
        <v>15</v>
      </c>
      <c r="K4">
        <f t="shared" si="1"/>
        <v>0.14705882352941177</v>
      </c>
      <c r="L4">
        <f>L3+K3</f>
        <v>0.18694732795078817</v>
      </c>
      <c r="N4" s="25">
        <v>14</v>
      </c>
    </row>
    <row r="5" spans="1:14" x14ac:dyDescent="0.25">
      <c r="A5" s="9">
        <v>-9.3000000000000007</v>
      </c>
      <c r="F5">
        <v>4</v>
      </c>
      <c r="G5">
        <v>-7.5</v>
      </c>
      <c r="H5">
        <v>-6.5</v>
      </c>
      <c r="I5">
        <f t="shared" si="0"/>
        <v>-7</v>
      </c>
      <c r="J5">
        <f>COUNT(A36:A52)</f>
        <v>17</v>
      </c>
      <c r="K5">
        <f t="shared" si="1"/>
        <v>0.16666666666666666</v>
      </c>
      <c r="L5">
        <f>L4+K4</f>
        <v>0.33400615148019996</v>
      </c>
      <c r="N5" s="25">
        <v>14</v>
      </c>
    </row>
    <row r="6" spans="1:14" x14ac:dyDescent="0.25">
      <c r="A6" s="10">
        <v>-9.3000000000000007</v>
      </c>
      <c r="F6">
        <v>5</v>
      </c>
      <c r="G6">
        <v>-6.5</v>
      </c>
      <c r="H6">
        <v>-5.4</v>
      </c>
      <c r="I6">
        <f t="shared" si="0"/>
        <v>-5.95</v>
      </c>
      <c r="J6" s="6">
        <f>COUNT(A53:A68)</f>
        <v>16</v>
      </c>
      <c r="K6">
        <f t="shared" si="1"/>
        <v>0.15686274509803921</v>
      </c>
      <c r="L6">
        <f t="shared" ref="L6:L9" si="2">L5+K5</f>
        <v>0.50067281814686659</v>
      </c>
      <c r="N6" s="25">
        <v>13</v>
      </c>
    </row>
    <row r="7" spans="1:14" x14ac:dyDescent="0.25">
      <c r="A7" s="9">
        <v>-9.1999999999999993</v>
      </c>
      <c r="F7">
        <v>6</v>
      </c>
      <c r="G7">
        <v>-5.4</v>
      </c>
      <c r="H7">
        <v>-4</v>
      </c>
      <c r="I7">
        <f>AVERAGE(G7,H7)</f>
        <v>-4.7</v>
      </c>
      <c r="J7">
        <f>COUNT(A69:A82)</f>
        <v>14</v>
      </c>
      <c r="K7">
        <f t="shared" si="1"/>
        <v>0.13725490196078433</v>
      </c>
      <c r="L7">
        <f t="shared" si="2"/>
        <v>0.65753556324490581</v>
      </c>
      <c r="N7" s="25">
        <v>7</v>
      </c>
    </row>
    <row r="8" spans="1:14" x14ac:dyDescent="0.25">
      <c r="A8" s="9">
        <v>-9.1999999999999993</v>
      </c>
      <c r="F8">
        <v>7</v>
      </c>
      <c r="G8">
        <v>-4</v>
      </c>
      <c r="H8">
        <v>-3.4</v>
      </c>
      <c r="I8">
        <f t="shared" si="0"/>
        <v>-3.7</v>
      </c>
      <c r="J8">
        <f>COUNT(A83:A94)</f>
        <v>12</v>
      </c>
      <c r="K8">
        <f t="shared" si="1"/>
        <v>0.11764705882352941</v>
      </c>
      <c r="L8">
        <f t="shared" si="2"/>
        <v>0.79479046520569008</v>
      </c>
      <c r="N8">
        <v>16</v>
      </c>
    </row>
    <row r="9" spans="1:14" x14ac:dyDescent="0.25">
      <c r="A9" s="26">
        <v>-9</v>
      </c>
      <c r="F9">
        <v>8</v>
      </c>
      <c r="G9">
        <v>-3.4</v>
      </c>
      <c r="H9">
        <v>-2.5</v>
      </c>
      <c r="I9">
        <f t="shared" si="0"/>
        <v>-2.95</v>
      </c>
      <c r="J9">
        <f>COUNT(A95:A103)</f>
        <v>9</v>
      </c>
      <c r="K9">
        <f t="shared" si="1"/>
        <v>8.8235294117647065E-2</v>
      </c>
      <c r="L9">
        <f t="shared" si="2"/>
        <v>0.91243752402921952</v>
      </c>
      <c r="N9">
        <v>7</v>
      </c>
    </row>
    <row r="10" spans="1:14" x14ac:dyDescent="0.25">
      <c r="A10" s="26">
        <v>-9</v>
      </c>
    </row>
    <row r="11" spans="1:14" x14ac:dyDescent="0.25">
      <c r="A11" s="26">
        <v>-8.9</v>
      </c>
      <c r="J11">
        <f>SUM(J2:J9)</f>
        <v>102</v>
      </c>
      <c r="K11">
        <f>SUM(K2:K10)</f>
        <v>1</v>
      </c>
      <c r="L11">
        <f>SUM(L2:L9)</f>
        <v>3.4563629373317957</v>
      </c>
    </row>
    <row r="12" spans="1:14" x14ac:dyDescent="0.25">
      <c r="A12" s="26">
        <v>-8.9</v>
      </c>
    </row>
    <row r="13" spans="1:14" x14ac:dyDescent="0.25">
      <c r="A13" s="27">
        <v>-8.8000000000000007</v>
      </c>
    </row>
    <row r="14" spans="1:14" x14ac:dyDescent="0.25">
      <c r="A14" s="26">
        <v>-8.6999999999999993</v>
      </c>
    </row>
    <row r="15" spans="1:14" x14ac:dyDescent="0.25">
      <c r="A15" s="26">
        <v>-8.6999999999999993</v>
      </c>
    </row>
    <row r="16" spans="1:14" x14ac:dyDescent="0.25">
      <c r="A16" s="27">
        <v>-8.6999999999999993</v>
      </c>
    </row>
    <row r="17" spans="1:1" x14ac:dyDescent="0.25">
      <c r="A17" s="27">
        <v>-8.6999999999999993</v>
      </c>
    </row>
    <row r="18" spans="1:1" x14ac:dyDescent="0.25">
      <c r="A18" s="26">
        <v>-8.6</v>
      </c>
    </row>
    <row r="19" spans="1:1" x14ac:dyDescent="0.25">
      <c r="A19" s="26">
        <v>-8.6</v>
      </c>
    </row>
    <row r="20" spans="1:1" x14ac:dyDescent="0.25">
      <c r="A20" s="26">
        <v>-8.6</v>
      </c>
    </row>
    <row r="21" spans="1:1" x14ac:dyDescent="0.25">
      <c r="A21" s="27">
        <v>-8.6</v>
      </c>
    </row>
    <row r="22" spans="1:1" x14ac:dyDescent="0.25">
      <c r="A22" s="11">
        <v>-8.5</v>
      </c>
    </row>
    <row r="23" spans="1:1" x14ac:dyDescent="0.25">
      <c r="A23" s="12">
        <v>-8.5</v>
      </c>
    </row>
    <row r="24" spans="1:1" x14ac:dyDescent="0.25">
      <c r="A24" s="11">
        <v>-8.4</v>
      </c>
    </row>
    <row r="25" spans="1:1" x14ac:dyDescent="0.25">
      <c r="A25" s="11">
        <v>-8.4</v>
      </c>
    </row>
    <row r="26" spans="1:1" x14ac:dyDescent="0.25">
      <c r="A26" s="11">
        <v>-8.1999999999999993</v>
      </c>
    </row>
    <row r="27" spans="1:1" x14ac:dyDescent="0.25">
      <c r="A27" s="11">
        <v>-8.1</v>
      </c>
    </row>
    <row r="28" spans="1:1" x14ac:dyDescent="0.25">
      <c r="A28" s="11">
        <v>-8.1</v>
      </c>
    </row>
    <row r="29" spans="1:1" x14ac:dyDescent="0.25">
      <c r="A29" s="12">
        <v>-8.1</v>
      </c>
    </row>
    <row r="30" spans="1:1" x14ac:dyDescent="0.25">
      <c r="A30" s="11">
        <v>-7.8</v>
      </c>
    </row>
    <row r="31" spans="1:1" x14ac:dyDescent="0.25">
      <c r="A31" s="13">
        <v>-7.8</v>
      </c>
    </row>
    <row r="32" spans="1:1" x14ac:dyDescent="0.25">
      <c r="A32" s="13">
        <v>-7.8</v>
      </c>
    </row>
    <row r="33" spans="1:1" x14ac:dyDescent="0.25">
      <c r="A33" s="12">
        <v>-7.7</v>
      </c>
    </row>
    <row r="34" spans="1:1" x14ac:dyDescent="0.25">
      <c r="A34" s="11">
        <v>-7.6</v>
      </c>
    </row>
    <row r="35" spans="1:1" x14ac:dyDescent="0.25">
      <c r="A35" s="11">
        <v>-7.5</v>
      </c>
    </row>
    <row r="36" spans="1:1" x14ac:dyDescent="0.25">
      <c r="A36" s="15">
        <v>-7.4</v>
      </c>
    </row>
    <row r="37" spans="1:1" x14ac:dyDescent="0.25">
      <c r="A37" s="15">
        <v>-7.4</v>
      </c>
    </row>
    <row r="38" spans="1:1" x14ac:dyDescent="0.25">
      <c r="A38" s="14">
        <v>-7.4</v>
      </c>
    </row>
    <row r="39" spans="1:1" x14ac:dyDescent="0.25">
      <c r="A39" s="14">
        <v>-7.3</v>
      </c>
    </row>
    <row r="40" spans="1:1" x14ac:dyDescent="0.25">
      <c r="A40" s="15">
        <v>-7.2</v>
      </c>
    </row>
    <row r="41" spans="1:1" x14ac:dyDescent="0.25">
      <c r="A41" s="15">
        <v>-7.2</v>
      </c>
    </row>
    <row r="42" spans="1:1" x14ac:dyDescent="0.25">
      <c r="A42" s="14">
        <v>-7.2</v>
      </c>
    </row>
    <row r="43" spans="1:1" x14ac:dyDescent="0.25">
      <c r="A43" s="16">
        <v>-7.2</v>
      </c>
    </row>
    <row r="44" spans="1:1" x14ac:dyDescent="0.25">
      <c r="A44" s="15">
        <v>-7.1</v>
      </c>
    </row>
    <row r="45" spans="1:1" x14ac:dyDescent="0.25">
      <c r="A45" s="14">
        <v>-7</v>
      </c>
    </row>
    <row r="46" spans="1:1" x14ac:dyDescent="0.25">
      <c r="A46" s="15">
        <v>-6.9</v>
      </c>
    </row>
    <row r="47" spans="1:1" x14ac:dyDescent="0.25">
      <c r="A47" s="15">
        <v>-6.8</v>
      </c>
    </row>
    <row r="48" spans="1:1" x14ac:dyDescent="0.25">
      <c r="A48" s="15">
        <v>-6.7</v>
      </c>
    </row>
    <row r="49" spans="1:1" x14ac:dyDescent="0.25">
      <c r="A49" s="15">
        <v>-6.7</v>
      </c>
    </row>
    <row r="50" spans="1:1" x14ac:dyDescent="0.25">
      <c r="A50" s="15">
        <v>-6.6</v>
      </c>
    </row>
    <row r="51" spans="1:1" x14ac:dyDescent="0.25">
      <c r="A51" s="15">
        <v>-6.6</v>
      </c>
    </row>
    <row r="52" spans="1:1" x14ac:dyDescent="0.25">
      <c r="A52" s="17">
        <v>-6.5</v>
      </c>
    </row>
    <row r="53" spans="1:1" x14ac:dyDescent="0.25">
      <c r="A53" s="17">
        <v>-6.5</v>
      </c>
    </row>
    <row r="54" spans="1:1" x14ac:dyDescent="0.25">
      <c r="A54" s="17">
        <v>-6.3</v>
      </c>
    </row>
    <row r="55" spans="1:1" x14ac:dyDescent="0.25">
      <c r="A55" s="18">
        <v>-6.3</v>
      </c>
    </row>
    <row r="56" spans="1:1" x14ac:dyDescent="0.25">
      <c r="A56" s="17">
        <v>-6.2</v>
      </c>
    </row>
    <row r="57" spans="1:1" x14ac:dyDescent="0.25">
      <c r="A57" s="17">
        <v>-6.2</v>
      </c>
    </row>
    <row r="58" spans="1:1" x14ac:dyDescent="0.25">
      <c r="A58" s="19">
        <v>-6.2</v>
      </c>
    </row>
    <row r="59" spans="1:1" x14ac:dyDescent="0.25">
      <c r="A59" s="19">
        <v>-6.2</v>
      </c>
    </row>
    <row r="60" spans="1:1" x14ac:dyDescent="0.25">
      <c r="A60" s="20">
        <v>-5.9</v>
      </c>
    </row>
    <row r="61" spans="1:1" x14ac:dyDescent="0.25">
      <c r="A61" s="17">
        <v>-5.8</v>
      </c>
    </row>
    <row r="62" spans="1:1" x14ac:dyDescent="0.25">
      <c r="A62" s="18">
        <v>-5.8</v>
      </c>
    </row>
    <row r="63" spans="1:1" x14ac:dyDescent="0.25">
      <c r="A63" s="17">
        <v>-5.7</v>
      </c>
    </row>
    <row r="64" spans="1:1" x14ac:dyDescent="0.25">
      <c r="A64" s="20">
        <v>-5.6</v>
      </c>
    </row>
    <row r="65" spans="1:1" x14ac:dyDescent="0.25">
      <c r="A65" s="17">
        <v>-5.5</v>
      </c>
    </row>
    <row r="66" spans="1:1" x14ac:dyDescent="0.25">
      <c r="A66" s="17">
        <v>-5.5</v>
      </c>
    </row>
    <row r="67" spans="1:1" x14ac:dyDescent="0.25">
      <c r="A67" s="18">
        <v>-5.5</v>
      </c>
    </row>
    <row r="68" spans="1:1" x14ac:dyDescent="0.25">
      <c r="A68" s="28">
        <v>-5.4</v>
      </c>
    </row>
    <row r="69" spans="1:1" x14ac:dyDescent="0.25">
      <c r="A69" s="28">
        <v>-5.4</v>
      </c>
    </row>
    <row r="70" spans="1:1" x14ac:dyDescent="0.25">
      <c r="A70" s="28">
        <v>-5.0999999999999996</v>
      </c>
    </row>
    <row r="71" spans="1:1" x14ac:dyDescent="0.25">
      <c r="A71" s="28">
        <v>-5.0999999999999996</v>
      </c>
    </row>
    <row r="72" spans="1:1" x14ac:dyDescent="0.25">
      <c r="A72" s="28">
        <v>-5.0999999999999996</v>
      </c>
    </row>
    <row r="73" spans="1:1" x14ac:dyDescent="0.25">
      <c r="A73" s="29">
        <v>-5.0999999999999996</v>
      </c>
    </row>
    <row r="74" spans="1:1" x14ac:dyDescent="0.25">
      <c r="A74" s="28">
        <v>-5</v>
      </c>
    </row>
    <row r="75" spans="1:1" x14ac:dyDescent="0.25">
      <c r="A75" s="28">
        <v>-5</v>
      </c>
    </row>
    <row r="76" spans="1:1" x14ac:dyDescent="0.25">
      <c r="A76" s="29">
        <v>-5</v>
      </c>
    </row>
    <row r="77" spans="1:1" x14ac:dyDescent="0.25">
      <c r="A77" s="28">
        <v>-4.7</v>
      </c>
    </row>
    <row r="78" spans="1:1" x14ac:dyDescent="0.25">
      <c r="A78" s="29">
        <v>-4.5999999999999996</v>
      </c>
    </row>
    <row r="79" spans="1:1" x14ac:dyDescent="0.25">
      <c r="A79" s="28">
        <v>-4.5</v>
      </c>
    </row>
    <row r="80" spans="1:1" x14ac:dyDescent="0.25">
      <c r="A80" s="28">
        <v>-4.2</v>
      </c>
    </row>
    <row r="81" spans="1:1" x14ac:dyDescent="0.25">
      <c r="A81" s="29">
        <v>-4.0999999999999996</v>
      </c>
    </row>
    <row r="82" spans="1:1" x14ac:dyDescent="0.25">
      <c r="A82" s="29">
        <v>-4</v>
      </c>
    </row>
    <row r="83" spans="1:1" x14ac:dyDescent="0.25">
      <c r="A83" s="22">
        <v>-4</v>
      </c>
    </row>
    <row r="84" spans="1:1" x14ac:dyDescent="0.25">
      <c r="A84" s="22">
        <v>-4</v>
      </c>
    </row>
    <row r="85" spans="1:1" x14ac:dyDescent="0.25">
      <c r="A85" s="23">
        <v>-3.6682242990654204</v>
      </c>
    </row>
    <row r="86" spans="1:1" x14ac:dyDescent="0.25">
      <c r="A86" s="23">
        <v>-3.6682242990654204</v>
      </c>
    </row>
    <row r="87" spans="1:1" x14ac:dyDescent="0.25">
      <c r="A87" s="24">
        <v>-3.6</v>
      </c>
    </row>
    <row r="88" spans="1:1" x14ac:dyDescent="0.25">
      <c r="A88" s="23">
        <v>-3.6</v>
      </c>
    </row>
    <row r="89" spans="1:1" x14ac:dyDescent="0.25">
      <c r="A89" s="23">
        <v>-3.6</v>
      </c>
    </row>
    <row r="90" spans="1:1" x14ac:dyDescent="0.25">
      <c r="A90" s="23">
        <v>-3.5311203319502074</v>
      </c>
    </row>
    <row r="91" spans="1:1" x14ac:dyDescent="0.25">
      <c r="A91" s="23">
        <v>-3.5311203319502074</v>
      </c>
    </row>
    <row r="92" spans="1:1" x14ac:dyDescent="0.25">
      <c r="A92" s="21">
        <v>-3.5</v>
      </c>
    </row>
    <row r="93" spans="1:1" x14ac:dyDescent="0.25">
      <c r="A93" s="21">
        <v>-3.4</v>
      </c>
    </row>
    <row r="94" spans="1:1" x14ac:dyDescent="0.25">
      <c r="A94" s="22">
        <v>-3.4</v>
      </c>
    </row>
    <row r="95" spans="1:1" x14ac:dyDescent="0.25">
      <c r="A95" s="22">
        <v>-3.4</v>
      </c>
    </row>
    <row r="96" spans="1:1" x14ac:dyDescent="0.25">
      <c r="A96" s="21">
        <v>-3.3</v>
      </c>
    </row>
    <row r="97" spans="1:1" x14ac:dyDescent="0.25">
      <c r="A97" s="3">
        <v>-3.1</v>
      </c>
    </row>
    <row r="98" spans="1:1" x14ac:dyDescent="0.25">
      <c r="A98" s="3">
        <v>-3</v>
      </c>
    </row>
    <row r="99" spans="1:1" x14ac:dyDescent="0.25">
      <c r="A99" s="3">
        <v>-2.9</v>
      </c>
    </row>
    <row r="100" spans="1:1" x14ac:dyDescent="0.25">
      <c r="A100" s="3">
        <v>-2.7</v>
      </c>
    </row>
    <row r="101" spans="1:1" x14ac:dyDescent="0.25">
      <c r="A101" s="2">
        <v>-2.6</v>
      </c>
    </row>
    <row r="102" spans="1:1" x14ac:dyDescent="0.25">
      <c r="A102" s="3">
        <v>-2.6</v>
      </c>
    </row>
    <row r="103" spans="1:1" x14ac:dyDescent="0.25">
      <c r="A103" s="3">
        <v>-2.5</v>
      </c>
    </row>
  </sheetData>
  <sortState ref="C10:C25">
    <sortCondition ref="C16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T107"/>
  <sheetViews>
    <sheetView workbookViewId="0">
      <selection activeCell="S6" sqref="S6"/>
    </sheetView>
  </sheetViews>
  <sheetFormatPr defaultRowHeight="15" x14ac:dyDescent="0.25"/>
  <cols>
    <col min="20" max="20" width="10" bestFit="1" customWidth="1"/>
  </cols>
  <sheetData>
    <row r="5" spans="1:20" x14ac:dyDescent="0.25">
      <c r="A5" t="s">
        <v>20</v>
      </c>
      <c r="B5" t="s">
        <v>1</v>
      </c>
      <c r="C5" t="s">
        <v>22</v>
      </c>
      <c r="D5" t="s">
        <v>21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  <c r="O5" t="s">
        <v>33</v>
      </c>
      <c r="P5" t="s">
        <v>34</v>
      </c>
      <c r="Q5" t="s">
        <v>37</v>
      </c>
      <c r="R5" t="s">
        <v>38</v>
      </c>
      <c r="S5" t="s">
        <v>40</v>
      </c>
      <c r="T5" t="s">
        <v>47</v>
      </c>
    </row>
    <row r="6" spans="1:20" x14ac:dyDescent="0.25">
      <c r="A6" s="9">
        <v>-9.6</v>
      </c>
      <c r="B6" s="6">
        <f>-6.1</f>
        <v>-6.1</v>
      </c>
      <c r="C6" s="6">
        <f>A6-B6</f>
        <v>-3.5</v>
      </c>
      <c r="D6" s="6">
        <f>SUM(C6:C107)</f>
        <v>-19.998689262031263</v>
      </c>
      <c r="E6">
        <f>0.0098</f>
        <v>9.7999999999999997E-3</v>
      </c>
      <c r="F6" s="6">
        <f t="shared" ref="F6:F37" si="0">C6^2</f>
        <v>12.25</v>
      </c>
      <c r="G6" s="6">
        <f>SUM(F6:F107)</f>
        <v>432.86535161715119</v>
      </c>
      <c r="H6">
        <f>E6*G6</f>
        <v>4.2420804458480816</v>
      </c>
      <c r="I6" s="6">
        <f t="shared" ref="I6:I37" si="1">C6^3</f>
        <v>-42.875</v>
      </c>
      <c r="J6" s="6">
        <f>SUM(I6:I107)</f>
        <v>-87.406420729195958</v>
      </c>
      <c r="K6">
        <f>E6*J6</f>
        <v>-0.85658292314612039</v>
      </c>
      <c r="L6" s="6">
        <f t="shared" ref="L6:L37" si="2">C6^4</f>
        <v>150.0625</v>
      </c>
      <c r="M6" s="6">
        <f>SUM(L6:L107)</f>
        <v>3252.1883165365225</v>
      </c>
      <c r="N6">
        <f>E6*M6</f>
        <v>31.87144550205792</v>
      </c>
      <c r="O6">
        <f>K6/O8</f>
        <v>-9.8039494169659791E-2</v>
      </c>
      <c r="P6">
        <f>N6/(P8-3)</f>
        <v>2.1254365830418207</v>
      </c>
      <c r="Q6">
        <f>((SQRT(102*101))/100)*O6</f>
        <v>-9.9508879191946717E-2</v>
      </c>
      <c r="R6">
        <f>(101/(100*99))*R8</f>
        <v>2.2946380579175818</v>
      </c>
      <c r="S6">
        <f>SQRT(S8/S10)</f>
        <v>0.23906892906288185</v>
      </c>
      <c r="T6">
        <f>SQRT(T8/T10)</f>
        <v>0.47383042630154587</v>
      </c>
    </row>
    <row r="7" spans="1:20" x14ac:dyDescent="0.25">
      <c r="A7" s="9">
        <v>-9.6</v>
      </c>
      <c r="B7">
        <v>-6.1</v>
      </c>
      <c r="C7" s="6">
        <f t="shared" ref="C7:C70" si="3">A7-B7</f>
        <v>-3.5</v>
      </c>
      <c r="D7">
        <v>-20</v>
      </c>
      <c r="F7" s="6">
        <f t="shared" si="0"/>
        <v>12.25</v>
      </c>
      <c r="I7" s="6">
        <f t="shared" si="1"/>
        <v>-42.875</v>
      </c>
      <c r="L7" s="6">
        <f t="shared" si="2"/>
        <v>150.0625</v>
      </c>
      <c r="O7" t="s">
        <v>35</v>
      </c>
      <c r="P7" t="s">
        <v>36</v>
      </c>
      <c r="R7" t="s">
        <v>39</v>
      </c>
      <c r="S7" t="s">
        <v>41</v>
      </c>
      <c r="T7" t="s">
        <v>41</v>
      </c>
    </row>
    <row r="8" spans="1:20" x14ac:dyDescent="0.25">
      <c r="A8" s="9">
        <v>-9.4</v>
      </c>
      <c r="B8">
        <v>-6.1</v>
      </c>
      <c r="C8" s="6">
        <f t="shared" si="3"/>
        <v>-3.3000000000000007</v>
      </c>
      <c r="D8">
        <v>-20</v>
      </c>
      <c r="F8" s="6">
        <f t="shared" si="0"/>
        <v>10.890000000000004</v>
      </c>
      <c r="I8" s="6">
        <f t="shared" si="1"/>
        <v>-35.937000000000019</v>
      </c>
      <c r="L8" s="6">
        <f t="shared" si="2"/>
        <v>118.59210000000009</v>
      </c>
      <c r="O8">
        <f>H6^(3/2)</f>
        <v>8.7371209980314894</v>
      </c>
      <c r="P8">
        <f>H6^2</f>
        <v>17.995246509046659</v>
      </c>
      <c r="R8">
        <f>103*P6+6</f>
        <v>224.91996805330754</v>
      </c>
      <c r="S8">
        <f>6*102*101</f>
        <v>61812</v>
      </c>
      <c r="T8">
        <f>24*102*(101^2)</f>
        <v>24972048</v>
      </c>
    </row>
    <row r="9" spans="1:20" x14ac:dyDescent="0.25">
      <c r="A9" s="9">
        <v>-9.3000000000000007</v>
      </c>
      <c r="B9">
        <v>-6.1</v>
      </c>
      <c r="C9" s="6">
        <f t="shared" si="3"/>
        <v>-3.2000000000000011</v>
      </c>
      <c r="D9">
        <v>-20</v>
      </c>
      <c r="F9" s="6">
        <f t="shared" si="0"/>
        <v>10.240000000000007</v>
      </c>
      <c r="I9" s="6">
        <f t="shared" si="1"/>
        <v>-32.768000000000036</v>
      </c>
      <c r="L9" s="6">
        <f t="shared" si="2"/>
        <v>104.85760000000015</v>
      </c>
      <c r="S9" t="s">
        <v>42</v>
      </c>
      <c r="T9" t="s">
        <v>42</v>
      </c>
    </row>
    <row r="10" spans="1:20" x14ac:dyDescent="0.25">
      <c r="A10" s="10">
        <v>-9.3000000000000007</v>
      </c>
      <c r="B10">
        <v>-6.1</v>
      </c>
      <c r="C10" s="6">
        <f t="shared" si="3"/>
        <v>-3.2000000000000011</v>
      </c>
      <c r="D10">
        <v>-20</v>
      </c>
      <c r="F10" s="6">
        <f t="shared" si="0"/>
        <v>10.240000000000007</v>
      </c>
      <c r="I10" s="6">
        <f t="shared" si="1"/>
        <v>-32.768000000000036</v>
      </c>
      <c r="L10" s="6">
        <f t="shared" si="2"/>
        <v>104.85760000000015</v>
      </c>
      <c r="S10">
        <f>100*103*105</f>
        <v>1081500</v>
      </c>
      <c r="T10">
        <f>99*100*105*107</f>
        <v>111226500</v>
      </c>
    </row>
    <row r="11" spans="1:20" x14ac:dyDescent="0.25">
      <c r="A11" s="9">
        <v>-9.1999999999999993</v>
      </c>
      <c r="B11">
        <v>-6.1</v>
      </c>
      <c r="C11" s="6">
        <f t="shared" si="3"/>
        <v>-3.0999999999999996</v>
      </c>
      <c r="D11">
        <v>-20</v>
      </c>
      <c r="F11" s="6">
        <f t="shared" si="0"/>
        <v>9.6099999999999977</v>
      </c>
      <c r="I11" s="6">
        <f t="shared" si="1"/>
        <v>-29.79099999999999</v>
      </c>
      <c r="L11" s="6">
        <f t="shared" si="2"/>
        <v>92.35209999999995</v>
      </c>
    </row>
    <row r="12" spans="1:20" x14ac:dyDescent="0.25">
      <c r="A12" s="9">
        <v>-9.1999999999999993</v>
      </c>
      <c r="B12">
        <v>-6.1</v>
      </c>
      <c r="C12" s="6">
        <f t="shared" si="3"/>
        <v>-3.0999999999999996</v>
      </c>
      <c r="D12">
        <v>-20</v>
      </c>
      <c r="F12" s="6">
        <f t="shared" si="0"/>
        <v>9.6099999999999977</v>
      </c>
      <c r="I12" s="6">
        <f t="shared" si="1"/>
        <v>-29.79099999999999</v>
      </c>
      <c r="L12" s="6">
        <f t="shared" si="2"/>
        <v>92.35209999999995</v>
      </c>
    </row>
    <row r="13" spans="1:20" x14ac:dyDescent="0.25">
      <c r="A13" s="26">
        <v>-9</v>
      </c>
      <c r="B13">
        <v>-6.1</v>
      </c>
      <c r="C13" s="6">
        <f t="shared" si="3"/>
        <v>-2.9000000000000004</v>
      </c>
      <c r="D13">
        <v>-20</v>
      </c>
      <c r="F13" s="6">
        <f t="shared" si="0"/>
        <v>8.4100000000000019</v>
      </c>
      <c r="I13" s="6">
        <f t="shared" si="1"/>
        <v>-24.38900000000001</v>
      </c>
      <c r="L13" s="6">
        <f t="shared" si="2"/>
        <v>70.728100000000026</v>
      </c>
    </row>
    <row r="14" spans="1:20" x14ac:dyDescent="0.25">
      <c r="A14" s="26">
        <v>-9</v>
      </c>
      <c r="B14">
        <v>-6.1</v>
      </c>
      <c r="C14" s="6">
        <f t="shared" si="3"/>
        <v>-2.9000000000000004</v>
      </c>
      <c r="D14">
        <v>-20</v>
      </c>
      <c r="F14" s="6">
        <f t="shared" si="0"/>
        <v>8.4100000000000019</v>
      </c>
      <c r="I14" s="6">
        <f t="shared" si="1"/>
        <v>-24.38900000000001</v>
      </c>
      <c r="L14" s="6">
        <f t="shared" si="2"/>
        <v>70.728100000000026</v>
      </c>
    </row>
    <row r="15" spans="1:20" x14ac:dyDescent="0.25">
      <c r="A15" s="26">
        <v>-8.9</v>
      </c>
      <c r="B15">
        <v>-6.1</v>
      </c>
      <c r="C15" s="6">
        <f t="shared" si="3"/>
        <v>-2.8000000000000007</v>
      </c>
      <c r="D15">
        <v>-20</v>
      </c>
      <c r="F15" s="6">
        <f t="shared" si="0"/>
        <v>7.8400000000000043</v>
      </c>
      <c r="I15" s="6">
        <f t="shared" si="1"/>
        <v>-21.952000000000016</v>
      </c>
      <c r="L15" s="6">
        <f t="shared" si="2"/>
        <v>61.465600000000066</v>
      </c>
    </row>
    <row r="16" spans="1:20" x14ac:dyDescent="0.25">
      <c r="A16" s="26">
        <v>-8.9</v>
      </c>
      <c r="B16">
        <v>-6.1</v>
      </c>
      <c r="C16" s="6">
        <f t="shared" si="3"/>
        <v>-2.8000000000000007</v>
      </c>
      <c r="D16">
        <v>-20</v>
      </c>
      <c r="F16" s="6">
        <f t="shared" si="0"/>
        <v>7.8400000000000043</v>
      </c>
      <c r="I16" s="6">
        <f t="shared" si="1"/>
        <v>-21.952000000000016</v>
      </c>
      <c r="L16" s="6">
        <f t="shared" si="2"/>
        <v>61.465600000000066</v>
      </c>
    </row>
    <row r="17" spans="1:18" x14ac:dyDescent="0.25">
      <c r="A17" s="27">
        <v>-8.8000000000000007</v>
      </c>
      <c r="B17">
        <v>-6.1</v>
      </c>
      <c r="C17" s="6">
        <f t="shared" si="3"/>
        <v>-2.7000000000000011</v>
      </c>
      <c r="D17">
        <v>-20</v>
      </c>
      <c r="F17" s="6">
        <f t="shared" si="0"/>
        <v>7.2900000000000054</v>
      </c>
      <c r="I17" s="6">
        <f t="shared" si="1"/>
        <v>-19.683000000000021</v>
      </c>
      <c r="L17" s="6">
        <f t="shared" si="2"/>
        <v>53.14410000000008</v>
      </c>
    </row>
    <row r="18" spans="1:18" x14ac:dyDescent="0.25">
      <c r="A18" s="26">
        <v>-8.6999999999999993</v>
      </c>
      <c r="B18">
        <v>-6.1</v>
      </c>
      <c r="C18" s="6">
        <f t="shared" si="3"/>
        <v>-2.5999999999999996</v>
      </c>
      <c r="D18">
        <v>-20</v>
      </c>
      <c r="F18" s="6">
        <f t="shared" si="0"/>
        <v>6.759999999999998</v>
      </c>
      <c r="I18" s="6">
        <f t="shared" si="1"/>
        <v>-17.575999999999993</v>
      </c>
      <c r="L18" s="6">
        <f t="shared" si="2"/>
        <v>45.697599999999973</v>
      </c>
      <c r="N18" s="31" t="s">
        <v>43</v>
      </c>
      <c r="O18" s="31" t="s">
        <v>44</v>
      </c>
      <c r="Q18" s="31" t="s">
        <v>45</v>
      </c>
      <c r="R18" s="31" t="s">
        <v>46</v>
      </c>
    </row>
    <row r="19" spans="1:18" x14ac:dyDescent="0.25">
      <c r="A19" s="26">
        <v>-8.6999999999999993</v>
      </c>
      <c r="B19">
        <v>-6.1</v>
      </c>
      <c r="C19" s="6">
        <f t="shared" si="3"/>
        <v>-2.5999999999999996</v>
      </c>
      <c r="D19">
        <v>-20</v>
      </c>
      <c r="F19" s="6">
        <f t="shared" si="0"/>
        <v>6.759999999999998</v>
      </c>
      <c r="I19" s="6">
        <f t="shared" si="1"/>
        <v>-17.575999999999993</v>
      </c>
      <c r="L19" s="6">
        <f t="shared" si="2"/>
        <v>45.697599999999973</v>
      </c>
      <c r="N19" s="31">
        <v>9.9510000000000001E-2</v>
      </c>
      <c r="O19" s="31">
        <f>3*S6</f>
        <v>0.71720678718864561</v>
      </c>
      <c r="Q19" s="31">
        <v>2.294638</v>
      </c>
      <c r="R19" s="31">
        <f>5*T6</f>
        <v>2.3691521315077293</v>
      </c>
    </row>
    <row r="20" spans="1:18" x14ac:dyDescent="0.25">
      <c r="A20" s="27">
        <v>-8.6999999999999993</v>
      </c>
      <c r="B20">
        <v>-6.1</v>
      </c>
      <c r="C20" s="6">
        <f t="shared" si="3"/>
        <v>-2.5999999999999996</v>
      </c>
      <c r="D20">
        <v>-20</v>
      </c>
      <c r="F20" s="6">
        <f t="shared" si="0"/>
        <v>6.759999999999998</v>
      </c>
      <c r="I20" s="6">
        <f t="shared" si="1"/>
        <v>-17.575999999999993</v>
      </c>
      <c r="L20" s="6">
        <f t="shared" si="2"/>
        <v>45.697599999999973</v>
      </c>
    </row>
    <row r="21" spans="1:18" x14ac:dyDescent="0.25">
      <c r="A21" s="27">
        <v>-8.6999999999999993</v>
      </c>
      <c r="B21">
        <v>-6.1</v>
      </c>
      <c r="C21" s="6">
        <f t="shared" si="3"/>
        <v>-2.5999999999999996</v>
      </c>
      <c r="D21">
        <v>-20</v>
      </c>
      <c r="F21" s="6">
        <f t="shared" si="0"/>
        <v>6.759999999999998</v>
      </c>
      <c r="I21" s="6">
        <f t="shared" si="1"/>
        <v>-17.575999999999993</v>
      </c>
      <c r="L21" s="6">
        <f t="shared" si="2"/>
        <v>45.697599999999973</v>
      </c>
      <c r="N21" s="30" t="s">
        <v>48</v>
      </c>
      <c r="O21" s="30" t="s">
        <v>49</v>
      </c>
      <c r="P21" s="30" t="s">
        <v>50</v>
      </c>
      <c r="Q21" s="30" t="s">
        <v>51</v>
      </c>
    </row>
    <row r="22" spans="1:18" x14ac:dyDescent="0.25">
      <c r="A22" s="26">
        <v>-8.6</v>
      </c>
      <c r="B22">
        <v>-6.1</v>
      </c>
      <c r="C22" s="6">
        <f t="shared" si="3"/>
        <v>-2.5</v>
      </c>
      <c r="D22">
        <v>-20</v>
      </c>
      <c r="F22" s="6">
        <f t="shared" si="0"/>
        <v>6.25</v>
      </c>
      <c r="I22" s="6">
        <f t="shared" si="1"/>
        <v>-15.625</v>
      </c>
      <c r="L22" s="6">
        <f t="shared" si="2"/>
        <v>39.0625</v>
      </c>
    </row>
    <row r="23" spans="1:18" x14ac:dyDescent="0.25">
      <c r="A23" s="26">
        <v>-8.6</v>
      </c>
      <c r="B23">
        <v>-6.1</v>
      </c>
      <c r="C23" s="6">
        <f t="shared" si="3"/>
        <v>-2.5</v>
      </c>
      <c r="D23">
        <v>-20</v>
      </c>
      <c r="F23" s="6">
        <f t="shared" si="0"/>
        <v>6.25</v>
      </c>
      <c r="I23" s="6">
        <f t="shared" si="1"/>
        <v>-15.625</v>
      </c>
      <c r="L23" s="6">
        <f t="shared" si="2"/>
        <v>39.0625</v>
      </c>
    </row>
    <row r="24" spans="1:18" x14ac:dyDescent="0.25">
      <c r="A24" s="26">
        <v>-8.6</v>
      </c>
      <c r="B24">
        <v>-6.1</v>
      </c>
      <c r="C24" s="6">
        <f t="shared" si="3"/>
        <v>-2.5</v>
      </c>
      <c r="D24">
        <v>-20</v>
      </c>
      <c r="F24" s="6">
        <f t="shared" si="0"/>
        <v>6.25</v>
      </c>
      <c r="I24" s="6">
        <f t="shared" si="1"/>
        <v>-15.625</v>
      </c>
      <c r="L24" s="6">
        <f t="shared" si="2"/>
        <v>39.0625</v>
      </c>
    </row>
    <row r="25" spans="1:18" x14ac:dyDescent="0.25">
      <c r="A25" s="27">
        <v>-8.6</v>
      </c>
      <c r="B25">
        <v>-6.1</v>
      </c>
      <c r="C25" s="6">
        <f t="shared" si="3"/>
        <v>-2.5</v>
      </c>
      <c r="D25">
        <v>-20</v>
      </c>
      <c r="F25" s="6">
        <f t="shared" si="0"/>
        <v>6.25</v>
      </c>
      <c r="I25" s="6">
        <f t="shared" si="1"/>
        <v>-15.625</v>
      </c>
      <c r="L25" s="6">
        <f t="shared" si="2"/>
        <v>39.0625</v>
      </c>
    </row>
    <row r="26" spans="1:18" x14ac:dyDescent="0.25">
      <c r="A26" s="11">
        <v>-8.5</v>
      </c>
      <c r="B26">
        <v>-6.1</v>
      </c>
      <c r="C26" s="6">
        <f t="shared" si="3"/>
        <v>-2.4000000000000004</v>
      </c>
      <c r="D26">
        <v>-20</v>
      </c>
      <c r="F26" s="6">
        <f t="shared" si="0"/>
        <v>5.7600000000000016</v>
      </c>
      <c r="I26" s="6">
        <f t="shared" si="1"/>
        <v>-13.824000000000005</v>
      </c>
      <c r="L26" s="6">
        <f t="shared" si="2"/>
        <v>33.17760000000002</v>
      </c>
    </row>
    <row r="27" spans="1:18" x14ac:dyDescent="0.25">
      <c r="A27" s="12">
        <v>-8.5</v>
      </c>
      <c r="B27">
        <v>-6.1</v>
      </c>
      <c r="C27" s="6">
        <f t="shared" si="3"/>
        <v>-2.4000000000000004</v>
      </c>
      <c r="D27">
        <v>-20</v>
      </c>
      <c r="F27" s="6">
        <f t="shared" si="0"/>
        <v>5.7600000000000016</v>
      </c>
      <c r="I27" s="6">
        <f t="shared" si="1"/>
        <v>-13.824000000000005</v>
      </c>
      <c r="L27" s="6">
        <f t="shared" si="2"/>
        <v>33.17760000000002</v>
      </c>
    </row>
    <row r="28" spans="1:18" x14ac:dyDescent="0.25">
      <c r="A28" s="11">
        <v>-8.4</v>
      </c>
      <c r="B28">
        <v>-6.1</v>
      </c>
      <c r="C28" s="6">
        <f t="shared" si="3"/>
        <v>-2.3000000000000007</v>
      </c>
      <c r="D28">
        <v>-20</v>
      </c>
      <c r="F28" s="6">
        <f t="shared" si="0"/>
        <v>5.2900000000000036</v>
      </c>
      <c r="I28" s="6">
        <f t="shared" si="1"/>
        <v>-12.167000000000012</v>
      </c>
      <c r="L28" s="6">
        <f t="shared" si="2"/>
        <v>27.984100000000037</v>
      </c>
    </row>
    <row r="29" spans="1:18" x14ac:dyDescent="0.25">
      <c r="A29" s="11">
        <v>-8.4</v>
      </c>
      <c r="B29">
        <v>-6.1</v>
      </c>
      <c r="C29" s="6">
        <f t="shared" si="3"/>
        <v>-2.3000000000000007</v>
      </c>
      <c r="D29">
        <v>-20</v>
      </c>
      <c r="F29" s="6">
        <f t="shared" si="0"/>
        <v>5.2900000000000036</v>
      </c>
      <c r="I29" s="6">
        <f t="shared" si="1"/>
        <v>-12.167000000000012</v>
      </c>
      <c r="L29" s="6">
        <f t="shared" si="2"/>
        <v>27.984100000000037</v>
      </c>
    </row>
    <row r="30" spans="1:18" x14ac:dyDescent="0.25">
      <c r="A30" s="11">
        <v>-8.1999999999999993</v>
      </c>
      <c r="B30">
        <v>-6.1</v>
      </c>
      <c r="C30" s="6">
        <f t="shared" si="3"/>
        <v>-2.0999999999999996</v>
      </c>
      <c r="D30">
        <v>-20</v>
      </c>
      <c r="F30" s="6">
        <f t="shared" si="0"/>
        <v>4.4099999999999984</v>
      </c>
      <c r="I30" s="6">
        <f t="shared" si="1"/>
        <v>-9.2609999999999957</v>
      </c>
      <c r="L30" s="6">
        <f t="shared" si="2"/>
        <v>19.448099999999986</v>
      </c>
    </row>
    <row r="31" spans="1:18" x14ac:dyDescent="0.25">
      <c r="A31" s="11">
        <v>-8.1</v>
      </c>
      <c r="B31">
        <v>-6.1</v>
      </c>
      <c r="C31" s="6">
        <f t="shared" si="3"/>
        <v>-2</v>
      </c>
      <c r="D31">
        <v>-20</v>
      </c>
      <c r="F31" s="6">
        <f t="shared" si="0"/>
        <v>4</v>
      </c>
      <c r="I31" s="6">
        <f t="shared" si="1"/>
        <v>-8</v>
      </c>
      <c r="L31" s="6">
        <f t="shared" si="2"/>
        <v>16</v>
      </c>
    </row>
    <row r="32" spans="1:18" x14ac:dyDescent="0.25">
      <c r="A32" s="11">
        <v>-8.1</v>
      </c>
      <c r="B32">
        <v>-6.1</v>
      </c>
      <c r="C32" s="6">
        <f t="shared" si="3"/>
        <v>-2</v>
      </c>
      <c r="D32">
        <v>-20</v>
      </c>
      <c r="F32" s="6">
        <f t="shared" si="0"/>
        <v>4</v>
      </c>
      <c r="I32" s="6">
        <f t="shared" si="1"/>
        <v>-8</v>
      </c>
      <c r="L32" s="6">
        <f t="shared" si="2"/>
        <v>16</v>
      </c>
    </row>
    <row r="33" spans="1:12" x14ac:dyDescent="0.25">
      <c r="A33" s="12">
        <v>-8.1</v>
      </c>
      <c r="B33">
        <v>-6.1</v>
      </c>
      <c r="C33" s="6">
        <f t="shared" si="3"/>
        <v>-2</v>
      </c>
      <c r="D33">
        <v>-20</v>
      </c>
      <c r="F33" s="6">
        <f t="shared" si="0"/>
        <v>4</v>
      </c>
      <c r="I33" s="6">
        <f t="shared" si="1"/>
        <v>-8</v>
      </c>
      <c r="L33" s="6">
        <f t="shared" si="2"/>
        <v>16</v>
      </c>
    </row>
    <row r="34" spans="1:12" x14ac:dyDescent="0.25">
      <c r="A34" s="11">
        <v>-7.8</v>
      </c>
      <c r="B34">
        <v>-6.1</v>
      </c>
      <c r="C34" s="6">
        <f t="shared" si="3"/>
        <v>-1.7000000000000002</v>
      </c>
      <c r="D34">
        <v>-20</v>
      </c>
      <c r="F34" s="6">
        <f t="shared" si="0"/>
        <v>2.8900000000000006</v>
      </c>
      <c r="I34" s="6">
        <f t="shared" si="1"/>
        <v>-4.9130000000000011</v>
      </c>
      <c r="L34" s="6">
        <f t="shared" si="2"/>
        <v>8.3521000000000036</v>
      </c>
    </row>
    <row r="35" spans="1:12" x14ac:dyDescent="0.25">
      <c r="A35" s="13">
        <v>-7.8</v>
      </c>
      <c r="B35">
        <v>-6.1</v>
      </c>
      <c r="C35" s="6">
        <f t="shared" si="3"/>
        <v>-1.7000000000000002</v>
      </c>
      <c r="D35">
        <v>-20</v>
      </c>
      <c r="F35" s="6">
        <f t="shared" si="0"/>
        <v>2.8900000000000006</v>
      </c>
      <c r="I35" s="6">
        <f t="shared" si="1"/>
        <v>-4.9130000000000011</v>
      </c>
      <c r="L35" s="6">
        <f t="shared" si="2"/>
        <v>8.3521000000000036</v>
      </c>
    </row>
    <row r="36" spans="1:12" x14ac:dyDescent="0.25">
      <c r="A36" s="13">
        <v>-7.8</v>
      </c>
      <c r="B36">
        <v>-6.1</v>
      </c>
      <c r="C36" s="6">
        <f t="shared" si="3"/>
        <v>-1.7000000000000002</v>
      </c>
      <c r="D36">
        <v>-20</v>
      </c>
      <c r="F36" s="6">
        <f t="shared" si="0"/>
        <v>2.8900000000000006</v>
      </c>
      <c r="I36" s="6">
        <f t="shared" si="1"/>
        <v>-4.9130000000000011</v>
      </c>
      <c r="L36" s="6">
        <f t="shared" si="2"/>
        <v>8.3521000000000036</v>
      </c>
    </row>
    <row r="37" spans="1:12" x14ac:dyDescent="0.25">
      <c r="A37" s="12">
        <v>-7.7</v>
      </c>
      <c r="B37">
        <v>-6.1</v>
      </c>
      <c r="C37" s="6">
        <f t="shared" si="3"/>
        <v>-1.6000000000000005</v>
      </c>
      <c r="D37">
        <v>-20</v>
      </c>
      <c r="F37" s="6">
        <f t="shared" si="0"/>
        <v>2.5600000000000018</v>
      </c>
      <c r="I37" s="6">
        <f t="shared" si="1"/>
        <v>-4.0960000000000045</v>
      </c>
      <c r="L37" s="6">
        <f t="shared" si="2"/>
        <v>6.5536000000000092</v>
      </c>
    </row>
    <row r="38" spans="1:12" x14ac:dyDescent="0.25">
      <c r="A38" s="11">
        <v>-7.6</v>
      </c>
      <c r="B38">
        <v>-6.1</v>
      </c>
      <c r="C38" s="6">
        <f t="shared" si="3"/>
        <v>-1.5</v>
      </c>
      <c r="D38">
        <v>-20</v>
      </c>
      <c r="F38" s="6">
        <f t="shared" ref="F38:F69" si="4">C38^2</f>
        <v>2.25</v>
      </c>
      <c r="I38" s="6">
        <f t="shared" ref="I38:I69" si="5">C38^3</f>
        <v>-3.375</v>
      </c>
      <c r="L38" s="6">
        <f t="shared" ref="L38:L69" si="6">C38^4</f>
        <v>5.0625</v>
      </c>
    </row>
    <row r="39" spans="1:12" x14ac:dyDescent="0.25">
      <c r="A39" s="11">
        <v>-7.5</v>
      </c>
      <c r="B39">
        <v>-6.1</v>
      </c>
      <c r="C39" s="6">
        <f t="shared" si="3"/>
        <v>-1.4000000000000004</v>
      </c>
      <c r="D39">
        <v>-20</v>
      </c>
      <c r="F39" s="6">
        <f t="shared" si="4"/>
        <v>1.9600000000000011</v>
      </c>
      <c r="I39" s="6">
        <f t="shared" si="5"/>
        <v>-2.744000000000002</v>
      </c>
      <c r="L39" s="6">
        <f t="shared" si="6"/>
        <v>3.8416000000000041</v>
      </c>
    </row>
    <row r="40" spans="1:12" x14ac:dyDescent="0.25">
      <c r="A40" s="15">
        <v>-7.4</v>
      </c>
      <c r="B40">
        <v>-6.1</v>
      </c>
      <c r="C40" s="6">
        <f t="shared" si="3"/>
        <v>-1.3000000000000007</v>
      </c>
      <c r="D40">
        <v>-20</v>
      </c>
      <c r="F40" s="6">
        <f t="shared" si="4"/>
        <v>1.6900000000000019</v>
      </c>
      <c r="I40" s="6">
        <f t="shared" si="5"/>
        <v>-2.1970000000000036</v>
      </c>
      <c r="L40" s="6">
        <f t="shared" si="6"/>
        <v>2.8561000000000067</v>
      </c>
    </row>
    <row r="41" spans="1:12" x14ac:dyDescent="0.25">
      <c r="A41" s="15">
        <v>-7.4</v>
      </c>
      <c r="B41">
        <v>-6.1</v>
      </c>
      <c r="C41" s="6">
        <f t="shared" si="3"/>
        <v>-1.3000000000000007</v>
      </c>
      <c r="D41">
        <v>-20</v>
      </c>
      <c r="F41" s="6">
        <f t="shared" si="4"/>
        <v>1.6900000000000019</v>
      </c>
      <c r="I41" s="6">
        <f t="shared" si="5"/>
        <v>-2.1970000000000036</v>
      </c>
      <c r="L41" s="6">
        <f t="shared" si="6"/>
        <v>2.8561000000000067</v>
      </c>
    </row>
    <row r="42" spans="1:12" x14ac:dyDescent="0.25">
      <c r="A42" s="14">
        <v>-7.4</v>
      </c>
      <c r="B42">
        <v>-6.1</v>
      </c>
      <c r="C42" s="6">
        <f t="shared" si="3"/>
        <v>-1.3000000000000007</v>
      </c>
      <c r="D42">
        <v>-20</v>
      </c>
      <c r="F42" s="6">
        <f t="shared" si="4"/>
        <v>1.6900000000000019</v>
      </c>
      <c r="I42" s="6">
        <f t="shared" si="5"/>
        <v>-2.1970000000000036</v>
      </c>
      <c r="L42" s="6">
        <f t="shared" si="6"/>
        <v>2.8561000000000067</v>
      </c>
    </row>
    <row r="43" spans="1:12" x14ac:dyDescent="0.25">
      <c r="A43" s="14">
        <v>-7.3</v>
      </c>
      <c r="B43">
        <v>-6.1</v>
      </c>
      <c r="C43" s="6">
        <f t="shared" si="3"/>
        <v>-1.2000000000000002</v>
      </c>
      <c r="D43">
        <v>-20</v>
      </c>
      <c r="F43" s="6">
        <f t="shared" si="4"/>
        <v>1.4400000000000004</v>
      </c>
      <c r="I43" s="6">
        <f t="shared" si="5"/>
        <v>-1.7280000000000006</v>
      </c>
      <c r="L43" s="6">
        <f t="shared" si="6"/>
        <v>2.0736000000000012</v>
      </c>
    </row>
    <row r="44" spans="1:12" x14ac:dyDescent="0.25">
      <c r="A44" s="15">
        <v>-7.2</v>
      </c>
      <c r="B44">
        <v>-6.1</v>
      </c>
      <c r="C44" s="6">
        <f t="shared" si="3"/>
        <v>-1.1000000000000005</v>
      </c>
      <c r="D44">
        <v>-20</v>
      </c>
      <c r="F44" s="6">
        <f t="shared" si="4"/>
        <v>1.2100000000000011</v>
      </c>
      <c r="I44" s="6">
        <f t="shared" si="5"/>
        <v>-1.3310000000000017</v>
      </c>
      <c r="L44" s="6">
        <f t="shared" si="6"/>
        <v>1.4641000000000026</v>
      </c>
    </row>
    <row r="45" spans="1:12" x14ac:dyDescent="0.25">
      <c r="A45" s="15">
        <v>-7.2</v>
      </c>
      <c r="B45">
        <v>-6.1</v>
      </c>
      <c r="C45" s="6">
        <f t="shared" si="3"/>
        <v>-1.1000000000000005</v>
      </c>
      <c r="D45">
        <v>-20</v>
      </c>
      <c r="F45" s="6">
        <f t="shared" si="4"/>
        <v>1.2100000000000011</v>
      </c>
      <c r="I45" s="6">
        <f t="shared" si="5"/>
        <v>-1.3310000000000017</v>
      </c>
      <c r="L45" s="6">
        <f t="shared" si="6"/>
        <v>1.4641000000000026</v>
      </c>
    </row>
    <row r="46" spans="1:12" x14ac:dyDescent="0.25">
      <c r="A46" s="14">
        <v>-7.2</v>
      </c>
      <c r="B46">
        <v>-6.1</v>
      </c>
      <c r="C46" s="6">
        <f t="shared" si="3"/>
        <v>-1.1000000000000005</v>
      </c>
      <c r="D46">
        <v>-20</v>
      </c>
      <c r="F46" s="6">
        <f t="shared" si="4"/>
        <v>1.2100000000000011</v>
      </c>
      <c r="I46" s="6">
        <f t="shared" si="5"/>
        <v>-1.3310000000000017</v>
      </c>
      <c r="L46" s="6">
        <f t="shared" si="6"/>
        <v>1.4641000000000026</v>
      </c>
    </row>
    <row r="47" spans="1:12" x14ac:dyDescent="0.25">
      <c r="A47" s="16">
        <v>-7.2</v>
      </c>
      <c r="B47">
        <v>-6.1</v>
      </c>
      <c r="C47" s="6">
        <f t="shared" si="3"/>
        <v>-1.1000000000000005</v>
      </c>
      <c r="D47">
        <v>-20</v>
      </c>
      <c r="F47" s="6">
        <f t="shared" si="4"/>
        <v>1.2100000000000011</v>
      </c>
      <c r="I47" s="6">
        <f t="shared" si="5"/>
        <v>-1.3310000000000017</v>
      </c>
      <c r="L47" s="6">
        <f t="shared" si="6"/>
        <v>1.4641000000000026</v>
      </c>
    </row>
    <row r="48" spans="1:12" x14ac:dyDescent="0.25">
      <c r="A48" s="15">
        <v>-7.1</v>
      </c>
      <c r="B48">
        <v>-6.1</v>
      </c>
      <c r="C48" s="6">
        <f t="shared" si="3"/>
        <v>-1</v>
      </c>
      <c r="D48">
        <v>-20</v>
      </c>
      <c r="F48" s="6">
        <f t="shared" si="4"/>
        <v>1</v>
      </c>
      <c r="I48" s="6">
        <f t="shared" si="5"/>
        <v>-1</v>
      </c>
      <c r="L48" s="6">
        <f t="shared" si="6"/>
        <v>1</v>
      </c>
    </row>
    <row r="49" spans="1:12" x14ac:dyDescent="0.25">
      <c r="A49" s="14">
        <v>-7</v>
      </c>
      <c r="B49">
        <v>-6.1</v>
      </c>
      <c r="C49" s="6">
        <f t="shared" si="3"/>
        <v>-0.90000000000000036</v>
      </c>
      <c r="D49">
        <v>-20</v>
      </c>
      <c r="F49" s="6">
        <f t="shared" si="4"/>
        <v>0.81000000000000061</v>
      </c>
      <c r="I49" s="6">
        <f t="shared" si="5"/>
        <v>-0.72900000000000087</v>
      </c>
      <c r="L49" s="6">
        <f t="shared" si="6"/>
        <v>0.65610000000000102</v>
      </c>
    </row>
    <row r="50" spans="1:12" x14ac:dyDescent="0.25">
      <c r="A50" s="15">
        <v>-6.9</v>
      </c>
      <c r="B50">
        <v>-6.1</v>
      </c>
      <c r="C50" s="6">
        <f t="shared" si="3"/>
        <v>-0.80000000000000071</v>
      </c>
      <c r="D50">
        <v>-20</v>
      </c>
      <c r="F50" s="6">
        <f t="shared" si="4"/>
        <v>0.64000000000000112</v>
      </c>
      <c r="I50" s="6">
        <f t="shared" si="5"/>
        <v>-0.51200000000000134</v>
      </c>
      <c r="L50" s="6">
        <f t="shared" si="6"/>
        <v>0.40960000000000146</v>
      </c>
    </row>
    <row r="51" spans="1:12" x14ac:dyDescent="0.25">
      <c r="A51" s="15">
        <v>-6.8</v>
      </c>
      <c r="B51">
        <v>-6.1</v>
      </c>
      <c r="C51" s="6">
        <f t="shared" si="3"/>
        <v>-0.70000000000000018</v>
      </c>
      <c r="D51">
        <v>-20</v>
      </c>
      <c r="F51" s="6">
        <f t="shared" si="4"/>
        <v>0.49000000000000027</v>
      </c>
      <c r="I51" s="6">
        <f t="shared" si="5"/>
        <v>-0.34300000000000025</v>
      </c>
      <c r="L51" s="6">
        <f t="shared" si="6"/>
        <v>0.24010000000000026</v>
      </c>
    </row>
    <row r="52" spans="1:12" x14ac:dyDescent="0.25">
      <c r="A52" s="15">
        <v>-6.7</v>
      </c>
      <c r="B52">
        <v>-6.1</v>
      </c>
      <c r="C52" s="6">
        <f t="shared" si="3"/>
        <v>-0.60000000000000053</v>
      </c>
      <c r="D52">
        <v>-20</v>
      </c>
      <c r="F52" s="6">
        <f t="shared" si="4"/>
        <v>0.36000000000000065</v>
      </c>
      <c r="I52" s="6">
        <f t="shared" si="5"/>
        <v>-0.21600000000000058</v>
      </c>
      <c r="L52" s="6">
        <f t="shared" si="6"/>
        <v>0.12960000000000046</v>
      </c>
    </row>
    <row r="53" spans="1:12" x14ac:dyDescent="0.25">
      <c r="A53" s="15">
        <v>-6.7</v>
      </c>
      <c r="B53">
        <v>-6.1</v>
      </c>
      <c r="C53" s="6">
        <f t="shared" si="3"/>
        <v>-0.60000000000000053</v>
      </c>
      <c r="D53">
        <v>-20</v>
      </c>
      <c r="F53" s="6">
        <f t="shared" si="4"/>
        <v>0.36000000000000065</v>
      </c>
      <c r="I53" s="6">
        <f t="shared" si="5"/>
        <v>-0.21600000000000058</v>
      </c>
      <c r="L53" s="6">
        <f t="shared" si="6"/>
        <v>0.12960000000000046</v>
      </c>
    </row>
    <row r="54" spans="1:12" x14ac:dyDescent="0.25">
      <c r="A54" s="15">
        <v>-6.6</v>
      </c>
      <c r="B54">
        <v>-6.1</v>
      </c>
      <c r="C54" s="6">
        <f t="shared" si="3"/>
        <v>-0.5</v>
      </c>
      <c r="D54">
        <v>-20</v>
      </c>
      <c r="F54" s="6">
        <f t="shared" si="4"/>
        <v>0.25</v>
      </c>
      <c r="I54" s="6">
        <f t="shared" si="5"/>
        <v>-0.125</v>
      </c>
      <c r="L54" s="6">
        <f t="shared" si="6"/>
        <v>6.25E-2</v>
      </c>
    </row>
    <row r="55" spans="1:12" x14ac:dyDescent="0.25">
      <c r="A55" s="15">
        <v>-6.6</v>
      </c>
      <c r="B55">
        <v>-6.1</v>
      </c>
      <c r="C55" s="6">
        <f t="shared" si="3"/>
        <v>-0.5</v>
      </c>
      <c r="D55">
        <v>-20</v>
      </c>
      <c r="F55" s="6">
        <f t="shared" si="4"/>
        <v>0.25</v>
      </c>
      <c r="I55" s="6">
        <f t="shared" si="5"/>
        <v>-0.125</v>
      </c>
      <c r="L55" s="6">
        <f t="shared" si="6"/>
        <v>6.25E-2</v>
      </c>
    </row>
    <row r="56" spans="1:12" x14ac:dyDescent="0.25">
      <c r="A56" s="17">
        <v>-6.5</v>
      </c>
      <c r="B56">
        <v>-6.1</v>
      </c>
      <c r="C56" s="6">
        <f t="shared" si="3"/>
        <v>-0.40000000000000036</v>
      </c>
      <c r="D56">
        <v>-20</v>
      </c>
      <c r="F56" s="6">
        <f t="shared" si="4"/>
        <v>0.16000000000000028</v>
      </c>
      <c r="I56" s="6">
        <f t="shared" si="5"/>
        <v>-6.4000000000000168E-2</v>
      </c>
      <c r="L56" s="6">
        <f t="shared" si="6"/>
        <v>2.5600000000000091E-2</v>
      </c>
    </row>
    <row r="57" spans="1:12" x14ac:dyDescent="0.25">
      <c r="A57" s="17">
        <v>-6.5</v>
      </c>
      <c r="B57">
        <v>-6.1</v>
      </c>
      <c r="C57" s="6">
        <f t="shared" si="3"/>
        <v>-0.40000000000000036</v>
      </c>
      <c r="D57">
        <v>-20</v>
      </c>
      <c r="F57" s="6">
        <f t="shared" si="4"/>
        <v>0.16000000000000028</v>
      </c>
      <c r="I57" s="6">
        <f t="shared" si="5"/>
        <v>-6.4000000000000168E-2</v>
      </c>
      <c r="L57" s="6">
        <f t="shared" si="6"/>
        <v>2.5600000000000091E-2</v>
      </c>
    </row>
    <row r="58" spans="1:12" x14ac:dyDescent="0.25">
      <c r="A58" s="17">
        <v>-6.3</v>
      </c>
      <c r="B58">
        <v>-6.1</v>
      </c>
      <c r="C58" s="6">
        <f t="shared" si="3"/>
        <v>-0.20000000000000018</v>
      </c>
      <c r="D58">
        <v>-20</v>
      </c>
      <c r="F58" s="6">
        <f t="shared" si="4"/>
        <v>4.000000000000007E-2</v>
      </c>
      <c r="I58" s="6">
        <f t="shared" si="5"/>
        <v>-8.000000000000021E-3</v>
      </c>
      <c r="L58" s="6">
        <f t="shared" si="6"/>
        <v>1.6000000000000057E-3</v>
      </c>
    </row>
    <row r="59" spans="1:12" x14ac:dyDescent="0.25">
      <c r="A59" s="18">
        <v>-6.3</v>
      </c>
      <c r="B59">
        <v>-6.1</v>
      </c>
      <c r="C59" s="6">
        <f t="shared" si="3"/>
        <v>-0.20000000000000018</v>
      </c>
      <c r="D59">
        <v>-20</v>
      </c>
      <c r="F59" s="6">
        <f t="shared" si="4"/>
        <v>4.000000000000007E-2</v>
      </c>
      <c r="I59" s="6">
        <f t="shared" si="5"/>
        <v>-8.000000000000021E-3</v>
      </c>
      <c r="L59" s="6">
        <f t="shared" si="6"/>
        <v>1.6000000000000057E-3</v>
      </c>
    </row>
    <row r="60" spans="1:12" x14ac:dyDescent="0.25">
      <c r="A60" s="17">
        <v>-6.2</v>
      </c>
      <c r="B60">
        <v>-6.1</v>
      </c>
      <c r="C60" s="6">
        <f t="shared" si="3"/>
        <v>-0.10000000000000053</v>
      </c>
      <c r="D60">
        <v>-20</v>
      </c>
      <c r="F60" s="6">
        <f t="shared" si="4"/>
        <v>1.0000000000000106E-2</v>
      </c>
      <c r="I60" s="6">
        <f t="shared" si="5"/>
        <v>-1.0000000000000159E-3</v>
      </c>
      <c r="L60" s="6">
        <f t="shared" si="6"/>
        <v>1.0000000000000212E-4</v>
      </c>
    </row>
    <row r="61" spans="1:12" x14ac:dyDescent="0.25">
      <c r="A61" s="17">
        <v>-6.2</v>
      </c>
      <c r="B61">
        <v>-6.1</v>
      </c>
      <c r="C61" s="6">
        <f t="shared" si="3"/>
        <v>-0.10000000000000053</v>
      </c>
      <c r="D61">
        <v>-20</v>
      </c>
      <c r="F61" s="6">
        <f t="shared" si="4"/>
        <v>1.0000000000000106E-2</v>
      </c>
      <c r="I61" s="6">
        <f t="shared" si="5"/>
        <v>-1.0000000000000159E-3</v>
      </c>
      <c r="L61" s="6">
        <f t="shared" si="6"/>
        <v>1.0000000000000212E-4</v>
      </c>
    </row>
    <row r="62" spans="1:12" x14ac:dyDescent="0.25">
      <c r="A62" s="19">
        <v>-6.2</v>
      </c>
      <c r="B62">
        <v>-6.1</v>
      </c>
      <c r="C62" s="6">
        <f t="shared" si="3"/>
        <v>-0.10000000000000053</v>
      </c>
      <c r="D62">
        <v>-20</v>
      </c>
      <c r="F62" s="6">
        <f t="shared" si="4"/>
        <v>1.0000000000000106E-2</v>
      </c>
      <c r="I62" s="6">
        <f t="shared" si="5"/>
        <v>-1.0000000000000159E-3</v>
      </c>
      <c r="L62" s="6">
        <f t="shared" si="6"/>
        <v>1.0000000000000212E-4</v>
      </c>
    </row>
    <row r="63" spans="1:12" x14ac:dyDescent="0.25">
      <c r="A63" s="19">
        <v>-6.2</v>
      </c>
      <c r="B63">
        <v>-6.1</v>
      </c>
      <c r="C63" s="6">
        <f t="shared" si="3"/>
        <v>-0.10000000000000053</v>
      </c>
      <c r="D63">
        <v>-20</v>
      </c>
      <c r="F63" s="6">
        <f t="shared" si="4"/>
        <v>1.0000000000000106E-2</v>
      </c>
      <c r="I63" s="6">
        <f t="shared" si="5"/>
        <v>-1.0000000000000159E-3</v>
      </c>
      <c r="L63" s="6">
        <f t="shared" si="6"/>
        <v>1.0000000000000212E-4</v>
      </c>
    </row>
    <row r="64" spans="1:12" x14ac:dyDescent="0.25">
      <c r="A64" s="20">
        <v>-5.9</v>
      </c>
      <c r="B64">
        <v>-6.1</v>
      </c>
      <c r="C64" s="6">
        <f t="shared" si="3"/>
        <v>0.19999999999999929</v>
      </c>
      <c r="D64">
        <v>-20</v>
      </c>
      <c r="F64" s="6">
        <f t="shared" si="4"/>
        <v>3.9999999999999716E-2</v>
      </c>
      <c r="I64" s="6">
        <f t="shared" si="5"/>
        <v>7.9999999999999152E-3</v>
      </c>
      <c r="L64" s="6">
        <f t="shared" si="6"/>
        <v>1.5999999999999773E-3</v>
      </c>
    </row>
    <row r="65" spans="1:12" x14ac:dyDescent="0.25">
      <c r="A65" s="17">
        <v>-5.8</v>
      </c>
      <c r="B65">
        <v>-6.1</v>
      </c>
      <c r="C65" s="6">
        <f t="shared" si="3"/>
        <v>0.29999999999999982</v>
      </c>
      <c r="D65">
        <v>-20</v>
      </c>
      <c r="F65" s="6">
        <f t="shared" si="4"/>
        <v>8.99999999999999E-2</v>
      </c>
      <c r="I65" s="6">
        <f t="shared" si="5"/>
        <v>2.6999999999999955E-2</v>
      </c>
      <c r="L65" s="6">
        <f t="shared" si="6"/>
        <v>8.0999999999999822E-3</v>
      </c>
    </row>
    <row r="66" spans="1:12" x14ac:dyDescent="0.25">
      <c r="A66" s="18">
        <v>-5.8</v>
      </c>
      <c r="B66">
        <v>-6.1</v>
      </c>
      <c r="C66" s="6">
        <f t="shared" si="3"/>
        <v>0.29999999999999982</v>
      </c>
      <c r="D66">
        <v>-20</v>
      </c>
      <c r="F66" s="6">
        <f t="shared" si="4"/>
        <v>8.99999999999999E-2</v>
      </c>
      <c r="I66" s="6">
        <f t="shared" si="5"/>
        <v>2.6999999999999955E-2</v>
      </c>
      <c r="L66" s="6">
        <f t="shared" si="6"/>
        <v>8.0999999999999822E-3</v>
      </c>
    </row>
    <row r="67" spans="1:12" x14ac:dyDescent="0.25">
      <c r="A67" s="17">
        <v>-5.7</v>
      </c>
      <c r="B67">
        <v>-6.1</v>
      </c>
      <c r="C67" s="6">
        <f t="shared" si="3"/>
        <v>0.39999999999999947</v>
      </c>
      <c r="D67">
        <v>-20</v>
      </c>
      <c r="F67" s="6">
        <f t="shared" si="4"/>
        <v>0.15999999999999959</v>
      </c>
      <c r="I67" s="6">
        <f t="shared" si="5"/>
        <v>6.3999999999999752E-2</v>
      </c>
      <c r="L67" s="6">
        <f t="shared" si="6"/>
        <v>2.5599999999999869E-2</v>
      </c>
    </row>
    <row r="68" spans="1:12" x14ac:dyDescent="0.25">
      <c r="A68" s="20">
        <v>-5.6</v>
      </c>
      <c r="B68">
        <v>-6.1</v>
      </c>
      <c r="C68" s="6">
        <f t="shared" si="3"/>
        <v>0.5</v>
      </c>
      <c r="D68">
        <v>-20</v>
      </c>
      <c r="F68" s="6">
        <f t="shared" si="4"/>
        <v>0.25</v>
      </c>
      <c r="I68" s="6">
        <f t="shared" si="5"/>
        <v>0.125</v>
      </c>
      <c r="L68" s="6">
        <f t="shared" si="6"/>
        <v>6.25E-2</v>
      </c>
    </row>
    <row r="69" spans="1:12" x14ac:dyDescent="0.25">
      <c r="A69" s="17">
        <v>-5.5</v>
      </c>
      <c r="B69">
        <v>-6.1</v>
      </c>
      <c r="C69" s="6">
        <f t="shared" si="3"/>
        <v>0.59999999999999964</v>
      </c>
      <c r="D69">
        <v>-20</v>
      </c>
      <c r="F69" s="6">
        <f t="shared" si="4"/>
        <v>0.3599999999999996</v>
      </c>
      <c r="I69" s="6">
        <f t="shared" si="5"/>
        <v>0.21599999999999964</v>
      </c>
      <c r="L69" s="6">
        <f t="shared" si="6"/>
        <v>0.12959999999999972</v>
      </c>
    </row>
    <row r="70" spans="1:12" x14ac:dyDescent="0.25">
      <c r="A70" s="17">
        <v>-5.5</v>
      </c>
      <c r="B70">
        <v>-6.1</v>
      </c>
      <c r="C70" s="6">
        <f t="shared" si="3"/>
        <v>0.59999999999999964</v>
      </c>
      <c r="D70">
        <v>-20</v>
      </c>
      <c r="F70" s="6">
        <f t="shared" ref="F70:F101" si="7">C70^2</f>
        <v>0.3599999999999996</v>
      </c>
      <c r="I70" s="6">
        <f t="shared" ref="I70:I101" si="8">C70^3</f>
        <v>0.21599999999999964</v>
      </c>
      <c r="L70" s="6">
        <f t="shared" ref="L70:L101" si="9">C70^4</f>
        <v>0.12959999999999972</v>
      </c>
    </row>
    <row r="71" spans="1:12" x14ac:dyDescent="0.25">
      <c r="A71" s="18">
        <v>-5.5</v>
      </c>
      <c r="B71">
        <v>-6.1</v>
      </c>
      <c r="C71" s="6">
        <f t="shared" ref="C71:C107" si="10">A71-B71</f>
        <v>0.59999999999999964</v>
      </c>
      <c r="D71">
        <v>-20</v>
      </c>
      <c r="F71" s="6">
        <f t="shared" si="7"/>
        <v>0.3599999999999996</v>
      </c>
      <c r="I71" s="6">
        <f t="shared" si="8"/>
        <v>0.21599999999999964</v>
      </c>
      <c r="L71" s="6">
        <f t="shared" si="9"/>
        <v>0.12959999999999972</v>
      </c>
    </row>
    <row r="72" spans="1:12" x14ac:dyDescent="0.25">
      <c r="A72" s="28">
        <v>-5.4</v>
      </c>
      <c r="B72">
        <v>-6.1</v>
      </c>
      <c r="C72" s="6">
        <f t="shared" si="10"/>
        <v>0.69999999999999929</v>
      </c>
      <c r="D72">
        <v>-20</v>
      </c>
      <c r="F72" s="6">
        <f t="shared" si="7"/>
        <v>0.48999999999999899</v>
      </c>
      <c r="I72" s="6">
        <f t="shared" si="8"/>
        <v>0.34299999999999897</v>
      </c>
      <c r="L72" s="6">
        <f t="shared" si="9"/>
        <v>0.24009999999999901</v>
      </c>
    </row>
    <row r="73" spans="1:12" x14ac:dyDescent="0.25">
      <c r="A73" s="28">
        <v>-5.4</v>
      </c>
      <c r="B73">
        <v>-6.1</v>
      </c>
      <c r="C73" s="6">
        <f t="shared" si="10"/>
        <v>0.69999999999999929</v>
      </c>
      <c r="D73">
        <v>-20</v>
      </c>
      <c r="F73" s="6">
        <f t="shared" si="7"/>
        <v>0.48999999999999899</v>
      </c>
      <c r="I73" s="6">
        <f t="shared" si="8"/>
        <v>0.34299999999999897</v>
      </c>
      <c r="L73" s="6">
        <f t="shared" si="9"/>
        <v>0.24009999999999901</v>
      </c>
    </row>
    <row r="74" spans="1:12" x14ac:dyDescent="0.25">
      <c r="A74" s="28">
        <v>-5.0999999999999996</v>
      </c>
      <c r="B74">
        <v>-6.1</v>
      </c>
      <c r="C74" s="6">
        <f t="shared" si="10"/>
        <v>1</v>
      </c>
      <c r="D74">
        <v>-20</v>
      </c>
      <c r="F74" s="6">
        <f t="shared" si="7"/>
        <v>1</v>
      </c>
      <c r="I74" s="6">
        <f t="shared" si="8"/>
        <v>1</v>
      </c>
      <c r="L74" s="6">
        <f t="shared" si="9"/>
        <v>1</v>
      </c>
    </row>
    <row r="75" spans="1:12" x14ac:dyDescent="0.25">
      <c r="A75" s="28">
        <v>-5.0999999999999996</v>
      </c>
      <c r="B75">
        <v>-6.1</v>
      </c>
      <c r="C75" s="6">
        <f t="shared" si="10"/>
        <v>1</v>
      </c>
      <c r="D75">
        <v>-20</v>
      </c>
      <c r="F75" s="6">
        <f t="shared" si="7"/>
        <v>1</v>
      </c>
      <c r="I75" s="6">
        <f t="shared" si="8"/>
        <v>1</v>
      </c>
      <c r="L75" s="6">
        <f t="shared" si="9"/>
        <v>1</v>
      </c>
    </row>
    <row r="76" spans="1:12" x14ac:dyDescent="0.25">
      <c r="A76" s="28">
        <v>-5.0999999999999996</v>
      </c>
      <c r="B76">
        <v>-6.1</v>
      </c>
      <c r="C76" s="6">
        <f t="shared" si="10"/>
        <v>1</v>
      </c>
      <c r="D76">
        <v>-20</v>
      </c>
      <c r="F76" s="6">
        <f t="shared" si="7"/>
        <v>1</v>
      </c>
      <c r="I76" s="6">
        <f t="shared" si="8"/>
        <v>1</v>
      </c>
      <c r="L76" s="6">
        <f t="shared" si="9"/>
        <v>1</v>
      </c>
    </row>
    <row r="77" spans="1:12" x14ac:dyDescent="0.25">
      <c r="A77" s="29">
        <v>-5.0999999999999996</v>
      </c>
      <c r="B77">
        <v>-6.1</v>
      </c>
      <c r="C77" s="6">
        <f t="shared" si="10"/>
        <v>1</v>
      </c>
      <c r="D77">
        <v>-20</v>
      </c>
      <c r="F77" s="6">
        <f t="shared" si="7"/>
        <v>1</v>
      </c>
      <c r="I77" s="6">
        <f t="shared" si="8"/>
        <v>1</v>
      </c>
      <c r="L77" s="6">
        <f t="shared" si="9"/>
        <v>1</v>
      </c>
    </row>
    <row r="78" spans="1:12" x14ac:dyDescent="0.25">
      <c r="A78" s="28">
        <v>-5</v>
      </c>
      <c r="B78">
        <v>-6.1</v>
      </c>
      <c r="C78" s="6">
        <f t="shared" si="10"/>
        <v>1.0999999999999996</v>
      </c>
      <c r="D78">
        <v>-20</v>
      </c>
      <c r="F78" s="6">
        <f t="shared" si="7"/>
        <v>1.2099999999999993</v>
      </c>
      <c r="I78" s="6">
        <f t="shared" si="8"/>
        <v>1.3309999999999989</v>
      </c>
      <c r="L78" s="6">
        <f t="shared" si="9"/>
        <v>1.4640999999999984</v>
      </c>
    </row>
    <row r="79" spans="1:12" x14ac:dyDescent="0.25">
      <c r="A79" s="28">
        <v>-5</v>
      </c>
      <c r="B79">
        <v>-6.1</v>
      </c>
      <c r="C79" s="6">
        <f t="shared" si="10"/>
        <v>1.0999999999999996</v>
      </c>
      <c r="D79">
        <v>-20</v>
      </c>
      <c r="F79" s="6">
        <f t="shared" si="7"/>
        <v>1.2099999999999993</v>
      </c>
      <c r="I79" s="6">
        <f t="shared" si="8"/>
        <v>1.3309999999999989</v>
      </c>
      <c r="L79" s="6">
        <f t="shared" si="9"/>
        <v>1.4640999999999984</v>
      </c>
    </row>
    <row r="80" spans="1:12" x14ac:dyDescent="0.25">
      <c r="A80" s="29">
        <v>-5</v>
      </c>
      <c r="B80">
        <v>-6.1</v>
      </c>
      <c r="C80" s="6">
        <f t="shared" si="10"/>
        <v>1.0999999999999996</v>
      </c>
      <c r="D80">
        <v>-20</v>
      </c>
      <c r="F80" s="6">
        <f t="shared" si="7"/>
        <v>1.2099999999999993</v>
      </c>
      <c r="I80" s="6">
        <f t="shared" si="8"/>
        <v>1.3309999999999989</v>
      </c>
      <c r="L80" s="6">
        <f t="shared" si="9"/>
        <v>1.4640999999999984</v>
      </c>
    </row>
    <row r="81" spans="1:12" x14ac:dyDescent="0.25">
      <c r="A81" s="28">
        <v>-4.7</v>
      </c>
      <c r="B81">
        <v>-6.1</v>
      </c>
      <c r="C81" s="6">
        <f t="shared" si="10"/>
        <v>1.3999999999999995</v>
      </c>
      <c r="D81">
        <v>-20</v>
      </c>
      <c r="F81" s="6">
        <f t="shared" si="7"/>
        <v>1.9599999999999984</v>
      </c>
      <c r="I81" s="6">
        <f t="shared" si="8"/>
        <v>2.7439999999999967</v>
      </c>
      <c r="L81" s="6">
        <f t="shared" si="9"/>
        <v>3.8415999999999939</v>
      </c>
    </row>
    <row r="82" spans="1:12" x14ac:dyDescent="0.25">
      <c r="A82" s="29">
        <v>-4.5999999999999996</v>
      </c>
      <c r="B82">
        <v>-6.1</v>
      </c>
      <c r="C82" s="6">
        <f t="shared" si="10"/>
        <v>1.5</v>
      </c>
      <c r="D82">
        <v>-20</v>
      </c>
      <c r="F82" s="6">
        <f t="shared" si="7"/>
        <v>2.25</v>
      </c>
      <c r="I82" s="6">
        <f t="shared" si="8"/>
        <v>3.375</v>
      </c>
      <c r="L82" s="6">
        <f t="shared" si="9"/>
        <v>5.0625</v>
      </c>
    </row>
    <row r="83" spans="1:12" x14ac:dyDescent="0.25">
      <c r="A83" s="28">
        <v>-4.5</v>
      </c>
      <c r="B83">
        <v>-6.1</v>
      </c>
      <c r="C83" s="6">
        <f t="shared" si="10"/>
        <v>1.5999999999999996</v>
      </c>
      <c r="D83">
        <v>-20</v>
      </c>
      <c r="F83" s="6">
        <f t="shared" si="7"/>
        <v>2.5599999999999987</v>
      </c>
      <c r="I83" s="6">
        <f t="shared" si="8"/>
        <v>4.0959999999999974</v>
      </c>
      <c r="L83" s="6">
        <f t="shared" si="9"/>
        <v>6.5535999999999932</v>
      </c>
    </row>
    <row r="84" spans="1:12" x14ac:dyDescent="0.25">
      <c r="A84" s="28">
        <v>-4.2</v>
      </c>
      <c r="B84">
        <v>-6.1</v>
      </c>
      <c r="C84" s="6">
        <f t="shared" si="10"/>
        <v>1.8999999999999995</v>
      </c>
      <c r="D84">
        <v>-20</v>
      </c>
      <c r="F84" s="6">
        <f t="shared" si="7"/>
        <v>3.6099999999999981</v>
      </c>
      <c r="I84" s="6">
        <f t="shared" si="8"/>
        <v>6.8589999999999947</v>
      </c>
      <c r="L84" s="6">
        <f t="shared" si="9"/>
        <v>13.032099999999986</v>
      </c>
    </row>
    <row r="85" spans="1:12" x14ac:dyDescent="0.25">
      <c r="A85" s="29">
        <v>-4.0999999999999996</v>
      </c>
      <c r="B85">
        <v>-6.1</v>
      </c>
      <c r="C85" s="6">
        <f t="shared" si="10"/>
        <v>2</v>
      </c>
      <c r="D85">
        <v>-20</v>
      </c>
      <c r="F85" s="6">
        <f t="shared" si="7"/>
        <v>4</v>
      </c>
      <c r="I85" s="6">
        <f t="shared" si="8"/>
        <v>8</v>
      </c>
      <c r="L85" s="6">
        <f t="shared" si="9"/>
        <v>16</v>
      </c>
    </row>
    <row r="86" spans="1:12" x14ac:dyDescent="0.25">
      <c r="A86" s="29">
        <v>-4</v>
      </c>
      <c r="B86">
        <v>-6.1</v>
      </c>
      <c r="C86" s="6">
        <f t="shared" si="10"/>
        <v>2.0999999999999996</v>
      </c>
      <c r="D86">
        <v>-20</v>
      </c>
      <c r="F86" s="6">
        <f t="shared" si="7"/>
        <v>4.4099999999999984</v>
      </c>
      <c r="I86" s="6">
        <f t="shared" si="8"/>
        <v>9.2609999999999957</v>
      </c>
      <c r="L86" s="6">
        <f t="shared" si="9"/>
        <v>19.448099999999986</v>
      </c>
    </row>
    <row r="87" spans="1:12" x14ac:dyDescent="0.25">
      <c r="A87" s="22">
        <v>-4</v>
      </c>
      <c r="B87">
        <v>-6.1</v>
      </c>
      <c r="C87" s="6">
        <f t="shared" si="10"/>
        <v>2.0999999999999996</v>
      </c>
      <c r="D87">
        <v>-20</v>
      </c>
      <c r="F87" s="6">
        <f t="shared" si="7"/>
        <v>4.4099999999999984</v>
      </c>
      <c r="I87" s="6">
        <f t="shared" si="8"/>
        <v>9.2609999999999957</v>
      </c>
      <c r="L87" s="6">
        <f t="shared" si="9"/>
        <v>19.448099999999986</v>
      </c>
    </row>
    <row r="88" spans="1:12" x14ac:dyDescent="0.25">
      <c r="A88" s="22">
        <v>-4</v>
      </c>
      <c r="B88">
        <v>-6.1</v>
      </c>
      <c r="C88" s="6">
        <f t="shared" si="10"/>
        <v>2.0999999999999996</v>
      </c>
      <c r="D88">
        <v>-20</v>
      </c>
      <c r="F88" s="6">
        <f t="shared" si="7"/>
        <v>4.4099999999999984</v>
      </c>
      <c r="I88" s="6">
        <f t="shared" si="8"/>
        <v>9.2609999999999957</v>
      </c>
      <c r="L88" s="6">
        <f t="shared" si="9"/>
        <v>19.448099999999986</v>
      </c>
    </row>
    <row r="89" spans="1:12" x14ac:dyDescent="0.25">
      <c r="A89" s="23">
        <v>-3.6682242990654204</v>
      </c>
      <c r="B89">
        <v>-6.1</v>
      </c>
      <c r="C89" s="6">
        <f t="shared" si="10"/>
        <v>2.4317757009345793</v>
      </c>
      <c r="D89">
        <v>-20</v>
      </c>
      <c r="F89" s="6">
        <f t="shared" si="7"/>
        <v>5.9135330596558644</v>
      </c>
      <c r="I89" s="6">
        <f t="shared" si="8"/>
        <v>14.380386001144448</v>
      </c>
      <c r="L89" s="6">
        <f t="shared" si="9"/>
        <v>34.969873247642852</v>
      </c>
    </row>
    <row r="90" spans="1:12" x14ac:dyDescent="0.25">
      <c r="A90" s="23">
        <v>-3.6682242990654204</v>
      </c>
      <c r="B90">
        <v>-6.1</v>
      </c>
      <c r="C90" s="6">
        <f t="shared" si="10"/>
        <v>2.4317757009345793</v>
      </c>
      <c r="D90">
        <v>-20</v>
      </c>
      <c r="F90" s="6">
        <f t="shared" si="7"/>
        <v>5.9135330596558644</v>
      </c>
      <c r="I90" s="6">
        <f t="shared" si="8"/>
        <v>14.380386001144448</v>
      </c>
      <c r="L90" s="6">
        <f t="shared" si="9"/>
        <v>34.969873247642852</v>
      </c>
    </row>
    <row r="91" spans="1:12" x14ac:dyDescent="0.25">
      <c r="A91" s="24">
        <v>-3.6</v>
      </c>
      <c r="B91">
        <v>-6.1</v>
      </c>
      <c r="C91" s="6">
        <f t="shared" si="10"/>
        <v>2.4999999999999996</v>
      </c>
      <c r="D91">
        <v>-20</v>
      </c>
      <c r="F91" s="6">
        <f t="shared" si="7"/>
        <v>6.2499999999999982</v>
      </c>
      <c r="I91" s="6">
        <f t="shared" si="8"/>
        <v>15.624999999999993</v>
      </c>
      <c r="L91" s="6">
        <f t="shared" si="9"/>
        <v>39.062499999999979</v>
      </c>
    </row>
    <row r="92" spans="1:12" x14ac:dyDescent="0.25">
      <c r="A92" s="23">
        <v>-3.6</v>
      </c>
      <c r="B92">
        <v>-6.1</v>
      </c>
      <c r="C92" s="6">
        <f t="shared" si="10"/>
        <v>2.4999999999999996</v>
      </c>
      <c r="D92">
        <v>-20</v>
      </c>
      <c r="F92" s="6">
        <f t="shared" si="7"/>
        <v>6.2499999999999982</v>
      </c>
      <c r="I92" s="6">
        <f t="shared" si="8"/>
        <v>15.624999999999993</v>
      </c>
      <c r="L92" s="6">
        <f t="shared" si="9"/>
        <v>39.062499999999979</v>
      </c>
    </row>
    <row r="93" spans="1:12" x14ac:dyDescent="0.25">
      <c r="A93" s="23">
        <v>-3.6</v>
      </c>
      <c r="B93">
        <v>-6.1</v>
      </c>
      <c r="C93" s="6">
        <f t="shared" si="10"/>
        <v>2.4999999999999996</v>
      </c>
      <c r="D93">
        <v>-20</v>
      </c>
      <c r="F93" s="6">
        <f t="shared" si="7"/>
        <v>6.2499999999999982</v>
      </c>
      <c r="I93" s="6">
        <f t="shared" si="8"/>
        <v>15.624999999999993</v>
      </c>
      <c r="L93" s="6">
        <f t="shared" si="9"/>
        <v>39.062499999999979</v>
      </c>
    </row>
    <row r="94" spans="1:12" x14ac:dyDescent="0.25">
      <c r="A94" s="23">
        <v>-3.5311203319502074</v>
      </c>
      <c r="B94">
        <v>-6.1</v>
      </c>
      <c r="C94" s="6">
        <f t="shared" si="10"/>
        <v>2.5688796680497923</v>
      </c>
      <c r="D94">
        <v>-20</v>
      </c>
      <c r="F94" s="6">
        <f t="shared" si="7"/>
        <v>6.5991427489196113</v>
      </c>
      <c r="I94" s="6">
        <f t="shared" si="8"/>
        <v>16.952403634257806</v>
      </c>
      <c r="L94" s="6">
        <f t="shared" si="9"/>
        <v>43.548685020618287</v>
      </c>
    </row>
    <row r="95" spans="1:12" x14ac:dyDescent="0.25">
      <c r="A95" s="23">
        <v>-3.5311203319502074</v>
      </c>
      <c r="B95">
        <v>-6.1</v>
      </c>
      <c r="C95" s="6">
        <f t="shared" si="10"/>
        <v>2.5688796680497923</v>
      </c>
      <c r="D95">
        <v>-20</v>
      </c>
      <c r="F95" s="6">
        <f t="shared" si="7"/>
        <v>6.5991427489196113</v>
      </c>
      <c r="I95" s="6">
        <f t="shared" si="8"/>
        <v>16.952403634257806</v>
      </c>
      <c r="L95" s="6">
        <f t="shared" si="9"/>
        <v>43.548685020618287</v>
      </c>
    </row>
    <row r="96" spans="1:12" x14ac:dyDescent="0.25">
      <c r="A96" s="21">
        <v>-3.5</v>
      </c>
      <c r="B96">
        <v>-6.1</v>
      </c>
      <c r="C96" s="6">
        <f t="shared" si="10"/>
        <v>2.5999999999999996</v>
      </c>
      <c r="D96">
        <v>-20</v>
      </c>
      <c r="F96" s="6">
        <f t="shared" si="7"/>
        <v>6.759999999999998</v>
      </c>
      <c r="I96" s="6">
        <f t="shared" si="8"/>
        <v>17.575999999999993</v>
      </c>
      <c r="L96" s="6">
        <f t="shared" si="9"/>
        <v>45.697599999999973</v>
      </c>
    </row>
    <row r="97" spans="1:12" x14ac:dyDescent="0.25">
      <c r="A97" s="21">
        <v>-3.4</v>
      </c>
      <c r="B97">
        <v>-6.1</v>
      </c>
      <c r="C97" s="6">
        <f t="shared" si="10"/>
        <v>2.6999999999999997</v>
      </c>
      <c r="D97">
        <v>-20</v>
      </c>
      <c r="F97" s="6">
        <f t="shared" si="7"/>
        <v>7.2899999999999983</v>
      </c>
      <c r="I97" s="6">
        <f t="shared" si="8"/>
        <v>19.682999999999993</v>
      </c>
      <c r="L97" s="6">
        <f t="shared" si="9"/>
        <v>53.144099999999973</v>
      </c>
    </row>
    <row r="98" spans="1:12" x14ac:dyDescent="0.25">
      <c r="A98" s="22">
        <v>-3.4</v>
      </c>
      <c r="B98">
        <v>-6.1</v>
      </c>
      <c r="C98" s="6">
        <f t="shared" si="10"/>
        <v>2.6999999999999997</v>
      </c>
      <c r="D98">
        <v>-20</v>
      </c>
      <c r="F98" s="6">
        <f t="shared" si="7"/>
        <v>7.2899999999999983</v>
      </c>
      <c r="I98" s="6">
        <f t="shared" si="8"/>
        <v>19.682999999999993</v>
      </c>
      <c r="L98" s="6">
        <f t="shared" si="9"/>
        <v>53.144099999999973</v>
      </c>
    </row>
    <row r="99" spans="1:12" x14ac:dyDescent="0.25">
      <c r="A99" s="22">
        <v>-3.4</v>
      </c>
      <c r="B99">
        <v>-6.1</v>
      </c>
      <c r="C99" s="6">
        <f t="shared" si="10"/>
        <v>2.6999999999999997</v>
      </c>
      <c r="D99">
        <v>-20</v>
      </c>
      <c r="F99" s="6">
        <f t="shared" si="7"/>
        <v>7.2899999999999983</v>
      </c>
      <c r="I99" s="6">
        <f t="shared" si="8"/>
        <v>19.682999999999993</v>
      </c>
      <c r="L99" s="6">
        <f t="shared" si="9"/>
        <v>53.144099999999973</v>
      </c>
    </row>
    <row r="100" spans="1:12" x14ac:dyDescent="0.25">
      <c r="A100" s="21">
        <v>-3.3</v>
      </c>
      <c r="B100">
        <v>-6.1</v>
      </c>
      <c r="C100" s="6">
        <f t="shared" si="10"/>
        <v>2.8</v>
      </c>
      <c r="D100">
        <v>-20</v>
      </c>
      <c r="F100" s="6">
        <f t="shared" si="7"/>
        <v>7.839999999999999</v>
      </c>
      <c r="I100" s="6">
        <f t="shared" si="8"/>
        <v>21.951999999999995</v>
      </c>
      <c r="L100" s="6">
        <f t="shared" si="9"/>
        <v>61.465599999999981</v>
      </c>
    </row>
    <row r="101" spans="1:12" x14ac:dyDescent="0.25">
      <c r="A101" s="3">
        <v>-3.1</v>
      </c>
      <c r="B101">
        <v>-6.1</v>
      </c>
      <c r="C101" s="6">
        <f t="shared" si="10"/>
        <v>2.9999999999999996</v>
      </c>
      <c r="D101">
        <v>-20</v>
      </c>
      <c r="F101" s="6">
        <f t="shared" si="7"/>
        <v>8.9999999999999964</v>
      </c>
      <c r="I101" s="6">
        <f t="shared" si="8"/>
        <v>26.999999999999986</v>
      </c>
      <c r="L101" s="6">
        <f t="shared" si="9"/>
        <v>80.999999999999943</v>
      </c>
    </row>
    <row r="102" spans="1:12" x14ac:dyDescent="0.25">
      <c r="A102" s="3">
        <v>-3</v>
      </c>
      <c r="B102">
        <v>-6.1</v>
      </c>
      <c r="C102" s="6">
        <f t="shared" si="10"/>
        <v>3.0999999999999996</v>
      </c>
      <c r="D102">
        <v>-20</v>
      </c>
      <c r="F102" s="6">
        <f t="shared" ref="F102:F107" si="11">C102^2</f>
        <v>9.6099999999999977</v>
      </c>
      <c r="I102" s="6">
        <f t="shared" ref="I102:I107" si="12">C102^3</f>
        <v>29.79099999999999</v>
      </c>
      <c r="L102" s="6">
        <f t="shared" ref="L102:L107" si="13">C102^4</f>
        <v>92.35209999999995</v>
      </c>
    </row>
    <row r="103" spans="1:12" x14ac:dyDescent="0.25">
      <c r="A103" s="3">
        <v>-2.9</v>
      </c>
      <c r="B103">
        <v>-6.1</v>
      </c>
      <c r="C103" s="6">
        <f t="shared" si="10"/>
        <v>3.1999999999999997</v>
      </c>
      <c r="D103">
        <v>-20</v>
      </c>
      <c r="F103" s="6">
        <f t="shared" si="11"/>
        <v>10.239999999999998</v>
      </c>
      <c r="I103" s="6">
        <f t="shared" si="12"/>
        <v>32.767999999999994</v>
      </c>
      <c r="L103" s="6">
        <f t="shared" si="13"/>
        <v>104.85759999999996</v>
      </c>
    </row>
    <row r="104" spans="1:12" x14ac:dyDescent="0.25">
      <c r="A104" s="3">
        <v>-2.7</v>
      </c>
      <c r="B104">
        <v>-6.1</v>
      </c>
      <c r="C104" s="6">
        <f t="shared" si="10"/>
        <v>3.3999999999999995</v>
      </c>
      <c r="D104">
        <v>-20</v>
      </c>
      <c r="F104" s="6">
        <f t="shared" si="11"/>
        <v>11.559999999999997</v>
      </c>
      <c r="I104" s="6">
        <f t="shared" si="12"/>
        <v>39.303999999999981</v>
      </c>
      <c r="L104" s="6">
        <f t="shared" si="13"/>
        <v>133.63359999999992</v>
      </c>
    </row>
    <row r="105" spans="1:12" x14ac:dyDescent="0.25">
      <c r="A105" s="2">
        <v>-2.6</v>
      </c>
      <c r="B105">
        <v>-6.1</v>
      </c>
      <c r="C105" s="6">
        <f t="shared" si="10"/>
        <v>3.4999999999999996</v>
      </c>
      <c r="D105">
        <v>-20</v>
      </c>
      <c r="F105" s="6">
        <f t="shared" si="11"/>
        <v>12.249999999999996</v>
      </c>
      <c r="I105" s="6">
        <f t="shared" si="12"/>
        <v>42.874999999999979</v>
      </c>
      <c r="L105" s="6">
        <f t="shared" si="13"/>
        <v>150.06249999999991</v>
      </c>
    </row>
    <row r="106" spans="1:12" x14ac:dyDescent="0.25">
      <c r="A106" s="3">
        <v>-2.6</v>
      </c>
      <c r="B106">
        <v>-6.1</v>
      </c>
      <c r="C106" s="6">
        <f t="shared" si="10"/>
        <v>3.4999999999999996</v>
      </c>
      <c r="D106">
        <v>-20</v>
      </c>
      <c r="F106" s="6">
        <f t="shared" si="11"/>
        <v>12.249999999999996</v>
      </c>
      <c r="I106" s="6">
        <f t="shared" si="12"/>
        <v>42.874999999999979</v>
      </c>
      <c r="L106" s="6">
        <f t="shared" si="13"/>
        <v>150.06249999999991</v>
      </c>
    </row>
    <row r="107" spans="1:12" x14ac:dyDescent="0.25">
      <c r="A107" s="3">
        <v>-2.5</v>
      </c>
      <c r="B107">
        <v>-6.1</v>
      </c>
      <c r="C107" s="6">
        <f t="shared" si="10"/>
        <v>3.5999999999999996</v>
      </c>
      <c r="D107">
        <v>-20</v>
      </c>
      <c r="F107" s="6">
        <f t="shared" si="11"/>
        <v>12.959999999999997</v>
      </c>
      <c r="I107" s="6">
        <f t="shared" si="12"/>
        <v>46.655999999999985</v>
      </c>
      <c r="L107" s="6">
        <f t="shared" si="13"/>
        <v>167.96159999999992</v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r:id="rId5">
            <anchor moveWithCells="1">
              <from>
                <xdr:col>9</xdr:col>
                <xdr:colOff>333375</xdr:colOff>
                <xdr:row>0</xdr:row>
                <xdr:rowOff>133350</xdr:rowOff>
              </from>
              <to>
                <xdr:col>12</xdr:col>
                <xdr:colOff>457200</xdr:colOff>
                <xdr:row>3</xdr:row>
                <xdr:rowOff>123825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r:id="rId7">
            <anchor moveWithCells="1">
              <from>
                <xdr:col>13</xdr:col>
                <xdr:colOff>200025</xdr:colOff>
                <xdr:row>0</xdr:row>
                <xdr:rowOff>161925</xdr:rowOff>
              </from>
              <to>
                <xdr:col>16</xdr:col>
                <xdr:colOff>533400</xdr:colOff>
                <xdr:row>3</xdr:row>
                <xdr:rowOff>9525</xdr:rowOff>
              </to>
            </anchor>
          </objectPr>
        </oleObject>
      </mc:Choice>
      <mc:Fallback>
        <oleObject progId="Equation.3" shapeId="3074" r:id="rId6"/>
      </mc:Fallback>
    </mc:AlternateContent>
    <mc:AlternateContent xmlns:mc="http://schemas.openxmlformats.org/markup-compatibility/2006">
      <mc:Choice Requires="x14">
        <oleObject progId="Equation.3" shapeId="3075" r:id="rId8">
          <objectPr defaultSize="0" autoPict="0" r:id="rId9">
            <anchor moveWithCells="1">
              <from>
                <xdr:col>17</xdr:col>
                <xdr:colOff>57150</xdr:colOff>
                <xdr:row>0</xdr:row>
                <xdr:rowOff>104775</xdr:rowOff>
              </from>
              <to>
                <xdr:col>20</xdr:col>
                <xdr:colOff>228600</xdr:colOff>
                <xdr:row>3</xdr:row>
                <xdr:rowOff>104775</xdr:rowOff>
              </to>
            </anchor>
          </objectPr>
        </oleObject>
      </mc:Choice>
      <mc:Fallback>
        <oleObject progId="Equation.3" shapeId="3075" r:id="rId8"/>
      </mc:Fallback>
    </mc:AlternateContent>
    <mc:AlternateContent xmlns:mc="http://schemas.openxmlformats.org/markup-compatibility/2006">
      <mc:Choice Requires="x14">
        <oleObject progId="Equation.3" shapeId="3076" r:id="rId10">
          <objectPr defaultSize="0" autoPict="0" r:id="rId11">
            <anchor moveWithCells="1">
              <from>
                <xdr:col>20</xdr:col>
                <xdr:colOff>381000</xdr:colOff>
                <xdr:row>0</xdr:row>
                <xdr:rowOff>66675</xdr:rowOff>
              </from>
              <to>
                <xdr:col>24</xdr:col>
                <xdr:colOff>190500</xdr:colOff>
                <xdr:row>3</xdr:row>
                <xdr:rowOff>104775</xdr:rowOff>
              </to>
            </anchor>
          </objectPr>
        </oleObject>
      </mc:Choice>
      <mc:Fallback>
        <oleObject progId="Equation.3" shapeId="3076" r:id="rId10"/>
      </mc:Fallback>
    </mc:AlternateContent>
    <mc:AlternateContent xmlns:mc="http://schemas.openxmlformats.org/markup-compatibility/2006">
      <mc:Choice Requires="x14">
        <oleObject progId="Equation.3" shapeId="3077" r:id="rId12">
          <objectPr defaultSize="0" r:id="rId13">
            <anchor moveWithCells="1">
              <from>
                <xdr:col>0</xdr:col>
                <xdr:colOff>66675</xdr:colOff>
                <xdr:row>0</xdr:row>
                <xdr:rowOff>57150</xdr:rowOff>
              </from>
              <to>
                <xdr:col>3</xdr:col>
                <xdr:colOff>409575</xdr:colOff>
                <xdr:row>3</xdr:row>
                <xdr:rowOff>85725</xdr:rowOff>
              </to>
            </anchor>
          </objectPr>
        </oleObject>
      </mc:Choice>
      <mc:Fallback>
        <oleObject progId="Equation.3" shapeId="3077" r:id="rId12"/>
      </mc:Fallback>
    </mc:AlternateContent>
    <mc:AlternateContent xmlns:mc="http://schemas.openxmlformats.org/markup-compatibility/2006">
      <mc:Choice Requires="x14">
        <oleObject progId="Equation.3" shapeId="3078" r:id="rId14">
          <objectPr defaultSize="0" autoPict="0" r:id="rId15">
            <anchor moveWithCells="1">
              <from>
                <xdr:col>4</xdr:col>
                <xdr:colOff>266700</xdr:colOff>
                <xdr:row>0</xdr:row>
                <xdr:rowOff>47625</xdr:rowOff>
              </from>
              <to>
                <xdr:col>8</xdr:col>
                <xdr:colOff>114300</xdr:colOff>
                <xdr:row>2</xdr:row>
                <xdr:rowOff>0</xdr:rowOff>
              </to>
            </anchor>
          </objectPr>
        </oleObject>
      </mc:Choice>
      <mc:Fallback>
        <oleObject progId="Equation.3" shapeId="3078" r:id="rId14"/>
      </mc:Fallback>
    </mc:AlternateContent>
    <mc:AlternateContent xmlns:mc="http://schemas.openxmlformats.org/markup-compatibility/2006">
      <mc:Choice Requires="x14">
        <oleObject progId="Equation.3" shapeId="3079" r:id="rId16">
          <objectPr defaultSize="0" autoPict="0" r:id="rId17">
            <anchor moveWithCells="1">
              <from>
                <xdr:col>4</xdr:col>
                <xdr:colOff>295275</xdr:colOff>
                <xdr:row>2</xdr:row>
                <xdr:rowOff>47625</xdr:rowOff>
              </from>
              <to>
                <xdr:col>8</xdr:col>
                <xdr:colOff>152400</xdr:colOff>
                <xdr:row>3</xdr:row>
                <xdr:rowOff>180975</xdr:rowOff>
              </to>
            </anchor>
          </objectPr>
        </oleObject>
      </mc:Choice>
      <mc:Fallback>
        <oleObject progId="Equation.3" shapeId="3079" r:id="rId16"/>
      </mc:Fallback>
    </mc:AlternateContent>
    <mc:AlternateContent xmlns:mc="http://schemas.openxmlformats.org/markup-compatibility/2006">
      <mc:Choice Requires="x14">
        <oleObject progId="Equation.3" shapeId="3080" r:id="rId18">
          <objectPr defaultSize="0" r:id="rId19">
            <anchor moveWithCells="1">
              <from>
                <xdr:col>13</xdr:col>
                <xdr:colOff>0</xdr:colOff>
                <xdr:row>14</xdr:row>
                <xdr:rowOff>0</xdr:rowOff>
              </from>
              <to>
                <xdr:col>17</xdr:col>
                <xdr:colOff>409575</xdr:colOff>
                <xdr:row>15</xdr:row>
                <xdr:rowOff>171450</xdr:rowOff>
              </to>
            </anchor>
          </objectPr>
        </oleObject>
      </mc:Choice>
      <mc:Fallback>
        <oleObject progId="Equation.3" shapeId="3080" r:id="rId1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D2" sqref="D2"/>
    </sheetView>
  </sheetViews>
  <sheetFormatPr defaultRowHeight="15" x14ac:dyDescent="0.25"/>
  <cols>
    <col min="4" max="5" width="12" bestFit="1" customWidth="1"/>
    <col min="9" max="9" width="10.140625" customWidth="1"/>
  </cols>
  <sheetData>
    <row r="1" spans="1:11" x14ac:dyDescent="0.25">
      <c r="A1" s="8" t="s">
        <v>53</v>
      </c>
      <c r="B1" s="8" t="s">
        <v>52</v>
      </c>
      <c r="C1" s="8"/>
      <c r="D1" s="8" t="s">
        <v>55</v>
      </c>
      <c r="E1" s="8" t="s">
        <v>54</v>
      </c>
      <c r="F1" s="8" t="s">
        <v>1</v>
      </c>
      <c r="G1" s="8" t="s">
        <v>57</v>
      </c>
      <c r="H1" s="8" t="s">
        <v>58</v>
      </c>
      <c r="I1" s="8" t="s">
        <v>59</v>
      </c>
      <c r="J1" s="8" t="s">
        <v>60</v>
      </c>
      <c r="K1" s="8" t="s">
        <v>61</v>
      </c>
    </row>
    <row r="2" spans="1:11" x14ac:dyDescent="0.25">
      <c r="A2" s="9">
        <v>-9.6</v>
      </c>
      <c r="B2">
        <f>(C23-F2)/B12</f>
        <v>-1.7540894202893926</v>
      </c>
      <c r="C2">
        <f>(D23-F2)/B12</f>
        <v>-1.5414725208603752</v>
      </c>
      <c r="D2">
        <f>_xlfn.NORM.S.DIST(B2,1)-0.5</f>
        <v>-0.46029240689175438</v>
      </c>
      <c r="E2">
        <f t="shared" ref="D2:E9" si="0">_xlfn.NORM.S.DIST(C2,1)-0.5</f>
        <v>-0.43839908710556186</v>
      </c>
      <c r="F2" s="6">
        <f>-6.3</f>
        <v>-6.3</v>
      </c>
      <c r="G2">
        <f>E2-D2</f>
        <v>2.1893319786192522E-2</v>
      </c>
      <c r="H2">
        <f t="shared" ref="H2:H9" si="1">113*G2</f>
        <v>2.4739451358397551</v>
      </c>
      <c r="I2">
        <f>SUM(J12:J19)</f>
        <v>44.451188480447641</v>
      </c>
      <c r="J2">
        <f>COUNT(A2:A8)</f>
        <v>7</v>
      </c>
      <c r="K2">
        <f>_xlfn.CHISQ.INV(0.95,5)</f>
        <v>11.070497693516351</v>
      </c>
    </row>
    <row r="3" spans="1:11" x14ac:dyDescent="0.25">
      <c r="A3" s="9">
        <v>-9.6</v>
      </c>
      <c r="B3">
        <f>(C24-F3)/B12</f>
        <v>-1.4351640711458669</v>
      </c>
      <c r="C3">
        <f>(D24-F8)/B12</f>
        <v>-1.2225471717168495</v>
      </c>
      <c r="D3">
        <f t="shared" si="0"/>
        <v>-0.42437982536707786</v>
      </c>
      <c r="E3">
        <f t="shared" si="0"/>
        <v>-0.38924961161832206</v>
      </c>
      <c r="F3" s="6">
        <f t="shared" ref="F3:F66" si="2">-6.3</f>
        <v>-6.3</v>
      </c>
      <c r="G3">
        <f t="shared" ref="G3:G9" si="3">E3-D3</f>
        <v>3.5130213748755801E-2</v>
      </c>
      <c r="H3">
        <f t="shared" si="1"/>
        <v>3.9697141536094054</v>
      </c>
      <c r="J3" s="6">
        <f>COUNT(A9:A20)</f>
        <v>12</v>
      </c>
    </row>
    <row r="4" spans="1:11" x14ac:dyDescent="0.25">
      <c r="A4" s="9">
        <v>-9.4</v>
      </c>
      <c r="B4">
        <f>(C25-F3)/B12</f>
        <v>-1.2225471717168495</v>
      </c>
      <c r="C4">
        <f>(D25-F17)/B12</f>
        <v>-0.63785069828705199</v>
      </c>
      <c r="D4">
        <f t="shared" si="0"/>
        <v>-0.38924961161832206</v>
      </c>
      <c r="E4">
        <f t="shared" si="0"/>
        <v>-0.2382145632243694</v>
      </c>
      <c r="F4" s="6">
        <f t="shared" si="2"/>
        <v>-6.3</v>
      </c>
      <c r="G4">
        <f t="shared" si="3"/>
        <v>0.15103504839395265</v>
      </c>
      <c r="H4">
        <f t="shared" si="1"/>
        <v>17.066960468516651</v>
      </c>
      <c r="J4">
        <f>COUNT(A21:A35)</f>
        <v>15</v>
      </c>
    </row>
    <row r="5" spans="1:11" x14ac:dyDescent="0.25">
      <c r="A5" s="9">
        <v>-9.3000000000000007</v>
      </c>
      <c r="B5">
        <f>(C26-F5)/B12</f>
        <v>-0.58469647342979791</v>
      </c>
      <c r="C5">
        <f>(D26-F10)/B12</f>
        <v>-0.10630844971450876</v>
      </c>
      <c r="D5">
        <f t="shared" si="0"/>
        <v>-0.22062408712795722</v>
      </c>
      <c r="E5">
        <f t="shared" si="0"/>
        <v>-4.2331186159553669E-2</v>
      </c>
      <c r="F5" s="6">
        <f t="shared" si="2"/>
        <v>-6.3</v>
      </c>
      <c r="G5">
        <f t="shared" si="3"/>
        <v>0.17829290096840356</v>
      </c>
      <c r="H5">
        <f t="shared" si="1"/>
        <v>20.147097809429603</v>
      </c>
      <c r="J5">
        <f>COUNT(A36:A52)</f>
        <v>17</v>
      </c>
    </row>
    <row r="6" spans="1:11" x14ac:dyDescent="0.25">
      <c r="A6" s="10">
        <v>-9.3000000000000007</v>
      </c>
      <c r="B6">
        <f>(C27-F9)/B12</f>
        <v>-0.10630844971450876</v>
      </c>
      <c r="C6">
        <f>(D27-F19)/B12</f>
        <v>0.47838802371528866</v>
      </c>
      <c r="D6">
        <f t="shared" si="0"/>
        <v>-4.2331186159553669E-2</v>
      </c>
      <c r="E6">
        <f t="shared" si="0"/>
        <v>0.18381297194899449</v>
      </c>
      <c r="F6" s="6">
        <f t="shared" si="2"/>
        <v>-6.3</v>
      </c>
      <c r="G6">
        <f>E6-D6</f>
        <v>0.22614415810854815</v>
      </c>
      <c r="H6">
        <f t="shared" si="1"/>
        <v>25.55428986626594</v>
      </c>
      <c r="J6" s="6">
        <f>COUNT(A53:A68)</f>
        <v>16</v>
      </c>
    </row>
    <row r="7" spans="1:11" x14ac:dyDescent="0.25">
      <c r="A7" s="9">
        <v>-9.1999999999999993</v>
      </c>
      <c r="B7">
        <f>(C28-F11)/B12</f>
        <v>0.47838802371528866</v>
      </c>
      <c r="C7">
        <f>(D28-F27)/B12</f>
        <v>1.2225471717168495</v>
      </c>
      <c r="D7">
        <f t="shared" si="0"/>
        <v>0.18381297194899449</v>
      </c>
      <c r="E7">
        <f t="shared" si="0"/>
        <v>0.38924961161832206</v>
      </c>
      <c r="F7" s="6">
        <f t="shared" si="2"/>
        <v>-6.3</v>
      </c>
      <c r="G7">
        <f t="shared" si="3"/>
        <v>0.20543663966932757</v>
      </c>
      <c r="H7">
        <f t="shared" si="1"/>
        <v>23.214340282634016</v>
      </c>
      <c r="J7">
        <f>COUNT(A69:A82)</f>
        <v>14</v>
      </c>
    </row>
    <row r="8" spans="1:11" x14ac:dyDescent="0.25">
      <c r="A8" s="9">
        <v>-9.1999999999999993</v>
      </c>
      <c r="B8">
        <f>(C29-F16)/B12</f>
        <v>1.2225471717168495</v>
      </c>
      <c r="C8">
        <f>(D29-F21)/B12</f>
        <v>1.5414725208603755</v>
      </c>
      <c r="D8">
        <f t="shared" si="0"/>
        <v>0.38924961161832206</v>
      </c>
      <c r="E8">
        <f t="shared" si="0"/>
        <v>0.43839908710556186</v>
      </c>
      <c r="F8" s="6">
        <f t="shared" si="2"/>
        <v>-6.3</v>
      </c>
      <c r="G8">
        <f t="shared" si="3"/>
        <v>4.9149475487239802E-2</v>
      </c>
      <c r="H8">
        <f t="shared" si="1"/>
        <v>5.5538907300580975</v>
      </c>
      <c r="J8">
        <f>COUNT(A83:A94)</f>
        <v>12</v>
      </c>
    </row>
    <row r="9" spans="1:11" x14ac:dyDescent="0.25">
      <c r="A9" s="26">
        <v>-9</v>
      </c>
      <c r="B9">
        <f>(C30-F15)/B12</f>
        <v>1.5414725208603755</v>
      </c>
      <c r="C9">
        <f>(D30-F28)/B12</f>
        <v>2.0198605445756646</v>
      </c>
      <c r="D9">
        <f t="shared" si="0"/>
        <v>0.43839908710556186</v>
      </c>
      <c r="E9">
        <f t="shared" si="0"/>
        <v>0.47830107255646759</v>
      </c>
      <c r="F9" s="6">
        <f t="shared" si="2"/>
        <v>-6.3</v>
      </c>
      <c r="G9">
        <f t="shared" si="3"/>
        <v>3.990198545090573E-2</v>
      </c>
      <c r="H9">
        <f t="shared" si="1"/>
        <v>4.5089243559523471</v>
      </c>
      <c r="J9">
        <f>COUNT(A95:A103)</f>
        <v>9</v>
      </c>
    </row>
    <row r="10" spans="1:11" x14ac:dyDescent="0.25">
      <c r="A10" s="26">
        <v>-9</v>
      </c>
      <c r="F10" s="6">
        <f t="shared" si="2"/>
        <v>-6.3</v>
      </c>
    </row>
    <row r="11" spans="1:11" x14ac:dyDescent="0.25">
      <c r="A11" s="26">
        <v>-8.9</v>
      </c>
      <c r="B11" s="8" t="s">
        <v>4</v>
      </c>
      <c r="D11" s="8" t="s">
        <v>56</v>
      </c>
      <c r="E11" s="8" t="s">
        <v>56</v>
      </c>
      <c r="F11" s="6">
        <f t="shared" si="2"/>
        <v>-6.3</v>
      </c>
      <c r="I11" s="8" t="s">
        <v>62</v>
      </c>
      <c r="J11" s="8" t="s">
        <v>63</v>
      </c>
    </row>
    <row r="12" spans="1:11" x14ac:dyDescent="0.25">
      <c r="A12" s="26">
        <v>-8.9</v>
      </c>
      <c r="B12">
        <v>1.881318</v>
      </c>
      <c r="D12" s="6">
        <f>(B2-F2)/B12</f>
        <v>2.41634353134909</v>
      </c>
      <c r="E12">
        <f>(C2-F2)/B12</f>
        <v>2.5293583961561121</v>
      </c>
      <c r="F12" s="6">
        <f t="shared" si="2"/>
        <v>-6.3</v>
      </c>
      <c r="I12">
        <f>(J2-H2)*(J2-H2)</f>
        <v>20.485172633388615</v>
      </c>
      <c r="J12">
        <f>I12/H2</f>
        <v>8.2803665839724196</v>
      </c>
    </row>
    <row r="13" spans="1:11" x14ac:dyDescent="0.25">
      <c r="A13" s="27">
        <v>-8.8000000000000007</v>
      </c>
      <c r="D13">
        <f>(B3-F2)/B12</f>
        <v>2.5858658285596228</v>
      </c>
      <c r="E13">
        <f>(C3-F3)/B12</f>
        <v>2.6988806933666454</v>
      </c>
      <c r="F13" s="6">
        <f t="shared" si="2"/>
        <v>-6.3</v>
      </c>
      <c r="I13">
        <f>(J3-H3)*(J3-H3)</f>
        <v>64.485490774741095</v>
      </c>
      <c r="J13">
        <f t="shared" ref="J13:J19" si="4">I13/H3</f>
        <v>16.24436628922226</v>
      </c>
    </row>
    <row r="14" spans="1:11" x14ac:dyDescent="0.25">
      <c r="A14" s="26">
        <v>-8.6999999999999993</v>
      </c>
      <c r="D14">
        <f>(B4-F4)/B12</f>
        <v>2.6988806933666454</v>
      </c>
      <c r="E14">
        <f>(C4-F4)/B12</f>
        <v>3.0096715715859559</v>
      </c>
      <c r="F14" s="6">
        <f t="shared" si="2"/>
        <v>-6.3</v>
      </c>
      <c r="I14">
        <f t="shared" ref="I14:I18" si="5">(J4-H4)^2</f>
        <v>4.272325578410574</v>
      </c>
      <c r="J14">
        <f t="shared" si="4"/>
        <v>0.25032726748806355</v>
      </c>
    </row>
    <row r="15" spans="1:11" x14ac:dyDescent="0.25">
      <c r="A15" s="26">
        <v>-8.6999999999999993</v>
      </c>
      <c r="D15">
        <f>(B5-F5)/B12</f>
        <v>3.0379252877877114</v>
      </c>
      <c r="E15">
        <f>(C5-F5)/B12</f>
        <v>3.2922087336035117</v>
      </c>
      <c r="F15" s="6">
        <f t="shared" si="2"/>
        <v>-6.3</v>
      </c>
      <c r="I15">
        <f t="shared" si="5"/>
        <v>9.9042246221166046</v>
      </c>
      <c r="J15">
        <f t="shared" si="4"/>
        <v>0.49159559931659502</v>
      </c>
    </row>
    <row r="16" spans="1:11" x14ac:dyDescent="0.25">
      <c r="A16" s="27">
        <v>-8.6999999999999993</v>
      </c>
      <c r="D16">
        <f>(B6-F10)/B12</f>
        <v>3.2922087336035117</v>
      </c>
      <c r="E16">
        <f>(C6-F6)/B12</f>
        <v>3.6029996118228227</v>
      </c>
      <c r="F16" s="6">
        <f t="shared" si="2"/>
        <v>-6.3</v>
      </c>
      <c r="I16">
        <f>(J6-H6)^2</f>
        <v>91.284454848632024</v>
      </c>
      <c r="J16">
        <f t="shared" si="4"/>
        <v>3.5721773262475227</v>
      </c>
    </row>
    <row r="17" spans="1:10" x14ac:dyDescent="0.25">
      <c r="A17" s="27">
        <v>-8.6999999999999993</v>
      </c>
      <c r="D17">
        <f>(B7-F8)/B12</f>
        <v>3.6029996118228227</v>
      </c>
      <c r="E17">
        <f>(C7-F7)/B12</f>
        <v>3.9985516386473998</v>
      </c>
      <c r="F17" s="6">
        <f t="shared" si="2"/>
        <v>-6.3</v>
      </c>
      <c r="I17">
        <f>(J7-H7)^2</f>
        <v>84.904066844171908</v>
      </c>
      <c r="J17">
        <f t="shared" si="4"/>
        <v>3.6573973591524465</v>
      </c>
    </row>
    <row r="18" spans="1:10" x14ac:dyDescent="0.25">
      <c r="A18" s="26">
        <v>-8.6</v>
      </c>
      <c r="D18">
        <f>(B8-F11)/B12</f>
        <v>3.9985516386473998</v>
      </c>
      <c r="E18">
        <f>(C8-F8)/B12</f>
        <v>4.1680739358579331</v>
      </c>
      <c r="F18" s="6">
        <f t="shared" si="2"/>
        <v>-6.3</v>
      </c>
      <c r="I18">
        <f t="shared" si="5"/>
        <v>41.552324720030924</v>
      </c>
      <c r="J18">
        <f>I18/H8</f>
        <v>7.4816604682455212</v>
      </c>
    </row>
    <row r="19" spans="1:10" x14ac:dyDescent="0.25">
      <c r="A19" s="26">
        <v>-8.6</v>
      </c>
      <c r="D19">
        <f>(B9-F10)/B12</f>
        <v>4.1680739358579331</v>
      </c>
      <c r="E19">
        <f>(C9-F9)/B12</f>
        <v>4.4223573816737334</v>
      </c>
      <c r="F19" s="6">
        <f t="shared" si="2"/>
        <v>-6.3</v>
      </c>
      <c r="I19">
        <f>(J9-H9)^2</f>
        <v>20.16976044055804</v>
      </c>
      <c r="J19">
        <f t="shared" si="4"/>
        <v>4.4732975868028078</v>
      </c>
    </row>
    <row r="20" spans="1:10" x14ac:dyDescent="0.25">
      <c r="A20" s="26">
        <v>-8.6</v>
      </c>
      <c r="F20" s="6">
        <f t="shared" si="2"/>
        <v>-6.3</v>
      </c>
    </row>
    <row r="21" spans="1:10" x14ac:dyDescent="0.25">
      <c r="A21" s="27">
        <v>-8.6</v>
      </c>
      <c r="F21" s="6">
        <f t="shared" si="2"/>
        <v>-6.3</v>
      </c>
    </row>
    <row r="22" spans="1:10" x14ac:dyDescent="0.25">
      <c r="A22" s="11">
        <v>-8.5</v>
      </c>
      <c r="C22" s="8" t="s">
        <v>15</v>
      </c>
      <c r="D22" s="8" t="s">
        <v>15</v>
      </c>
      <c r="F22" s="6">
        <f t="shared" si="2"/>
        <v>-6.3</v>
      </c>
    </row>
    <row r="23" spans="1:10" x14ac:dyDescent="0.25">
      <c r="A23" s="12">
        <v>-8.5</v>
      </c>
      <c r="C23">
        <v>-9.6</v>
      </c>
      <c r="D23">
        <v>-9.1999999999999993</v>
      </c>
      <c r="F23" s="6">
        <f t="shared" si="2"/>
        <v>-6.3</v>
      </c>
    </row>
    <row r="24" spans="1:10" x14ac:dyDescent="0.25">
      <c r="A24" s="11">
        <v>-8.4</v>
      </c>
      <c r="C24">
        <v>-9</v>
      </c>
      <c r="D24">
        <v>-8.6</v>
      </c>
      <c r="F24" s="6">
        <f t="shared" si="2"/>
        <v>-6.3</v>
      </c>
    </row>
    <row r="25" spans="1:10" x14ac:dyDescent="0.25">
      <c r="A25" s="11">
        <v>-8.4</v>
      </c>
      <c r="C25">
        <v>-8.6</v>
      </c>
      <c r="D25">
        <v>-7.5</v>
      </c>
      <c r="F25" s="6">
        <f t="shared" si="2"/>
        <v>-6.3</v>
      </c>
    </row>
    <row r="26" spans="1:10" x14ac:dyDescent="0.25">
      <c r="A26" s="11">
        <v>-8.1999999999999993</v>
      </c>
      <c r="C26">
        <v>-7.4</v>
      </c>
      <c r="D26">
        <v>-6.5</v>
      </c>
      <c r="F26" s="6">
        <f t="shared" si="2"/>
        <v>-6.3</v>
      </c>
    </row>
    <row r="27" spans="1:10" x14ac:dyDescent="0.25">
      <c r="A27" s="11">
        <v>-8.1</v>
      </c>
      <c r="C27">
        <v>-6.5</v>
      </c>
      <c r="D27">
        <v>-5.4</v>
      </c>
      <c r="F27" s="6">
        <f t="shared" si="2"/>
        <v>-6.3</v>
      </c>
    </row>
    <row r="28" spans="1:10" x14ac:dyDescent="0.25">
      <c r="A28" s="11">
        <v>-8.1</v>
      </c>
      <c r="C28">
        <v>-5.4</v>
      </c>
      <c r="D28">
        <v>-4</v>
      </c>
      <c r="F28" s="6">
        <f t="shared" si="2"/>
        <v>-6.3</v>
      </c>
    </row>
    <row r="29" spans="1:10" x14ac:dyDescent="0.25">
      <c r="A29" s="12">
        <v>-8.1</v>
      </c>
      <c r="C29">
        <v>-4</v>
      </c>
      <c r="D29">
        <v>-3.4</v>
      </c>
      <c r="F29" s="6">
        <f t="shared" si="2"/>
        <v>-6.3</v>
      </c>
    </row>
    <row r="30" spans="1:10" x14ac:dyDescent="0.25">
      <c r="A30" s="11">
        <v>-7.8</v>
      </c>
      <c r="C30">
        <v>-3.4</v>
      </c>
      <c r="D30">
        <v>-2.5</v>
      </c>
      <c r="F30" s="6">
        <f t="shared" si="2"/>
        <v>-6.3</v>
      </c>
    </row>
    <row r="31" spans="1:10" x14ac:dyDescent="0.25">
      <c r="A31" s="13">
        <v>-7.8</v>
      </c>
      <c r="F31" s="6">
        <f t="shared" si="2"/>
        <v>-6.3</v>
      </c>
    </row>
    <row r="32" spans="1:10" x14ac:dyDescent="0.25">
      <c r="A32" s="13">
        <v>-7.8</v>
      </c>
      <c r="F32" s="6">
        <f t="shared" si="2"/>
        <v>-6.3</v>
      </c>
    </row>
    <row r="33" spans="1:6" x14ac:dyDescent="0.25">
      <c r="A33" s="12">
        <v>-7.7</v>
      </c>
      <c r="F33" s="6">
        <f t="shared" si="2"/>
        <v>-6.3</v>
      </c>
    </row>
    <row r="34" spans="1:6" x14ac:dyDescent="0.25">
      <c r="A34" s="11">
        <v>-7.6</v>
      </c>
      <c r="F34" s="6">
        <f t="shared" si="2"/>
        <v>-6.3</v>
      </c>
    </row>
    <row r="35" spans="1:6" x14ac:dyDescent="0.25">
      <c r="A35" s="11">
        <v>-7.5</v>
      </c>
      <c r="F35" s="6">
        <f t="shared" si="2"/>
        <v>-6.3</v>
      </c>
    </row>
    <row r="36" spans="1:6" x14ac:dyDescent="0.25">
      <c r="A36" s="15">
        <v>-7.4</v>
      </c>
      <c r="F36" s="6">
        <f t="shared" si="2"/>
        <v>-6.3</v>
      </c>
    </row>
    <row r="37" spans="1:6" x14ac:dyDescent="0.25">
      <c r="A37" s="15">
        <v>-7.4</v>
      </c>
      <c r="F37" s="6">
        <f t="shared" si="2"/>
        <v>-6.3</v>
      </c>
    </row>
    <row r="38" spans="1:6" x14ac:dyDescent="0.25">
      <c r="A38" s="14">
        <v>-7.4</v>
      </c>
      <c r="F38" s="6">
        <f t="shared" si="2"/>
        <v>-6.3</v>
      </c>
    </row>
    <row r="39" spans="1:6" x14ac:dyDescent="0.25">
      <c r="A39" s="14">
        <v>-7.3</v>
      </c>
      <c r="F39" s="6">
        <f t="shared" si="2"/>
        <v>-6.3</v>
      </c>
    </row>
    <row r="40" spans="1:6" x14ac:dyDescent="0.25">
      <c r="A40" s="15">
        <v>-7.2</v>
      </c>
      <c r="F40" s="6">
        <f t="shared" si="2"/>
        <v>-6.3</v>
      </c>
    </row>
    <row r="41" spans="1:6" x14ac:dyDescent="0.25">
      <c r="A41" s="15">
        <v>-7.2</v>
      </c>
      <c r="F41" s="6">
        <f t="shared" si="2"/>
        <v>-6.3</v>
      </c>
    </row>
    <row r="42" spans="1:6" x14ac:dyDescent="0.25">
      <c r="A42" s="14">
        <v>-7.2</v>
      </c>
      <c r="F42" s="6">
        <f t="shared" si="2"/>
        <v>-6.3</v>
      </c>
    </row>
    <row r="43" spans="1:6" x14ac:dyDescent="0.25">
      <c r="A43" s="16">
        <v>-7.2</v>
      </c>
      <c r="F43" s="6">
        <f t="shared" si="2"/>
        <v>-6.3</v>
      </c>
    </row>
    <row r="44" spans="1:6" x14ac:dyDescent="0.25">
      <c r="A44" s="15">
        <v>-7.1</v>
      </c>
      <c r="F44" s="6">
        <f t="shared" si="2"/>
        <v>-6.3</v>
      </c>
    </row>
    <row r="45" spans="1:6" x14ac:dyDescent="0.25">
      <c r="A45" s="14">
        <v>-7</v>
      </c>
      <c r="F45" s="6">
        <f t="shared" si="2"/>
        <v>-6.3</v>
      </c>
    </row>
    <row r="46" spans="1:6" x14ac:dyDescent="0.25">
      <c r="A46" s="15">
        <v>-6.9</v>
      </c>
      <c r="F46" s="6">
        <f t="shared" si="2"/>
        <v>-6.3</v>
      </c>
    </row>
    <row r="47" spans="1:6" x14ac:dyDescent="0.25">
      <c r="A47" s="15">
        <v>-6.8</v>
      </c>
      <c r="F47" s="6">
        <f t="shared" si="2"/>
        <v>-6.3</v>
      </c>
    </row>
    <row r="48" spans="1:6" x14ac:dyDescent="0.25">
      <c r="A48" s="15">
        <v>-6.7</v>
      </c>
      <c r="F48" s="6">
        <f t="shared" si="2"/>
        <v>-6.3</v>
      </c>
    </row>
    <row r="49" spans="1:6" x14ac:dyDescent="0.25">
      <c r="A49" s="15">
        <v>-6.7</v>
      </c>
      <c r="F49" s="6">
        <f t="shared" si="2"/>
        <v>-6.3</v>
      </c>
    </row>
    <row r="50" spans="1:6" x14ac:dyDescent="0.25">
      <c r="A50" s="15">
        <v>-6.6</v>
      </c>
      <c r="F50" s="6">
        <f t="shared" si="2"/>
        <v>-6.3</v>
      </c>
    </row>
    <row r="51" spans="1:6" x14ac:dyDescent="0.25">
      <c r="A51" s="15">
        <v>-6.6</v>
      </c>
      <c r="F51" s="6">
        <f t="shared" si="2"/>
        <v>-6.3</v>
      </c>
    </row>
    <row r="52" spans="1:6" x14ac:dyDescent="0.25">
      <c r="A52" s="17">
        <v>-6.5</v>
      </c>
      <c r="F52" s="6">
        <f t="shared" si="2"/>
        <v>-6.3</v>
      </c>
    </row>
    <row r="53" spans="1:6" x14ac:dyDescent="0.25">
      <c r="A53" s="17">
        <v>-6.5</v>
      </c>
      <c r="F53" s="6">
        <f t="shared" si="2"/>
        <v>-6.3</v>
      </c>
    </row>
    <row r="54" spans="1:6" x14ac:dyDescent="0.25">
      <c r="A54" s="17">
        <v>-6.3</v>
      </c>
      <c r="F54" s="6">
        <f t="shared" si="2"/>
        <v>-6.3</v>
      </c>
    </row>
    <row r="55" spans="1:6" x14ac:dyDescent="0.25">
      <c r="A55" s="18">
        <v>-6.3</v>
      </c>
      <c r="F55" s="6">
        <f t="shared" si="2"/>
        <v>-6.3</v>
      </c>
    </row>
    <row r="56" spans="1:6" x14ac:dyDescent="0.25">
      <c r="A56" s="17">
        <v>-6.2</v>
      </c>
      <c r="F56" s="6">
        <f t="shared" si="2"/>
        <v>-6.3</v>
      </c>
    </row>
    <row r="57" spans="1:6" x14ac:dyDescent="0.25">
      <c r="A57" s="17">
        <v>-6.2</v>
      </c>
      <c r="F57" s="6">
        <f t="shared" si="2"/>
        <v>-6.3</v>
      </c>
    </row>
    <row r="58" spans="1:6" x14ac:dyDescent="0.25">
      <c r="A58" s="19">
        <v>-6.2</v>
      </c>
      <c r="F58" s="6">
        <f t="shared" si="2"/>
        <v>-6.3</v>
      </c>
    </row>
    <row r="59" spans="1:6" x14ac:dyDescent="0.25">
      <c r="A59" s="19">
        <v>-6.2</v>
      </c>
      <c r="F59" s="6">
        <f t="shared" si="2"/>
        <v>-6.3</v>
      </c>
    </row>
    <row r="60" spans="1:6" x14ac:dyDescent="0.25">
      <c r="A60" s="20">
        <v>-5.9</v>
      </c>
      <c r="F60" s="6">
        <f t="shared" si="2"/>
        <v>-6.3</v>
      </c>
    </row>
    <row r="61" spans="1:6" x14ac:dyDescent="0.25">
      <c r="A61" s="17">
        <v>-5.8</v>
      </c>
      <c r="F61" s="6">
        <f t="shared" si="2"/>
        <v>-6.3</v>
      </c>
    </row>
    <row r="62" spans="1:6" x14ac:dyDescent="0.25">
      <c r="A62" s="18">
        <v>-5.8</v>
      </c>
      <c r="F62" s="6">
        <f t="shared" si="2"/>
        <v>-6.3</v>
      </c>
    </row>
    <row r="63" spans="1:6" x14ac:dyDescent="0.25">
      <c r="A63" s="17">
        <v>-5.7</v>
      </c>
      <c r="F63" s="6">
        <f t="shared" si="2"/>
        <v>-6.3</v>
      </c>
    </row>
    <row r="64" spans="1:6" x14ac:dyDescent="0.25">
      <c r="A64" s="20">
        <v>-5.6</v>
      </c>
      <c r="F64" s="6">
        <f t="shared" si="2"/>
        <v>-6.3</v>
      </c>
    </row>
    <row r="65" spans="1:6" x14ac:dyDescent="0.25">
      <c r="A65" s="17">
        <v>-5.5</v>
      </c>
      <c r="F65" s="6">
        <f t="shared" si="2"/>
        <v>-6.3</v>
      </c>
    </row>
    <row r="66" spans="1:6" x14ac:dyDescent="0.25">
      <c r="A66" s="17">
        <v>-5.5</v>
      </c>
      <c r="F66" s="6">
        <f t="shared" si="2"/>
        <v>-6.3</v>
      </c>
    </row>
    <row r="67" spans="1:6" x14ac:dyDescent="0.25">
      <c r="A67" s="18">
        <v>-5.5</v>
      </c>
      <c r="F67" s="6">
        <f t="shared" ref="F67:F125" si="6">-6.3</f>
        <v>-6.3</v>
      </c>
    </row>
    <row r="68" spans="1:6" x14ac:dyDescent="0.25">
      <c r="A68" s="28">
        <v>-5.4</v>
      </c>
      <c r="F68" s="6">
        <f t="shared" si="6"/>
        <v>-6.3</v>
      </c>
    </row>
    <row r="69" spans="1:6" x14ac:dyDescent="0.25">
      <c r="A69" s="28">
        <v>-5.4</v>
      </c>
      <c r="F69" s="6">
        <f t="shared" si="6"/>
        <v>-6.3</v>
      </c>
    </row>
    <row r="70" spans="1:6" x14ac:dyDescent="0.25">
      <c r="A70" s="28">
        <v>-5.0999999999999996</v>
      </c>
      <c r="F70" s="6">
        <f t="shared" si="6"/>
        <v>-6.3</v>
      </c>
    </row>
    <row r="71" spans="1:6" x14ac:dyDescent="0.25">
      <c r="A71" s="28">
        <v>-5.0999999999999996</v>
      </c>
      <c r="F71" s="6">
        <f t="shared" si="6"/>
        <v>-6.3</v>
      </c>
    </row>
    <row r="72" spans="1:6" x14ac:dyDescent="0.25">
      <c r="A72" s="28">
        <v>-5.0999999999999996</v>
      </c>
      <c r="F72" s="6">
        <f t="shared" si="6"/>
        <v>-6.3</v>
      </c>
    </row>
    <row r="73" spans="1:6" x14ac:dyDescent="0.25">
      <c r="A73" s="29">
        <v>-5.0999999999999996</v>
      </c>
      <c r="F73" s="6">
        <f t="shared" si="6"/>
        <v>-6.3</v>
      </c>
    </row>
    <row r="74" spans="1:6" x14ac:dyDescent="0.25">
      <c r="A74" s="28">
        <v>-5</v>
      </c>
      <c r="F74" s="6">
        <f t="shared" si="6"/>
        <v>-6.3</v>
      </c>
    </row>
    <row r="75" spans="1:6" x14ac:dyDescent="0.25">
      <c r="A75" s="28">
        <v>-5</v>
      </c>
      <c r="F75" s="6">
        <f t="shared" si="6"/>
        <v>-6.3</v>
      </c>
    </row>
    <row r="76" spans="1:6" x14ac:dyDescent="0.25">
      <c r="A76" s="29">
        <v>-5</v>
      </c>
      <c r="F76" s="6">
        <f t="shared" si="6"/>
        <v>-6.3</v>
      </c>
    </row>
    <row r="77" spans="1:6" x14ac:dyDescent="0.25">
      <c r="A77" s="28">
        <v>-4.7</v>
      </c>
      <c r="F77" s="6">
        <f t="shared" si="6"/>
        <v>-6.3</v>
      </c>
    </row>
    <row r="78" spans="1:6" x14ac:dyDescent="0.25">
      <c r="A78" s="29">
        <v>-4.5999999999999996</v>
      </c>
      <c r="F78" s="6">
        <f t="shared" si="6"/>
        <v>-6.3</v>
      </c>
    </row>
    <row r="79" spans="1:6" x14ac:dyDescent="0.25">
      <c r="A79" s="28">
        <v>-4.5</v>
      </c>
      <c r="F79" s="6">
        <f t="shared" si="6"/>
        <v>-6.3</v>
      </c>
    </row>
    <row r="80" spans="1:6" x14ac:dyDescent="0.25">
      <c r="A80" s="28">
        <v>-4.2</v>
      </c>
      <c r="F80" s="6">
        <f t="shared" si="6"/>
        <v>-6.3</v>
      </c>
    </row>
    <row r="81" spans="1:6" x14ac:dyDescent="0.25">
      <c r="A81" s="29">
        <v>-4.0999999999999996</v>
      </c>
      <c r="F81" s="6">
        <f t="shared" si="6"/>
        <v>-6.3</v>
      </c>
    </row>
    <row r="82" spans="1:6" x14ac:dyDescent="0.25">
      <c r="A82" s="29">
        <v>-4</v>
      </c>
      <c r="F82" s="6">
        <f t="shared" si="6"/>
        <v>-6.3</v>
      </c>
    </row>
    <row r="83" spans="1:6" x14ac:dyDescent="0.25">
      <c r="A83" s="22">
        <v>-4</v>
      </c>
      <c r="F83" s="6">
        <f t="shared" si="6"/>
        <v>-6.3</v>
      </c>
    </row>
    <row r="84" spans="1:6" x14ac:dyDescent="0.25">
      <c r="A84" s="22">
        <v>-4</v>
      </c>
      <c r="F84" s="6">
        <f t="shared" si="6"/>
        <v>-6.3</v>
      </c>
    </row>
    <row r="85" spans="1:6" x14ac:dyDescent="0.25">
      <c r="A85" s="23">
        <v>-3.6682242990654204</v>
      </c>
      <c r="F85" s="6">
        <f t="shared" si="6"/>
        <v>-6.3</v>
      </c>
    </row>
    <row r="86" spans="1:6" x14ac:dyDescent="0.25">
      <c r="A86" s="23">
        <v>-3.6682242990654204</v>
      </c>
      <c r="F86" s="6">
        <f t="shared" si="6"/>
        <v>-6.3</v>
      </c>
    </row>
    <row r="87" spans="1:6" x14ac:dyDescent="0.25">
      <c r="A87" s="24">
        <v>-3.6</v>
      </c>
      <c r="F87" s="6">
        <f t="shared" si="6"/>
        <v>-6.3</v>
      </c>
    </row>
    <row r="88" spans="1:6" x14ac:dyDescent="0.25">
      <c r="A88" s="23">
        <v>-3.6</v>
      </c>
      <c r="F88" s="6">
        <f t="shared" si="6"/>
        <v>-6.3</v>
      </c>
    </row>
    <row r="89" spans="1:6" x14ac:dyDescent="0.25">
      <c r="A89" s="23">
        <v>-3.6</v>
      </c>
      <c r="F89" s="6">
        <f t="shared" si="6"/>
        <v>-6.3</v>
      </c>
    </row>
    <row r="90" spans="1:6" x14ac:dyDescent="0.25">
      <c r="A90" s="23">
        <v>-3.5311203319502074</v>
      </c>
      <c r="F90" s="6">
        <f t="shared" si="6"/>
        <v>-6.3</v>
      </c>
    </row>
    <row r="91" spans="1:6" x14ac:dyDescent="0.25">
      <c r="A91" s="23">
        <v>-3.5311203319502074</v>
      </c>
      <c r="F91" s="6">
        <f t="shared" si="6"/>
        <v>-6.3</v>
      </c>
    </row>
    <row r="92" spans="1:6" x14ac:dyDescent="0.25">
      <c r="A92" s="21">
        <v>-3.5</v>
      </c>
      <c r="F92" s="6">
        <f t="shared" si="6"/>
        <v>-6.3</v>
      </c>
    </row>
    <row r="93" spans="1:6" x14ac:dyDescent="0.25">
      <c r="A93" s="21">
        <v>-3.4</v>
      </c>
      <c r="F93" s="6">
        <f t="shared" si="6"/>
        <v>-6.3</v>
      </c>
    </row>
    <row r="94" spans="1:6" x14ac:dyDescent="0.25">
      <c r="A94" s="22">
        <v>-3.4</v>
      </c>
      <c r="F94" s="6">
        <f t="shared" si="6"/>
        <v>-6.3</v>
      </c>
    </row>
    <row r="95" spans="1:6" x14ac:dyDescent="0.25">
      <c r="A95" s="22">
        <v>-3.4</v>
      </c>
      <c r="F95" s="6">
        <f t="shared" si="6"/>
        <v>-6.3</v>
      </c>
    </row>
    <row r="96" spans="1:6" x14ac:dyDescent="0.25">
      <c r="A96" s="21">
        <v>-3.3</v>
      </c>
      <c r="F96" s="6">
        <f t="shared" si="6"/>
        <v>-6.3</v>
      </c>
    </row>
    <row r="97" spans="1:6" x14ac:dyDescent="0.25">
      <c r="A97" s="3">
        <v>-3.1</v>
      </c>
      <c r="F97" s="6">
        <f t="shared" si="6"/>
        <v>-6.3</v>
      </c>
    </row>
    <row r="98" spans="1:6" x14ac:dyDescent="0.25">
      <c r="A98" s="3">
        <v>-3</v>
      </c>
      <c r="F98" s="6">
        <f t="shared" si="6"/>
        <v>-6.3</v>
      </c>
    </row>
    <row r="99" spans="1:6" x14ac:dyDescent="0.25">
      <c r="A99" s="3">
        <v>-2.9</v>
      </c>
      <c r="F99" s="6">
        <f t="shared" si="6"/>
        <v>-6.3</v>
      </c>
    </row>
    <row r="100" spans="1:6" x14ac:dyDescent="0.25">
      <c r="A100" s="3">
        <v>-2.7</v>
      </c>
      <c r="F100" s="6">
        <f t="shared" si="6"/>
        <v>-6.3</v>
      </c>
    </row>
    <row r="101" spans="1:6" x14ac:dyDescent="0.25">
      <c r="A101" s="2">
        <v>-2.6</v>
      </c>
      <c r="F101" s="6">
        <f t="shared" si="6"/>
        <v>-6.3</v>
      </c>
    </row>
    <row r="102" spans="1:6" x14ac:dyDescent="0.25">
      <c r="A102" s="3">
        <v>-2.6</v>
      </c>
      <c r="F102" s="6">
        <f t="shared" si="6"/>
        <v>-6.3</v>
      </c>
    </row>
    <row r="103" spans="1:6" x14ac:dyDescent="0.25">
      <c r="A103" s="3">
        <v>-2.5</v>
      </c>
      <c r="F103" s="6">
        <f t="shared" si="6"/>
        <v>-6.3</v>
      </c>
    </row>
    <row r="104" spans="1:6" x14ac:dyDescent="0.25">
      <c r="F104" s="6">
        <f t="shared" si="6"/>
        <v>-6.3</v>
      </c>
    </row>
    <row r="105" spans="1:6" x14ac:dyDescent="0.25">
      <c r="F105" s="6">
        <f t="shared" si="6"/>
        <v>-6.3</v>
      </c>
    </row>
    <row r="106" spans="1:6" x14ac:dyDescent="0.25">
      <c r="F106" s="6">
        <f t="shared" si="6"/>
        <v>-6.3</v>
      </c>
    </row>
    <row r="107" spans="1:6" x14ac:dyDescent="0.25">
      <c r="F107" s="6">
        <f t="shared" si="6"/>
        <v>-6.3</v>
      </c>
    </row>
    <row r="108" spans="1:6" x14ac:dyDescent="0.25">
      <c r="F108" s="6">
        <f t="shared" si="6"/>
        <v>-6.3</v>
      </c>
    </row>
    <row r="109" spans="1:6" x14ac:dyDescent="0.25">
      <c r="F109" s="6">
        <f t="shared" si="6"/>
        <v>-6.3</v>
      </c>
    </row>
    <row r="110" spans="1:6" x14ac:dyDescent="0.25">
      <c r="F110" s="6">
        <f t="shared" si="6"/>
        <v>-6.3</v>
      </c>
    </row>
    <row r="111" spans="1:6" x14ac:dyDescent="0.25">
      <c r="F111" s="6">
        <f t="shared" si="6"/>
        <v>-6.3</v>
      </c>
    </row>
    <row r="112" spans="1:6" x14ac:dyDescent="0.25">
      <c r="F112" s="6">
        <f t="shared" si="6"/>
        <v>-6.3</v>
      </c>
    </row>
    <row r="113" spans="6:6" x14ac:dyDescent="0.25">
      <c r="F113" s="6">
        <f t="shared" si="6"/>
        <v>-6.3</v>
      </c>
    </row>
    <row r="114" spans="6:6" x14ac:dyDescent="0.25">
      <c r="F114" s="6">
        <f t="shared" si="6"/>
        <v>-6.3</v>
      </c>
    </row>
    <row r="115" spans="6:6" x14ac:dyDescent="0.25">
      <c r="F115" s="6">
        <f t="shared" si="6"/>
        <v>-6.3</v>
      </c>
    </row>
    <row r="116" spans="6:6" x14ac:dyDescent="0.25">
      <c r="F116" s="6">
        <f t="shared" si="6"/>
        <v>-6.3</v>
      </c>
    </row>
    <row r="117" spans="6:6" x14ac:dyDescent="0.25">
      <c r="F117" s="6">
        <f t="shared" si="6"/>
        <v>-6.3</v>
      </c>
    </row>
    <row r="118" spans="6:6" x14ac:dyDescent="0.25">
      <c r="F118" s="6">
        <f t="shared" si="6"/>
        <v>-6.3</v>
      </c>
    </row>
    <row r="119" spans="6:6" x14ac:dyDescent="0.25">
      <c r="F119" s="6">
        <f t="shared" si="6"/>
        <v>-6.3</v>
      </c>
    </row>
    <row r="120" spans="6:6" x14ac:dyDescent="0.25">
      <c r="F120" s="6">
        <f t="shared" si="6"/>
        <v>-6.3</v>
      </c>
    </row>
    <row r="121" spans="6:6" x14ac:dyDescent="0.25">
      <c r="F121" s="6">
        <f t="shared" si="6"/>
        <v>-6.3</v>
      </c>
    </row>
    <row r="122" spans="6:6" x14ac:dyDescent="0.25">
      <c r="F122" s="6">
        <f t="shared" si="6"/>
        <v>-6.3</v>
      </c>
    </row>
    <row r="123" spans="6:6" x14ac:dyDescent="0.25">
      <c r="F123" s="6">
        <f t="shared" si="6"/>
        <v>-6.3</v>
      </c>
    </row>
    <row r="124" spans="6:6" x14ac:dyDescent="0.25">
      <c r="F124" s="6">
        <f t="shared" si="6"/>
        <v>-6.3</v>
      </c>
    </row>
    <row r="125" spans="6:6" x14ac:dyDescent="0.25">
      <c r="F125" s="6">
        <f t="shared" si="6"/>
        <v>-6.3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K10" sqref="K10"/>
    </sheetView>
  </sheetViews>
  <sheetFormatPr defaultRowHeight="15" x14ac:dyDescent="0.25"/>
  <sheetData>
    <row r="1" spans="1:13" x14ac:dyDescent="0.25">
      <c r="A1" s="8" t="s">
        <v>15</v>
      </c>
      <c r="B1" s="8" t="s">
        <v>15</v>
      </c>
      <c r="C1" s="8" t="s">
        <v>64</v>
      </c>
      <c r="D1" s="8" t="s">
        <v>65</v>
      </c>
      <c r="E1" s="8" t="s">
        <v>55</v>
      </c>
      <c r="F1" s="8" t="s">
        <v>54</v>
      </c>
      <c r="G1" s="8" t="s">
        <v>57</v>
      </c>
      <c r="H1" s="8" t="s">
        <v>58</v>
      </c>
      <c r="I1" s="8" t="s">
        <v>66</v>
      </c>
      <c r="J1" s="8" t="s">
        <v>62</v>
      </c>
      <c r="K1" s="8" t="s">
        <v>63</v>
      </c>
      <c r="L1" s="8" t="s">
        <v>59</v>
      </c>
      <c r="M1" s="8" t="s">
        <v>61</v>
      </c>
    </row>
    <row r="2" spans="1:13" x14ac:dyDescent="0.25">
      <c r="A2">
        <v>-9.6</v>
      </c>
      <c r="B2">
        <v>-9.1999999999999993</v>
      </c>
      <c r="C2">
        <f>(A2-A13)/B13</f>
        <v>-1.7540894202893926</v>
      </c>
      <c r="D2">
        <f>(B2-A13)/B13</f>
        <v>-1.5414725208603752</v>
      </c>
      <c r="E2">
        <v>-0.5</v>
      </c>
      <c r="F2">
        <f t="shared" ref="E2:F9" si="0">_xlfn.NORM.S.DIST(D2,1)-0.5</f>
        <v>-0.43839908710556186</v>
      </c>
      <c r="G2">
        <f>F2-E2</f>
        <v>6.1600912894438142E-2</v>
      </c>
      <c r="H2">
        <f>112*G2</f>
        <v>6.8993022441770719</v>
      </c>
      <c r="I2">
        <f>C13-H2</f>
        <v>0.10069775582292806</v>
      </c>
      <c r="J2">
        <f>I2*I2</f>
        <v>1.0140038027774042E-2</v>
      </c>
      <c r="K2">
        <f>J2/H2</f>
        <v>1.4697193526102023E-3</v>
      </c>
      <c r="L2">
        <f>SUM(K2:K9)</f>
        <v>24.316461083407557</v>
      </c>
      <c r="M2">
        <f>_xlfn.CHISQ.INV(0.95,5)</f>
        <v>11.070497693516351</v>
      </c>
    </row>
    <row r="3" spans="1:13" x14ac:dyDescent="0.25">
      <c r="A3">
        <v>-9.1999999999999993</v>
      </c>
      <c r="B3">
        <v>-8.6</v>
      </c>
      <c r="C3">
        <f>(A3-A13)/B13</f>
        <v>-1.5414725208603752</v>
      </c>
      <c r="D3">
        <f>(B3-A13)/B13</f>
        <v>-1.2225471717168495</v>
      </c>
      <c r="E3">
        <f t="shared" si="0"/>
        <v>-0.43839908710556186</v>
      </c>
      <c r="F3">
        <f t="shared" si="0"/>
        <v>-0.38924961161832206</v>
      </c>
      <c r="G3">
        <f t="shared" ref="G3:G9" si="1">F3-E3</f>
        <v>4.9149475487239802E-2</v>
      </c>
      <c r="H3">
        <f t="shared" ref="H3:H9" si="2">112*G3</f>
        <v>5.5047412545708578</v>
      </c>
      <c r="I3">
        <f t="shared" ref="I3:I9" si="3">C14-H3</f>
        <v>6.4952587454291422</v>
      </c>
      <c r="J3">
        <f t="shared" ref="J3:J9" si="4">I3*I3</f>
        <v>42.188386170073755</v>
      </c>
      <c r="K3">
        <f>J3/H3</f>
        <v>7.6640089368492408</v>
      </c>
    </row>
    <row r="4" spans="1:13" x14ac:dyDescent="0.25">
      <c r="A4">
        <v>-8.6</v>
      </c>
      <c r="B4">
        <v>-7.5</v>
      </c>
      <c r="C4">
        <f>(A4-A13)/B13</f>
        <v>-1.2225471717168495</v>
      </c>
      <c r="D4">
        <f>(B4-A13)/B13</f>
        <v>-0.63785069828705199</v>
      </c>
      <c r="E4">
        <f t="shared" si="0"/>
        <v>-0.38924961161832206</v>
      </c>
      <c r="F4">
        <f t="shared" si="0"/>
        <v>-0.2382145632243694</v>
      </c>
      <c r="G4">
        <f t="shared" si="1"/>
        <v>0.15103504839395265</v>
      </c>
      <c r="H4">
        <f t="shared" si="2"/>
        <v>16.915925420122697</v>
      </c>
      <c r="I4">
        <f t="shared" si="3"/>
        <v>-1.9159254201226972</v>
      </c>
      <c r="J4">
        <f t="shared" si="4"/>
        <v>3.6707702154723338</v>
      </c>
      <c r="K4">
        <f t="shared" ref="K4:K9" si="5">J4/H4</f>
        <v>0.21700085122778393</v>
      </c>
    </row>
    <row r="5" spans="1:13" x14ac:dyDescent="0.25">
      <c r="A5">
        <v>-7.5</v>
      </c>
      <c r="B5">
        <v>-6.5</v>
      </c>
      <c r="C5">
        <f>(A5-A13)/B13</f>
        <v>-0.63785069828705199</v>
      </c>
      <c r="D5">
        <f>(B5-A13)/B13</f>
        <v>-0.10630844971450876</v>
      </c>
      <c r="E5">
        <f t="shared" si="0"/>
        <v>-0.2382145632243694</v>
      </c>
      <c r="F5">
        <f t="shared" si="0"/>
        <v>-4.2331186159553669E-2</v>
      </c>
      <c r="G5">
        <f t="shared" si="1"/>
        <v>0.19588337706481573</v>
      </c>
      <c r="H5">
        <f t="shared" si="2"/>
        <v>21.938938231259364</v>
      </c>
      <c r="I5">
        <f t="shared" si="3"/>
        <v>5.0610617687406361</v>
      </c>
      <c r="J5">
        <f t="shared" si="4"/>
        <v>25.614346227008095</v>
      </c>
      <c r="K5">
        <f t="shared" si="5"/>
        <v>1.1675289823512007</v>
      </c>
    </row>
    <row r="6" spans="1:13" x14ac:dyDescent="0.25">
      <c r="A6">
        <v>-6.5</v>
      </c>
      <c r="B6">
        <v>-5.4</v>
      </c>
      <c r="C6">
        <f>(A6-A13)/B13</f>
        <v>-0.10630844971450876</v>
      </c>
      <c r="D6">
        <f>(B6-A13)/B13</f>
        <v>0.47838802371528866</v>
      </c>
      <c r="E6">
        <f t="shared" si="0"/>
        <v>-4.2331186159553669E-2</v>
      </c>
      <c r="F6">
        <f t="shared" si="0"/>
        <v>0.18381297194899449</v>
      </c>
      <c r="G6">
        <f t="shared" si="1"/>
        <v>0.22614415810854815</v>
      </c>
      <c r="H6">
        <f t="shared" si="2"/>
        <v>25.328145708157393</v>
      </c>
      <c r="I6">
        <f t="shared" si="3"/>
        <v>-9.3281457081573933</v>
      </c>
      <c r="J6">
        <f t="shared" si="4"/>
        <v>87.014302352615204</v>
      </c>
      <c r="K6">
        <f t="shared" si="5"/>
        <v>3.4354785918888116</v>
      </c>
    </row>
    <row r="7" spans="1:13" x14ac:dyDescent="0.25">
      <c r="A7">
        <v>-5.4</v>
      </c>
      <c r="B7">
        <v>-4</v>
      </c>
      <c r="C7">
        <f>(A7-A13)/B13</f>
        <v>0.47838802371528866</v>
      </c>
      <c r="D7">
        <f>(B7-A13)/B13</f>
        <v>1.2225471717168495</v>
      </c>
      <c r="E7">
        <f t="shared" si="0"/>
        <v>0.18381297194899449</v>
      </c>
      <c r="F7">
        <f t="shared" si="0"/>
        <v>0.38924961161832206</v>
      </c>
      <c r="G7">
        <f t="shared" si="1"/>
        <v>0.20543663966932757</v>
      </c>
      <c r="H7">
        <f t="shared" si="2"/>
        <v>23.00890364296469</v>
      </c>
      <c r="I7">
        <f t="shared" si="3"/>
        <v>-9.0089036429646896</v>
      </c>
      <c r="J7">
        <f t="shared" si="4"/>
        <v>81.160344848222451</v>
      </c>
      <c r="K7">
        <f t="shared" si="5"/>
        <v>3.52734515766632</v>
      </c>
    </row>
    <row r="8" spans="1:13" x14ac:dyDescent="0.25">
      <c r="A8">
        <v>-4</v>
      </c>
      <c r="B8">
        <v>-3.4</v>
      </c>
      <c r="C8">
        <f>(A8-A13)/B13</f>
        <v>1.2225471717168495</v>
      </c>
      <c r="D8">
        <f>(B8-A13)/B13</f>
        <v>1.5414725208603755</v>
      </c>
      <c r="E8">
        <f t="shared" si="0"/>
        <v>0.38924961161832206</v>
      </c>
      <c r="F8">
        <f t="shared" si="0"/>
        <v>0.43839908710556186</v>
      </c>
      <c r="G8">
        <f t="shared" si="1"/>
        <v>4.9149475487239802E-2</v>
      </c>
      <c r="H8">
        <f t="shared" si="2"/>
        <v>5.5047412545708578</v>
      </c>
      <c r="I8">
        <f t="shared" si="3"/>
        <v>6.4952587454291422</v>
      </c>
      <c r="J8">
        <f t="shared" si="4"/>
        <v>42.188386170073755</v>
      </c>
      <c r="K8">
        <f t="shared" si="5"/>
        <v>7.6640089368492408</v>
      </c>
    </row>
    <row r="9" spans="1:13" x14ac:dyDescent="0.25">
      <c r="A9">
        <v>-3.4</v>
      </c>
      <c r="B9">
        <v>-2.5</v>
      </c>
      <c r="C9">
        <f>(A9-A13)/B13</f>
        <v>1.5414725208603755</v>
      </c>
      <c r="D9">
        <f>(B9-A13)/B13</f>
        <v>2.0198605445756646</v>
      </c>
      <c r="E9">
        <f t="shared" si="0"/>
        <v>0.43839908710556186</v>
      </c>
      <c r="F9">
        <v>0.5</v>
      </c>
      <c r="G9">
        <f t="shared" si="1"/>
        <v>6.1600912894438142E-2</v>
      </c>
      <c r="H9">
        <f t="shared" si="2"/>
        <v>6.8993022441770719</v>
      </c>
      <c r="I9">
        <f t="shared" si="3"/>
        <v>2.1006977558229281</v>
      </c>
      <c r="J9">
        <f t="shared" si="4"/>
        <v>4.4129310613194859</v>
      </c>
      <c r="K9">
        <f t="shared" si="5"/>
        <v>0.6396199072223494</v>
      </c>
    </row>
    <row r="10" spans="1:13" x14ac:dyDescent="0.25">
      <c r="G10">
        <f>SUM(G2:G9)</f>
        <v>1</v>
      </c>
      <c r="K10">
        <f>SUM(K2:K9)</f>
        <v>24.316461083407557</v>
      </c>
    </row>
    <row r="11" spans="1:13" x14ac:dyDescent="0.25">
      <c r="H11">
        <f>SUM(H2:H9)</f>
        <v>112.00000000000003</v>
      </c>
    </row>
    <row r="12" spans="1:13" x14ac:dyDescent="0.25">
      <c r="A12" s="8" t="s">
        <v>1</v>
      </c>
      <c r="B12" s="8" t="s">
        <v>4</v>
      </c>
      <c r="C12" s="8" t="s">
        <v>60</v>
      </c>
    </row>
    <row r="13" spans="1:13" x14ac:dyDescent="0.25">
      <c r="A13" s="6">
        <f>-6.3</f>
        <v>-6.3</v>
      </c>
      <c r="B13">
        <v>1.881318</v>
      </c>
      <c r="C13">
        <v>7</v>
      </c>
    </row>
    <row r="14" spans="1:13" x14ac:dyDescent="0.25">
      <c r="C14">
        <v>12</v>
      </c>
    </row>
    <row r="15" spans="1:13" x14ac:dyDescent="0.25">
      <c r="C15">
        <v>15</v>
      </c>
    </row>
    <row r="16" spans="1:13" x14ac:dyDescent="0.25">
      <c r="C16">
        <v>27</v>
      </c>
    </row>
    <row r="17" spans="3:3" x14ac:dyDescent="0.25">
      <c r="C17">
        <v>16</v>
      </c>
    </row>
    <row r="18" spans="3:3" x14ac:dyDescent="0.25">
      <c r="C18">
        <v>14</v>
      </c>
    </row>
    <row r="19" spans="3:3" x14ac:dyDescent="0.25">
      <c r="C19">
        <v>12</v>
      </c>
    </row>
    <row r="20" spans="3:3" x14ac:dyDescent="0.25">
      <c r="C20">
        <v>9</v>
      </c>
    </row>
    <row r="21" spans="3:3" x14ac:dyDescent="0.25">
      <c r="C21">
        <f>SUM(C13:C20)</f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"/>
  <sheetViews>
    <sheetView workbookViewId="0">
      <selection activeCell="G16" sqref="G16"/>
    </sheetView>
  </sheetViews>
  <sheetFormatPr defaultRowHeight="15" x14ac:dyDescent="0.25"/>
  <sheetData>
    <row r="1" spans="1:14" x14ac:dyDescent="0.25">
      <c r="M1" s="8" t="s">
        <v>77</v>
      </c>
    </row>
    <row r="2" spans="1:14" x14ac:dyDescent="0.25">
      <c r="A2" s="8" t="s">
        <v>67</v>
      </c>
      <c r="I2" s="8" t="s">
        <v>73</v>
      </c>
      <c r="J2" s="8" t="s">
        <v>71</v>
      </c>
      <c r="K2" s="8" t="s">
        <v>72</v>
      </c>
      <c r="L2" s="8" t="s">
        <v>74</v>
      </c>
      <c r="M2" s="8" t="s">
        <v>75</v>
      </c>
      <c r="N2" s="8" t="s">
        <v>76</v>
      </c>
    </row>
    <row r="3" spans="1:14" x14ac:dyDescent="0.25">
      <c r="A3" t="s">
        <v>68</v>
      </c>
      <c r="B3" t="s">
        <v>69</v>
      </c>
      <c r="I3">
        <v>0.28100000000000003</v>
      </c>
      <c r="J3">
        <v>1.9813718</v>
      </c>
      <c r="K3">
        <f>SQRT(102)</f>
        <v>10.099504938362077</v>
      </c>
      <c r="L3">
        <f>(J3*B5)/K3</f>
        <v>0.36908645075002411</v>
      </c>
      <c r="M3" s="6">
        <f>A5-L3</f>
        <v>-6.669086450750024</v>
      </c>
      <c r="N3" s="6">
        <f>A5+L3</f>
        <v>-5.9309135492499756</v>
      </c>
    </row>
    <row r="4" spans="1:14" x14ac:dyDescent="0.25">
      <c r="A4" t="s">
        <v>70</v>
      </c>
      <c r="B4" t="s">
        <v>4</v>
      </c>
    </row>
    <row r="5" spans="1:14" x14ac:dyDescent="0.25">
      <c r="A5" s="6">
        <f>-6.3</f>
        <v>-6.3</v>
      </c>
      <c r="B5">
        <v>1.881318</v>
      </c>
    </row>
    <row r="7" spans="1:14" x14ac:dyDescent="0.25">
      <c r="A7" s="8"/>
      <c r="E7" s="8" t="s">
        <v>78</v>
      </c>
      <c r="G7" s="8" t="s">
        <v>79</v>
      </c>
    </row>
    <row r="8" spans="1:14" x14ac:dyDescent="0.25">
      <c r="E8">
        <f>B5*I3</f>
        <v>0.52865035800000004</v>
      </c>
      <c r="G8" t="s">
        <v>80</v>
      </c>
    </row>
    <row r="9" spans="1:14" x14ac:dyDescent="0.25">
      <c r="G9" t="s">
        <v>81</v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3" shapeId="7169" r:id="rId4">
          <objectPr defaultSize="0" r:id="rId5">
            <anchor moveWithCells="1">
              <from>
                <xdr:col>2</xdr:col>
                <xdr:colOff>161925</xdr:colOff>
                <xdr:row>1</xdr:row>
                <xdr:rowOff>28575</xdr:rowOff>
              </from>
              <to>
                <xdr:col>7</xdr:col>
                <xdr:colOff>323850</xdr:colOff>
                <xdr:row>3</xdr:row>
                <xdr:rowOff>133350</xdr:rowOff>
              </to>
            </anchor>
          </objectPr>
        </oleObject>
      </mc:Choice>
      <mc:Fallback>
        <oleObject progId="Equation.3" shapeId="7169" r:id="rId4"/>
      </mc:Fallback>
    </mc:AlternateContent>
    <mc:AlternateContent xmlns:mc="http://schemas.openxmlformats.org/markup-compatibility/2006">
      <mc:Choice Requires="x14">
        <oleObject progId="Equation.3" shapeId="7170" r:id="rId6">
          <objectPr defaultSize="0" r:id="rId7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3</xdr:col>
                <xdr:colOff>447675</xdr:colOff>
                <xdr:row>8</xdr:row>
                <xdr:rowOff>76200</xdr:rowOff>
              </to>
            </anchor>
          </objectPr>
        </oleObject>
      </mc:Choice>
      <mc:Fallback>
        <oleObject progId="Equation.3" shapeId="7170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I29" sqref="I29"/>
    </sheetView>
  </sheetViews>
  <sheetFormatPr defaultRowHeight="15" x14ac:dyDescent="0.25"/>
  <cols>
    <col min="8" max="8" width="12" bestFit="1" customWidth="1"/>
    <col min="9" max="9" width="11.7109375" bestFit="1" customWidth="1"/>
    <col min="10" max="10" width="13" bestFit="1" customWidth="1"/>
  </cols>
  <sheetData>
    <row r="1" spans="1:13" x14ac:dyDescent="0.25">
      <c r="A1" s="8" t="s">
        <v>82</v>
      </c>
      <c r="C1" s="8" t="s">
        <v>83</v>
      </c>
      <c r="G1" s="8" t="s">
        <v>87</v>
      </c>
      <c r="H1" s="8" t="s">
        <v>86</v>
      </c>
      <c r="I1" s="8" t="s">
        <v>84</v>
      </c>
      <c r="J1" s="8" t="s">
        <v>89</v>
      </c>
      <c r="K1" s="35" t="s">
        <v>90</v>
      </c>
      <c r="L1" s="8" t="s">
        <v>91</v>
      </c>
      <c r="M1" s="8" t="s">
        <v>92</v>
      </c>
    </row>
    <row r="2" spans="1:13" x14ac:dyDescent="0.25">
      <c r="A2" s="2">
        <v>-6.6</v>
      </c>
      <c r="C2" s="5">
        <v>-4</v>
      </c>
      <c r="E2">
        <f>(A2-A14)^2</f>
        <v>8.99999999999999E-2</v>
      </c>
      <c r="F2">
        <f t="shared" ref="F2:F11" si="0">(C2-$A$14)^2</f>
        <v>5.2899999999999991</v>
      </c>
      <c r="G2">
        <v>10</v>
      </c>
      <c r="H2">
        <f>E12+F12</f>
        <v>180.36996549515104</v>
      </c>
      <c r="I2">
        <f>G2*(E17+F17)</f>
        <v>78.385806902040201</v>
      </c>
      <c r="J2">
        <f>H2-I2</f>
        <v>101.98415859311083</v>
      </c>
      <c r="K2">
        <f>H2/(G5*G2-1)</f>
        <v>9.4931560786921594</v>
      </c>
      <c r="L2">
        <f>I2/(G5-1)</f>
        <v>78.385806902040201</v>
      </c>
      <c r="M2">
        <f>J2/18</f>
        <v>5.6657865885061574</v>
      </c>
    </row>
    <row r="3" spans="1:13" x14ac:dyDescent="0.25">
      <c r="A3" s="2">
        <v>-4.7</v>
      </c>
      <c r="C3" s="32">
        <v>-2.2000000000000002</v>
      </c>
      <c r="E3">
        <f>(A3-A14)^2</f>
        <v>2.5599999999999987</v>
      </c>
      <c r="F3">
        <f t="shared" si="0"/>
        <v>16.809999999999999</v>
      </c>
    </row>
    <row r="4" spans="1:13" x14ac:dyDescent="0.25">
      <c r="A4" s="2">
        <v>-6.5</v>
      </c>
      <c r="C4" s="5">
        <v>-3.4</v>
      </c>
      <c r="E4">
        <f>(A4-A14)^2</f>
        <v>4.000000000000007E-2</v>
      </c>
      <c r="F4">
        <f t="shared" si="0"/>
        <v>8.41</v>
      </c>
      <c r="G4" s="8" t="s">
        <v>88</v>
      </c>
    </row>
    <row r="5" spans="1:13" x14ac:dyDescent="0.25">
      <c r="A5" s="2">
        <v>-9.1999999999999993</v>
      </c>
      <c r="C5" s="4">
        <v>-7.8</v>
      </c>
      <c r="E5">
        <f>(A5-A14)^2</f>
        <v>8.4099999999999966</v>
      </c>
      <c r="F5">
        <f t="shared" si="0"/>
        <v>2.25</v>
      </c>
      <c r="G5">
        <v>2</v>
      </c>
      <c r="I5" s="8" t="s">
        <v>93</v>
      </c>
      <c r="J5" s="8" t="s">
        <v>94</v>
      </c>
    </row>
    <row r="6" spans="1:13" ht="18" x14ac:dyDescent="0.25">
      <c r="A6" s="2">
        <v>-6.2</v>
      </c>
      <c r="C6" s="33">
        <v>-1.1695652173913043</v>
      </c>
      <c r="E6">
        <f>(A6-$A16)^2</f>
        <v>38.440000000000005</v>
      </c>
      <c r="F6">
        <f t="shared" si="0"/>
        <v>26.321361058601131</v>
      </c>
      <c r="I6">
        <f>L2/M2</f>
        <v>13.834938128636331</v>
      </c>
      <c r="J6" s="36">
        <v>4.41</v>
      </c>
    </row>
    <row r="7" spans="1:13" x14ac:dyDescent="0.25">
      <c r="A7" s="2">
        <v>-9</v>
      </c>
      <c r="C7" s="6">
        <v>-3.5311203319502074</v>
      </c>
      <c r="E7">
        <f>(A7-A14)^2</f>
        <v>7.2900000000000009</v>
      </c>
      <c r="F7">
        <f t="shared" si="0"/>
        <v>7.6666946161395293</v>
      </c>
    </row>
    <row r="8" spans="1:13" x14ac:dyDescent="0.25">
      <c r="A8" s="2">
        <v>-8.1999999999999993</v>
      </c>
      <c r="C8" s="33">
        <v>-1.0946502057613168</v>
      </c>
      <c r="E8">
        <f>(A8-A14)^2</f>
        <v>3.6099999999999981</v>
      </c>
      <c r="F8">
        <f t="shared" si="0"/>
        <v>27.095666480380697</v>
      </c>
      <c r="I8" s="42" t="s">
        <v>95</v>
      </c>
    </row>
    <row r="9" spans="1:13" x14ac:dyDescent="0.25">
      <c r="A9" s="2">
        <v>-8.4</v>
      </c>
      <c r="C9" s="6">
        <v>-3.6682242990654204</v>
      </c>
      <c r="E9">
        <f>(A9-A14)^2</f>
        <v>4.4100000000000019</v>
      </c>
      <c r="F9">
        <f t="shared" si="0"/>
        <v>6.9262433400296972</v>
      </c>
    </row>
    <row r="10" spans="1:13" x14ac:dyDescent="0.25">
      <c r="A10" s="2">
        <v>-8.6999999999999993</v>
      </c>
      <c r="C10" s="6">
        <v>-3.6</v>
      </c>
      <c r="E10">
        <f>(A10-A14)^2</f>
        <v>5.7599999999999971</v>
      </c>
      <c r="F10">
        <f t="shared" si="0"/>
        <v>7.2899999999999983</v>
      </c>
    </row>
    <row r="11" spans="1:13" x14ac:dyDescent="0.25">
      <c r="A11" s="2">
        <v>-5</v>
      </c>
      <c r="C11" s="7">
        <v>-6.2</v>
      </c>
      <c r="E11">
        <f>(A11-A14)^2</f>
        <v>1.6899999999999995</v>
      </c>
      <c r="F11">
        <f t="shared" si="0"/>
        <v>9.9999999999999291E-3</v>
      </c>
    </row>
    <row r="12" spans="1:13" x14ac:dyDescent="0.25">
      <c r="A12" s="34">
        <f>SUM(A2:A11)</f>
        <v>-72.5</v>
      </c>
      <c r="C12" s="34">
        <f>SUM(C2:C11)</f>
        <v>-36.663560054168251</v>
      </c>
      <c r="E12">
        <f>SUM(E2:E11)</f>
        <v>72.299999999999983</v>
      </c>
      <c r="F12">
        <f>SUM(F2:F11)</f>
        <v>108.06996549515105</v>
      </c>
    </row>
    <row r="13" spans="1:13" x14ac:dyDescent="0.25">
      <c r="A13" s="8" t="s">
        <v>85</v>
      </c>
    </row>
    <row r="14" spans="1:13" x14ac:dyDescent="0.25">
      <c r="A14" s="2">
        <v>-6.3</v>
      </c>
    </row>
    <row r="15" spans="1:13" x14ac:dyDescent="0.25">
      <c r="C15">
        <v>-36.700000000000003</v>
      </c>
      <c r="E15" s="6">
        <f>AVERAGE(A2:A11)</f>
        <v>-7.25</v>
      </c>
      <c r="F15" s="6">
        <f>AVERAGE(C2:C11)</f>
        <v>-3.6663560054168252</v>
      </c>
    </row>
    <row r="16" spans="1:13" x14ac:dyDescent="0.25">
      <c r="C16">
        <v>-72.5</v>
      </c>
      <c r="E16" s="6">
        <f>E15-A14</f>
        <v>-0.95000000000000018</v>
      </c>
      <c r="F16" s="6">
        <f>F15-A14</f>
        <v>2.6336439945831747</v>
      </c>
    </row>
    <row r="17" spans="5:6" x14ac:dyDescent="0.25">
      <c r="E17">
        <f>E16*E16</f>
        <v>0.9025000000000003</v>
      </c>
      <c r="F17">
        <f>F16*F16</f>
        <v>6.9360806902040206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topLeftCell="A4" workbookViewId="0">
      <selection activeCell="AA14" sqref="AA14"/>
    </sheetView>
  </sheetViews>
  <sheetFormatPr defaultRowHeight="15" x14ac:dyDescent="0.25"/>
  <sheetData>
    <row r="1" spans="1:21" x14ac:dyDescent="0.25">
      <c r="A1" s="38" t="s">
        <v>96</v>
      </c>
      <c r="B1" s="1" t="s">
        <v>97</v>
      </c>
      <c r="C1" s="1" t="s">
        <v>98</v>
      </c>
      <c r="D1" s="1" t="s">
        <v>0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R1" s="8" t="s">
        <v>111</v>
      </c>
      <c r="S1" s="8" t="s">
        <v>112</v>
      </c>
      <c r="T1" s="8" t="s">
        <v>113</v>
      </c>
      <c r="U1" s="8" t="s">
        <v>114</v>
      </c>
    </row>
    <row r="2" spans="1:21" x14ac:dyDescent="0.25">
      <c r="A2" s="39">
        <v>1881</v>
      </c>
      <c r="B2" s="6">
        <v>-15.5</v>
      </c>
      <c r="C2" s="2">
        <v>-14.7</v>
      </c>
      <c r="D2" s="2">
        <v>-6.6</v>
      </c>
      <c r="E2" s="2">
        <v>4.9000000000000004</v>
      </c>
      <c r="F2" s="2">
        <v>12.1</v>
      </c>
      <c r="G2" s="2">
        <v>14.5</v>
      </c>
      <c r="H2" s="2">
        <v>17.3</v>
      </c>
      <c r="I2" s="2">
        <v>17.399999999999999</v>
      </c>
      <c r="J2" s="2">
        <v>5.6</v>
      </c>
      <c r="K2" s="2">
        <v>0.1</v>
      </c>
      <c r="L2" s="2">
        <v>-9.1999999999999993</v>
      </c>
      <c r="M2" s="2">
        <v>-14.2</v>
      </c>
      <c r="Q2" s="2"/>
      <c r="R2">
        <v>1</v>
      </c>
      <c r="S2">
        <f>POWER(R2,2)</f>
        <v>1</v>
      </c>
      <c r="T2">
        <f>POWER(R2,3)</f>
        <v>1</v>
      </c>
      <c r="U2">
        <f>POWER(R2,4)</f>
        <v>1</v>
      </c>
    </row>
    <row r="3" spans="1:21" x14ac:dyDescent="0.25">
      <c r="A3" s="39">
        <v>1882</v>
      </c>
      <c r="B3" s="6">
        <v>-12.7</v>
      </c>
      <c r="C3" s="2">
        <v>-12.4</v>
      </c>
      <c r="D3" s="2">
        <v>-4.7</v>
      </c>
      <c r="E3" s="2">
        <v>-0.5</v>
      </c>
      <c r="F3" s="2">
        <v>10.5</v>
      </c>
      <c r="G3" s="2">
        <v>15</v>
      </c>
      <c r="H3" s="2">
        <v>17.100000000000001</v>
      </c>
      <c r="I3" s="2">
        <v>15.1</v>
      </c>
      <c r="J3" s="2">
        <v>8.5</v>
      </c>
      <c r="K3" s="2">
        <v>-3.8</v>
      </c>
      <c r="L3" s="2">
        <v>-4.8</v>
      </c>
      <c r="M3" s="2">
        <v>-17.8</v>
      </c>
      <c r="O3" s="40" t="s">
        <v>110</v>
      </c>
      <c r="R3">
        <v>2</v>
      </c>
      <c r="S3">
        <f t="shared" ref="S3:S13" si="0">POWER(R3,2)</f>
        <v>4</v>
      </c>
      <c r="T3">
        <f t="shared" ref="T3:T13" si="1">POWER(R3,3)</f>
        <v>8</v>
      </c>
      <c r="U3">
        <f t="shared" ref="U3:U13" si="2">POWER(R3,4)</f>
        <v>16</v>
      </c>
    </row>
    <row r="4" spans="1:21" x14ac:dyDescent="0.25">
      <c r="A4" s="39">
        <v>1883</v>
      </c>
      <c r="B4" s="6">
        <v>-19.100000000000001</v>
      </c>
      <c r="C4" s="2">
        <v>-12.3</v>
      </c>
      <c r="D4" s="2">
        <v>-6.5</v>
      </c>
      <c r="E4" s="37">
        <v>-2.2000000000000002</v>
      </c>
      <c r="F4" s="2">
        <v>12.5</v>
      </c>
      <c r="G4" s="2">
        <v>15.1</v>
      </c>
      <c r="H4" s="2">
        <v>16.899999999999999</v>
      </c>
      <c r="I4" s="2">
        <v>13.8</v>
      </c>
      <c r="J4" s="2">
        <v>8.9</v>
      </c>
      <c r="K4" s="2">
        <v>1.2</v>
      </c>
      <c r="L4" s="2">
        <v>-6.1</v>
      </c>
      <c r="M4" s="2">
        <v>-10.8</v>
      </c>
      <c r="O4" s="2">
        <f>AVERAGE(B2:M11)</f>
        <v>0.89666666666666694</v>
      </c>
      <c r="R4">
        <v>3</v>
      </c>
      <c r="S4">
        <f t="shared" si="0"/>
        <v>9</v>
      </c>
      <c r="T4">
        <f t="shared" si="1"/>
        <v>27</v>
      </c>
      <c r="U4">
        <f t="shared" si="2"/>
        <v>81</v>
      </c>
    </row>
    <row r="5" spans="1:21" x14ac:dyDescent="0.25">
      <c r="A5" s="39">
        <v>1884</v>
      </c>
      <c r="B5" s="6">
        <v>-13.9</v>
      </c>
      <c r="C5" s="2">
        <v>-15.5</v>
      </c>
      <c r="D5" s="2">
        <v>-9.1999999999999993</v>
      </c>
      <c r="E5" s="2">
        <v>-1.8</v>
      </c>
      <c r="F5" s="2">
        <v>8.9</v>
      </c>
      <c r="G5" s="2">
        <v>13.1</v>
      </c>
      <c r="H5" s="2">
        <v>16.8</v>
      </c>
      <c r="I5" s="37">
        <v>11.5</v>
      </c>
      <c r="J5" s="37">
        <v>4.8</v>
      </c>
      <c r="K5" s="2">
        <v>3.4</v>
      </c>
      <c r="L5" s="2">
        <v>-6</v>
      </c>
      <c r="M5" s="2">
        <v>-8.1</v>
      </c>
      <c r="R5">
        <v>4</v>
      </c>
      <c r="S5">
        <f t="shared" si="0"/>
        <v>16</v>
      </c>
      <c r="T5">
        <f t="shared" si="1"/>
        <v>64</v>
      </c>
      <c r="U5">
        <f t="shared" si="2"/>
        <v>256</v>
      </c>
    </row>
    <row r="6" spans="1:21" x14ac:dyDescent="0.25">
      <c r="A6" s="39">
        <v>1885</v>
      </c>
      <c r="B6" s="6">
        <v>-20.6</v>
      </c>
      <c r="C6" s="2">
        <v>-10.8</v>
      </c>
      <c r="D6" s="2">
        <v>-6.2</v>
      </c>
      <c r="E6" s="2">
        <v>-0.4</v>
      </c>
      <c r="F6" s="2">
        <v>10.4</v>
      </c>
      <c r="G6" s="2">
        <v>14.3</v>
      </c>
      <c r="H6" s="2">
        <v>16.2</v>
      </c>
      <c r="I6" s="2">
        <v>12.1</v>
      </c>
      <c r="J6" s="2">
        <v>7.6</v>
      </c>
      <c r="K6" s="2">
        <v>0.5</v>
      </c>
      <c r="L6" s="2">
        <v>-9.3000000000000007</v>
      </c>
      <c r="M6" s="2">
        <v>-10.7</v>
      </c>
      <c r="R6">
        <v>5</v>
      </c>
      <c r="S6">
        <f t="shared" si="0"/>
        <v>25</v>
      </c>
      <c r="T6">
        <f t="shared" si="1"/>
        <v>125</v>
      </c>
      <c r="U6">
        <f t="shared" si="2"/>
        <v>625</v>
      </c>
    </row>
    <row r="7" spans="1:21" x14ac:dyDescent="0.25">
      <c r="A7" s="39">
        <v>1886</v>
      </c>
      <c r="B7" s="6">
        <v>-11.5</v>
      </c>
      <c r="C7" s="2">
        <v>-14.8</v>
      </c>
      <c r="D7" s="2">
        <v>-9</v>
      </c>
      <c r="E7" s="2">
        <v>1.1000000000000001</v>
      </c>
      <c r="F7" s="2">
        <v>7.2</v>
      </c>
      <c r="G7" s="2">
        <v>12</v>
      </c>
      <c r="H7" s="2">
        <v>16.8</v>
      </c>
      <c r="I7" s="2">
        <v>14.8</v>
      </c>
      <c r="J7" s="2">
        <v>8.4</v>
      </c>
      <c r="K7" s="2">
        <v>-2.9</v>
      </c>
      <c r="L7" s="2">
        <v>-7.6</v>
      </c>
      <c r="M7" s="2">
        <v>-6.1</v>
      </c>
      <c r="R7">
        <v>6</v>
      </c>
      <c r="S7">
        <f t="shared" si="0"/>
        <v>36</v>
      </c>
      <c r="T7">
        <f t="shared" si="1"/>
        <v>216</v>
      </c>
      <c r="U7">
        <f t="shared" si="2"/>
        <v>1296</v>
      </c>
    </row>
    <row r="8" spans="1:21" x14ac:dyDescent="0.25">
      <c r="A8" s="39">
        <v>1887</v>
      </c>
      <c r="B8" s="6">
        <v>-16.7</v>
      </c>
      <c r="C8" s="2">
        <v>-10.5</v>
      </c>
      <c r="D8" s="2">
        <v>-8.1999999999999993</v>
      </c>
      <c r="E8" s="2">
        <v>2.1</v>
      </c>
      <c r="F8" s="2">
        <v>12.6</v>
      </c>
      <c r="G8" s="2">
        <v>17.2</v>
      </c>
      <c r="H8" s="2">
        <v>16.899999999999999</v>
      </c>
      <c r="I8" s="2">
        <v>15</v>
      </c>
      <c r="J8" s="2">
        <v>12.4</v>
      </c>
      <c r="K8" s="2">
        <v>0.3</v>
      </c>
      <c r="L8" s="2">
        <v>-5</v>
      </c>
      <c r="M8" s="2">
        <v>-9.6999999999999993</v>
      </c>
      <c r="R8">
        <v>7</v>
      </c>
      <c r="S8">
        <f t="shared" si="0"/>
        <v>49</v>
      </c>
      <c r="T8">
        <f t="shared" si="1"/>
        <v>343</v>
      </c>
      <c r="U8">
        <f t="shared" si="2"/>
        <v>2401</v>
      </c>
    </row>
    <row r="9" spans="1:21" x14ac:dyDescent="0.25">
      <c r="A9" s="39">
        <v>1888</v>
      </c>
      <c r="B9" s="6">
        <v>-17.2</v>
      </c>
      <c r="C9" s="2">
        <v>-15.5</v>
      </c>
      <c r="D9" s="2">
        <v>-8.4</v>
      </c>
      <c r="E9" s="2">
        <v>6.5</v>
      </c>
      <c r="F9" s="2">
        <v>12.3</v>
      </c>
      <c r="G9" s="2">
        <v>16.100000000000001</v>
      </c>
      <c r="H9" s="2">
        <v>20.2</v>
      </c>
      <c r="I9" s="2">
        <v>15.2</v>
      </c>
      <c r="J9" s="2">
        <v>10.199999999999999</v>
      </c>
      <c r="K9" s="2">
        <v>1.9</v>
      </c>
      <c r="L9" s="2">
        <v>-9.6</v>
      </c>
      <c r="M9" s="2">
        <v>-20.2</v>
      </c>
      <c r="R9">
        <v>8</v>
      </c>
      <c r="S9">
        <f t="shared" si="0"/>
        <v>64</v>
      </c>
      <c r="T9">
        <f t="shared" si="1"/>
        <v>512</v>
      </c>
      <c r="U9">
        <f t="shared" si="2"/>
        <v>4096</v>
      </c>
    </row>
    <row r="10" spans="1:21" x14ac:dyDescent="0.25">
      <c r="A10" s="39">
        <v>1889</v>
      </c>
      <c r="B10" s="6">
        <v>-17.2</v>
      </c>
      <c r="C10" s="2">
        <v>-12.1</v>
      </c>
      <c r="D10" s="2">
        <v>-8.6999999999999993</v>
      </c>
      <c r="E10" s="2">
        <v>3.9</v>
      </c>
      <c r="F10" s="2">
        <v>11.1</v>
      </c>
      <c r="G10" s="2">
        <v>14.3</v>
      </c>
      <c r="H10" s="2">
        <v>16.600000000000001</v>
      </c>
      <c r="I10" s="2">
        <v>16</v>
      </c>
      <c r="J10" s="2">
        <v>10</v>
      </c>
      <c r="K10" s="2">
        <v>0.9</v>
      </c>
      <c r="L10" s="2">
        <v>-11.4</v>
      </c>
      <c r="M10" s="2">
        <v>-12.3</v>
      </c>
      <c r="R10">
        <v>9</v>
      </c>
      <c r="S10">
        <f t="shared" si="0"/>
        <v>81</v>
      </c>
      <c r="T10">
        <f t="shared" si="1"/>
        <v>729</v>
      </c>
      <c r="U10">
        <f t="shared" si="2"/>
        <v>6561</v>
      </c>
    </row>
    <row r="11" spans="1:21" x14ac:dyDescent="0.25">
      <c r="A11" s="39">
        <v>1890</v>
      </c>
      <c r="B11" s="6">
        <v>-15.1</v>
      </c>
      <c r="C11" s="2">
        <v>-12.3</v>
      </c>
      <c r="D11" s="2">
        <v>-5</v>
      </c>
      <c r="E11" s="2">
        <v>1.6</v>
      </c>
      <c r="F11" s="2">
        <v>4.9000000000000004</v>
      </c>
      <c r="G11" s="2">
        <v>17.8</v>
      </c>
      <c r="H11" s="2">
        <v>21.4</v>
      </c>
      <c r="I11" s="2">
        <v>14.8</v>
      </c>
      <c r="J11" s="2">
        <v>9.1</v>
      </c>
      <c r="K11" s="2">
        <v>2.5</v>
      </c>
      <c r="L11" s="37">
        <v>-16.8</v>
      </c>
      <c r="M11" s="2">
        <v>-12.4</v>
      </c>
      <c r="R11">
        <v>10</v>
      </c>
      <c r="S11">
        <f t="shared" si="0"/>
        <v>100</v>
      </c>
      <c r="T11">
        <f t="shared" si="1"/>
        <v>1000</v>
      </c>
      <c r="U11">
        <f t="shared" si="2"/>
        <v>10000</v>
      </c>
    </row>
    <row r="12" spans="1:21" x14ac:dyDescent="0.25">
      <c r="R12">
        <v>11</v>
      </c>
      <c r="S12">
        <f t="shared" si="0"/>
        <v>121</v>
      </c>
      <c r="T12">
        <f t="shared" si="1"/>
        <v>1331</v>
      </c>
      <c r="U12">
        <f t="shared" si="2"/>
        <v>14641</v>
      </c>
    </row>
    <row r="13" spans="1:21" x14ac:dyDescent="0.25">
      <c r="A13" t="s">
        <v>108</v>
      </c>
      <c r="C13" t="s">
        <v>109</v>
      </c>
      <c r="R13">
        <v>12</v>
      </c>
      <c r="S13">
        <f t="shared" si="0"/>
        <v>144</v>
      </c>
      <c r="T13">
        <f t="shared" si="1"/>
        <v>1728</v>
      </c>
      <c r="U13">
        <f t="shared" si="2"/>
        <v>20736</v>
      </c>
    </row>
    <row r="14" spans="1:21" x14ac:dyDescent="0.25">
      <c r="A14">
        <v>10</v>
      </c>
      <c r="C14" s="2">
        <v>12</v>
      </c>
      <c r="R14">
        <f>AVERAGE(R2:R13)</f>
        <v>6.5</v>
      </c>
      <c r="S14">
        <f>AVERAGE(S2:S13)</f>
        <v>54.166666666666664</v>
      </c>
      <c r="T14">
        <f>AVERAGE(T2:T13)</f>
        <v>507</v>
      </c>
      <c r="U14">
        <f>AVERAGE(U2:U13)</f>
        <v>5059.166666666667</v>
      </c>
    </row>
    <row r="15" spans="1:21" x14ac:dyDescent="0.25">
      <c r="B15">
        <v>1</v>
      </c>
      <c r="C15" s="2">
        <v>2</v>
      </c>
      <c r="D15">
        <v>3</v>
      </c>
      <c r="E15" s="2">
        <v>4</v>
      </c>
      <c r="F15">
        <v>5</v>
      </c>
      <c r="G15" s="2">
        <v>6</v>
      </c>
      <c r="H15">
        <v>7</v>
      </c>
      <c r="I15" s="2">
        <v>8</v>
      </c>
      <c r="J15">
        <v>9</v>
      </c>
      <c r="K15" s="2">
        <f>10</f>
        <v>10</v>
      </c>
      <c r="L15">
        <f>11</f>
        <v>11</v>
      </c>
      <c r="M15" s="2">
        <v>12</v>
      </c>
    </row>
    <row r="16" spans="1:21" x14ac:dyDescent="0.25">
      <c r="B16" s="6">
        <v>-15.5</v>
      </c>
      <c r="C16" s="2">
        <f>-14.7*2</f>
        <v>-29.4</v>
      </c>
      <c r="D16" s="2">
        <f>-6.6*3</f>
        <v>-19.799999999999997</v>
      </c>
      <c r="E16" s="2">
        <f>4.9*4</f>
        <v>19.600000000000001</v>
      </c>
      <c r="F16" s="2">
        <f>12.1*5</f>
        <v>60.5</v>
      </c>
      <c r="G16" s="2">
        <f>14.5*6</f>
        <v>87</v>
      </c>
      <c r="H16" s="2">
        <f>17.3*7</f>
        <v>121.10000000000001</v>
      </c>
      <c r="I16" s="2">
        <f>17.4*8</f>
        <v>139.19999999999999</v>
      </c>
      <c r="J16" s="2">
        <f>5.6*9</f>
        <v>50.4</v>
      </c>
      <c r="K16" s="2">
        <f>0.1*10</f>
        <v>1</v>
      </c>
      <c r="L16" s="2">
        <f>-9.2*11</f>
        <v>-101.19999999999999</v>
      </c>
      <c r="M16" s="2">
        <f>-14.2*12</f>
        <v>-170.39999999999998</v>
      </c>
    </row>
    <row r="17" spans="2:19" x14ac:dyDescent="0.25">
      <c r="B17" s="6">
        <v>-12.7</v>
      </c>
      <c r="C17" s="2">
        <f>-12.4*2</f>
        <v>-24.8</v>
      </c>
      <c r="D17" s="2">
        <f>-4.7*3</f>
        <v>-14.100000000000001</v>
      </c>
      <c r="E17" s="2">
        <f>-0.5*4</f>
        <v>-2</v>
      </c>
      <c r="F17" s="2">
        <f>10.5*5</f>
        <v>52.5</v>
      </c>
      <c r="G17" s="2">
        <f>15*6</f>
        <v>90</v>
      </c>
      <c r="H17" s="2">
        <f>17.1*7</f>
        <v>119.70000000000002</v>
      </c>
      <c r="I17" s="2">
        <f>15.1*8</f>
        <v>120.8</v>
      </c>
      <c r="J17" s="2">
        <f>8.5*9</f>
        <v>76.5</v>
      </c>
      <c r="K17" s="2">
        <f>-3.8*10</f>
        <v>-38</v>
      </c>
      <c r="L17" s="2">
        <f>-4.8*11</f>
        <v>-52.8</v>
      </c>
      <c r="M17" s="2">
        <f>-17.8*12</f>
        <v>-213.60000000000002</v>
      </c>
    </row>
    <row r="18" spans="2:19" x14ac:dyDescent="0.25">
      <c r="B18" s="6">
        <v>-19.100000000000001</v>
      </c>
      <c r="C18" s="2">
        <f>-12.3*2</f>
        <v>-24.6</v>
      </c>
      <c r="D18" s="2">
        <f>-6.5*3</f>
        <v>-19.5</v>
      </c>
      <c r="E18" s="37">
        <f>-2.2*4</f>
        <v>-8.8000000000000007</v>
      </c>
      <c r="F18" s="2">
        <f>12.5*5</f>
        <v>62.5</v>
      </c>
      <c r="G18" s="2">
        <f>15.1*6</f>
        <v>90.6</v>
      </c>
      <c r="H18" s="2">
        <f>16.9*7</f>
        <v>118.29999999999998</v>
      </c>
      <c r="I18" s="2">
        <f>13.8*8</f>
        <v>110.4</v>
      </c>
      <c r="J18" s="2">
        <f>8.9*9</f>
        <v>80.100000000000009</v>
      </c>
      <c r="K18" s="2">
        <f>1.2*10</f>
        <v>12</v>
      </c>
      <c r="L18" s="2">
        <f>-6.1*11</f>
        <v>-67.099999999999994</v>
      </c>
      <c r="M18" s="2">
        <f>-10.8*12</f>
        <v>-129.60000000000002</v>
      </c>
    </row>
    <row r="19" spans="2:19" x14ac:dyDescent="0.25">
      <c r="B19" s="6">
        <v>-13.9</v>
      </c>
      <c r="C19" s="2">
        <f>-15.5*2</f>
        <v>-31</v>
      </c>
      <c r="D19" s="2">
        <f>-9.2*3</f>
        <v>-27.599999999999998</v>
      </c>
      <c r="E19" s="2">
        <f>-1.8*4</f>
        <v>-7.2</v>
      </c>
      <c r="F19" s="2">
        <f>8.9*5</f>
        <v>44.5</v>
      </c>
      <c r="G19" s="2">
        <f>13.1*6</f>
        <v>78.599999999999994</v>
      </c>
      <c r="H19" s="2">
        <f>16.8*7</f>
        <v>117.60000000000001</v>
      </c>
      <c r="I19" s="37">
        <f>11.5*8</f>
        <v>92</v>
      </c>
      <c r="J19" s="37">
        <f>4.8*9</f>
        <v>43.199999999999996</v>
      </c>
      <c r="K19" s="2">
        <f>3.4*10</f>
        <v>34</v>
      </c>
      <c r="L19" s="2">
        <f>-6*11</f>
        <v>-66</v>
      </c>
      <c r="M19" s="2">
        <f>-8.1*12</f>
        <v>-97.199999999999989</v>
      </c>
    </row>
    <row r="20" spans="2:19" x14ac:dyDescent="0.25">
      <c r="B20" s="6">
        <v>-20.6</v>
      </c>
      <c r="C20" s="2">
        <f>-10.8*2</f>
        <v>-21.6</v>
      </c>
      <c r="D20" s="2">
        <f>-6.2*3</f>
        <v>-18.600000000000001</v>
      </c>
      <c r="E20" s="2">
        <f>-0.4*4</f>
        <v>-1.6</v>
      </c>
      <c r="F20" s="2">
        <f>10.4*5</f>
        <v>52</v>
      </c>
      <c r="G20" s="2">
        <f>14.3*6</f>
        <v>85.800000000000011</v>
      </c>
      <c r="H20" s="2">
        <f>16.2*7</f>
        <v>113.39999999999999</v>
      </c>
      <c r="I20" s="2">
        <f>12.1*8</f>
        <v>96.8</v>
      </c>
      <c r="J20" s="2">
        <f>7.6*9</f>
        <v>68.399999999999991</v>
      </c>
      <c r="K20" s="2">
        <f>0.5*10</f>
        <v>5</v>
      </c>
      <c r="L20" s="2">
        <f>-9.3*11</f>
        <v>-102.30000000000001</v>
      </c>
      <c r="M20" s="2">
        <f>-10.7*12</f>
        <v>-128.39999999999998</v>
      </c>
    </row>
    <row r="21" spans="2:19" x14ac:dyDescent="0.25">
      <c r="B21" s="6">
        <v>-11.5</v>
      </c>
      <c r="C21" s="2">
        <f>-14.8*2</f>
        <v>-29.6</v>
      </c>
      <c r="D21" s="2">
        <f>-9*3</f>
        <v>-27</v>
      </c>
      <c r="E21" s="2">
        <f>1.1*4</f>
        <v>4.4000000000000004</v>
      </c>
      <c r="F21" s="2">
        <f>7.2*5</f>
        <v>36</v>
      </c>
      <c r="G21" s="2">
        <f>12*6</f>
        <v>72</v>
      </c>
      <c r="H21" s="2">
        <f>16.8*7</f>
        <v>117.60000000000001</v>
      </c>
      <c r="I21" s="2">
        <f>14.8*8</f>
        <v>118.4</v>
      </c>
      <c r="J21" s="2">
        <f>8.4*9</f>
        <v>75.600000000000009</v>
      </c>
      <c r="K21" s="2">
        <f>-2.9*10</f>
        <v>-29</v>
      </c>
      <c r="L21" s="2">
        <f>-7.6*11</f>
        <v>-83.6</v>
      </c>
      <c r="M21" s="2">
        <f>-6.1*12</f>
        <v>-73.199999999999989</v>
      </c>
      <c r="R21" s="8" t="s">
        <v>117</v>
      </c>
      <c r="S21">
        <v>-0.91</v>
      </c>
    </row>
    <row r="22" spans="2:19" x14ac:dyDescent="0.25">
      <c r="B22" s="6">
        <v>-16.7</v>
      </c>
      <c r="C22" s="2">
        <f>-10.5*2</f>
        <v>-21</v>
      </c>
      <c r="D22" s="2">
        <f>-8.2*3</f>
        <v>-24.599999999999998</v>
      </c>
      <c r="E22" s="2">
        <f>2.1*4</f>
        <v>8.4</v>
      </c>
      <c r="F22" s="2">
        <f>12.6*5</f>
        <v>63</v>
      </c>
      <c r="G22" s="2">
        <f>17.2*6</f>
        <v>103.19999999999999</v>
      </c>
      <c r="H22" s="2">
        <f>16.9*7</f>
        <v>118.29999999999998</v>
      </c>
      <c r="I22" s="2">
        <f>15*8</f>
        <v>120</v>
      </c>
      <c r="J22" s="2">
        <f>12.4*9</f>
        <v>111.60000000000001</v>
      </c>
      <c r="K22" s="2">
        <f>0.3*10</f>
        <v>3</v>
      </c>
      <c r="L22" s="2">
        <f>-5*11</f>
        <v>-55</v>
      </c>
      <c r="M22" s="2">
        <f>-9.7*12</f>
        <v>-116.39999999999999</v>
      </c>
      <c r="R22" s="8" t="s">
        <v>118</v>
      </c>
      <c r="S22">
        <v>12.39</v>
      </c>
    </row>
    <row r="23" spans="2:19" x14ac:dyDescent="0.25">
      <c r="B23" s="6">
        <v>-17.2</v>
      </c>
      <c r="C23" s="2">
        <f>-15.5*2</f>
        <v>-31</v>
      </c>
      <c r="D23" s="2">
        <f>-8.4*3</f>
        <v>-25.200000000000003</v>
      </c>
      <c r="E23" s="2">
        <f>6.5*4</f>
        <v>26</v>
      </c>
      <c r="F23" s="2">
        <f>12.3*5</f>
        <v>61.5</v>
      </c>
      <c r="G23" s="2">
        <f>16.1*6</f>
        <v>96.600000000000009</v>
      </c>
      <c r="H23" s="2">
        <f>20.2*7</f>
        <v>141.4</v>
      </c>
      <c r="I23" s="2">
        <f>15.2*8</f>
        <v>121.6</v>
      </c>
      <c r="J23" s="2">
        <f>10.2*9</f>
        <v>91.8</v>
      </c>
      <c r="K23" s="2">
        <f>1.9*10</f>
        <v>19</v>
      </c>
      <c r="L23" s="2">
        <f>-9.6*11</f>
        <v>-105.6</v>
      </c>
      <c r="M23" s="2">
        <f>-20.2*12</f>
        <v>-242.39999999999998</v>
      </c>
      <c r="O23" s="8" t="s">
        <v>115</v>
      </c>
      <c r="R23" s="8" t="s">
        <v>119</v>
      </c>
      <c r="S23">
        <v>-30.34</v>
      </c>
    </row>
    <row r="24" spans="2:19" x14ac:dyDescent="0.25">
      <c r="B24" s="6">
        <v>-17.2</v>
      </c>
      <c r="C24" s="2">
        <f>-12.1*2</f>
        <v>-24.2</v>
      </c>
      <c r="D24" s="2">
        <f>-8.7*3</f>
        <v>-26.099999999999998</v>
      </c>
      <c r="E24" s="2">
        <f>3.9*4</f>
        <v>15.6</v>
      </c>
      <c r="F24" s="2">
        <f>11.1*5</f>
        <v>55.5</v>
      </c>
      <c r="G24" s="2">
        <f>14.3*6</f>
        <v>85.800000000000011</v>
      </c>
      <c r="H24" s="2">
        <f>16.6*7</f>
        <v>116.20000000000002</v>
      </c>
      <c r="I24" s="2">
        <f>16*8</f>
        <v>128</v>
      </c>
      <c r="J24" s="2">
        <f>10*9</f>
        <v>90</v>
      </c>
      <c r="K24" s="2">
        <f>0.9*10</f>
        <v>9</v>
      </c>
      <c r="L24" s="2">
        <f>-11.4*11</f>
        <v>-125.4</v>
      </c>
      <c r="M24" s="2">
        <f>-12.3*12</f>
        <v>-147.60000000000002</v>
      </c>
      <c r="O24" s="6">
        <f>AVERAGE(B16:M25)</f>
        <v>12.645</v>
      </c>
    </row>
    <row r="25" spans="2:19" x14ac:dyDescent="0.25">
      <c r="B25" s="6">
        <v>-15.1</v>
      </c>
      <c r="C25" s="2">
        <f>-12.3*2</f>
        <v>-24.6</v>
      </c>
      <c r="D25" s="2">
        <f>-5*3</f>
        <v>-15</v>
      </c>
      <c r="E25" s="2">
        <f>1.6*4</f>
        <v>6.4</v>
      </c>
      <c r="F25" s="2">
        <f>4.9*5</f>
        <v>24.5</v>
      </c>
      <c r="G25" s="2">
        <f>17.8*6</f>
        <v>106.80000000000001</v>
      </c>
      <c r="H25" s="2">
        <f>21.4*7</f>
        <v>149.79999999999998</v>
      </c>
      <c r="I25" s="2">
        <f>14.8*8</f>
        <v>118.4</v>
      </c>
      <c r="J25" s="2">
        <f>9.1*9</f>
        <v>81.899999999999991</v>
      </c>
      <c r="K25" s="2">
        <f>2.5*10</f>
        <v>25</v>
      </c>
      <c r="L25" s="37">
        <f>-16.8*11</f>
        <v>-184.8</v>
      </c>
      <c r="M25" s="2">
        <f>-12.4*21</f>
        <v>-260.40000000000003</v>
      </c>
      <c r="R25" s="8" t="s">
        <v>120</v>
      </c>
    </row>
    <row r="27" spans="2:19" x14ac:dyDescent="0.25">
      <c r="B27" s="6">
        <v>1</v>
      </c>
      <c r="C27">
        <v>4</v>
      </c>
      <c r="D27">
        <v>9</v>
      </c>
      <c r="E27">
        <v>16</v>
      </c>
      <c r="F27" s="6">
        <v>25</v>
      </c>
      <c r="G27">
        <v>36</v>
      </c>
      <c r="H27">
        <v>49</v>
      </c>
      <c r="I27">
        <v>64</v>
      </c>
      <c r="J27" s="6">
        <v>81</v>
      </c>
      <c r="K27">
        <v>100</v>
      </c>
      <c r="L27">
        <v>121</v>
      </c>
      <c r="M27">
        <v>144</v>
      </c>
      <c r="O27" t="s">
        <v>122</v>
      </c>
      <c r="P27">
        <v>1</v>
      </c>
      <c r="Q27" t="s">
        <v>121</v>
      </c>
      <c r="R27" s="41">
        <f>-0.91+12.39-30.34</f>
        <v>-18.86</v>
      </c>
    </row>
    <row r="28" spans="2:19" x14ac:dyDescent="0.25">
      <c r="B28" s="6">
        <v>-15.5</v>
      </c>
      <c r="C28" s="2">
        <f>-14.7*4</f>
        <v>-58.8</v>
      </c>
      <c r="D28" s="2">
        <f>-6.6*9</f>
        <v>-59.4</v>
      </c>
      <c r="E28" s="2">
        <f>4.9*16</f>
        <v>78.400000000000006</v>
      </c>
      <c r="F28" s="2">
        <f>12.1*25</f>
        <v>302.5</v>
      </c>
      <c r="G28" s="2">
        <f>14.5*36</f>
        <v>522</v>
      </c>
      <c r="H28" s="2">
        <f>17.3*49</f>
        <v>847.7</v>
      </c>
      <c r="I28" s="2">
        <f>17.4*64</f>
        <v>1113.5999999999999</v>
      </c>
      <c r="J28" s="2">
        <f>5.6*81</f>
        <v>453.59999999999997</v>
      </c>
      <c r="K28" s="2">
        <f>0.1*100</f>
        <v>10</v>
      </c>
      <c r="L28" s="2">
        <f>-9.2*121</f>
        <v>-1113.1999999999998</v>
      </c>
      <c r="M28" s="2">
        <f>-14.2*144</f>
        <v>-2044.8</v>
      </c>
      <c r="P28">
        <v>2</v>
      </c>
      <c r="R28">
        <f>-0.91*4+12.39*2-30.34</f>
        <v>-9.1999999999999993</v>
      </c>
    </row>
    <row r="29" spans="2:19" x14ac:dyDescent="0.25">
      <c r="B29" s="6">
        <v>-12.7</v>
      </c>
      <c r="C29" s="2">
        <f>-12.4*4</f>
        <v>-49.6</v>
      </c>
      <c r="D29" s="2">
        <f>-4.7*9</f>
        <v>-42.300000000000004</v>
      </c>
      <c r="E29" s="2">
        <f>-0.5*16</f>
        <v>-8</v>
      </c>
      <c r="F29" s="2">
        <f>10.5*25</f>
        <v>262.5</v>
      </c>
      <c r="G29" s="2">
        <f>15*36</f>
        <v>540</v>
      </c>
      <c r="H29" s="2">
        <f>17.1*49</f>
        <v>837.90000000000009</v>
      </c>
      <c r="I29" s="2">
        <f>15.1*64</f>
        <v>966.4</v>
      </c>
      <c r="J29" s="2">
        <f>8.5*81</f>
        <v>688.5</v>
      </c>
      <c r="K29" s="2">
        <f>-3.8*100</f>
        <v>-380</v>
      </c>
      <c r="L29" s="2">
        <f>-4.8*121</f>
        <v>-580.79999999999995</v>
      </c>
      <c r="M29" s="2">
        <f>-17.8*144</f>
        <v>-2563.2000000000003</v>
      </c>
      <c r="P29">
        <v>3</v>
      </c>
      <c r="R29">
        <f>-0.91*9+12.39*3-30.34</f>
        <v>-1.3599999999999959</v>
      </c>
    </row>
    <row r="30" spans="2:19" x14ac:dyDescent="0.25">
      <c r="B30" s="6">
        <v>-19.100000000000001</v>
      </c>
      <c r="C30" s="2">
        <f>-12.3*4</f>
        <v>-49.2</v>
      </c>
      <c r="D30" s="2">
        <f>-6.5*9</f>
        <v>-58.5</v>
      </c>
      <c r="E30" s="37">
        <f>-2.2*16</f>
        <v>-35.200000000000003</v>
      </c>
      <c r="F30" s="2">
        <f>12.5*25</f>
        <v>312.5</v>
      </c>
      <c r="G30" s="2">
        <f>15.1*36</f>
        <v>543.6</v>
      </c>
      <c r="H30" s="2">
        <f>16.9*49</f>
        <v>828.09999999999991</v>
      </c>
      <c r="I30" s="2">
        <f>13.8*64</f>
        <v>883.2</v>
      </c>
      <c r="J30" s="2">
        <f>8.9*81</f>
        <v>720.9</v>
      </c>
      <c r="K30" s="2">
        <f>1.2*100</f>
        <v>120</v>
      </c>
      <c r="L30" s="2">
        <f>-6.1*121</f>
        <v>-738.09999999999991</v>
      </c>
      <c r="M30" s="2">
        <f>-10.8*144</f>
        <v>-1555.2</v>
      </c>
      <c r="P30">
        <v>4</v>
      </c>
      <c r="R30">
        <f>-0.91*16+12.39*4-30.34</f>
        <v>4.66</v>
      </c>
    </row>
    <row r="31" spans="2:19" x14ac:dyDescent="0.25">
      <c r="B31" s="6">
        <v>-13.9</v>
      </c>
      <c r="C31" s="2">
        <f>-15.5*4</f>
        <v>-62</v>
      </c>
      <c r="D31" s="2">
        <f>-9.2*9</f>
        <v>-82.8</v>
      </c>
      <c r="E31" s="2">
        <f>-1.8*16</f>
        <v>-28.8</v>
      </c>
      <c r="F31" s="2">
        <f>8.9*25</f>
        <v>222.5</v>
      </c>
      <c r="G31" s="2">
        <f>13.1*36</f>
        <v>471.59999999999997</v>
      </c>
      <c r="H31" s="2">
        <f>16.8*49</f>
        <v>823.2</v>
      </c>
      <c r="I31" s="37">
        <f>11.5*64</f>
        <v>736</v>
      </c>
      <c r="J31" s="37">
        <f>4.8*81</f>
        <v>388.8</v>
      </c>
      <c r="K31" s="2">
        <f>3.4*100</f>
        <v>340</v>
      </c>
      <c r="L31" s="2">
        <f>-6*121</f>
        <v>-726</v>
      </c>
      <c r="M31" s="2">
        <f>-8.1*144</f>
        <v>-1166.3999999999999</v>
      </c>
      <c r="P31">
        <v>5</v>
      </c>
      <c r="R31">
        <f>-0.91*25+12.39*5-30.34</f>
        <v>8.860000000000003</v>
      </c>
    </row>
    <row r="32" spans="2:19" x14ac:dyDescent="0.25">
      <c r="B32" s="6">
        <v>-20.6</v>
      </c>
      <c r="C32" s="2">
        <f>-10.8*4</f>
        <v>-43.2</v>
      </c>
      <c r="D32" s="2">
        <f>-6.2*9</f>
        <v>-55.800000000000004</v>
      </c>
      <c r="E32" s="2">
        <f>-0.4*16</f>
        <v>-6.4</v>
      </c>
      <c r="F32" s="2">
        <f>10.4*25</f>
        <v>260</v>
      </c>
      <c r="G32" s="2">
        <f>14.3*36</f>
        <v>514.80000000000007</v>
      </c>
      <c r="H32" s="2">
        <f>16.2*49</f>
        <v>793.8</v>
      </c>
      <c r="I32" s="2">
        <f>12.1*64</f>
        <v>774.4</v>
      </c>
      <c r="J32" s="2">
        <f>7.6*81</f>
        <v>615.6</v>
      </c>
      <c r="K32" s="2">
        <f>0.5*100</f>
        <v>50</v>
      </c>
      <c r="L32" s="2">
        <f>-9.3*121</f>
        <v>-1125.3000000000002</v>
      </c>
      <c r="M32" s="2">
        <f>-10.7*144</f>
        <v>-1540.8</v>
      </c>
      <c r="P32">
        <v>6</v>
      </c>
      <c r="R32">
        <f>-0.91*36+12.39*6-30.34</f>
        <v>11.240000000000006</v>
      </c>
    </row>
    <row r="33" spans="2:18" x14ac:dyDescent="0.25">
      <c r="B33" s="6">
        <v>-11.5</v>
      </c>
      <c r="C33" s="2">
        <f>-14.8*4</f>
        <v>-59.2</v>
      </c>
      <c r="D33" s="2">
        <f>-9*9</f>
        <v>-81</v>
      </c>
      <c r="E33" s="2">
        <f>1.1*16</f>
        <v>17.600000000000001</v>
      </c>
      <c r="F33" s="2">
        <f>7.2*25</f>
        <v>180</v>
      </c>
      <c r="G33" s="2">
        <f>12*36</f>
        <v>432</v>
      </c>
      <c r="H33" s="2">
        <f>16.8*49</f>
        <v>823.2</v>
      </c>
      <c r="I33" s="2">
        <f>14.8*64</f>
        <v>947.2</v>
      </c>
      <c r="J33" s="2">
        <f>8.4*81</f>
        <v>680.4</v>
      </c>
      <c r="K33" s="2">
        <f>-2.9*100</f>
        <v>-290</v>
      </c>
      <c r="L33" s="2">
        <f>-7.6*121</f>
        <v>-919.59999999999991</v>
      </c>
      <c r="M33" s="2">
        <f>-6.1*144</f>
        <v>-878.4</v>
      </c>
      <c r="P33">
        <v>7</v>
      </c>
      <c r="R33">
        <f>-0.91*49+12.39*7-30.34</f>
        <v>11.8</v>
      </c>
    </row>
    <row r="34" spans="2:18" x14ac:dyDescent="0.25">
      <c r="B34" s="6">
        <v>-16.7</v>
      </c>
      <c r="C34" s="2">
        <f>-10.5*4</f>
        <v>-42</v>
      </c>
      <c r="D34" s="2">
        <f>-8.2*9</f>
        <v>-73.8</v>
      </c>
      <c r="E34" s="2">
        <f>2.1*16</f>
        <v>33.6</v>
      </c>
      <c r="F34" s="2">
        <f>12.6*25</f>
        <v>315</v>
      </c>
      <c r="G34" s="2">
        <f>17.2*36</f>
        <v>619.19999999999993</v>
      </c>
      <c r="H34" s="2">
        <f>16.9*49</f>
        <v>828.09999999999991</v>
      </c>
      <c r="I34" s="2">
        <f>15*64</f>
        <v>960</v>
      </c>
      <c r="J34" s="2">
        <f>12.4*81</f>
        <v>1004.4</v>
      </c>
      <c r="K34" s="2">
        <f>0.3*100</f>
        <v>30</v>
      </c>
      <c r="L34" s="2">
        <f>-5*121</f>
        <v>-605</v>
      </c>
      <c r="M34" s="2">
        <f>-9.7*144</f>
        <v>-1396.8</v>
      </c>
      <c r="P34">
        <v>8</v>
      </c>
      <c r="R34">
        <f>-0.91*64+12.39*8-30.34</f>
        <v>10.540000000000003</v>
      </c>
    </row>
    <row r="35" spans="2:18" x14ac:dyDescent="0.25">
      <c r="B35" s="6">
        <v>-17.2</v>
      </c>
      <c r="C35" s="2">
        <f>-15.5*4</f>
        <v>-62</v>
      </c>
      <c r="D35" s="2">
        <f>-8.4*9</f>
        <v>-75.600000000000009</v>
      </c>
      <c r="E35" s="2">
        <f>6.5*16</f>
        <v>104</v>
      </c>
      <c r="F35" s="2">
        <f>12.3*25</f>
        <v>307.5</v>
      </c>
      <c r="G35" s="2">
        <f>16.1*36</f>
        <v>579.6</v>
      </c>
      <c r="H35" s="2">
        <f>20.2*49</f>
        <v>989.8</v>
      </c>
      <c r="I35" s="2">
        <f>15.2*64</f>
        <v>972.8</v>
      </c>
      <c r="J35" s="2">
        <f>10.2*81</f>
        <v>826.19999999999993</v>
      </c>
      <c r="K35" s="2">
        <f>1.9*100</f>
        <v>190</v>
      </c>
      <c r="L35" s="2">
        <f>-9.6*121</f>
        <v>-1161.5999999999999</v>
      </c>
      <c r="M35" s="2">
        <f>-20.2*144</f>
        <v>-2908.7999999999997</v>
      </c>
      <c r="O35" s="8" t="s">
        <v>116</v>
      </c>
      <c r="P35">
        <v>9</v>
      </c>
      <c r="R35">
        <f>-0.91*81+12.39*9-30.34</f>
        <v>7.4599999999999973</v>
      </c>
    </row>
    <row r="36" spans="2:18" x14ac:dyDescent="0.25">
      <c r="B36" s="6">
        <v>-17.2</v>
      </c>
      <c r="C36" s="2">
        <f>-12.1*4</f>
        <v>-48.4</v>
      </c>
      <c r="D36" s="2">
        <f>-8.7*9</f>
        <v>-78.3</v>
      </c>
      <c r="E36" s="2">
        <f>3.9*16</f>
        <v>62.4</v>
      </c>
      <c r="F36" s="2">
        <f>11.1*25</f>
        <v>277.5</v>
      </c>
      <c r="G36" s="2">
        <f>14.3*36</f>
        <v>514.80000000000007</v>
      </c>
      <c r="H36" s="2">
        <f>16.6*49</f>
        <v>813.40000000000009</v>
      </c>
      <c r="I36" s="2">
        <f>16*64</f>
        <v>1024</v>
      </c>
      <c r="J36" s="2">
        <f>10*81</f>
        <v>810</v>
      </c>
      <c r="K36" s="2">
        <f>0.9*100</f>
        <v>90</v>
      </c>
      <c r="L36" s="2">
        <f>-11.4*121</f>
        <v>-1379.4</v>
      </c>
      <c r="M36" s="2">
        <f>-12.3*144</f>
        <v>-1771.2</v>
      </c>
      <c r="O36" s="6">
        <f>AVERAGE(B28:M37)</f>
        <v>34.580000000000005</v>
      </c>
      <c r="P36">
        <v>10</v>
      </c>
      <c r="R36">
        <f>-0.91*100+12.34*10-30.34</f>
        <v>2.0600000000000058</v>
      </c>
    </row>
    <row r="37" spans="2:18" x14ac:dyDescent="0.25">
      <c r="B37" s="6">
        <v>-15.1</v>
      </c>
      <c r="C37" s="2">
        <f>-12.3*4</f>
        <v>-49.2</v>
      </c>
      <c r="D37" s="2">
        <f>-5*9</f>
        <v>-45</v>
      </c>
      <c r="E37" s="2">
        <f>1.6*16</f>
        <v>25.6</v>
      </c>
      <c r="F37" s="2">
        <f>4.9*25</f>
        <v>122.50000000000001</v>
      </c>
      <c r="G37" s="2">
        <f>17.8*36</f>
        <v>640.80000000000007</v>
      </c>
      <c r="H37" s="2">
        <f>21.4*49</f>
        <v>1048.5999999999999</v>
      </c>
      <c r="I37" s="2">
        <f>14.8*64</f>
        <v>947.2</v>
      </c>
      <c r="J37" s="2">
        <f>9.1*81</f>
        <v>737.1</v>
      </c>
      <c r="K37" s="2">
        <f>2.5*100</f>
        <v>250</v>
      </c>
      <c r="L37" s="37">
        <f>-16.8*121</f>
        <v>-2032.8000000000002</v>
      </c>
      <c r="M37" s="2">
        <f>-12.4*144</f>
        <v>-1785.6000000000001</v>
      </c>
      <c r="P37">
        <v>11</v>
      </c>
      <c r="R37">
        <f>-0.91*121+12.39*11-30.34</f>
        <v>-4.1599999999999788</v>
      </c>
    </row>
    <row r="38" spans="2:18" x14ac:dyDescent="0.25">
      <c r="P38">
        <v>12</v>
      </c>
      <c r="R38">
        <f>-0.91*144+12.39*12-30.34</f>
        <v>-12.699999999999985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2017-11-20T10:20:40Z</dcterms:modified>
</cp:coreProperties>
</file>